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S4lk5Fe9sC/ccVVU+hriWe3YPrA=="/>
    </ext>
  </extLst>
</workbook>
</file>

<file path=xl/sharedStrings.xml><?xml version="1.0" encoding="utf-8"?>
<sst xmlns="http://schemas.openxmlformats.org/spreadsheetml/2006/main" count="2198" uniqueCount="2197">
  <si>
    <t>text_review</t>
  </si>
  <si>
    <t>text_review_english</t>
  </si>
  <si>
    <t>score</t>
  </si>
  <si>
    <t>['jaringanya', 'lemot', 'banget', 'mohon', 'periksa', 'pengguna', 'telkomsel', 'senantiasa', 'memakai', 'menerus', 'udah', 'cape', 'nge', 'youtube', 'susah', 'main', 'game', 'sinyal', 'jelek', 'ampunn', 'telkomsel', 'tolong', 'perbaiki', 'agat', 'puas', 'sedia', 'terimakasih', '']</t>
  </si>
  <si>
    <t>['sinyal', 'lemot', 'super', 'parah', 'udah', 'beli', 'paket', 'mahal', 'mahal', 'layanan', 'memuaskan', 'hubungi', 'ngga', 'respon', 'ngga', 'usa', 'koar', 'koar', 'promo', 'kualitas', 'jaringan', 'buruk', 'maen', 'game', 'sinyal', 'jumping', 'jumping', 'ngga', 'nambah', 'bagus', 'nambah', 'parah']</t>
  </si>
  <si>
    <t>['buruk', 'jaringan', 'harga', 'mahal', 'kecepatan', 'lelet', 'admin', 'tolong', 'bales', 'hubungi', 'facebook', 'twitter', 'dll', 'petugas', 'telkomsel', 'gunanya', 'makan', 'gaji', 'buta']</t>
  </si>
  <si>
    <t>['jaringan', 'kayak', 'kerupuk', 'hujan', 'sperti', 'indosat', 'smart', 'fren', 'telkomsel', 'buruk', 'jaringan', 'paketan', 'mahal', 'jaringan', 'buruk', 'gunanya', 'beli', 'mahal', 'tolong', 'perbaiki', 'ambil', 'untung']</t>
  </si>
  <si>
    <t>['perbaiki', 'jaringannya', 'selogan', 'telkomsel', 'pelosok', 'negeri', 'dikota', 'susah', 'telkomsel', 'perdana', 'elite', 'harga', 'paket', 'datanya', 'murah', '']</t>
  </si>
  <si>
    <t>['jaringan', 'telkomsel', 'parah', 'gua', 'main', 'game', 'lost', 'koneksi', 'udah', 'banget', 'kayak', 'gini', 'udah', 'mahal', 'paketannya', 'tolong', 'diperbaikilah', 'koneksi', 'jaringannya', 'parah', 'banget', 'males', 'beli', 'pikir', 'kali']</t>
  </si>
  <si>
    <t>['beli', 'paket', 'beli', 'pulsa', 'sisa', 'pulsa', 'ribu', 'knp', 'gini', '']</t>
  </si>
  <si>
    <t>['udah', 'komplain', 'sinyal', 'sim', 'card', 'telkomsel', 'sinyal', 'parah', 'banget', 'kuota', 'maaf', 'udah', 'tanggapi', 'sinyal', 'ngegame', 'support', 'nntn', 'video', 'turun', '']</t>
  </si>
  <si>
    <t>['gini', 'telkomsel', 'main', 'game', 'susah', 'video', 'susah', 'kesini', 'banget', 'habis', 'hujan', 'beh', 'susahnya', 'ampun', 'gua', 'isi', 'paketan', 'dibikin', 'susah', 'cek', 'pulsa', 'lancar', 'cek', 'kuota', 'lancar', 'ehh', 'giliran', 'isi', 'paketan', 'susahnya', 'ampun', 'kecewa', 'bet', 'telkomsel', '']</t>
  </si>
  <si>
    <t>['sinyal', 'stabil', 'telponan', 'suara', 'terputus', 'putus', 'internet', 'lelet', '']</t>
  </si>
  <si>
    <t>['tolong', 'telkomsel', 'kuota', 'ketengan', 'kuota', 'utama', 'parcuma', 'beli', 'paket', 'youtube', 'kepake', 'buang', 'pulsa', 'paket', 'tolong', 'murah', 'masuk', 'akal', 'telkomsel', 'menjual', 'paket', 'kesal', 'pas', 'aktif', 'paket', 'telkomsel', 'pulsa', 'terpotong', 'buka', 'data', 'seluler', 'haduh', 'tolong', 'kuota', 'kasih', 'murah', 'mayasyakat', 'tolong', 'maklum']</t>
  </si>
  <si>
    <t>['keluhan', 'dengar', 'uang', 'utamakan', 'jaringan', 'iya', 'buktikan', 'omonganku', 'salah', '']</t>
  </si>
  <si>
    <t>['kalah', 'saing', 'telkomsel', 'jaringan', 'buduk', 'mendung', 'dikit', 'jaringan', 'internet', 'sya', 'gunung', 'tower', 'wajar', 'sinyal', 'jelek', 'dikota', 'jaringan', 'kek', 'bekicot', 'ikuti', 'perkembangan', 'udah', 'tolong', 'menejemen', 'diperbaiki']</t>
  </si>
  <si>
    <t>['knpa', 'jaringan', 'jdi', 'jelek', 'banget', 'minggu', 'blkngan', 'bkin', 'emosi', 'pas', 'momen', 'trus', 'jaringan', 'drop', 'menit', 'hrus', 'mode', 'pesawat', 'trus', 'bru', 'jaringan', 'normal', 'tpi', 'nnti', 'gtu', 'drop', '']</t>
  </si>
  <si>
    <t>['simpati', 'sekarng', 'jaringan', 'internetnya', 'lemot', 'banget', 'parah', 'buka', 'youtube', 'loading', 'tolong', 'perbaiki', 'paket', 'combo', 'lemoooooot']</t>
  </si>
  <si>
    <t>['jaringan', 'jelek', 'kecewa', 'telkomsel', 'kecewa', 'kemunduran', 'kualitas', 'jaringan', 'telkomsel', 'harga', 'mahal', 'kualitas', 'jaringan', 'download', 'upload', 'ping', 'bagus', 'provider', 'harga', 'menipumu', 'harga', 'mahal', 'kualitas', 'jaringan', 'jelek', 'harap', 'telkomsel', 'menyediakan', 'layanan', 'pelanggannya', 'kecewa', 'thanks', '']</t>
  </si>
  <si>
    <t>['sinyal', 'lelet', 'bagus', 'sinyal', 'lelet', 'terkadang', 'sinyal', 'belajar', 'mimin', 'habisin', 'uang', 'org', 'kah', 'mikirim', 'pelanggan', 'tolong', 'diperbaiki', 'mimin', 'lancsr', 'belajar']</t>
  </si>
  <si>
    <t>['kasi', 'bintang', 'rugi', 'beli', 'paket', 'jaringan', 'disediakan', 'buruk', 'mohon', 'diperbaiki', 'kualitas', 'jaringan', '']</t>
  </si>
  <si>
    <t>['berkali', 'kali', 'beli', 'paket', 'aplikasi', 'notif', 'transaksi', 'berhasil', 'pulsa', 'berkurang', 'quota', 'bertambah', 'mengecewakan', '']</t>
  </si>
  <si>
    <t>['pakke', 'paket', 'telkomsel', 'karna', 'jaringan', 'lambat', 'kali', 'kota', 'medan', 'beralih', 'paket', 'jaringannya', 'mantap', 'karna', 'udh', 'pakke', 'telkomsel', 'balek', 'makek', 'telkomsel', 'smaa', 'lambat', 'mintak', 'ampun', 'buka', 'telkomsel', 'kali', 'kek', 'gitu', 'udah', 'pulsa', 'kenak', 'potong', 'ntah', 'potong', 'komentar', 'pakke', 'hotspot', 'kencang', 'kali', 'jaringan', 'pakke', 'kecewa', 'sma', 'telkom', '']</t>
  </si>
  <si>
    <t>['payah', 'aplikasi', 'tertutup', 'crash', 'dipakai', 'update', 'versi', 'terbaru', 'payah', 'masuk', 'log', 'shame', 'you', 'telkomsel', '']</t>
  </si>
  <si>
    <t>['', 'thn', 'beralih', 'tsel', 'bbrp', 'sedih', 'signal', 'stabil', 'pdhl', 'pandemi', 'data', 'kebutuhan', 'utama', 'sehari', 'concall', 'vid', 'call', 'chat', 'dll', 'bgitu', 'zoom', 'hadeuuuuhh', 'kacae', 'putus', 'trusssa', 'smoga', 'zegera', 'mbaik', 'hatga', 'bsahabat', 'akmtong', 'maklum', 'pandemi', 'gini', 'mnipis', 'pendapatan', '']</t>
  </si>
  <si>
    <t>['lemot', 'parah', 'udah', 'bantuan', 'telegram', 'bot', 'solusi', 'kaya', 'gini', 'namanya', 'kaya', 'operato', 'lainya', 'pengen', 'ganti', 'operator', 'murah', 'kecepatanya']</t>
  </si>
  <si>
    <t>['parah', 'penguna', 'mytelkomsel', 'kecewa', 'akses', 'jaringan', 'telkomsel', 'buruk', 'gangguan', 'beli', 'paket', 'ditawarkan', 'parah', 'bener']</t>
  </si>
  <si>
    <t>['telkomsel', 'jelek', 'sinyal', 'beralih', 'kartu', 'semoga', 'keluhan', 'memperbaiki', 'tolong', 'wilayah', 'kubang', 'desa', 'kubang', 'kec', 'sukamulya', 'kab', 'tangerang', 'jaringan', 'frekuensi', 'mhz', 'perbaiki', '']</t>
  </si>
  <si>
    <t>['keluhan', 'sinyal', 'down', 'sesuai', 'harga', 'mahal', 'jelek', 'kualitas', 'sinyalnya', 'suka', 'hilang', 'tinggal', 'daerah', 'kota', 'bekasi', 'kacau', 'telkomsel', 'berpaling', 'provider', 'kenceng', 'jaringan', 'sinyalnya', 'lupakan', 'telkomsel']</t>
  </si>
  <si>
    <t>['pengguna', 'kartu', 'thn', 'promo', 'mahal', 'parah', 'jaringan', 'drop', 'paket', 'data', 'gb', 'mubasir', 'terpakai', 'jaringan', 'lelet', 'perbaiki', 'pelayanan']</t>
  </si>
  <si>
    <t>['provider', 'ajar', 'berkali', 'kali', 'dirugikan', 'pulsa', 'nominalnya', 'genap', 'tersedot', 'pengisian', 'paket', 'data', 'pemberitahuan', 'sistem', 'informasi', 'lambat', 'informasi', 'data', 'internet', 'habis', 'otomatis', 'sedot', 'pulsa', 'sudi', 'provider', 'kartu', 'kecewa', 'telkomsel', 'becus', 'provider', 'ampas', '']</t>
  </si>
  <si>
    <t>['memakai', 'telkomsel', 'paket', 'tersedia', 'paketan', 'membeli', 'pulsa', 'dipaketkan', 'omg', 'dibuka', 'mengaksesnya', 'pagi', 'gangguan', 'gimana', 'butuh', 'cepat', 'melancarkan', 'internet', 'memakai', 'kode', 'dial', 'nyaman']</t>
  </si>
  <si>
    <t>['jelek', 'kali', 'jaringan', 'promo', 'kalia', 'keuntungan', 'im', 'update', 'telkomsel', 'hotspot', 'im', 'malu', 'keluhan', 'suruh', 'bicara', 'veronica', 'virtual', 'solusi', 'jaringan', 'membaik', 'kasih', 'kejelasan', 'jaringan', 'jelek', 'kali', 'lokasi', 'helvetia', 'medan']</t>
  </si>
  <si>
    <t>['kualitas', 'jaringan', 'buruk', 'telkomsel', 'merosot', 'jaringan', 'internet', 'parahh']</t>
  </si>
  <si>
    <t>['pengguna', 'setia', 'telkomsel', 'kendala', 'jaringan', 'mengalami', 'leg', 'bermain', 'game', 'harga', 'package', 'expensive', 'kendala', 'utama', 'utama', '']</t>
  </si>
  <si>
    <t>['haduh', 'gini', 'tlkmsl', 'pindah', 'ntar', 'maaf', 'sibuk', 'sibuk', 'telat', 'ngumpul', 'tugas', 'gegara', 'ngisi', 'pkt', 'maaf', 'sibuk', 'mulu', 'pikir', 'sibuk', 'inget', 'cumn', 'dibaca', 'benerin', 'ngomong', '']</t>
  </si>
  <si>
    <t>['', 'balesnya', 'udh', 'gitu', 'sinyal', 'jelek', 'harga', 'selangit', 'kuota', 'pulsa', 'tetep', 'kesedot', 'berharap', 'dpt', 'cepet', 'udh', 'gitu', 'menit', 'bales', 'kecewa']</t>
  </si>
  <si>
    <t>['', 'admin', 'maaf', 'mulu', 'serius', 'menanggapi', 'keluhan', 'pelanggan', 'setia', 'luki', 'telkomsel', 'siih', 'iaa', 'ancur', 'sinyalnya', 'maaf', 'min', 'cepat', 'bertindak', 'sampe', 'pelanggan', 'setia', 'telkomsel', 'berpindah', 'operator', 'pelanggan', 'setia', 'telkomsel', 'berharap', 'telkomsel', 'diandalkan']</t>
  </si>
  <si>
    <t>['kecewa', 'dng', 'telkomsel', 'mencuri', 'kuota', 'telkomsel', 'mengakui', 'mencuri', 'menipu', 'berjanji', 'mengulanginya', 'isi', 'kuota', 'belajar', 'akses', 'aplikasi', 'zoom', 'tersedot', 'kuota', 'utama', 'kuota', 'utama', 'habis', 'kuota', 'belajarnya', 'utuh', 'coba', 'lapor', 'solusi', 'tinggalkan', 'telkomsel']</t>
  </si>
  <si>
    <t>['kecewa', 'dng', 'telkomsel', 'mencuri', 'kuota', 'telkomsel', 'mengakui', 'mencuri', 'menipu', 'berjanji', 'mengulanginya', 'isi', 'kuota', 'belajar', 'akses', 'aplikasi', 'zoom', 'tersedot', 'kuota', 'utama', 'ssmpai', 'kuota', 'utama', 'habis', 'isi', 'kuota', 'belajarnya', 'utuh', 'coba', 'lapor', 'solusi']</t>
  </si>
  <si>
    <t>['beli', 'paket', 'paket', 'habis', 'isi', 'pulsa', 'kepotong', 'sialan', 'app', 'nol', 'rupiah', 'gini', 'provider', 'terbesar', 'kecewa', 'berat', 'pelayanan']</t>
  </si>
  <si>
    <t>['maaf', 'telkomsel', 'gangguan', 'jaringan', 'stabil', 'maen', 'gem', 'lek', 'jaringan', 'ilang', 'data', 'seluler', 'muncul', 'jaringan', 'kogini', '']</t>
  </si>
  <si>
    <t>['mohon', 'maaf', 'pengguna', 'telkomsel', 'kinerjanya', 'berkurang', 'jaringan', 'habis', 'pemadaman', 'listrik', 'komentar', 'udah', 'dibaca', 'telkomsel', 'mohon', 'diperbaiki', 'menyuruh', 'hubungi', 'lwat', 'twiter', 'dll', 'kecewa', 'paketan', 'udah', 'terkenal', 'mahal', 'performa', 'berkurang', '']</t>
  </si>
  <si>
    <t>['sinyal', 'internet', 'telkomsel', 'parah', 'udah', 'gunanya', 'loading', 'kalah', 'sinyal', 'operator', 'three', 'harga', 'internet', 'mahal', 'payah']</t>
  </si>
  <si>
    <t>['telkomsel', 'taik', 'jaringan', 'daerah', 'kaya', 'gini', 'sinyal', 'ilang', 'temen', 'ku', 'kartu', 'telkomsel', 'hilang', 'sinyal', 'gnya', 'tolong', 'perbaiki']</t>
  </si>
  <si>
    <t>['telkomsel', 'top', 'kasih', 'bintang', 'cabut', 'bintang', 'daerah', 'bandung', 'selatan', 'majalaya', 'koneksi', 'buruk', 'telkomsel', 'mohon', 'penjelasannya']</t>
  </si>
  <si>
    <t>['dapet', 'notifikasi', 'sms', 'promo', 'kuota', 'gb', 'seharga', 'beli', 'tulisan', 'silahkan', 'tunggu', 'notifikasi', 'aktif', 'tunggu', 'notif', 'sms', 'masuk', 'lucunya', 'pulsa', 'kesedot', 'coba', 'cek', 'kuota', 'udah', 'masuk', 'notifikasi', 'hasilnya', 'seburuk', 'kah', 'pelayanan', 'telkomsel', '']</t>
  </si>
  <si>
    <t>['mohon', 'maaf', 'sebelumya', 'yth', 'telkomsel', 'jaringan', 'telkomsel', 'sim', 'kartu', 'bagus', 'jaringannya', 'bandingi', 'kartu', 'telkomsel', 'jelek', 'lelet', '']</t>
  </si>
  <si>
    <t>['aplikasi', 'bermanfaat', 'promo', 'paketan', 'data', 'internet', 'bonus', 'daily', 'check', 'komplain', 'kualitas', 'jaringan', 'ulasan', 'aplikasi', 'salah', 'woyy', 'operatornya', 'aneh', '']</t>
  </si>
  <si>
    <t>['hallo', 'nanya', 'beli', 'kouta', 'beli', 'kouta', 'kouta', 'sedot', 'kouta', 'utama', 'kouta', 'mohon', 'butuh', 'penjelasan', '']</t>
  </si>
  <si>
    <t>['bug', 'pas', 'buka', 'aplikasi', 'notif', 'jaringan', 'stabil', 'masuk', 'home', 'screen', 'pdhl', 'jaringan', 'update']</t>
  </si>
  <si>
    <t>['dear', 'telkomsel', 'massa', 'berlaku', 'kartu', 'bertambah', 'udah', 'isi', 'pulsa', 'segitu', 'massa', 'berlaku', 'kartu', 'penambahan', 'woy', 'perbaiki', '']</t>
  </si>
  <si>
    <t>['payah', 'coba', 'beli', 'gb', 'rb', 'aktif', 'seminggu', 'ehhh', 'pulsa', 'utama', 'abis', 'stlh', 'abis', 'kepakek', 'pulsa', 'paketannya', 'udah', 'gitu', 'jaringan', 'lemot', 'maaf', 'deh', 'bintang', 'jaringan', 'bagus', 'trs', 'nyedot', 'pulsa', 'utama', 'kasih', 'bintang', '']</t>
  </si>
  <si>
    <t>['kembalikan', 'fitur', 'check', 'hadiah', 'ambil', 'hadiah', 'mengenakan', 'hadiah', 'kuota', 'voucher', 'langsung', 'ter', 'klaim', 'otomatis', 'telkomsel', 'dipertimbangkan', '']</t>
  </si>
  <si>
    <t>['', 'telkomsel', 'yth', 'kenaapa', 'isi', 'pulsa', 'hbs', 'pulsa', 'mencuri', 'bpk', 'ibuk', 'haknya', 'diambil', 'dosa', 'hidup', 'menjaga', 'langganan', 'ber', 'doa', 'tuhan', 'ampuni', 'dosa', 'orang', 'jujur', 'byk', 'merugikan', 'orang', '']</t>
  </si>
  <si>
    <t>['pulsa', 'gue', 'kesedot', 'pas', 'beli', 'kuota', 'anjim', 'banget', 'jdi', 'beli', 'kali', 'bug', 'tolong', 'diperbaiki', 'kadang', 'suka', 'eror', 'apk', 'trus', 'rugi', 'sinyal', 'parah', 'tolong', 'diperbaiki', 'sinyalnya', 'petinggi', 'ceo', 'mba', 'mas', 'kakak', 'gara', 'sinyalny', 'ngelag', 'gua', 'afk', 'swag', 'banget', 'rugi', 'tangan', 'kosong', 'berani']</t>
  </si>
  <si>
    <t>['gajelas', 'banget', 'udah', 'isi', 'pulsa', 'beli', 'paket', 'paketnya', 'gabisa', 'diakses', 'pulsa', 'udah', 'kesedot', 'habis', 'udah', 'ngehubungin', 'customer', 'service', 'kirim', 'email', 'konfirmasi', 'tanggapan', 'solusi', 'yakalo', 'duakali', 'udah', 'berkali', 'kali', 'marahh', 'emosi', 'udah', 'ganti', 'kartu', 'sebelah', '']</t>
  </si>
  <si>
    <t>['mohon', 'telkomsel', 'bijaksana', 'mengambil', 'tindakan', 'mohon', 'perbaikan', 'sinyal', 'pengguna', 'indonesia', 'kalimantan', 'sekitaran', 'pengguna', 'telkomsel', 'pro', 'permainan', 'bijak', 'koreksi', 'indonesia', 'bijak', 'contoh', 'baca', 'ulasan', 'telkomsel', '']</t>
  </si>
  <si>
    <t>['jaringannya', 'lelet', 'parah', 'udah', 'gitu', 'nambah', 'mahal', 'banget', 'udah', 'parah', 'gimana', 'data', 'skrg', 'kbutuhan', 'kerjaan', 'dll', 'jdi', 'udalah', '']</t>
  </si>
  <si>
    <t>['sinyal', 'lambat', 'chat', 'mytelkomsel', 'solusinya', 'disuruh', 'restart', 'mode', 'pesawatlah', 'apnnya', 'dicoba', 'lelet', 'kabur', 'pakai', 'telkomsel', '']</t>
  </si>
  <si>
    <t>['bangga', 'suka', 'telkomsel', 'telkomsel', 'jaringannya', 'buruk', 'drdl', 'pakai', 'telkomsel', 'keluarga', 'pakai', 'telkomsel', 'knp', 'telkomsel', 'muasin', 'pelanggan', 'tolonglah', 'emang', 'pertahanin', 'pelanggan', 'tetapnya', 'diperbaiki', '']</t>
  </si>
  <si>
    <t>['kartu', 'mahal', 'jaringan', 'ngelaga', 'dkevrk', 'hebibuenbujrbbhsvj', 'ketahui', 'lupa', 'the', 'internet', 'and', 'jordi', 'alba', 'berharap', 'barca', 'madrid', 'bersaing', 'dapatkan', 'gelandang', 'levante', 'barcelona', 'liga', 'champions', 'dunia', 'buk']</t>
  </si>
  <si>
    <t>['didaerah', 'nusa', 'tenggara', 'timur', 'kupang', 'barat', 'desa', 'lifuleo', 'dusun', 'panaf', 'air', 'cina', 'sinyal', 'telkomsel', 'lemah', 'ilang', 'alagi', 'telkomsel', 'harga', 'paker', 'internetny', 'mahal', 'banget', 'harganya', 'provider', 'sebelah', 'sebulan', 'aktifny', 'saran', 'tolong', 'diturunkan', 'harga', 'paket', 'internetny', 'ditinggal', 'pelanggan', 'pelanggan', 'pindah', 'provider', 'maaf', 'pindah', 'haluan', 'provider', 'unt', 'paket', 'internet', '']</t>
  </si>
  <si>
    <t>['', 'aplikasi', 'menipu', 'customer', 'seminggu', 'dibuka', 'akses', 'aplikasi', 'log', 'out', 'otomatis', 'log', 'kirim', 'link', 'log', 'via', 'sms', 'customer', 'dibebani', 'biaya', 'kirim', 'sms', 'dibilang', 'mencuri', 'pulsa', 'perlahan', '']</t>
  </si>
  <si>
    <t>['uda', 'sebulan', 'februari', 'jaringan', 'lemot', 'stabil', 'diperbaiki', 'kebutuhan', 'daring', 'online', 'shop', 'terganggu', 'gara', 'provider', 'sarankan', 'memilih', 'provider', 'kecewa', 'harga', 'mahal', 'kualitas', 'jaringan', 'lemot', 'parah', 'lokasi', 'kecamatan', 'medan', 'tuntungan', 'kelurahan', 'sidomulyo']</t>
  </si>
  <si>
    <t>['heran', 'pulsa', 'tpi', 'beli', 'paket', 'dimy', 'telkomsel', 'semalam', 'ntah', 'jelek', 'kali', 'kecewa', 'uninstal', 'semalam', '']</t>
  </si>
  <si>
    <t>['telkomsel', 'maling', 'pulsa', 'kuota', 'cek', 'transaksi', 'internetnya', 'kena', 'biaya', 'trus', 'gunanya', 'kuota']</t>
  </si>
  <si>
    <t>['', 'telkomsel', 'aplikasi', 'parah', 'sebentar', 'dpt', 'maaf', 'kak', 'dpt', 'menghubungi', 'bla', 'bla', 'bla', 'komentar', 'lbh', 'beralih', 'provider']</t>
  </si>
  <si>
    <t>['kecewa', 'mendalam', 'berhenti', 'langanan', 'kartu', 'halo', 'kartu', 'halo', 'menjebak', 'pelanggannya', 'promosi', 'tawaran', 'berhenti', 'kartu', 'dipakai', 'migrasi', 'kartu', 'halo', 'semestinya', 'telkomsel', 'kasih', 'kesematan', 'pelanggan', 'kejebak', 'kartu', 'halo', 'kartu', 'nomor', 'dunia', 'tipu', 'tipu']</t>
  </si>
  <si>
    <t>['kecewa', 'telkomsel', 'kali', 'menghubungi', 'agen', 'veronika', 'solusi', 'penyelesaian', 'nasib', 'kuota', 'pulsa', 'kuota', 'pulsa', 'terpotong', 'kali', 'pengisian', 'ulang', 'kuota', '']</t>
  </si>
  <si>
    <t>['paket', 'gamesmax', 'berlangganan', 'aktivasi', 'mohon', 'info', 'berhenti', 'berlangganan', 'terima', 'kasih', '']</t>
  </si>
  <si>
    <t>['kejujuran', 'paket', 'data', 'unlimited', 'diketerangan', 'tertulis', 'unlimited', 'diperjelas', 'aplikasi', 'menguras', 'kuota', '']</t>
  </si>
  <si>
    <t>['kuota', 'kemendikbud', 'lemot', 'parah', 'zoom', 'putus', 'nyambung', 'gmana', 'belajar', 'dimana', 'pertanggung', 'jawabannya', 'pemerintah', 'email', 'telkom', 'respond', 'terimakasih']</t>
  </si>
  <si>
    <t>['sinyal', 'jaringan', 'internet', 'telkomsel', 'bener', 'jngan', 'ngambil', 'untungnya', 'doang', 'bayar', 'mahal', 'mahal', 'pelayanan', 'kualitas', 'jaringan', 'buruk', 'banget', 'bisnis', 'sya', 'terganggu', 'hrs', 'sperti', 'trs', '']</t>
  </si>
  <si>
    <t>['lumayan', 'bisah', 'harga', 'paketnya', 'bisah', 'turunkan', 'pemakaian', 'internet', 'pelanggan', 'fokus', 'telkomsel', 'pandemi', 'covid', 'terimakasih', 'perhatiannya']</t>
  </si>
  <si>
    <t>['mohon', 'maaf', 'kak', 'jaringan', 'sekaring', 'menurun', 'drastis', 'kak', 'ngegame', 'download', 'loading', 'terkadang', 'sinyal', 'hilang', 'jaringannya', 'kek', 'gini', 'nyaman', 'pelanggan', 'telkomsel', 'mohon', 'kak', 'perbaiki', 'sesuai']</t>
  </si>
  <si>
    <t>['jaringan', 'telkomsel', 'jelek', 'gimana', 'pengguna', 'setia', 'telkomsel', 'klk', 'sinyal', 'ilang', 'beli', 'unlimited', 'klk', 'pakai', 'boros', 'telkomsel']</t>
  </si>
  <si>
    <t>['berlian', 'api', 'gratis', 'play', 'store', 'kredit', 'gratis', 'pengguna', 'acak', 'ditebus', 'metode', 'pemain', 'disarankan', 'metode', 'ilegal', 'berlian', 'gratis', 'memenangkan', 'pertandingan', 'menghancurkan', 'pengalaman', 'bermain', 'game', 'pemain', 'komunitas', 'april', '']</t>
  </si>
  <si>
    <t>['pulsa', 'hilang', 'pulsa', 'nomer', 'trus', 'ditransfer', 'pulsa', 'pas', 'masuk', 'telkomsel', 'tertera', 'pulsa', 'gimana', 'hilang', 'gitu', 'gimana', 'adil', 'sinyal', 'lelet', 'ilang', 'tolong', 'diperbaiki']</t>
  </si>
  <si>
    <t>['mohon', 'developer', 'pengguna', 'kartu', 'unlimited', 'max', 'app', 'pembelian', 'unlimited', 'max', 'skrng', 'sudh', 'pdhl', 'memakai', 'krtu', 'unlimited', 'max', 'tolong', 'perbaiki']</t>
  </si>
  <si>
    <t>['suka', 'program', 'daily', 'check', 'klaim', 'hadiah', 'pemberitahuan', 'aktivasi', 'hadiah', 'keterangan', 'klaim']</t>
  </si>
  <si>
    <t>['memuaskan', 'kota', 'harganya', 'mahal', 'memiliki', 'hati', 'nurani', 'posisi', 'covit', 'kaya', 'gini', 'engga', 'nmanya', 'penurunan', 'harga', 'kota', 'perna', 'isi', 'pulsa', 'apk', 'masuk', 'pulsanya']</t>
  </si>
  <si>
    <t>['kuota', 'unlimited', 'dipake', 'masak', 'kecepatan', 'jaringan', 'boro', 'boro', 'youtube', 'login', 'game', 'online', 'stuck', '']</t>
  </si>
  <si>
    <t>['pulsa', 'monetary', 'pulsa', 'utama', 'dipakai', 'internetan', 'pulsa', 'utama', 'duluan', 'sopan', 'banget', 'kayak', 'penipu', 'online', '']</t>
  </si>
  <si>
    <t>['', 'keluhan', 'jwb', 'mesin', 'sellu', 'suruh', 'udah', 'cbk', 'kirim', 'email', 'tpi', 'respon', 'duh', 'gini', 'jwb', 'robot', 'mesin', 'masak', 'kalah', 'ama', 'sebelah', 'langsung', 'tangap', 'sllu', 'cadangan', 'pas', 'mendesak', 'nyaman']</t>
  </si>
  <si>
    <t>['parah', 'kemaren', 'ribu', 'ribu', 'sikat', 'komplain', 'kemana', 'dak', 'tanggapan', 'kecewa', 'banget', 'ama', 'telkomsel', 'udah', 'tahunan', 'operator', 'kesal', 'pulsa', 'hilang', 'daftar', 'apapun', 'hilang', 'barusan', 'pulsa', 'lenyap', 'udah', 'kesekian', 'kali', 'kali', 'kesal', 'cari', 'duit', 'susah', 'jaman', 'pandemi', 'susahlah', '']</t>
  </si>
  <si>
    <t>['petugasnya', 'amanah', 'kemarin', 'ditipu', 'petugas', 'telkom', 'kartu', 'upgrade', 'coba', 'pergi', 'konter', 'pingiran', 'jalan', 'alhamdulillah', 'kartu', 'ugrade', 'kantor', 'grapari', 'antre', 'jam', 'jam', 'siang', 'ujung', 'ujungnya', 'ditipu', 'astaga', 'gini', 'pelayanannya', 'mengecewakan', '']</t>
  </si>
  <si>
    <t>['halaman', 'belanja', 'dibuka', 'dibuka', 'muncul', 'blank', 'page', 'komentar', 'ulung', 'penipu', 'gue', 'beli', 'paket', 'youtube', 'unlimited', 'doang', 'kuota', 'udah', 'masuk', 'buka', 'youtube', 'muter', 'doang', 'ajg', 'berjalan', 'woy', 'niat', 'jualan', 'balikin', 'duit', 'gue', '']</t>
  </si>
  <si>
    <t>['pulsa', 'hilang', 'kemana', 'kapok', 'telkomsel', 'ketinggalan', 'operator', 'operator', 'lbh', 'nyaman', 'semoga', 'bangkrut']</t>
  </si>
  <si>
    <t>['tolong', 'bantu', 'pulsa', 'mebeli', 'kuota', 'telpon', 'aplikasi', 'mytelkomsel', 'sistem', 'sibuk', 'mencoba', 'beli', 'cek', 'sisa', 'pulsa', 'cek', 'mytelkomsel', 'kuota', 'telpon', 'kuota', 'coba', 'telpon', 'telkomsel', 'detik', 'sisa', 'pulsa', 'terkurang', 'tolong', 'mytelkomsel', 'bantu', 'menglami', 'gagal', 'berbeda']</t>
  </si>
  <si>
    <t>['oke', 'gua', 'komen', 'fihak', 'tsel', 'coba', 'bagusin', 'sinyalnya', 'gua', 'udah', 'download', 'game', 'size', 'gb', 'jam', 'sore', 'ampe', 'jam', 'pagi', 'gagal', 'sinyal', 'kartu', 'jelek', 'banget', 'udah', 'nunggu', 'gagal', 'udah', 'mah', 'jelek', 'mahal', 'gua', 'kasih', 'bintang', 'gua', 'butuh', 'kartu', 'hmphhh', '']</t>
  </si>
  <si>
    <t>['ngeselin', 'logout', 'login', 'ulang', 'ditambah', 'jaringannya', 'kesini', 'menyebalkan', 'tolong', 'donk', 'diperbaiki', 'perusahaan', 'kayak', 'gini', 'kualitasnya', 'low', 'quality', '']</t>
  </si>
  <si>
    <t>['pelanggan', 'setia', 'telkomsel', 'kecewa', 'layanan', 'jaringan', 'daerah', 'desa', 'cikuda', 'kampung', 'garukgak', 'kec', 'parung', 'kab', 'bogor']</t>
  </si>
  <si>
    <t>['kasih', 'bintang', 'aplikasih', 'berbohong', 'kasih', 'bintang', 'berbohong', 'kasi', 'bintang', '']</t>
  </si>
  <si>
    <t>['parah', 'kau', 'telkomsel', 'isi', 'pulsa', 'rbu', 'terpotong', 'ribu', 'paket', 'kuota', 'ribu', 'rupiah', 'mksudnya', 'isi', 'pulsa', 'kau', 'potong', 'ribu', 'aktifin', 'paket', 'kgak', 'karna', 'kau', 'potong', 'pulsanya', 'alllah', 'emosi']</t>
  </si>
  <si>
    <t>['tampilan', 'bagus', 'promo', 'paket', 'program', 'undian', 'menarik', 'mohon', 'ditingkatkan', 'promo', 'paket', 'internet', 'murah', 'tinggal', 'kabupaten', 'banyuwangi', 'wilayah', 'jawa', 'timur', 'terpencil', '']</t>
  </si>
  <si>
    <t>['kuota', 'internet', 'lokal', 'digunain', 'pdhal', 'pkenya', 'pketan', 'trus', 'aktivasi', 'ditempat', 'gmana', 'telkomsel', 'sempet', 'komplen', 'tpi', 'blom', 'perbaikan', '']</t>
  </si>
  <si>
    <t>['kakak', 'hati', 'tolong', 'perbaiki', 'telkomsel', 'masuk', 'aplikasi', 'telkomsel', 'ngk', 'jaringan', 'lemot', 'promo', 'telkomsel', 'harga', 'penipuan', 'kecewa', 'banget', 'mohon', 'perbaiki', 'terimakasih', 'membaca', 'ulasan']</t>
  </si>
  <si>
    <t>['event', 'aneh', 'dialy', 'check', 'checkin', 'aje', 'stampel', 'profider', 'senior', 'program', 'recehan', 'pantes', 'pindah', 'provider', 'laen', 'event', 'sma', 'promonya', 'masuk', 'akal', 'kantong']</t>
  </si>
  <si>
    <t>['pelanggan', 'telkomsel', 'kali', 'dipersulit', 'berhenti', 'berlangganan', 'paket', 'internet', 'kartuhalo', 'telkomsel', 'solusi', 'solusinya', 'berhenti', 'kalimat', 'berhenti', 'berlangganan', 'kartuhalo', 'kecewa', '']</t>
  </si>
  <si>
    <t>['iklan', 'provider', 'tercepat', 'jaringan', 'luas', 'halah', 'omong', 'doang', 'sinyal', 'ditempat', 'buruk', 'komplain', 'twitter', 'bln', 'direspon', 'suruh', 'nunggu', 'udah', 'beli', 'paket', 'kuota', 'pulsa', 'reguler', 'kepotong', 'suruh', 'ngecek', 'cek', 'emang', 'gitu', 'provider', 'ternama', 'indonesia', 'pelayanan', 'buruk', 'udah', 'paketanya', 'mahal', 'sebanding', 'pindah', 'indosat', 'murah', 'lancar']</t>
  </si>
  <si>
    <t>['maaf', 'kuota', 'kebawah', 'jaringan', 'nyaman', 'pelangan', 'setia', 'telkomsel', 'murah', 'beli', 'paketnya', 'kualitas', 'drop', 'mohon', 'tingkatkan', 'kualitas', 'jaringan', 'terimakasih']</t>
  </si>
  <si>
    <t>['parah', 'sinyal', 'telkomsel', 'kali', 'drop', 'kecepatan', 'melemah', 'stop', 'kesini', 'kondisi', 'layanan', 'telkomsel', 'buruk', 'harga', 'dibandrol', 'dibanding', 'provider', 'lakukan', 'evaluasi', 'pembenahan', 'sedini', 'penumpang', 'berlarian', 'berpindah', 'tumpangan', 'thanks']</t>
  </si>
  <si>
    <t>['hay', 'kak', 'tolong', 'udah', 'beli', 'pocer', 'telkomsel', 'masukin', 'kode', 'pocernya', 'kemarin', 'masuk', 'kode', 'pocernya', 'tolong', 'bantu', 'solusinya', 'masukkan', 'kode', 'pocernya', 'terima', 'kasih']</t>
  </si>
  <si>
    <t>['', 'telkomsel', 'eror', 'beli', 'paket', 'semalam', 'nggak', 'pembayaran', 'proses', 'mulu', 'orang', 'kuliah', '']</t>
  </si>
  <si>
    <t>['min', 'beli', 'kuota', 'unlimited', 'telkomsel', 'pas', 'kuota', 'utamanya', 'habis', 'kuota', 'unlimited', 'lemot', 'banget', 'dapet', 'mbps', 'mohon', 'jaringannya', 'perbagus', '']</t>
  </si>
  <si>
    <t>['ayo', 'teman', 'teman', 'download', 'aplikasi', 'telkomsel', 'tawaran', 'kuota', 'tawaran', 'tawaran', 'menarik', 'pengguna', 'telkomsel', 'pastinya', '']</t>
  </si>
  <si>
    <t>['jaringan', 'telkomsel', 'bagus', 'aplikasi', 'telkomsel', 'pilihan', 'paket', 'jaringan', 'jaya', 'telkomsel', 'mantap', 'telkomsel', '']</t>
  </si>
  <si>
    <t>['telkomsel', 'sinyal', 'terbelakang', 'lemot', 'komplain', 'via', 'aplikasi', 'slalu', 'maintenance', 'terbelakang', 'sia', 'kartu', 'hallo', 'bayar', 'jaringan', 'karuan', '']</t>
  </si>
  <si>
    <t>['sungguh', 'sayangkan', 'area', 'pekalongan', 'minggu', 'koneksi', 'internet', 'lambat', 'mohon', 'perbaiki', 'pelanggan', 'pindah', 'provider', 'telkomsel']</t>
  </si>
  <si>
    <t>['app', 'emang', 'history', 'pemasukan', 'pengeluaran', 'saldo', 'pulsa', 'balance', 'berkurang', 'tnpa', 'transaksi', 'balance', 'terimakasih', '']</t>
  </si>
  <si>
    <t>['kualitas', 'jaringan', 'didaerah', 'terjangkau', 'cepat', 'stabil', 'browser', 'nyaman', 'paket', 'datanya', 'menyediakan', 'murah', 'terjangkau', 'masyarakat', 'kelas', '']</t>
  </si>
  <si>
    <t>['jaringan', 'layanan', 'blockir', 'pemberitahuan', 'kesini', 'jelek', 'telkomsel', 'kartu', 'udah', 'banget', 'gapernah', 'ancur', 'males', 'telkomsel', '']</t>
  </si>
  <si>
    <t>['harga', 'mahal', 'bos', 'kualitas', 'kek', 'sampah', 'profesional', 'udah', 'mahal', 'provider', 'kek', 'babi', 'jaringan', 'rating', 'nipu', 'aplikasi', 'bagus', 'pindah', 'provider', '']</t>
  </si>
  <si>
    <t>['semoga', 'bermanfaat', 'aplikasi', 'semoga', 'terbaik', 'mempermudah', 'beli', 'kouta', 'semoga', 'berkendala', 'apapun', 'sukses', 'mytelkomsel', 'pelayananmu', 'memuaskan', 'mksih', '']</t>
  </si>
  <si>
    <t>['tolong', 'knp', 'jaringan', 'bermasalah', 'beli', 'kuota', 'udh', 'mahal', 'tpi', 'sesuai', 'kelancaran', 'jaringan', 'tolong', 'diperbaiki', 'secepatnya', 'kecewa']</t>
  </si>
  <si>
    <t>['pengisian', 'voucher', 'pulsa', 'gangguan', 'maaf', 'system', 'sibuk', 'silahkan', 'coba', 'menu', 'transfer', 'pulsa', 'dibawah']</t>
  </si>
  <si>
    <t>['dear', 'telkomsel', 'tercintahhh', 'denganmu', 'bbrpa', 'bgni', 'knpa', 'skrg', 'jdi', 'lelet', 'udh', 'paket', 'kuota', 'ketengan', 'utama', 'ttp', 'lelet', 'denganmu', 'telkomselku', 'tercintah', '']</t>
  </si>
  <si>
    <t>['jaringan', 'jangkauan', 'terluas', 'listrik', 'padam', 'jaringan', 'padam', 'udah', 'kek', 'provider', 'mending', 'murah', 'udah', 'kelemahannya', 'udah', 'beli', 'sim', 'cardnya', 'mahal', 'kek', 'makek', 'provider', 'murahan', 'bagus', 'awak', 'murah', 'ajanya', 'sorry', 'bos', 'kek', 'gini', 'jaringan', 'kesini', 'ambyar', '']</t>
  </si>
  <si>
    <t>['tolong', 'komplain', 'tanggapi', 'serius', 'berkali', 'komplain', 'telp', 'bicara', 'lebar', 'konfirmasi', 'data', 'ujung', 'zonk', '']</t>
  </si>
  <si>
    <t>['', 'komplen', 'udah', 'cape', 'tlp', 'buang', 'buang', 'pulsa', 'taon', 'simpati', 'beli', 'paket', 'mahal', 'mahal', 'hasilnya', 'merasakan', 'kenyamanan', 'mbps', 'bhulshitttt', 'fix', 'berhenti', 'berlangganan', 'simpati', 'makasih', 'simpati', 'harga', 'mahal', 'kualitas', 'rendah', 'kau', 'laen', 'saranin', 'pikir', 'mending', 'kuota', 'murah', 'kualitas', 'mahal', 'kualitas', 'salam', 'pelanggan', '']</t>
  </si>
  <si>
    <t>['bintang', 'kasih', 'bintang', 'min', 'jelek', 'jaringan', 'telkomsel', 'kualitas', 'jaringan', 'orang', 'tertarik', 'pakai', 'telkomsel']</t>
  </si>
  <si>
    <t>['jaringan', 'telkomsel', 'jelek', 'banget', 'ampun', 'malem', 'kecewa', 'berlangganan', 'pakai', 'telkomsel', 'jaringan', 'jelek', 'vidio', 'call', 'daerah', 'cirebon', 'kota', 'sinyal', 'susah', 'tolong', 'penjelasanya', 'makasih']</t>
  </si>
  <si>
    <t>['', 'terimakasih', 'sinyal', 'membaik', 'mohon', 'diperhatikan', 'sinyalnya', 'langganan', 'kartu', 'semoga', 'sukses']</t>
  </si>
  <si>
    <t>['udah', 'mahal', 'tetep', 'jaringan', 'game', 'cocok', 'coba', 'perbaiki', 'gini', 'males', 'telkomsel', '']</t>
  </si>
  <si>
    <t>['membantu', 'pengisian', 'pulsa', 'ngk', 'repot', 'repot', 'cari', 'ponsel', 'merchan', 'lainn', 'terimksih', 'telkom', 'tingkat', 'fiturnya', 'ngk', 'ketinggalan', 'tetangga', 'sebelah']</t>
  </si>
  <si>
    <t>['buka', 'aplikasi', 'lihat', 'pulsa', 'paket', 'data', 'munculnya', 'banget', 'langsung', 'buka', 'tolong', 'diperbaiki', 'bukanya', 'langsung']</t>
  </si>
  <si>
    <t>['puluhan', 'pelanggan', 'telkomsel', 'kecewa', 'performa', 'aplikasi', 'telkomsel', 'jaringan', 'terluas', 'pelanggan', 'indonesia', 'sayang', 'aplikasinya', 'payah', '']</t>
  </si>
  <si>
    <t>['', 'lelet', 'pelanggan', 'setia', 'telkom', 'bayar', 'mahal', 'kualitasnya', 'bagus', 'taunya', 'mahal', 'plus', 'jaringannya', 'nggak', 'banget', 'leletnya', 'mesti', 'kuliah', 'online']</t>
  </si>
  <si>
    <t>['sinyal', 'telkomsel', 'udh', 'jelek', 'serasa', 'main', 'game', 'sinyal', 'stabil', 'nyesel', 'gua', 'beli', 'telkomsel', 'kirain', 'jaringan', 'bagus', 'udh', 'kapok', 'telkomsel', 'kartu', 'gitu', 'stabil', 'sinyalnya', 'main', 'game']</t>
  </si>
  <si>
    <t>['terimakasih', 'telkomsel', 'sinyal', 'ditempatku', 'bagus', 'mohon', 'disediakan', 'kuota', 'murah', 'kebanyakan', 'pelajar', 'provider', 'telkomsel', 'saran', 'terimakasih', '']</t>
  </si>
  <si>
    <t>['buruk', 'sinyalnya', 'pengguna', 'aktif', 'telkom', 'jaringannya', 'top', 'markotop', 'buruk', 'seburuk', 'buruknya', 'jaringan', 'jaringan', 'provider', 'sebelah', 'zoom', 'kuliah', 'putus', 'hujan', 'ilang', 'listrik', 'mati', 'layanan', 'ayolah', 'perbaiki', 'pelanggan', 'kecewa', 'berat', 'pelayanan', 'telkomsel', 'harga', 'kuota', 'mahal', 'kualitasnya', 'gini', 'otw', 'ganti', 'provider', 'kecewa', '']</t>
  </si>
  <si>
    <t>['kendala', 'sinyal', 'kartu', 'sinyal', 'full', 'internet', 'cepat', 'kartu', 'sinyal', 'full', 'internet', 'lambat', 'oke', 'harga', 'mahal', 'trus', 'paket', 'unlimited', 'khusus', 'kartu', 'unlimited', 'beli', 'telkomsel', 'pas', 'beli', 'ribet', 'beli', 'via', 'telpon', 'terimakasih']</t>
  </si>
  <si>
    <t>['', 'daerah', 'tepatnya', 'binong', 'permai', 'blok', 'signal', 'suka', 'edge', 'jujur', 'mengecewakan', 'pengguna', 'telkomsel', 'tolong', 'tinjau', 'perbaiki', 'kualitas', 'signalnya']</t>
  </si>
  <si>
    <t>['kasih', 'membantu', 'tolong', 'perbiki', 'jaringan', 'telkomsel', 'poinnya', 'tolong', 'hadiahnya', 'tolong', 'dimenangin', 'nomor', 'undian', 'terimakasih', 'maju', 'sukses', 'teri', 'kasih', '']</t>
  </si>
  <si>
    <t>['kasih', 'beda', 'beda', 'paket', 'internet', 'temen', 'murah', 'mahal', 'adil', 'donk', 'bayar', 'duit']</t>
  </si>
  <si>
    <t>['jaringan', 'telkomsel', 'stabil', 'mohon', 'provider', 'memperbaiki', 'jaringan', 'teman', 'teman', 'mengalami', 'gangguan', 'bagus', 'naikin', 'bintang']</t>
  </si>
  <si>
    <t>['gue', 'ngisi', 'pulsa', 'beli', 'coin', 'webtoon', 'pas', 'beli', 'coinnya', 'menit', 'pulsa', 'tinggal', 'beli', 'coin', 'telkomsel', 'sampe', 'sampe', 'pulsa', 'kesedot', 'nyesel', 'telkomsel', '']</t>
  </si>
  <si>
    <t>['min', 'pulsa', 'sisa', 'beli', 'paket', 'data', 'rb', 'pulsa', 'restart', 'refresh', 'tetep', 'gabisa', 'min', 'tulisan', 'pulsa', 'pembelian', 'paket', 'data', 'pulsa', 'masi', 'mohon', 'min']</t>
  </si>
  <si>
    <t>['bagus', 'pas', 'buka', 'aplikasi', 'stuck', 'logo', 'telkomsel', 'keren', 'udah', 'update', 'terbaru', 'playstore', 'keren', 'pokoknya']</t>
  </si>
  <si>
    <t>['handphone', 'kartu', 'ganti', 'nomor', 'praktis', 'milih', 'langganan', 'paket', 'data', '']</t>
  </si>
  <si>
    <t>['pulsanya', 'hilang', 'pulsa', 'ribu', 'beli', 'vocer', 'game', 'harganya', 'ribu', 'pulsanya', 'tinggal', 'ribu', 'ribunya', 'kemana', 'ambil', 'telkomsel', 'kah', 'ambil', 'mikir', 'otak', 'harga', 'pulsa', 'mahal', 'duit', 'pas', 'passan', 'hehh', 'telkom', 'gitu', 'tolong', 'perbaikannya', 'lumayan', 'pulsa', 'udah', '']</t>
  </si>
  <si>
    <t>['kecewa', 'jaringan', 'buruk', 'chat', 'veronika', 'respon', 'tolong', 'perbaiki', 'kota', 'pegunungan', '']</t>
  </si>
  <si>
    <t>['beli', 'paket', 'promo', 'gb', 'kesedot', 'kendala', 'akses', 'mytelkomsel', 'banget', '']</t>
  </si>
  <si>
    <t>['jaringan', 'semalam', 'main', 'online', 'lost', 'conection', 'provider', 'kemarin', 'jaringan', 'kayak', 'keong', 'unlimite', 'youtube', 'buffer', 'usa', 'bonus', 'jaringan', 'internet', 'telkomsel', 'masi', 'kayak', 'keong', 'perbaiki', 'kualitas', 'jaringan', 'kasi', 'tawaran', '']</t>
  </si>
  <si>
    <t>['telkomsel', 'simpati', 'lemot', 'lambattt', 'bertahun', 'pakai', 'simpati', 'ditahun', 'jaringan', 'bermasalah', 'kualitas', 'unduh', 'tembus', 'mbps', 'mbps', 'ditengah', 'malam', 'bayangkan', 'siang', 'kadang', 'sinyal', 'gaswat', 'telkomsel', 'nagreg', 'kab', 'bandung', 'jabar', 'indonesia', '']</t>
  </si>
  <si>
    <t>['', 'rekomended', 'maen', 'game', 'main', 'dikota', 'lag', 'desa', 'tsel', 'skrg', 'rekomended', 'game', 'sosmed', 'leg', 'mohon', 'maaf', 'berlangganan', 'provider', 'sebelah', 'jos', 'game', 'hargai', 'pelanggan', 'eror', 'sinyal', 'pas', 'main', 'game', 'nge', 'jump', 'gtu', 'gila', 'harap', 'berkembang', 'telkomsel', 'pelanggan', 'ganti', 'provider', 'camkan', 'anjingggg', 'game', 'gada', 'obat', 'jeleknya', 'sumpahin', 'bangkrut', 'provider']</t>
  </si>
  <si>
    <t>['terima', 'kasih', 'pelayanan', 'telkomsel', 'banting', 'sinyal', 'andalan', 'operasi', 'jaringan', 'mantap', 'lanjutkan', 'tertawa', 'puuuaaassss', '']</t>
  </si>
  <si>
    <t>['penggunaan', 'apk', 'mudah', 'aplikasikan', 'edit', 'gila', 'harga', 'promonya', 'jarang', 'hadeh', 'iya', 'orng', 'menengah', 'oke', 'aktifkan', 'paket', 'jdi', 'mslah', 'orang', 'menengah', 'kebawah', 'menjerit', 'btapa', 'mahalnya', 'kondisi', 'pandemi', 'pekerjaan', 'hadeh']</t>
  </si>
  <si>
    <t>['pengguna', 'telkomsel', 'low', 'budget', 'kuota', 'ketengan', 'utama', 'harga', 'rb', 'mb', 'telkomsel', 'keuntungan', 'habis', 'pikir', 'knp', 'harga', 'segitu', 'sampe', 'rb', 'telkomsel', 'pelangganmu', 'orang', 'kaya', '']</t>
  </si>
  <si>
    <t>['kecewa', 'tim', 'telkomsel', 'knp', 'transaksi', 'berlangganan', 'tampil', 'paket', 'berlangganan', 'cek', 'status', 'aplikasipun', 'modus', 'mencari', 'pemasukan', 'pemaksaan', 'tolong', 'hapuskan', 'paket', 'berlangganan', '']</t>
  </si>
  <si>
    <t>['gini', 'beli', 'paket', 'ekstra', 'kouta', 'unlimited', 'syarat', 'aktif', 'mengikuti', 'kouta', 'bulanan', 'miliki', 'kouta', 'omg', 'bulanan', 'aktif', 'beli', 'kouta', 'trimakasih', '']</t>
  </si>
  <si>
    <t>['profider', 'indonesia', 'jaringan', 'tangerang', 'kota', 'ilang', 'kecewayg', 'tahan', 'pakai', 'telkomsel', 'puluhan', 'bukanyamakin', 'bagus', 'making']</t>
  </si>
  <si>
    <t>['penawaran', 'mytelkomsel', 'berlaku', 'pengguna', 'penawaran', 'sms', 'telkomsel', 'ditawarkan', 'penawaran', 'dibeli', 'kecewa', 'topup', 'beli', 'paket', 'datanya', 'fyi', 'harga', 'kuotanya', 'mahal', 'penawaran']</t>
  </si>
  <si>
    <t>['telkomsel', 'sinyal', 'gapaham', 'dipake', 'internet', 'maen', 'game', 'streaming', 'ngelag', 'terusss', 'gini', 'yaa', 'bayar', 'mahal', 'kuota', 'telkomsel', 'tolong', 'kasih', 'layanan', 'costumer', 'perbaikin', 'sinyal', 'harga', 'kuota', 'doang', 'mahal', '']</t>
  </si>
  <si>
    <t>['kebanyakaan', 'maap', 'perbaiki', 'bonus', 'spam', 'daily', 'login', 'kuota', 'gratis', 'bayar', 'pulsa', 'sistem', 'telkom', 'emng', 'bayar', 'kek', 'operator', 'ngambil', 'bonus', 'gratis', 'biaya']</t>
  </si>
  <si>
    <t>['kecewa', 'lelet', 'jaringan', 'pengguna', 'setia', 'telkomsel', 'beli', 'paket', 'bulanan', 'kecewa', 'trimakasih']</t>
  </si>
  <si>
    <t>['paket', 'internet', 'dapet', 'promo', 'jaringan', 'perbaiki', 'lokasi', 'kabupaten', 'bandung', 'tepatnya', 'kiangroke', 'banjaran', 'suka', 'lup', 'lep', 'jaringannya', 'stabil']</t>
  </si>
  <si>
    <t>['tolong', 'otomatis', 'nyedotin', 'pulsa', 'utama', 'parah', 'telkomsel', 'nelpon', 'urgent', 'banget', 'data', 'abis', 'pas', 'cek', 'pulsa', 'udah', 'abis', 'rb', 'asli', 'provider', 'terparah', 'ribet', 'mesti', 'aktifin', 'data', 'abis', 'kuota', 'nonaktifin', 'sayang', 'dpt', 'sinyal', 'udh', 'ganti', 'provider', '']</t>
  </si>
  <si>
    <t>['bangga', 'produk', 'lokal', 'memakai', 'provider', 'internet', 'kekecewaan', 'memaksa', 'membanggakan', 'produk', 'lokal', 'alloh', 'kesejahteraan', 'merata', 'negeriku', 'aminnnn']</t>
  </si>
  <si>
    <t>['udah', 'mahal', 'hujan', 'mati', 'lampu', 'langsung', 'lemot', 'kuota', 'udh', 'tinggal', 'gb', 'kebawah', 'lemot', 'naudzubillah', 'pas', 'diisi', 'kuota', 'lancar', 'gini', 'allah', 'parah', 'parah']</t>
  </si>
  <si>
    <t>['udah', 'kecewa', 'jaringan', 'jaringan', 'batang', 'nggk', 'stabil', 'udah', 'kek', 'gini', 'penanganan', 'liat', 'keluhan', 'orang', 'diabaikan', 'hebat', '']</t>
  </si>
  <si>
    <t>['bagus', 'jaringanya', 'silang', 'khusus', 'daerah', 'udah', 'jaringan', 'bermasalah', '']</t>
  </si>
  <si>
    <t>['jaringan', 'telkomsel', 'buruk', 'mengecewakan', 'memakai', 'telkomsel', 'karna', 'terkenal', 'jaringan', 'bagus', 'stabil', 'parah', 'jaringannya', 'mengecewakan', 'harap', 'diperbaiki', 'pengguna', 'telkomsel', 'kecewa', '']</t>
  </si>
  <si>
    <t>['hallo', 'admin', 'telkomsel', 'kecewa', 'pembeli', 'paket', 'kuota', 'internet', 'unlimited', 'booster', 'seharga', 'disitu', 'tertulis', 'aktif', 'membeli', 'paket', 'tanggal', 'maret', 'pesan', 'telkomsel', 'paket', 'habis', 'expired', 'tanggal', 'maret', 'malem', 'jam', 'cek', 'aplikasi', 'telkomsel', 'disitu', 'tertulis', 'expired', 'today', 'tolong', 'kejelasan']</t>
  </si>
  <si>
    <t>['giman', 'sihh', 'paket', 'internet', 'murah', 'bwt', 'tmen', 'dpet', 'paket', 'promo', 'rb', 'isi', 'dpet', 'gimana', 'sihh', 'dibeda', 'in', 'donk', 'pelanggan', 'telkomsel']</t>
  </si>
  <si>
    <t>['pengguna', 'setia', 'telkomsel', 'kecewa', 'daftar', 'paket', 'ketengan', 'sehari', 'pulsa', 'utama', 'kesedot', 'sampe', 'nol', 'rupiah', 'notif', 'paket', 'aktif', 'daftar', 'paket', 'nelpon', 'jam', 'onnet', 'rupiah', 'pulsa', 'utama', 'kesedot', 'sisa', 'pemberitahuan', 'notifikasi', 'paket', 'aktif', '']</t>
  </si>
  <si>
    <t>['parah', 'jaringan', 'error', 'koneksi', 'terputus', 'woeeee', 'bosss', 'pelanggan', 'komplain', 'tindakan', 'bos', '']</t>
  </si>
  <si>
    <t>['prabayar', 'pindah', 'paska', 'bayar', 'kualitas', 'sinyal', 'buruk', 'hujan', 'sinyal', 'harga', 'paketan', 'paska', 'bayar', 'bersahabat', 'kasih', 'pelayanan', 'terbaik', 'pelanggan', 'loyal', 'paska', 'bayar', 'mengecewakan', 'komplen', 'grapari', 'solusi', 'berhenti', 'paska', 'bayar', 'ganti', 'nomor']</t>
  </si>
  <si>
    <t>['maaf', 'gue', 'beli', 'pulsa', 'ceria', 'gb', 'rp', 'gue', 'udah', 'beli', 'sukses', 'pulsanya', 'sukses', 'tolong', 'telkomsel', 'menyesal', 'isi', 'pulsa', 'maaf', '']</t>
  </si>
  <si>
    <t>['menghubungi', 'veronika', 'aplikasi', 'mytelkomsel', 'kendala', 'membuka', 'aplikasi', 'mytelkomsel', 'pulsa', 'terpotong', 'aplikasi', 'otomatis', 'mengaktifkan', 'paket', 'data', 'wifi', 'merugikan', 'pengguna', 'pulsa', 'terpotong', 'sadari', 'cek', 'pemakaian', 'data', '']</t>
  </si>
  <si>
    <t>['telkomsel', 'udah', 'menguasai', 'pangsa', 'pasar', 'indonesia', 'provider', 'kualitas', 'harapan', 'semoga', 'kedepannya', 'provider', 'indonesia', 'komitmen', 'kepuasan', 'pelanggan', 'hadir', 'pesaing', 'kuat', 'telkomsel', 'diatas', 'langit', 'satelit', '']</t>
  </si>
  <si>
    <t>['pas', 'gue', 'isi', 'pulsa', 'paket', 'mahal', 'gue', 'beli', 'paket', 'tolong', 'berwajib', 'perbaiki', 'cewa', '']</t>
  </si>
  <si>
    <t>['bagus', 'banget', 'fitur', 'pembelian', 'pulsa', 'ngak', 'repot', 'konter', 'bayarnya', 'pilihan', 'makasih', 'telkomsel', '']</t>
  </si>
  <si>
    <t>['udah', 'bbrpa', 'minggu', 'jaringan', 'simpati', 'lemot', 'sinyalnya', 'suka', 'ngilang', 'tolong', 'perbaiki', 'sblm', 'pindah', 'layanan', 'jaringan']</t>
  </si>
  <si>
    <t>['jngan', 'maaf', 'mulu', 'perbaiki', 'harga', 'mahal', 'nego', 'kalao', 'rugi', 'dibom', 'kantor', 'pusat', 'hilang', 'kpn', '']</t>
  </si>
  <si>
    <t>['pengguna', 'telkomsel', 'wajib', 'download', 'aplikasi', 'memudahkan', 'isi', 'kuota', 'promo', 'menarik', 'didalamnya', 'mantap', 'sukses', 'keluarga', 'telkomsel', 'indonesia']</t>
  </si>
  <si>
    <t>['mantab', 'informatif', 'mudah', 'promonya', 'aplikasi', 'harga', 'potongannya', 'aplikasi', 'semoga', 'karya', 'anak', 'bangsa', 'maju', '']</t>
  </si>
  <si>
    <t>['beli', 'paket', 'unlimited', 'youtube', 'minggu', 'konyol', 'kali', 'kau', 'telkomsel', 'bbrp', 'sinyal', 'jelek', 'tinggal', 'kota', 'desa', 'muter', 'ganti', 'muter', 'muter', 'mulu', 'gila', 'sampe', 'restart', 'mode', 'pesawat', 'ahhh', 'benerin', 'napa', 'klu', 'gangguan', 'pengguna', 'dikasih', 'diem', 'diem', 'bae']</t>
  </si>
  <si>
    <t>['dear', 'developer', 'tolong', 'jaringan', 'perbaiki', 'gini', 'rugi', 'beli', 'paket', 'unlimited', 'max', 'jaringan', 'jelek', 'game', 'jaringan', 'jumping', 'ijo', 'kuning', 'perbaiki', 'jaringan', 'perbanyak', 'paket', 'gini', 'pindah', 'kartu']</t>
  </si>
  <si>
    <t>['gila', 'setau', 'telkomsel', 'terdepan', 'jaringan', 'salah', 'berpikir', 'telkomsel', 'ehhhh', 'benaran', 'telkomsel', 'jaringannya', 'jelek', 'harganya', 'mahal', 'sesuai', 'sungguh', 'mengecewakan', 'memalukan']</t>
  </si>
  <si>
    <t>['aplikasinya', 'bagus', 'info', 'paket', 'isinya', 'bonus', 'kupon', 'diletakkan', 'halaman', 'pengguna', 'selebihnya', 'bagus']</t>
  </si>
  <si>
    <t>['paket', 'unlimited', 'tuk', 'buka', 'youtube', 'udah', 'gratis', 'tuk', 'buka', 'youtube', 'facebook', 'dll', 'dipakai', 'mohon', 'diperbaiki']</t>
  </si>
  <si>
    <t>['', 'niat', 'kartu', 'sim', 'ngejual', 'udh', 'indonesia', 'warga', 'miskin', 'beli', 'kouta', 'mahal', 'koq', 'lag', 'unlimited', 'lag', 'udh', 'kartu', 'mahal', 'kouta', 'mahal', 'jaringan', 'tetep', 'buriq', 'kek', 'axis', 'indosat', 'tree', 'murah', 'ngeleg', 'kek', 'gini', 'jan', 'nyari', 'keuntungan', 'warga', 'susah']</t>
  </si>
  <si>
    <t>['telkomsel', 'lelet', 'kalah', 'provider', 'auto', 'pindah', 'provider', 'menyesal', 'bertahan', 'perbaiki', 'maslh', 'jaringan', 'tambh', 'parah', 'buka', 'youtube', 'dll', 'susah', 'banget', '']</t>
  </si>
  <si>
    <t>['paket', 'mahal', 'jaringan', 'buruk', 'segini', 'telkomsel', 'kartu', 'khusus', 'orang', 'kaya', 'karna', 'jaringan', 'bagus', 'mahal', 'harganya', 'paketnya', 'mahal', 'sinyal', 'buruk', 'pengguna', 'telkomsel', 'bagusan', 'sinyal', 'telkomsel', 'down', 'rugi', 'beli', 'paket', 'mahal', 'tolonggg', 'diperbaiki']</t>
  </si>
  <si>
    <t>['operator', 'terlelet', 'keluhan', 'kasih', 'rating', 'respon', 'bot', 'daong', 'fix', 'ganti', 'operator', 'bertahun', 'telkomsel', 'jaringan', 'ngeselin', 'bener', '']</t>
  </si>
  <si>
    <t>['assalamu', 'alaikum', 'admin', 'memuaskan', 'telkomsel', 'paket', 'murah', 'lengkap', 'sekian', 'terima', 'kasih', 'semoga', 'allah', 'membalas', 'kebaikan', 'mukin', 'ucapkan', 'tolong', 'maafkan', 'puas', 'apk', 'telkomsel', 'terima', 'kasih', 'wasalam', 'alaikum', '']</t>
  </si>
  <si>
    <t>['aplikasinya', 'kayaknya', 'berat', 'min', 'lamaan', 'buka', 'aplikasi', 'cepet', 'panas', 'buka', 'aplikasi', 'suruh', 'masukin', 'nomer', 'melulu', 'kadang', 'aplikasi', 'ayo', 'tingkatkan', 'kualitas', 'aplikasinya', 'kalah', 'sebelah']</t>
  </si>
  <si>
    <t>['sayaa', 'segenap', 'pengguna', 'telkomsel', 'mennyesal', 'telkomsel', 'sinyal', 'jelek', 'bagus', 'jelek', 'tolong', 'diperbaiki', 'pelanggan', 'setia', 'senang', 'sinyal', 'telkomsel', 'payaahhhhh', '']</t>
  </si>
  <si>
    <t>['heiii', 'telkomselll', 'kenapaa', 'pas', 'main', 'game', 'ngelag', 'giliran', 'nonton', 'youtube', 'lancarr', 'kenapaaa', 'tolong', 'tanggung', 'rank', 'turun', 'gara', 'gara', 'sinyal', 'burikkk', 'kek', 'grafik', 'terima', 'kasihhh', '']</t>
  </si>
  <si>
    <t>['paket', 'mahal', 'tpi', 'lemot', 'abiss', 'kesini', 'buruk', 'jaringan', 'gada', 'usaha', 'balikin', 'sinyal', 'kaya', 'harga', 'kualitas', '']</t>
  </si>
  <si>
    <t>['lumayan', 'liat', 'liat', 'takut', 'abis', 'hahhahhahahahahahhaahhahahahhahhahahhahahahahahaahhahahhahahahahahhahahhahahahahhhahahahhaahhhahhhahahhhahahahahhhahahahahahaahhahahahahahahhhahahahahahahahahhahahahahahahahhahahahhahahahhahahahhahahahahhahahahhhaaahahhahahhahahahahahahhahahahahhahahahhahahahahahhahahahahhahahahahahhahahahahhahahahahhahbahbahhahahhahahahhahahahhahahahahhahahhahah', 'nyakak', '']</t>
  </si>
  <si>
    <t>['menyesal', 'provider', 'telkomsel', 'beli', 'paket', 'mahal', 'jaringan', 'jelek', 'membantu', 'mobilitas', 'sehari', 'gagal', 'urusan', 'pokonya', 'kapok', 'telkomsel', 'telkomsel', 'mempertanggungjawabkan', 'kualitas', 'provider', 'saran', 'guanakan', 'telkomsel', 'rugi', '']</t>
  </si>
  <si>
    <t>['tolong', 'telkomsel', 'jaringan', 'diperbaiki', 'serba', 'lambat', 'beda', 'mengganggu', 'proses', 'belajar', 'tolong', 'telkomsel', 'mohon', 'perhatiannya', 'mengusahakan', 'memperbaiki', 'jaringan', 'telkomsel']</t>
  </si>
  <si>
    <t>['coba', 'semoga', 'lancar', 'membantu', 'bintang', 'diinstal', 'login', 'eror', 'semoga', 'lancar', 'bintang', '']</t>
  </si>
  <si>
    <t>['kuota', 'unlimited', 'main', 'game', 'ngelag', 'mulu', 'kadang', 'youtube', 'jaringan', 'ilang', 'niat', 'ngasih', 'kuota', 'bagusan', 'jaringan', 'three', 'anjirr', '']</t>
  </si>
  <si>
    <t>['jaringan', 'telkomsel', 'nii', 'udah', 'mahal', 'jaringan', 'parah', 'lemotnya', 'tolong', 'peebaiki', 'min', 'kasian', 'udah', 'setia', 'telkomsel', '']</t>
  </si>
  <si>
    <t>['beli', 'paket', 'unlimited', 'keterangannya', 'unlimited', 'games', 'youtube', 'boong', 'maen', 'game', 'buka', 'youtube', 'kuota', 'kesedot', 'mahal', 'banget', 'harganya', 'gitulah', 'pelanggan', 'kecewa', 'bye', 'telkomsel', '']</t>
  </si>
  <si>
    <t>['mahal', 'untk', 'beli', 'kouta', 'internetan', 'sinyalnya', 'ganguan', 'lemot', 'kayak', 'kura', 'dlm', 'bln', 'pemakaian', 'pulsa', 'kadang', 'lebilh', 'jt', 'tolong', 'perbaiki', 'min', 'layananya', 'costomer', 'kecewa', '']</t>
  </si>
  <si>
    <t>['dlm', 'bbrp', 'jaringan', 'internet', 'telkomsel', 'wilayah', 'banda', 'aceh', 'aceh', 'buruk', 'memprihatinkan', 'blm', 'tanggapan', 'apapun', 'telkomsel', 'mohon', 'direspon', 'terima', 'kasih']</t>
  </si>
  <si>
    <t>['komplain', 'maaf', 'tindak', 'lanjuti', 'daerah', 'kayaknya', 'merata', 'telfon', 'customer', 'servis', 'silahkan', 'matikan', 'seting', 'apn', 'solusi', 'perbaiki', 'kualitas', 'jaringan']</t>
  </si>
  <si>
    <t>['telkomsel', 'lelet', 'jaringan', 'sinyel', 'full', 'lelet', 'nggak', 'hbis', 'fikir', 'udh', 'telfon', 'operator', 'blm', 'solusi', 'temukan', 'skrg', '']</t>
  </si>
  <si>
    <t>['terima', 'kasih', 'aplikasi', 'memudahkan', 'mencari', 'pilihan', 'kouta', 'paket', 'data', 'semoga', 'turunan', 'harga', 'membeli', 'paket', 'data', '']</t>
  </si>
  <si>
    <t>['telkomsel', 'paket', 'cepat', 'habis', 'pemakaian', 'normal', 'sinyal', 'telkomsel', 'cenderung', 'bagus', 'tolong', 'perbaiki', 'provider', 'indonesia', 'sinyal', 'bagus', '']</t>
  </si>
  <si>
    <t>['simpati', 'loop', 'jaringannya', 'patah', 'patah', 'lalod', 'jaringan', 'udah', 'koneksi', 'lancar', 'jaringanya', 'sekrang', 'jaringan', 'rumah', 'paket', 'grab', 'ribu', 'simpati', 'loop', 'gb', 'tolong', 'cek', 'terimakasih']</t>
  </si>
  <si>
    <t>['parah', 'banget', 'telkomsel', 'kayak', 'jaringan', 'telkomsel', 'stabil', 'pelanggan', 'telkomsel', 'udah', 'kecewa', 'menang', 'mahal', 'doang', 'sesuai', 'kinerja', 'jaringan', 'terimakasih', '']</t>
  </si>
  <si>
    <t>['pagi', 'beli', 'paket', 'telepon', 'jam', 'habis', 'belom', 'jam', 'sore', 'telepon', 'saldo', 'pulsa', 'curi', 'tolong', 'telkomsel', 'tipu', 'gitu', 'kali', '']</t>
  </si>
  <si>
    <t>['mohon', 'dibantu', 'perbaiki', 'jaringan', 'telkomsel', 'minggu', 'buruk', 'kecewa', 'mempermasalahkan', 'kuota', 'mahal', 'bagus', 'kebalikannya', '']</t>
  </si>
  <si>
    <t>['hallo', 'inggin', 'bicara', 'telkomsel', 'sinyal', 'hilang', 'kuota', 'mumbazir', 'tolong', 'benarkan', 'ketidak', 'nyaman', 'menggucapkan', 'makasih', '']</t>
  </si>
  <si>
    <t>['tolong', 'kasih', 'misi', 'gampang', 'kuota', 'gratis', 'mb', 'udah', 'pengen', 'nggak', 'boros', 'beli', 'kuota', 'tolong', 'gratis', 'apdate', 'setuju', 'nggak', '']</t>
  </si>
  <si>
    <t>['', 'paket', 'game', 'max', 'pakai', 'min', 'tolong', 'min', 'paket', 'reguler', 'habis', 'sisa', 'paket', 'gamemax', 'koneksi', 'game', 'bener', 'pakai', 'min']</t>
  </si>
  <si>
    <t>['memalukan', 'ngaku', 'sinyal', 'sinyal', 'ilang', 'ilangan', 'mulu', 'lemot', 'ampun', 'sampe', 'hrs', 'install', 'aplikasi', 'tambahan', 'sinyal', 'stabil', 'ngefek', 'emang', 'sinyal', 'ilang', 'mulu', 'kerjanya', 'mengecewakan', '']</t>
  </si>
  <si>
    <t>['sangaaatt', 'sangaaattt', 'mengecewakaaaaaannnn', 'kuota', 'unlimited', 'rb', 'gb', 'unlimited', 'beli', 'ngeleg', 'maen', 'mobile', 'legend', 'paraaaahhhh', 'fix', 'ganti', 'kartu', 'mengecewakan', 'pengguna', 'telkomsel', 'bertahun', 'biadabbb', '']</t>
  </si>
  <si>
    <t>['nggak', 'ngerti', 'telkomsel', 'berulang', 'kali', 'beli', 'paket', 'data', 'pemberitahuan', 'berhasil', 'kuota', 'masuk', 'kesini', 'sinyal', 'buruk', 'mohon', 'perhatiannya', 'admin', 'telkomsel']</t>
  </si>
  <si>
    <t>['kuota', 'unlimited', 'tertulis', 'chat', 'music', 'games', 'sosmed', 'youtube', 'sosmed', 'thx']</t>
  </si>
  <si>
    <t>['error', 'gimana', 'beli', 'paket', 'promo', 'kendala', '']</t>
  </si>
  <si>
    <t>['aplikasinya', 'berat', 'buka', 'menu', 'menunya', 'lemot', 'main', 'game', 'lancar', 'lancar', 'aplikasinya', 'lemot', 'aplikasi', 'check', 'kuota', 'lemot', '']</t>
  </si>
  <si>
    <t>['aplikasinya', 'eror', 'beli', 'paket', 'internet', 'proses', 'trus', 'langsung', 'notif', 'smsnya', 'langsung', 'gini', 'kartu', 'udah', 'taunan', 'dipake', 'kesini', '']</t>
  </si>
  <si>
    <t>['', 'beli', 'paket', 'unlimited', 'tertera', 'paket', 'utama', 'duluan', 'habis', 'trs', 'bgtu', 'paket', 'utama', 'habis', 'dapet', 'unlimited', 'giliran', 'paket', 'unlimited', 'sinkron', 'sinyal', 'jelek', 'buka', 'sosmed', 'susah', 'ampun', 'gimana', 'emang', 'unlimited', 'pilihan', 'paket', 'gtu', 'kecewa', '']</t>
  </si>
  <si>
    <t>['paket', 'data', 'membukanya', 'paket', 'data', 'berjalan', 'aplikasi', 'hentikan', 'latar', 'mengkonsumsi', 'paket', 'data', 'fix', 'please']</t>
  </si>
  <si>
    <t>['kasih', 'bintang', 'koneksi', 'internet', 'lambat', 'jam', 'jam', 'beli', 'kuota', 'full', 'service', 'pembagian', 'kuota', '']</t>
  </si>
  <si>
    <t>['aplikasi', 'indonesia', 'negri', 'pas', 'masuk', 'bahasa', 'englis', 'apk', 'indo', 'bahasa', 'indo', 'apk', 'negri', 'mslh', 'burukkkkkkkk', 'sumpah', 'nyesel']</t>
  </si>
  <si>
    <t>['paket', 'mingguan', 'driver', 'tiadakan', 'mikir', 'pandemi', 'susah', 'nyari', 'uang', 'driver', 'online', 'kecewa', '']</t>
  </si>
  <si>
    <t>['nggak', 'niat', 'perbaiki', 'kecepatan', 'internet', 'daerah', 'min', 'nggak', 'yaudah', 'ganti', 'provider', 'terimakasih', 'emosi', 'kecepatan', 'internet', 'sesuai', 'harapkan']</t>
  </si>
  <si>
    <t>['aplikasi', 'mengganggu', 'aplikasi', 'gopartner', 'apk', 'gopartner', 'off', 'berulang', 'ulang', 'sinyal', 'internet', 'jelek', '']</t>
  </si>
  <si>
    <t>['jenis', 'kartu', 'telkomsel', 'harga', 'paket', 'internet', 'beda', 'paket', 'internet', 'kartu', 'telkomsel', 'mahal', 'dibanding', 'kartu', 'telkomsel', 'jenis', 'kartu']</t>
  </si>
  <si>
    <t>['menyukai', 'aplikasi', 'unggahan', 'cepat', 'murah', 'meriah', 'tolong', 'harga', 'rb', 'teman', 'beli', 'gb', 'cmn', 'murah', 'kasih', 'ranting', 'bintang', 'menyukai', 'aplikasi', '']</t>
  </si>
  <si>
    <t>['kecewa', 'telkomsel', 'pulsa', 'berkurang', 'kuota', 'internet', 'pulsa', 'terpotong', 'rugi', '']</t>
  </si>
  <si>
    <t>['enak', 'bagus', 'mudah', 'operasikan', 'kecewa', 'paket', 'internet', 'dihilangkan', 'harganya', 'dinaikkan', 'contoh', 'gb', 'unlimited', 'hilang', 'harga', 'paket', 'internet', 'beli', 'tmbah', 'mahal', '']</t>
  </si>
  <si>
    <t>['jaringan', 'telkomsel', 'buruk', 'inisiatif', 'kah', 'memperbaiki', 'jaringan', 'orang', 'memakai', 'telkomsel', 'wilayah', 'perdesaan', 'perluas', 'jaringan', 'memakai', 'internet', 'sekian', 'semoga', 'bermanfaat', 'telkmsel', '']</t>
  </si>
  <si>
    <t>['tolong', 'tambahkan', 'tombol', 'ganti', 'paket', 'paket', 'unlimited', 'download', 'kepake', 'unlimited', 'jadiiii', 'tolong', 'tombol', 'switch', 'paket', 'udh', 'mahal', 'memuaskan']</t>
  </si>
  <si>
    <t>['kasih', 'bintang', 'jaringannya', 'diperbaiki', 'jaringan', 'dibnerin', 'promosi', 'mulu', 'dibanyakin', 'pengguna', 'tlkmsl', 'butuh', 'jaringan', 'bagus', 'promosi', 'bagus', 'pengen', 'ngomong', 'kasar', 'kaga', 'didenger', 'satunya', 'kek', 'gini', 'kasih', 'bintang', '']</t>
  </si>
  <si>
    <t>['alhamdulillah', 'jaringan', 'telkomsel', 'tkp', 'kenceng', 'terimakasih', 'aplikasi', 'telkomsel', 'aplikasi', 'pembelian', 'pulsa', 'kuota', 'mudah', 'praktis', '']</t>
  </si>
  <si>
    <t>['asuuuu', 'buruk', 'sinyal', 'mahal', 'doang', 'bagus', 'kyk', '']</t>
  </si>
  <si>
    <t>['telkomsel', 'kenapasih', 'susah', 'transfer', 'pulsa', 'operator', 'dimytelkomsel', 'pilihannya', 'pas', 'dicoba', 'gagal', 'tolong', 'mimin', 'diperbaiki', 'lagiii', '']</t>
  </si>
  <si>
    <t>['sinyal', 'telkomsel', 'jalin', 'hubungan', 'buruk', 'sinyal', 'sebanding', 'usaha', 'gue', 'beli', 'paketan', 'kabur', 'gue', 'kaya', 'gini', 'sinyal', 'kesel', 'kesel', 'udah', 'mending', 'udahan', '']</t>
  </si>
  <si>
    <t>['membantu', 'bangat', 'repot', 'repot', 'nge', 'cek', 'pulsa', 'kuota', 'tinggal', 'buka', 'apk', 'lansung', 'informasi', 'paket', 'telpon', 'sms', 'internet', 'sisa', 'pulsa', 'daftar', 'paket', 'cuman', 'harga', 'paket', 'mahal', 'bat', '']</t>
  </si>
  <si>
    <t>['sinyalnya', 'busuk', 'banget', 'mbok', 'pembaruan', 'perbaikan', 'jaringan', 'kasih', 'daerahku', 'lancar', 'bae', 'males', 'lemot', 'gini']</t>
  </si>
  <si>
    <t>['kali', 'chek', 'beli', 'paketan', 'pulsa', 'udah', 'kepotong', 'otomatis', 'beli', 'pulsa', 'giliran', 'udah', 'beli', 'paketan', 'sisa', 'pulsa', 'kesedot', 'maunya', 'telkomsel', 'mata', 'pulsaan', '']</t>
  </si>
  <si>
    <t>['isi', 'pulsa', 'beli', 'paket', 'ditawarkan', 'selesai', 'diisi', 'pulsa', 'paket', 'inet', 'omg', 'beli', 'akses', 'pilihan', 'combosakti', 'nominal', 'atasnya', 'beli', 'tambahan', 'pulsa', '']</t>
  </si>
  <si>
    <t>['', 'bandung', 'barat', 'sinyal', 'telkomsel', 'buruk', 'bagusnya', 'jam', 'malam', 'sampe', 'pagi', 'sinyal', 'iklan', 'sinyal', 'kuat', 'mah', 'engga', '']</t>
  </si>
  <si>
    <t>['promo', 'paket', 'telpon', 'customer', 'suka', 'penggunaan', 'data', 'telkomsel', 'boros', 'market', 'seiring', 'pemberian', 'promo']</t>
  </si>
  <si>
    <t>['fix', 'ganti', 'provider', 'jaminan', 'beli', 'kuota', 'khusus', 'game', 'hubungin', 'telegram', 'messenger', 'email', 'robot', 'solusi', 'pantes', 'rating', 'turun', 'harga', 'beli', 'mengecewakan', 'konsumen', 'pelanggan', '']</t>
  </si>
  <si>
    <t>['hati', 'hati', 'pengguna', 'kartu', 'sim', 'telkomsel', 'mengisi', 'pulsa', 'tunggu', 'aktif', 'sisa', 'minggu', 'mengisi', 'pulsa', 'patahkan', 'kartu', 'sim', 'viral', 'pencurian', 'pulsa', 'pelanggan', 'sisa', 'nol', 'pelakunya', 'pencurian', 'insya', 'allah', 'pelakunya', 'membaca', 'ulasan', '']</t>
  </si>
  <si>
    <t>['telkomsel', 'terhormat', 'membiarkan', 'customer', 'mengeluhkan', 'kualitas', 'jaringan', 'sangay', 'lelet', 'lemot', 'lantas', 'tindakan', 'customer', 'meninggalkan', 'beralih', 'sim', 'card', 'rugi', 'customer', 'memakai', 'produk', 'tolong', 'difikirkan', 'perbaiki', 'terimakasih', 'telkomsel', 'terhormat', '']</t>
  </si>
  <si>
    <t>['jaringan', 'kesini', 'parah', 'pdhal', 'sinyal', 'strip', 'doang', 'tpi', 'bwt', 'main', 'game', 'mlah', 'ptah', 'kecewa', 'berat', 'sya', 'dri', 'dlu', 'pengguna', 'telkomsel', 'tpi', 'bgni', 'trus', 'sya', 'pindah', 'krtu', 'perdana', 'mahal', 'tpi', 'memuaskan', 'bwt', '']</t>
  </si>
  <si>
    <t>['', 'kartu', 'telkomsel', 'busuk', 'sinyalnya', 'hidup', 'dikota', 'jogja', 'berasa', 'hutan', 'telkomsel', 'kali', 'bermasalah', 'pikir', 'gini', 'diperbaiki', 'kartu', 'buang', 'tetangga', 'sebelah', 'sat', 'denger', 'jaringan', 'bagus']</t>
  </si>
  <si>
    <t>['kartu', 'telkomsel', 'connect', 'internet', 'coba', 'connect', 'mohon', 'bantuannya', 'kecewa', 'memburuk']</t>
  </si>
  <si>
    <t>['telkomsel', 'terhormat', 'kecewa', 'pulsa', 'berkurang', 'pakai', 'apapun', 'mencuri']</t>
  </si>
  <si>
    <t>['pulsa', 'napa', 'berkurang', 'kali', 'menit', 'detik', 'dikecewakan', 'telkomsel', 'plus', 'jaringannya', 'aneh', 'kadang', 'kadang', 'tolong', 'bantu', 'kecewa', '']</t>
  </si>
  <si>
    <t>['telkomsel', 'tolong', 'perbaiki', 'jaringannya', 'karna', 'mengganggu', 'aktivitas', 'daring', 'jaringan', 'udah', 'ulasan', 'jelek', 'abaikan', '']</t>
  </si>
  <si>
    <t>['bagus', 'paketan', 'ceria', 'gb', 'diperpanjang', 'kak', 'rincian', 'gb', 'gb', 'all', 'harga', 'aktif', 'kuota', 'tsb', 'membantu', 'dimasa', 'pandemi', 'penghasilan', 'turun', 'drastis', 'trims', 'kak', '']</t>
  </si>
  <si>
    <t>['tnya', 'pulsa', 'berkurang', 'niat', 'beli', 'kouta', 'data', 'pulsa', 'berkurang', 'makan', 'seribu', 'ribu', 'perhitungkan', 'pulsa', 'ribu', 'berkurang', 'ribu', 'beli', 'berlangganan', 'berkurang', 'harap', 'pulsa', 'beli', 'pakai', 'uang', 'pakai', 'daun', 'harap', 'mengerti', 'sekian', '']</t>
  </si>
  <si>
    <t>['mahal', 'doang', 'jaringan', 'ancur', 'jaringan', 'terluas', 'terlembek', 'gue', 'tambahin', 'ulasan', 'sinyal', 'klemar', 'klemer', 'kaya', 'sempak', 'basah', 'gila', 'segini', 'gue', 'hidup', 'kota', 'kabar', 'daerah', 'ngotak', '']</t>
  </si>
  <si>
    <t>['jelek', 'penanganan', 'lamban', 'tanggal', 'dilaporkan', 'salah', 'nomor', 'anggota', 'halo', 'family', 'benefit', 'gratis', 'telpon', 'anggota', 'tanggal', 'selesai', 'pindah', 'nomor', 'anggota', 'tgl', 'lapor', 'operator', 'laporan', 'disistem', 'terkait', 'nmr', 'tsb', 'tgl', 'fix', 'benefit', 'laporan', 'tunggu', 'jam', 'tgl', 'blm', 'selesai', 'laporan', 'tunggu', 'jam', 'halo', 'halo', '']</t>
  </si>
  <si>
    <t>['terimakasih', 'telkomsel', 'karna', 'jaringan', 'squad', 'kalah', 'telak', 'mcl', 'setia', 'telkomsel', 'jaringan', 'rekan', 'rekan', 'squad', 'mengalami', 'pindah', 'provider', 'karna', 'jaringan', 'telkomsel', 'seburuk', 'semangat', 'telkom', '']</t>
  </si>
  <si>
    <t>['kecewa', 'karna', 'jaringan', 'menghilang', 'pulsa', 'berkurang', 'pdhl', 'tolong', 'perbaiki', 'telskomsel', 'karna', 'kartu', 'murah']</t>
  </si>
  <si>
    <t>['kah', 'aplikasinya', 'buka', 'iklannya', 'mempermudah', 'pengguna', 'telkomsel', 'mengecek', 'kuota', 'dll', 'mempersulit', 'menghambat', 'lumayan', 'kecewa']</t>
  </si>
  <si>
    <t>['lemot', 'malam', 'parah', 'mahal', 'buruk', 'pakai', 'provider', 'telkomsel', 'ganti', 'provider', 'telkomnyet', '']</t>
  </si>
  <si>
    <t>['tolong', 'apk', 'dikasi', 'lock', 'pulsa', 'terkuras', 'disaat', 'paket', 'internet', 'habis', 'internetan', 'pas', 'kuota', 'habis', 'langsung', 'pulsa', 'kesedot', 'tolong', 'kasih', 'lock', 'pulsa', 'hilang', 'sia', '']</t>
  </si>
  <si>
    <t>['memakai', 'kartu', 'loop', 'bedakan', 'dengen', 'simpati', 'kartu', 'paket', 'dengen', 'kartu', 'simpati', 'paket', 'unlimited', 'kartu', 'simpati', 'terima', 'kasih', 'kartu', 'loop', 'bertahun', 'adil', 'telkomsel', 'hadeh']</t>
  </si>
  <si>
    <t>['teruntuk', 'developer', 'telkomsel', 'tolong', 'diperbaiki', 'kendala', 'aplikasi', 'mengalami', 'bug', 'ketidak', 'pilihan', 'kuota', 'internet', 'menghilang', 'konsumen', 'diperbaiki', 'membeli', 'kuota', 'favorit', '']</t>
  </si>
  <si>
    <t>['apk', 'inih', 'jelek', 'boong', 'hayu']</t>
  </si>
  <si>
    <t>['tolonglah', 'sinyal', 'telkomsel', 'perbaiki', 'jelek', 'kali', 'sinyal', 'lelet', 'pulak', 'udah', 'menurun', 'kualitasnya', 'kayak', 'sinyal', 'kencang', 'lelet', 'kayak', 'keong', '']</t>
  </si>
  <si>
    <t>['beli', 'paket', 'ketengan', 'youtube', 'unlimited', 'diakses', 'youtubenya', 'jdi', 'merugi', 'pulsanya', 'tolong', 'dibenahi', 'dihapus', 'paket', 'merugikan', 'pelanggan', '']</t>
  </si>
  <si>
    <t>['parah', 'jaringan', 'tsel', 'kecewa', 'banget', 'hilang', 'timbul', 'ping', 'gapernah', 'stabil', 'kecewa', 'bagus', 'gini']</t>
  </si>
  <si>
    <t>['aneh', 'aplikasi', 'buka', 'ngeganggu', 'aplikasi', 'apk', 'bawaan', 'samsung', 'positions', 'playstore', 'terhenti', 'akibat', 'buka', 'apk', 'telkomsel', 'terpaksa', 'uninstal', 'virus', 'aplikasi', 'ojol']</t>
  </si>
  <si>
    <t>['jelek', 'jaringan', 'kuotanya', 'mahal', 'tolong', 'perbaiki', 'telkomsel', 'super', 'jelek', 'jaringan', 'game', 'kalah', 'kartu', 'murah', '']</t>
  </si>
  <si>
    <t>['telkomsel', 'lambat', 'banget', 'sinyal', 'full', 'lelet', 'mengecewakan', 'masak', 'akses', 'internet', 'nunggu', 'jam', 'mlm', 'akses', 'internet', 'tolong', 'perbaiki', 'jaringan', 'internet']</t>
  </si>
  <si>
    <t>['telkomsel', 'menurutku', 'akhlak', 'kali', 'mengadu', 'customer', 'desa', 'pujon', 'kec', 'kapuas', 'kab', 'kapuas', 'sinyalnya', 'ytoube', 'game', 'online', 'lengket', 'tpi', 'jawabanya', 'memuaskan', 'nomer', 'cek', 'pusat', 'aktif', 'online', 'selllllll', 'sel', 'iya', 'aktif', 'lengket', 'beli', 'paketan', 'mahal', 'beli', 'mahal', 'nambahi', 'dikit', 'beli', 'mubajir', 'pujon', 'bajuh', 'telkomsel', 'mengecewakan']</t>
  </si>
  <si>
    <t>['mhon', 'knpa', 'smpai', 'sya', 'beli', 'pket', 'twarkn', 'trasksi', 'slalu', 'ggal', 'notpikasi', 'pulsa', 'tdak', 'ckup', 'pdhal', 'sya', 'beli', 'pulsa', 'dri', 'pda', 'ckup', '']</t>
  </si>
  <si>
    <t>['jaringan', 'lelet', 'kuota', 'mahal', 'seburuk', 'kah', 'pelayanan', 'telkomsel', 'come', 'man', 'provider', 'nomor', 'jaringan', 'lelet', 'jangka', 'minggu', 'jaringan', 'muantep', 'lelet', 'malem', 'tolong', 'ditindaklanjuti', 'buktikan', 'telkomsel', 'diandalkan', 'maaf', 'maaf', 'maaf', 'sekian']</t>
  </si>
  <si>
    <t>['aplikasi', 'telkomsel', 'update', 'skrg', 'dibuka', 'ngelag', 'fungsi', 'bawaan', 'berhenti', 'bug', 'nyerang', 'sistem', 'mohon', 'ditingkatkan', 'kualitas', 'aplikasi', 'update', 'berat', '']</t>
  </si>
  <si>
    <t>['udh', 'beli', 'mahal', 'sinyal', 'kek', 'taik', 'gimana', 'susah', 'gblk', 'beli', 'unlimited', 'ngelag', 'ajg', 'cepet', 'perbaiki', 'sinyal', 'sinyal', 'eror', 'ajg', 'kuota', 'unlimited', 'kuota', 'sampah', 'hah', '']</t>
  </si>
  <si>
    <t>['bug', 'dibagian', 'menu', 'pembayaran', 'looping', 'sampe', 'panas', 'close', 'aplikasi', 'bug', 'nambah', 'malu', 'maluin', 'bet', 'iya']</t>
  </si>
  <si>
    <t>['kecewa', 'telkomsel', 'dikarena', 'membeli', 'paket', 'nelpon', 'unlimited', 'kartu', 'loop', 'perbedaan', 'lokasi', 'paket', 'memperlancar', 'usaha', 'pengguna', 'kartu', 'setia', 'telkomsel', 'gini', 'pindah', 'provaider', '']</t>
  </si>
  <si>
    <t>['', 'jaringan', 'udah', 'desa', 'kasarangan', 'kab', 'hulu', 'sungai', 'prov', 'kalimantan', 'selatan', 'down', 'dtik', 'max', 'kb', 'dtik', 'tertanggal', 'sabtu', 'maret', 'ditempat', 'kawan', '']</t>
  </si>
  <si>
    <t>['buruk', 'lelet', 'jaringan', 'telkomsel', 'beda', 'telkomsel', 'pantai', 'gunung', 'sinyal', 'liat', 'muter', 'tolong', 'perbaiki', 'karna', 'harga', 'lumayan', 'masak', 'sesuai', 'terimakasih']</t>
  </si>
  <si>
    <t>['buruk', 'parah', 'sinyal', 'jelek', 'kawasan', 'ejip', 'sinyal', 'parah', 'banget', 'beli', 'mahal', 'kuota', 'sebulan', 'abis', 'bsa', 'sampe', 'ribu', 'tpi', 'jaringan', 'sampah', 'dipake', 'game', 'parah', 'ms', 'gila', 'main', 'game', 'sinyal', 'gitu', '']</t>
  </si>
  <si>
    <t>['', 'ngerti', 'telkomsel', 'udh', 'paketin', 'kusus', 'youtube', 'gabisa', 'gunain', 'kouta', 'sosmed', 'gbsa', 'kemarin', 'kemarin', 'paketin', 'game', 'udah', 'kapok', 'begoin', 'pulsa', 'habis', 'parah', 'gimana', 'ganti', 'kerugian', '']</t>
  </si>
  <si>
    <t>['telkomsel', 'parah', 'banget', 'udah', 'beli', 'kuota', 'youtube', 'pas', 'buka', 'youtube', 'muter', 'trus', 'kaya', 'koneksi', 'internet', 'telkomsel', 'kuota', 'youtube', 'tolong', 'perbaiki', 'kepuaaan', 'pelanggan']</t>
  </si>
  <si>
    <t>['sinyal', 'bray', 'pret', 'daerah', 'ibukota', 'negara', 'pertimbangan', 'ibukota', 'negera', 'kota', 'fasilitasnya', 'perbaiki', 'bade', 'kuota', 'bayar', 'pulsa']</t>
  </si>
  <si>
    <t>['tolong', 'diperbaiki', 'jaringannya', 'jaringan', 'nge', 'down', 'trus', 'buka', 'sosmed', 'trus', 'kerja', 'super', 'sabar', 'tolong', 'kecewakan', 'pelanggan', 'mu', 'terima', 'kasih', '']</t>
  </si>
  <si>
    <t>['signal', 'lambat', 'bekasi', 'salah', 'beli', 'paket', 'email', 'jawabannya', 'apn', 'mohon', 'maaf', 'rencana', 'ganti', 'provider', '']</t>
  </si>
  <si>
    <t>['udah', 'isi', 'pulsa', 'beli', 'paket', 'internet', 'pilihan', 'ngerti', 'provider', 'intinya', 'kartu', 'membeda', 'bedakan', 'customer', 'persetan', '']</t>
  </si>
  <si>
    <t>['udah', 'sinyal', 'beres', 'skrg', 'kuota', 'hilang', 'aplikasi', 'knp', 'aplikasi', 'maunya', 'telkomsel', 'mikirin', 'kekayaan', 'trus', 'pikirin', 'jga', 'konsumen', 'udah', 'gua', 'hubungi', 'respon', '']</t>
  </si>
  <si>
    <t>['beli', 'pulsa', 'langsung', 'hangus', 'sebentar', 'nggak', 'kuota', '']</t>
  </si>
  <si>
    <t>['aplikasi', 'dilengkapi', 'pencegah', 'pulsa', 'dipakai', 'akibat', 'internet', 'paket', 'habis', 'pulsa', 'terpakak', 'internet', 'axis']</t>
  </si>
  <si>
    <t>['gua', 'kasi', 'bintang', 'karna', 'apk', 'uda', 'merajarela', 'gua', 'uda', 'beli', 'kuota', 'diaplikasi', 'berhasil', 'notif', 'kuotanya', 'masuk', 'kagak', 'gua', 'uda', 'bener', 'bener', 'kebeli', 'gua', 'apk', 'buka', 'instagram', 'tetep', 'pas', 'gua', 'masuk', 'aplikasinya', 'mala', 'pulsa', 'gua', 'abis', 'bangke', 'apk', 'dulunya', 'bagus', 'uda', 'jelek']</t>
  </si>
  <si>
    <t>['sinyal', 'telkomsel', 'kesini', 'jelek', 'bagus', 'gini', 'kalah', 'provider', 'cepat', 'internetnya', '']</t>
  </si>
  <si>
    <t>['diberitahukan', 'migrasi', 'kartu', 'halo', 'prabayar', 'iming', 'bonus', 'program', 'pelanggan', 'telkomsel', 'ganti', 'kartu', 'operatornya', 'telkomsel', 'dpt', 'dijebak', '']</t>
  </si>
  <si>
    <t>['admin', 'yth', 'knapa', 'jaringanya', 'lelet', 'min', 'mohon', 'perbaiki', 'min', 'udah', 'telkomsel', 'kartunya', 'gratisan', 'lelet', 'mohon', 'diperbaiki', '']</t>
  </si>
  <si>
    <t>['kesehariannya', 'kota', 'sby', 'pasuruan', 'kecewa', 'sisi', 'signal', 'buruk', 'kouta', 'cpt', 'habis', 'sisi', 'penukaran', 'point', 'ditukar', 'produk', 'merchant', 'seringkali', 'alasan', 'voucher', 'berlaku', 'kepercayaan', 'pelanggan', 'kualitas', 'kredibilitas', 'telkomsel', 'thn', 'membaik', 'semoga', 'kritikan', 'dpt', 'telkomsel', 'lbh', '']</t>
  </si>
  <si>
    <t>['aplikasi', 'lemot', 'parah', 'buffering', 'aplikasi', 'oprator', 'josss', 'telkomsel', 'error', 'koneksi', 'buruk', 'jaringan', 'datanya', 'kuota', 'diatas', 'signal', 'tower', 'full', 'terang', 'mitra', 'pelanggan', 'setia', 'telkomsel', 'kecewa', 'berat', 'telkomsel', '']</t>
  </si>
  <si>
    <t>['telkomsel', 'jago', 'promo', 'doang', 'paket', 'mahal', 'jaringan', 'lelet', 'kecewa', 'pelanggan', 'mending', 'beralih', 'operator', 'kekgini']</t>
  </si>
  <si>
    <t>['buffring', 'trus', 'parah', 'telkomsel', 'coba', 'resolusi', 'gambarnya', 'turunkan', 'yanv', 'butuhkan', 'kecepatan', 'tampilan', 'pengguna', 'risih', 'buka', 'app', 'loadingnya', 'sinyal', 'bagus']</t>
  </si>
  <si>
    <t>['udah', 'kaya', 'taik', 'babi', 'telcomsel', 'jaringan', 'putus', 'trus', 'jaringan', 'tergantung', 'lampu', 'trus', 'mati', 'lampu', 'lag', 'ampun', 'tolong', 'perbaiki', 'perlak', 'aceh', 'kecewakan', 'pelanggan', 'jaya', 'berubah', 'tempo', 'yng', 'pengguna', 'telkomsel', 'perlak', 'aceh', 'buang', 'produk', 'telkomsel', '']</t>
  </si>
  <si>
    <t>['jaringan', 'lelet', 'telkomsel', 'jaringan', 'indonssia', 'hadeh', 'buruk', 'jaringan', 'game', 'ngelag', 'pusat', 'perkotaan', 'nonton', 'ytub', 'vidio', 'lelet', 'banget', 'gini', 'trus', 'ganti', 'proveder', 'lainn', 'dahh']</t>
  </si>
  <si>
    <t>['telkomsel', 'unlimited', 'buka', 'sosmed', 'lelet', 'kadang', 'jaringan', 'karuan', 'beli', 'paket', 'unlimited', 'gb', 'habis', 'kuota', 'gb', 'buka', 'buka', 'sosmed', 'sebatas', 'muter', 'doang', 'penipuan', 'namanya']</t>
  </si>
  <si>
    <t>['maaf', 'terpaksa', 'daerah', 'jaringanya', 'busuk', 'bagus', 'buruk', 'parah', 'sinyalnya', 'sinyal', 'batang', 'datanya', 'masuk', 'deket', 'salah', 'kampus', 'negeri', 'buka', 'foto', 'muter', 'maen', 'game', 'online', 'ping', 'trs', 'coba', 'setting', 'manual', 'smp', 'otomatis', 'ttp', 'busuk', 'jaringannya', 'gerimis', 'hujan', 'parah', 'hancur']</t>
  </si>
  <si>
    <t>['pas', 'buka', 'apk', 'mytelkomsel', 'jaringannya', 'bagus', 'kisaran', 'buka', 'apk', 'jaringannya', 'lumayan', 'jelek', 'beli', 'paket', 'mahal', 'buka', 'aplikasi', 'doang', 'kak', 'belajar', 'online', 'kak', 'download', 'foto', 'kb', 'habis', 'menit', 'kak', 'tolong', 'diperhatikan', 'jaringannya', 'kak', '']</t>
  </si>
  <si>
    <t>['parah', 'beli', 'paket', 'keluarga', 'paket', 'combo', 'gede', 'rugi', 'rugi', 'krna', 'jaringannya', 'super', 'lemot', 'mna', 'jaringan', 'tercepat', 'lelet', 'kyk', 'dlu', 'lemot', 'parah']</t>
  </si>
  <si>
    <t>['kasih', 'bintang', 'kesini', 'jaringan', 'udah', 'gangguan', 'jariangan', 'sampe', 'seharian', 'full', 'sprti', 'tolong', 'tanggapi', 'area', 'purwakarta', 'ojol', 'sprti', 'berpengaruh', 'banget', 'terima', 'kasih', '']</t>
  </si>
  <si>
    <t>['tulisan', 'promo', 'tpi', 'beli', 'paket', 'dibeli', 'paket', 'internetnya', 'adain', 'promo', 'slow', 'respon', '']</t>
  </si>
  <si>
    <t>['lelet', 'sinyal', 'telkom', 'dlu', 'dlu', 'telkom', 'idaman', 'bener', 'namanya', 'lelet', 'jelek', 'iya', 'kalah', 'signal', 'operator', 'im', 'pusat', 'kota', 'tangerang', 'iya', 'lelet', 'udah', 'beli', 'paket', 'mahal', 'kecewa', 'pokok']</t>
  </si>
  <si>
    <t>['woii', 'pulsa', 'suka', 'ilang', 'duit', 'curi', 'isi', 'pulsa', 'kuota', 'ilang', 'jelasin', '']</t>
  </si>
  <si>
    <t>['ngejengkelin', 'sumpah', 'beli', 'iya', 'khusus', 'lari', 'cuman', 'bentar', 'ngisap', 'pulsa', 'pemberitahuan', 'matikan', 'kah', 'kejadian', 'jera', 'nyetok', 'pulsa', 'ujung', 'ujungnya', 'habis', 'mata', 'fokus', 'sisi', 'pojok', 'kiri', 'layar', 'ngecek', '']</t>
  </si>
  <si>
    <t>['aplikasi', 'membantu', 'repot', 'repot', 'rumah', 'membeli', 'pulsa', 'mudah', 'harga', 'smua', 'terjangkau', 'terima', 'kasih', 'telkomsel', '']</t>
  </si>
  <si>
    <t>['telkomsel', 'sinyalnya', 'buruk', 'dlu', 'sinyal', 'bagus', 'telkomsel', 'bawa', 'daerah', 'jawa', 'pemalang', 'ngendep', 'bagusan', 'sinyal', 'three', 'tolong', 'sinyal', 'perbaiki', 'perusaan', 'telkomsel', 'perusaan', 'sinyal', '']</t>
  </si>
  <si>
    <t>['wilayah', 'kuningan', 'selatan', 'sinyal', 'telkomsel', 'jelek', 'bagus', 'parah', 'banget', 'dapet', 'susah', 'banget', 'kalah', 'sainganya', 'terpaksa', 'kartu', 'indosat', 'ganti', 'nomor', 'sayang', 'kartu', 'udah', '']</t>
  </si>
  <si>
    <t>['bagus', 'bagu', 'baguuuss', 'bagus', 'telkomsel', 'cepat', 'kuota', 'buka', 'telkomsel', 'udah', 'tinggal', 'kuota', 'teman', 'download', 'silahkan', 'download', '']</t>
  </si>
  <si>
    <t>['udah', 'berkali', 'kali', 'rugi', 'berkali', 'kali', 'beli', 'paket', 'saldo', 'udah', 'kepotong', 'paketannya', 'ngga', 'kunjung', 'masuk', 'parah', 'emang', 'pulsanya', 'kepotong', 'ngga', 'apaapa', 'kaya', 'ginikah', 'telkomsel', 'ambil', 'keuntungan', 'tolonglah', 'perbaiki', 'aplikasinya', '']</t>
  </si>
  <si>
    <t>['paket', 'internet', 'murah', 'programnya', 'beres', 'merugikan', 'pemeras', 'rakyat', 'disaat', 'pandemi', 'covid', 'telkomsel', 'salah', 'perusahan', 'diuntungkan', 'merugikan', 'rakyat', '']</t>
  </si>
  <si>
    <t>['tolong', 'telkomsel', 'beli', 'paket', 'udah', 'isi', 'pulsa', 'udah', 'klik', 'beli', 'pulsa', 'beli', 'paket', 'pembayaran', 'notifikasinya', 'masuk', 'sms', 'jaringan', 'masalh', 'dibeli', 'paket', 'pulsa', 'segitu', 'udah', 'coba', 'kali', 'tetep', 'tolong', 'kondisikan', 'aplikasi', 'agr', 'pelanggan', 'tdak', 'kecewa', 'tolong', 'respon', '']</t>
  </si>
  <si>
    <t>['nipu', 'kau', 'orang', 'tinggal', 'stamp', 'udah', 'hadiah', 'kebawah', 'keesokan', 'distamp', 'menu', 'chekin', 'daily', 'dichat', 'pendapat', 'alasan', 'aktif', 'udah', 'rugi', 'gtu', 'gampang', 'gua', 'uninstal', 'kau', 'pindah', 'server', 'im', '']</t>
  </si>
  <si>
    <t>['kemarin', 'isi', 'kuota', 'apk', 'telkomsel', 'pembayaran', 'gopay', 'kuotanya', 'masuk', 'masuk', 'saldo', 'gopay', 'terpotong', 'dirugikan', '']</t>
  </si>
  <si>
    <t>['beli', 'pack', 'gb', 'pemberitahuan', 'proses', 'udah', 'dicoba', 'berkali', 'kali', 'tetep', 'kebeli', 'beli', 'disms', 'suruh', 'situ', 'kecewa', 'menyesel', 'provider', 'brand', 'payah', 'proses', 'pembelian', 'trimakasih']</t>
  </si>
  <si>
    <t>['min', 'daerah', 'sinyalnya', 'jelek', 'banget', 'sinyalnya', 'kenceng', 'langkah', 'perbaikan', 'gimana', 'gitu', '']</t>
  </si>
  <si>
    <t>['kecewa', 'banget', 'skrg', 'tsel', 'bertahun', 'tpi', 'pelayanan', 'memuaskan', 'sinyal', 'jelek', 'skrg', 'paket', 'omg', 'dihapus', 'pilihan', 'beli', 'paket', 'krna', 'paket', 'kuota', 'seiprit', 'harga', 'selangit', 'tolong', 'hapus', 'kuota', 'omg', 'krna', 'lumayan', 'murah', 'mohon', 'pertimbangkan', 'menghapus', 'paket', 'kuota', 'internet', '']</t>
  </si>
  <si>
    <t>['beli', 'telkomsel', 'mahal', 'mahal', 'main', 'game', 'ngelag', 'ngelag', 'kartu', 'allah', 'bertahun', 'telkomsel', 'lancar', 'lancar', 'allah', 'tolong', 'tindakannya', 'kak', 'dibaca', 'allaah', 'stress', 'kak', '']</t>
  </si>
  <si>
    <t>['iya', 'skrng', 'gini', 'beli', 'paket', 'unlimited', 'kota', 'semarang', 'pakai', 'pakai', 'madura', 'kayak', 'gini', 'moho', 'arah', 'masak', 'beli']</t>
  </si>
  <si>
    <t>['mimin', 'org', 'berlangganan', 'jarang', 'banget', 'promo', 'murah', 'tmnku', 'jarang', 'beli', 'pulsa', 'dapatnya', 'rb', 'gb', 'rb', 'gb', 'min', 'keadilan', 'pengguna', 'berlangganan', 'berlangganan', 'harganya', 'yahh', 'cocok', 'kantong', 'pelajar', 'aaaa', 'min', 'pliiiiissss', '']</t>
  </si>
  <si>
    <t>['terima', 'kasih', 'telkomsel', 'memudahkan', 'pilihan', 'akses', 'internet', 'telkomsel', 'jaringan', 'luas', 'like', 'telkomsel', 'sukses', 'telkomsel', '']</t>
  </si>
  <si>
    <t>['beli', 'paket', 'kuota', 'unlimitedmax', 'telkomsel', 'pembayaran', 'shopee', 'pay', 'paket', 'masuk', 'email', 'blom', 'balesan', 'ulasannya', 'ngga', 'ubah', 'paket', 'masuk', 'terimakasih']</t>
  </si>
  <si>
    <t>['ilang', 'sinyal', 'perbaikan', 'kasi', 'pemberitahuan', 'kek', 'udah', 'nggk', 'pelayanan', 'mending', 'ganti', 'provider', 'mahal', 'sinyal', 'ilang', 'konyol', 'parah']</t>
  </si>
  <si>
    <t>['rekomendasikan', 'mahal', 'kualitas', 'jelek', 'masak', 'pulsa', 'berkurang', 'sikit', 'kadang', 'berkurang', 'perak', 'perak', 'gitu', '']</t>
  </si>
  <si>
    <t>['parah', 'gangguan', 'parah', 'gmna', 'keluhan', 'customer', 'telkomsel', 'sinyal', 'mahal', 'kelas', 'rendah', 'sibuk', 'mulu', 'pulsa', 'doank', 'emang', 'kerja', 'orang', 'doank', 'kantor', 'jangam', 'jam', 'segini', 'tidur', 'kataanya', 'jam', 'melayani', 'parah', '']</t>
  </si>
  <si>
    <t>['teman', 'teman', 'menyesal', 'bertahan', 'memakai', 'telkomsel', 'kesini', 'kesini', 'jaringan', 'buruk', 'internet', 'lancar', 'maen', 'game', 'merugikan', 'kota', 'bandung', 'plosok', 'jaringan', 'sulit', 'emosi', 'bermain', 'game', 'provider', 'koneksi', 'jaringannya', 'kalah', 'axis', 'im', 'smartfren', 'kalah', 'bagus', 'teman', 'teman', 'kecewa', '']</t>
  </si>
  <si>
    <t>['tolong', 'tingkatkan', 'jaringan', 'bermain', 'game', 'online', 'jaringan', 'stabil', 'pemain', 'game', 'online', 'kecewa', 'sekian', 'terimakasih', '']</t>
  </si>
  <si>
    <t>['hay', 'pengguna', 'telkomsel', 'kartu', 'masuk', 'senang', 'karna', 'telkomsel', 'hadiah', 'kuota', 'lumayan', 'murah', 'terjangkau', 'harganya', 'terima', 'kasih', 'ngeluh', 'perihal', 'aplikasi', 'gangguan', 'kali', 'masukkan', 'nomor', 'log', 'apl', 'sistem', 'bermasalah', 'pembaharuan', '']</t>
  </si>
  <si>
    <t>['penasaran', 'deh', 'im', 'sinyal', 'kuat', 'lancar', 'terimakasih', 'telkomsel', 'kuota', 'chek', 'kuota', 'pindah', 'pulsa', 'suka', 'jebol', 'suka', 'telkomsel', 'pindah', 'im', 'enak', 'banget', 'nyaman', 'banding', 'telkomsel', '']</t>
  </si>
  <si>
    <t>['sinyal', 'down', 'gajelas', 'tinggal', 'dijakarta', 'udah', 'kaya', 'tinggal', 'diplosok', 'daerah', 'harga', 'kualitas', 'sinyal', 'koneksi', 'internet', 'down', 'gara', 'sinyal', 'telkomsel', 'kaya', 'gini', 'aktivitas', 'terganggu', 'pekerjaan', 'tolong', 'diperbaikin', 'orang', 'berfikir', 'pindah', 'operator', 'udah', 'telkomsel', 'perbaikan', 'segi', 'sinyal', 'koneksi', 'naikin', 'harga', '']</t>
  </si>
  <si>
    <t>['knpa', 'sinyal', 'telkomsel', 'jelek', 'dlm', 'bbrpa', 'minggu', 'paket', 'lemot', 'tolonglah', 'dperbaiki', 'kepuasan', 'buka', 'kiriman', 'vidio', 'ajj', 'sampe', 'nunggu', 'loading', '']</t>
  </si>
  <si>
    <t>['harganya', 'paketan', 'mahal', 'main', 'jam', 'malam', 'ngangkat', 'sebanding', 'harga', 'paketan', 'melejit', 'tolong', 'perbaiki', 'kestabilan', 'jaringannya', 'stabil', 'mending', 'turunin', 'harga', 'paketannya', 'melejit', 'mahal', 'sebanding', 'jaringannya']</t>
  </si>
  <si>
    <t>['udah', 'bagus', 'kuota', 'ketengan', 'utamanya', 'mb', 'pas', 'internetan', 'males', 'gue', 'nyari', 'duit', 'sekolah', 'cuman', 'internetan', 'kembalikan', 'pas', 'woi', 'udah', 'pakek', 'telkomsel', 'kecewa', 'udah', 'thn', 'udah', 'pung', 'dirilis']</t>
  </si>
  <si>
    <t>['tolong', 'telkomsel', 'tanggapin', 'keluhan', 'sinyal', 'jelek', 'banget', 'pengguna', 'telkomsel', 'thun', 'kecewa', 'emang', 'perbaikan', 'dikasih', 'notip', 'pesan', 'tolong', 'perbaiki', 'nggak', 'pindah', 'jaringan', '']</t>
  </si>
  <si>
    <t>['sungguh', 'bagus', 'emang', 'bagus', 'tolong', 'bagusin']</t>
  </si>
  <si>
    <t>['sinyal', 'kek', 'udh', 'make', 'thn', 'burik', 'paket', 'mahal', 'sinyal', 'miskin', 'tolong', 'perbaiki', 'berkomunikasi', 'keluarga', '']</t>
  </si>
  <si>
    <t>['jaringan', 'kota', 'palu', 'gangguan', 'hilang', 'koneksi', 'orang', 'pengguna', 'telkomsel', 'mengalami', 'mohon', 'perbaiki']</t>
  </si>
  <si>
    <t>['jaringan', 'lelet', 'harga', 'paket', 'internet', 'mahal', 'harganya', 'konsumen', 'telkomsel', 'karna', 'biyaya', 'keluarkan', 'dapatkan', 'buruk', 'memuaskan', 'sesuai', 'biayaya', 'keluarkan', 'mohon', 'perbaiki', 'sistem', 'jaringan', 'pertimbangkan', 'harga', 'paket', 'internetnya']</t>
  </si>
  <si>
    <t>['telkomsel', 'lelet', 'skrg', 'lelet', 'kayak', 'gini', 'tumben', 'lelet', 'banget', 'pindah', 'provider', 'kah', 'telkomsel', 'tolong', 'perbaikan', 'respon', 'komentarnya', 'ngeluh', 'jaringan', 'jawabannya', 'keluhan', 'mohon', 'hubungi', 'bla', 'lelet', 'jaringannya', 'hmmmm', 'hilang', 'pelanggannya', 'nyesel', 'kwkwk']</t>
  </si>
  <si>
    <t>['sampah', 'jujur', 'tunggu', 'ujung', 'ujungnya', 'koneksi', 'stabil', 'wifi', 'penuh', 'lemot', 'giliran', 'aplikasi', 'dibuka', 'erorr']</t>
  </si>
  <si>
    <t>['tolong', 'yaaaa', 'telkomsel', 'kenapaaaa', 'kali', 'beli', 'paket', 'malam', 'gaada', 'masukkk', 'chat', 'customer', 'service', 'hasil', 'rugiiii', 'beginiii', 'tolong', 'telkomsel', 'dongg', 'ditindaklanjuti', 'merugikan', 'orang', '']</t>
  </si>
  <si>
    <t>['promo', 'harga', 'miringnyaa', 'nomorq', 'paketannya', 'mahal', 'pandemi', 'spt', 'pengangguran', 'daring', 'sekolah', 'jaringan', 'skrg', 'susah', 'signal', 'cuaca', 'buruk', 'gada', 'koneksi', '']</t>
  </si>
  <si>
    <t>['jaringan', 'telkomsel', 'lelet', 'mutar', 'melulu', 'mahal', 'bayar', 'kepuasan', 'konsumen', 'beralih', 'operator', '']</t>
  </si>
  <si>
    <t>['gimana', 'telkomsel', 'kesini', 'sinyalnya', 'memburuk', 'ngga', 'perubahan', 'udah', 'kecewa', 'jaringannya', 'ngga', 'perubahan', 'paketan', 'harganya', 'mahal', 'pelanggan', 'ngga', 'puas', 'jaringannya', 'memburuk', 'ngga', 'perubahan', 'hahahaha', 'browsing', 'whatsapp', 'pending', 'harga', 'paketan', 'ngga', 'sesuai', 'kecepatan', 'jaringannya', 'alias', 'jaringannya', 'lelet', 'parah', '']</t>
  </si>
  <si>
    <t>['udah', 'pakai', 'telkomsel', 'knpa', 'sinyal', 'bagus', 'kdang', 'lemot', 'nyambung', 'bagus', 'kmren', 'tingkatkan', 'donk', 'layanan', 'sinyal', 'tingkatkan', 'harga', 'pelanggan', 'kabur', 'gini', '']</t>
  </si>
  <si>
    <t>['', 'login', 'suruh', 'klik', 'link', 'udah', 'klik', 'gaasuk', 'halam', 'sutuh', 'klik', 'link', 'perginya', 'balikin', 'login', '']</t>
  </si>
  <si>
    <t>['fix', 'telkomsel', 'udah', 'layak', 'setia', 'ngecewain', 'parah', 'udah', 'fix', 'kalah', 'jaringan', 'bener', 'parah', 'jaringan', 'daerah', 'panjalu', 'ciamis', 'jawa', 'barat', 'tolong', 'perbaiki', 'kecewa', 'pindah', 'jaringn', 'sebelah']</t>
  </si>
  <si>
    <t>['toong', 'telkomsel', 'jaringab', 'internet', 'perbaik', 'ditingkatan', 'kwalitas', 'parah', 'buruk', 'jaringab', 'full', 'jalan', 'kuota', 'mahal', 'tpi', 'telkomsel', 'udh', 'bangkrut', 'mendingan', 'jual', 'prusahaan', 'udah', 'lgi', 'beroprasi', '']</t>
  </si>
  <si>
    <t>['isi', 'ulang', 'pulsa', 'sampe', 'telkomsel', 'pelit', 'banget', 'internet', 'gratis', 'isi', 'pulsa', 'coba', 'smartfen', 'gratisan', 'telkomsel', 'penipu', 'telkomsel', 'merugikan', 'rakyat', 'telkomsel', 'sinyal', 'busuk', 'dasar', 'telkomsel', 'smartfen', 'donk', 'telkomsel', 'sampah', 'publik', '']</t>
  </si>
  <si>
    <t>['sinyalmu', 'membaik', 'emosi', 'ulasan', 'negatif', 'spt', 'berilah', 'kenyamanan', 'pelanggan']</t>
  </si>
  <si>
    <t>['hay', 'min', 'knapa', 'beli', 'pket', 'byar', 'gopay', 'paket', 'bel', 'masuk', 'saldo', 'suduh', 'potong', 'tolong', 'bantu', 'cek', 'udah', 'kya', 'gini', 'ganti', 'rating', 'bintag']</t>
  </si>
  <si>
    <t>['sinyal', 'knpa', 'buruk', 'ambil', 'paket', 'unlimited', 'max', 'kuota', 'lokal', 'dipake', 'pindah', 'lokasi', 'pengaktifan', 'mengecewakan', 'kolega', 'kecewa', 'otomatis', 'ganti', 'provider', 'rame', '']</t>
  </si>
  <si>
    <t>['respon', 'penyedia', 'aplikasinya', 'beli', 'kuota', 'ngk', 'alasan', 'kategori', 'tersedia', 'harga', 'mahal', 'pelayanan', 'abal', 'abal']</t>
  </si>
  <si>
    <t>['provider', 'skrng', 'nguasain', 'jaringannya', 'lemah', 'parah', 'beres', 'pelanggan', 'malas', 'bertahan', 'all', 'varian', 'produk', 'telkom', 'ddiemin', 'cpt', 'benahin', 'nunggu', 'komentar', 'pelanggan', 'aneh', '']</t>
  </si>
  <si>
    <t>['membeli', 'paket', 'link', 'saldo', 'link', 'aplikasi', 'telkomsel', 'pembelian', 'tercatat', 'gagal', 'melaporkannya', '']</t>
  </si>
  <si>
    <t>['membeli', 'paket', 'omg', 'pay', 'duit', 'pay', 'berkurang', 'paket', 'masuk', 'masuk', 'serius', 'ngambil', 'untung', 'gimana', 'kecewa', '']</t>
  </si>
  <si>
    <t>['sinyal', 'telkomsel', 'kesini', 'lemot', 'coba', 'pindah', 'berubah', 'laporan', 'via', 'email', 'messenger', 'gada', 'tanggapan', 'browsing', 'kebukanya', 'kesal', 'beli', 'paket', 'mahalan', 'sinyalnya', 'min', '']</t>
  </si>
  <si>
    <t>['jaringan', 'kayak', 'kartu', 'mending', 'kartu', 'udah', 'mahal', 'jaringannya', 'kencang', 'kontlo', 'emang', 'udah', 'coba', 'speed', 'jaringannya', 'kaya', 'anjim', 'emang', 'nyesel', 'beli', 'mahal', 'kualitas', 'kayak', 'tongkol']</t>
  </si>
  <si>
    <t>['astaghfirullah', 'telkomsel', 'inii', 'membeli', 'kuota', 'promo', 'riwayat', 'pembelian', 'kuota', 'masuk', 'pulsa', 'terpotong', 'mencoba', 'berulang', 'kali', 'membeli', 'masuk', 'kuota', 'tolong', 'telkomsel', 'terhormat', 'perbaiki', 'mengganggu', 'pembeli', 'terimakasih']</t>
  </si>
  <si>
    <t>['saran', 'ditambah', 'masukin', 'kode', 'vocernya', 'sms', 'aplikasi', 'telkomsel', 'kejadian', 'masukin', 'kode', 'vocer', 'tulisan', 'sistem', 'sibuk', 'kali', 'kejadian']</t>
  </si>
  <si>
    <t>['pengennya', 'gamau', 'kasih', 'bintang', 'saking', 'keselnya', 'mohon', 'maaf', 'cek', 'produk', 'internet', 'kuota', 'keterangan', 'utama', 'beli', 'pulsa', 'produk', 'paket', 'internet', 'khusus', 'kuota', 'keterangan', 'utamanya', 'hilang', 'gtu', 'paket', 'conference', 'paket', 'ilmupedia', 'paket', 'internet', 'malam', 'gimana', 'paketin', 'internet', 'sinyalnya', 'jelek', 'mode', 'pesawat', 'restart', 'muncul', 'tolong', 'diperbaiki', '']</t>
  </si>
  <si>
    <t>['paket', 'beda', 'harganya', 'beda', 'nomor', 'kabupaten', 'telkomsel', 'aneh', 'komplen', 'beli', 'paket', 'ketengan', 'doang', 'emang', 'engga', 'kepake', 'hubungi', 'gaada', 'respon', 'udah', 'bobrok', 'telkomsel']</t>
  </si>
  <si>
    <t>['senasib', 'dpt', 'promo', 'paket', 'murah', 'aktivasi', 'kasih', 'promo', 'ceria', 'gb', 'gb', 'all', 'net', 'gb', 'min', 'hr', 'rb', 'aktifkan', 'paketnya', 'balas', 'com', 'sms', 'tsel', 'hotoffer', 'perkara', 'promo', 'sampe', 'kesel', 'banget', 'mimin', 'twitter', 'kasih', 'promo', 'pas', 'aktivasi', 'gitu', 'engga', 'ngapain', 'kesel', 'banget', 'complain', 'tawarin', 'paket', '']</t>
  </si>
  <si>
    <t>['beres', 'beli', 'paketan', 'kayak', 'gunannya', 'jatah', 'aktif', 'harinya', 'muter', 'truuuus', 'diturunin', 'kualitas', 'video', 'madih', 'muteeer', 'trooosss', 'pemakaian', 'skrng', 'mending', 'ganti', 'dikasih', 'bintang', 'diposting', 'msu', 'ngadih', 'bintang', 'super', 'super', 'kecewa', 'bintang', 'syarat', 'posting', 'aslinya', '']</t>
  </si>
  <si>
    <t>['sayah', 'beli', 'paket', 'kuota', 'unlimited', 'kuota', 'masuk', 'karenakan', 'gagal', 'sayah', 'beli', 'shopepay', 'pembayaran', 'sayah', 'berhasil', 'sampe', 'respon', 'apapun', 'telkomsel', '']</t>
  </si>
  <si>
    <t>['telkomsel', 'provider', 'terburuk', 'pokonya', 'buruk', 'sedunia', 'telkomsel', 'ajg', 'kouta', 'harga', 'ribu', 'jaringan', 'kek', 'ajg', 'jaringanya', 'jaringan', 'tergangu', 'merasakan', 'enaknya', 'pakek', 'telko', 'jing', 'buruk', 'tolonglah', 'koutanya', 'mahaal', 'sekolah', 'nge', 'lag', 'harga', 'ribu', 'ortu', 'hasil', 'belajar', 'memuaskan', 'tolong', 'telkomsel', 'tanggapi', 'secepatnya', 'pakek', 'kouta', 'utama', 'ganti', 'dwon', 'ngela']</t>
  </si>
  <si>
    <t>['telkomsel', 'emang', 'inisiatif', 'benerin', 'jaringan', 'gitu', 'kesannya', 'kayak', 'batasi', 'penggunaannya', 'malam', 'sinyal', 'bagus', 'emang', 'gitu', 'konsepnya', 'pagi', 'sampe', 'sore', 'jaringan', 'lemot', 'banget', 'gini', 'customer', 'pindah', 'kartu', '']</t>
  </si>
  <si>
    <t>['kualitas', 'jaringan', 'telkomsel', 'buruk', 'lemot', 'telkomsel', 'salah', 'perdana', 'terbilang', 'mahal', 'tpi', 'kualitasnya', 'menurun', 'disayangkan', 'kesel', 'mengganggu', 'aktivitas', '']</t>
  </si>
  <si>
    <t>['tolong', 'diperbaiki', 'kualitas', 'jaringannya', 'harga', 'paket', 'mahal', 'koneksi', 'internet', 'lemot', 'streaming', 'buffering', 'harga', 'sesuai', 'kualitas']</t>
  </si>
  <si>
    <t>['aplikasi', 'telkomsel', 'aneh', 'fungsi', 'jebakanya', 'pulsa', 'udah', 'habis', 'beli', 'paket', 'buka', 'aplikasi', 'ajja', 'nyedot', 'pulsa', 'sperti', 'karakter', 'telkomsel']</t>
  </si>
  <si>
    <t>['telkomsel', 'buruk', 'semenjak', 'paket', 'data', 'murah', 'gb', 'gb', 'paket', 'signal', 'full', 'buka', 'sosmed', 'buka', 'aplikasi', 'online', 'lemot', 'buka', 'game', 'online', 'busuk', '']</t>
  </si>
  <si>
    <t>['fair', 'mmg', 'paket', 'datanya', 'habis', 'dimakan', 'pulsanya', 'liat', 'operator', 'tri', 'kompetitor', 'paket', 'data', 'habis', 'browsing', 'apapun', 'memakan', 'pulsa', 'pulsa', 'tersisa', 'dipake', 'beli', 'data', 'kasihan', 'orang', 'beli', 'pulsa', 'berat', '']</t>
  </si>
  <si>
    <t>['hai', 'kesal', 'karna', 'jaringan', 'telkomsel', 'menggangu', 'push', 'rank', 'game', 'online', 'perbaiki', 'emosi', 'karna', 'nonton', 'youtube', 'lelet']</t>
  </si>
  <si>
    <t>['app', 'berat', 'banget', 'perangkat', 'makan', 'memori', 'buka', 'dramanya', 'mohon', 'perbaikan', 'telkomsel', 'app', 'berat', 'available', 'perangkat', 'user', 'friendly', 'thanks']</t>
  </si>
  <si>
    <t>['aplikasi', 'membantu', 'peraturan', 'memperoleh', 'kuota', 'daily', 'check', 'pulsa', 'habis', 'gila', 'telkomsel', 'tolol', 'beut', 'ngerampas', 'nama', 'kuota', 'hilang', 'pulsa', 'kuota', 'kartu', 'kuota', 'telkomsel', 'tolol', 'mengabdi', 'orang', 'indonesia', 'nyata', 'kagak', 'ngerampas', 'iya', 'terima', 'kasih', '']</t>
  </si>
  <si>
    <t>['gimana', 'telkomsel', 'beli', 'paket', 'kemarin', 'pulsanya', 'potong', 'solisi', 'gimana', 'terimaksih']</t>
  </si>
  <si>
    <t>['mudah', 'mudahan', 'provider', 'swasta', 'saingin', 'telkomsel', 'namanya', 'bumn', 'sendirilah', 'mahal', 'promonya', 'aplikasinya', 'dalah']</t>
  </si>
  <si>
    <t>['jaringan', 'daerah', 'memburuk', 'dipakai', 'bisapun', 'ngilang', 'ngilang', 'jaringannya', 'mending', 'paketan', 'habisinnya', 'gimana', 'jaringan', 'lemot', 'cek', 'daerah', 'cangkol', 'bekonang', 'mojolaban', 'jawa']</t>
  </si>
  <si>
    <t>['sebel', 'telkomsel', 'udh', 'beli', 'voucher', 'kali', 'pas', 'masukin', 'tetep', 'tulisannya', 'maaf', 'sistem', 'sibuk', 'coba', 'tolong', 'telkomsel', 'gimana', 'jaringan', 'udh', 'minggu', 'kaya', 'gini']</t>
  </si>
  <si>
    <t>['males', 'ngasih', 'bintang', 'pakai', 'telkomsel', 'banget', 'sinyal', 'susah', 'banget', 'dijakarta', 'beli', 'paket', 'lelet', 'sinyal', '']</t>
  </si>
  <si>
    <t>['paket', 'kuota', 'kuota', 'pagi', 'jam', 'kuota', 'harian', 'bangun', 'jam', 'pagi', 'download', 'kuota', 'pagi', 'kepotong', 'justu', 'kuota', 'jam', 'potong', 'kuota', 'pagi', 'sia', 'beli', 'dipake', 'mengecewakan', 'aplikasi', '']</t>
  </si>
  <si>
    <t>['telkomsel', 'dlu', 'mah', 'gunung', 'sinyal', 'bagus', 'sekarangmah', 'celek', 'banget', 'kuota', 'pakai', 'kartu', 'aktif', 'sayang', 'kuota', 'tlong', 'perbaiki', 'sinyal', 'internet', '']</t>
  </si>
  <si>
    <t>['terimakasih', 'telkomsel', 'sinyal', 'bagus', 'sampe', 'desa', 'desa', 'terjauh', 'indonesia', 'maju', 'memajukan', 'indonesia', 'bawa', 'sinyal', 'simpati', 'mengalir', 'daerah', 'terpencil', 'tanah', 'air', 'indonesia', 'cintai', '']</t>
  </si>
  <si>
    <t>['hai', 'telkomsel', 'isi', 'pulsa', 'cek', 'saldo', 'buka', 'mytelkomsel', 'nomer', 'pakai', 'koneksi', 'perfoma', 'telkomsel', 'merosot', 'tajam', 'pelayanannya']</t>
  </si>
  <si>
    <t>['woiiii', 'gimana', 'sihh', 'aplikasinya', 'bagus', 'jelekkk', 'udh', 'seneng', 'kartu', 'telkomsel', 'ehh', 'taunya', 'buriq', 'gini', 'perbaiki', 'gitu', 'lohhh', 'kecewa', 'lagii', 'gini', 'pengguna', 'telkomsel', 'kecewa', 'aplikasi', 'mytelkomsel', '']</t>
  </si>
  <si>
    <t>['paket', 'habis', 'pulsa', 'langsung', 'sedot', 'ajar', 'telkomsel', 'pelayanan', 'buruk', 'sistem', 'jelek', 'kecewa', '']</t>
  </si>
  <si>
    <t>['kesini', 'kemarin', 'tukar', 'poin', 'saldo', 'linkaja', 'poin', 'poin', 'tukarkan', 'saldo', 'linkaja', 'kecewa']</t>
  </si>
  <si>
    <t>['', 'beli', 'kuota', 'jaringannya', 'panggilan', 'darurat', 'pliss', 'deh', 'ngumpulin', 'duit', 'beli', 'pulsa', 'kuota', 'mempersulit', 'mengecewakan', 'bgtt', 'posisinya', 'lgi', 'kuliah', 'online', 'lgi', 'butuh', 'jaringan', 'bgtt', 'njirr', 'mentang', 'provider', 'terbesar', 'semena', 'bgtt', 'sma', 'pelanggan']</t>
  </si>
  <si>
    <t>['mempermudah', 'penggunaan', 'mengakses', 'telkomsel', 'mempermudah', 'pembelian', 'paket', 'kuota', 'informasi', 'terbaru', 'fitur', 'telkomsel', 'dapatkan', 'hadiah', '']</t>
  </si>
  <si>
    <t>['kebiasaan', 'telkomsel', 'data', 'pulsa', 'hilang', 'paket', 'beli', 'gb', 'ubek', 'ubek', 'penggunaan', 'kuota', 'pemberitahuan', 'telkomsel', 'kuota', 'tersisa', 'mb', 'penggunaan', 'terboros', 'selma', 'pemakaian', 'hnya', 'mb', 'dlam', 'minggu', 'tertera', 'data', 'ponsel', 'kuota', 'utama', 'tinggal', 'mb', 'bros', 'penggunaan', 'data', 'mohon', 'perbaiki', 'gua', 'gedek', 'nyesel', 'telkomsel', 'halah', 'bacot', 'mending', 'bangkrut', 'gblok', '']</t>
  </si>
  <si>
    <t>['komplen', 'sinyal', 'banget', 'paketan', 'habis', 'data', 'nyala', 'pulsa', 'kesedot', 'ditambah', 'harga', 'paketan', 'internet', '']</t>
  </si>
  <si>
    <t>['', 'jetlas', 'banget', 'dgah', 'sumpah', 'pembayatan', 'gopay', 'ribet', 'beli', 'paketan', 'kuota', 'coba', 'gunain', 'data', 'pembayaran', 'gopay', 'kesel', 'urusan', 'mendadak', '']</t>
  </si>
  <si>
    <t>['waduhhhhh', 'kuota', 'udah', 'tahunan', 'make', 'kartu', 'skrng', 'kecewa', 'parah', 'melebihi', 'batas', 'internet', 'non', 'paket', 'akses', 'diblok', 'kuota', 'gue', 'akses', 'web', 'youtube', 'game', 'dll', 'perbaiki', '']</t>
  </si>
  <si>
    <t>['harga', 'paket', 'sesuai', 'kualitas', 'sinyal', 'murahan', 'harga', 'paket', 'selangit', 'untung', 'tingkatkan', 'kualitas', 'sinyal', 'untung', 'konsumen', 'kecewa', 'provider', 'harap', 'koreksi', 'konsumen', 'lari', 'provider', 'tks']</t>
  </si>
  <si>
    <t>['hah', 'masuk', 'login', 'gimana', 'install', 'aplikasi', 'emosi', 'unggul', 'harga', 'kuota', 'mahal', 'kualitas', 'tingkatkan', 'jaringan', 'telkomsel', 'jelek', 'paket', 'tinggal', 'kota', 'tulisan', 'aman', 'tapiii', 'dibawa', 'nge', 'game', 'hancur', 'parah', 'lag', 'udah', 'beli', 'mahal', 'memuaskan', 'diperbaiki', 'ginii', 'knp', 'jelek', 'gitu', 'jaringan', '']</t>
  </si>
  <si>
    <t>['mimin', 'bantu', 'gimana', 'laporan', 'email', 'suruh', 'ganti', 'apn', 'standar', 'telkomsel', 'coba', 'mode', 'pesawat', 'coba', 'bersihkan', 'cace', 'coba', 'restar', 'trus', 'laporannya', 'suruh', 'perbandingan', 'minimal', 'nomor', 'telkomsel', 'ribet', 'laporan', 'cek', 'coba', 'ping', 'tetep', 'jelek', 'turun', 'derastis', 'ping', 'ms', 'wkwkw', 'ngakak', 'daerah', 'kalimantan', 'wadahnya', 'bagus', 'isinya', 'aneh', 'kalah', 'provider', 'sebelah', '']</t>
  </si>
  <si>
    <t>['hii', 'kak', 'maaf', 'ganggu', 'keluhan', 'silahkan', 'hubungi', 'terima', 'kasih', 'teros', 'jawabannya', 'perbaiki', 'jaringan', 'mahal', 'iya', 'lemot', 'iya', 'cie', 'lari', 'pelanggannya', 'emang', 'cocok', 'lari', 'jaringannya', 'lemot', '']</t>
  </si>
  <si>
    <t>['parah', 'telkomsel', 'prioritasin', 'telkomsel', 'lancar', 'mlah', 'tmbah', 'parah', 'evaluasi', 'jaringan', 'nyruh', 'folow', 'akun', 'sgla', 'fokusin', 'prbaikin', 'jaringannya', 'jngan', 'ngarepin', 'member', 'folower', 'beli', 'pulsa', 'beli', 'kuota', 'duit', 'folow', 'akun', 'gadak', 'manfaatnya', 'mwnlog', 'telkomsel', 'masuk', 'vrovider', 'coba', '']</t>
  </si>
  <si>
    <t>['jaringan', 'sinyal', 'internet', 'jelek', 'kecewa', 'telkomsel', 'khusus', 'simpati', 'sya', 'pke', 'krtu', 'thn', 'kuota', 'mahal', 'knapa', 'jaringn', 'internet', 'jelek', 'hrga', 'kuota', 'jaringan', 'internet', 'bagus', 'sebalik', '']</t>
  </si>
  <si>
    <t>['habis', 'instal', 'aplikasi', 'dipakai', 'aplikasinya', 'disuruh', 'refresh', 'jaringan', 'bagus', 'udah', 'kulakukan', 'kali', 'copot', 'instal', '']</t>
  </si>
  <si>
    <t>['waah', 'parah', 'banget', 'kualitas', 'jaringan', 'telkomsel', 'semenjak', 'paket', 'unlimited', 'latensi', 'kuota', 'utama', 'buka', 'whatsapp', 'latensi', 'banget', 'story', 'kebuka', 'kota']</t>
  </si>
  <si>
    <t>['gajelas', 'kuota', 'masi', 'aktipnya', 'udah', 'dipake', 'paket', 'kuota', 'darurat', 'skrg', 'udah', 'gabisa', 'nomor', 'masuk', 'kriteria', 'apasihh', 'gajelas']</t>
  </si>
  <si>
    <t>['membantu', 'pengisian', 'pulsa', 'semoga', 'promo', 'promonya', 'surprise', 'deal', 'ribu', 'pembayaran', 'mudah', 'pilihan']</t>
  </si>
  <si>
    <t>['telkomsel', 'kartu', 'hallo', 'lemot', 'kuota', 'bnyk', 'susah', 'dipakai', 'call', 'center', 'jawabannya', 'kayak', 'ngelawak', 'lemot', 'dibilang', 'maintenance', 'nomer', 'hdeewwhhhh', 'bilangnya', 'dipakainya', 'uda', 'seminggu', 'mentok', 'disuruh', 'reset', 'jaringan', 'kartu', 'reguler', 'fine', 'lemot', 'bnget', 'sumpah', 'kartu', 'halo', 'mengecewakan', 'nyesel', 'daftar', 'kartu', 'halo', '']</t>
  </si>
  <si>
    <t>['upgrade', 'layanan', 'telkomsel', 'bagus', 'berlangganan', 'paket', 'gb', 'rp', 'berlangganan', 'pembaruan', 'paket', 'langganan', 'hilang', 'fiturnya', 'buka', 'gambarnya', 'muat', 'ulang', 'mengecewakan', 'telkomsel', '']</t>
  </si>
  <si>
    <t>['hadeh', 'kesini', 'jaringan', 'telkomsel', 'lelet', 'tolong', 'diperbaiki', 'donk', 'masak', 'iya', 'beli', 'kuota', 'harian', 'dipakai', 'tolong', 'cepat', 'diperbaiki', 'donk', '']</t>
  </si>
  <si>
    <t>['jancoook', 'area', 'kota', 'internet', 'speed', 'jelek', 'pelayanannya', 'sgat', 'mengecewakan', '']</t>
  </si>
  <si>
    <t>['provider', 'haram', 'internet', 'impoten', 'kuota', 'mahal', 'tagihan', 'jalan', 'semoga', 'cepat', 'bangkrut', 'tukang', 'tipu', 'makan', 'duit', 'haram', 'binatang', '']</t>
  </si>
  <si>
    <t>['petugas', 'telkomsel', 'terhormat', 'udah', 'minggu', 'akses', 'internet', 'desa', 'lambat', 'udah', 'menghubungi', 'call', 'centre', 'perbaiki', 'udah', 'minggu', 'jugak', '']</t>
  </si>
  <si>
    <t>['aplikasi', 'kecewa', 'giliran', 'ngecek', 'paket', 'pulsa', 'kadang', 'lambat', 'trus', 'segi', 'pilihan', 'paket', 'skli', 'beli', 'kali', 'jawabannya', 'aplikasi', 'paket', 'maaf', 'sdng', 'gangguan', 'pengen', 'bukti', 'tunjukin', 'kli', 'kecewa', '']</t>
  </si>
  <si>
    <t>['aplikasi', 'beli', 'paket', 'pas', 'buka', 'apk', 'blank', 'putih', 'gabisa', 'udh', 'uninstal', 'trs', 'install', 'kek', 'gtu', 'jengkel', 'gini', 'mending', 'pindah', 'provider', 'laen', 'kecewa']</t>
  </si>
  <si>
    <t>['tolong', 'telkom', 'perhatikan', 'sinyal', 'daerah', 'pedesaaan', 'kota', 'perhatikan', 'beli', 'paketan', 'mahal', 'pakek', 'uang', 'sinyal', 'jaringan', 'parah', 'desa', 'manusia', 'beli', 'paketan', 'pakek', 'uang', 'daon', 'data', 'mahal', 'sinyal', 'buruk', 'parah']</t>
  </si>
  <si>
    <t>['arah', 'ngelag', 'gajelas', 'beli', 'paket', 'dipersulit', 'parah', 'pulsa', 'terpotong', 'kuota', 'engga', 'masuk', 'mengalami', 'maklumi', 'udah', 'parah', 'pulsa', 'beli', 'kuota', 'promo', 'rb', 'tunggu', 'masuk', 'pulsa', 'belom', 'terpotong', 'coba', 'beli', 'pulsa', 'rb', 'tunggu', 'besok', 'pulsa', 'rb', 'kuotanya', 'masuk']</t>
  </si>
  <si>
    <t>['sumpah', 'musim', 'penghujan', 'kaya', 'gini', 'gua', 'kesiksa', 'kartu', 'telkomsel', 'lemot', 'jaringan', 'tpi', 'loading', 'kesel', 'bnr', 'bner', 'lemot']</t>
  </si>
  <si>
    <t>['paket', 'internet', 'cepat', 'habis', 'menggunakannya', 'paket', 'matikan', 'hidupkan', 'paket', 'tinggal', 'minggu', 'paket', 'habis', 'tolong', 'solusinya', 'terima', 'kasih']</t>
  </si>
  <si>
    <t>['hujan', 'sinyal', 'pengeras', 'suara', 'sinyal', 'pesawat', 'sinyal', 'sinyal', 'trus', 'telkomsel', 'bagus', 'streaming', 'video', 'udah', 'muak', 'provider', 'kalinya', 'beli', 'paketan', 'bagusan', 'provider', 'parah', 'alihin', 'telkomsel', 'apps', 'twitter', 'solusinya', 'simpati', 'jelak', 'tolak', 'pergantian', 'kartu', 'mentari', 'telkomsel', 'fokus', 'mentari', 'kayanya']</t>
  </si>
  <si>
    <t>['pemasangan', 'pembelian', 'kartu', 'halo', 'aplikasi', 'berulang', 'kali', 'mencoba', 'menghubungi', 'opr', 'setelahnya', 'mencoba', 'ttp', 'dibagian', 'unggah', 'ktp', '']</t>
  </si>
  <si>
    <t>['jaringan', 'woiii', 'asli', 'mengecewakan', 'kadang', 'error', 'kadang', 'lag', 'udah', 'online', 'offline', 'google', 'jaringan', 'sehat', '']</t>
  </si>
  <si>
    <t>['beli', 'jaringan', 'jaringan', 'dibawahnya', 'lemah', 'masak', 'sinyal', 'kecepatan', 'kayak', 'sinyal', 'lancar', 'klau', 'diperbaiki', 'bintang', 'tambahin']</t>
  </si>
  <si>
    <t>['aneh', 'isi', 'pulsa', 'ribu', 'hilang', 'hey', 'telkom', 'udh', 'jatoh', 'miskin', 'ato', 'mata', 'duit', '']</t>
  </si>
  <si>
    <t>['telkomsel', 'merugikan', 'banget', 'udah', 'mahal', 'sinyal', 'lelet', 'banget', 'kayak', 'kura', 'kura', 'bersyukur', 'udh', 'ganti', 'card', 'sim', 'card', 'sim', 'pakai', 'mantul', 'udah', 'murah', 'sinyal', 'lancar', '']</t>
  </si>
  <si>
    <t>['jaringanya', 'koq', 'lelet', 'bner', 'kecewa', 'pdahal', 'udah', 'langganan', 'bertahun', 'prnah', 'ganti', 'kartu', 'tpi', 'skrng', 'kecewa', 'mhon', 'diperbaiki', 'please', '']</t>
  </si>
  <si>
    <t>['assalamu', 'alaikum', 'beli', 'kuota', 'unlimited', 'gb', 'pilihan', 'kuota', 'gaada', 'beli', 'mohon', 'dihilangkan', 'pas', 'hidupin', 'data', 'seluler', 'data', 'telkomsel', 'gamau', 'tolong', 'min', 'terimakasih']</t>
  </si>
  <si>
    <t>['apps', 'bermanfaat', 'buatku', 'mempermudah', 'cek', 'status', 'kartu', 'info', 'info', 'menarik', 'telkomsel', 'tingkatkan', 'kualitas', 'pelayanan', 'manfaat', 'aplikasinya', 'telkomsel', '']</t>
  </si>
  <si>
    <t>['tolong', 'simapati', 'sinyal', 'diperkuat', 'sinyal', 'telkomsel', 'lemot', 'pelanggan', 'ganti', 'tolong', 'ditanggapi', 'terima', 'kasih', '']</t>
  </si>
  <si>
    <t>['min', 'beli', 'paket', 'tulisannya', 'proses', 'aktivasi', 'masuk', 'masuk', 'paketnya', 'jaringan', 'bermasalah', 'berulang', 'kali', 'dicoba', 'masuk', 'min', 'mohon', 'perbaikannya', '']</t>
  </si>
  <si>
    <t>['puas', 'aplikasi', 'mudah', 'cepat', 'pengecekan', 'pulsa', 'paket', 'harganya', 'irit', 'bandingkan', 'cuman', 'keluhan', 'berlangganan', 'paket', 'ceria', 'ngak', 'notifikasi', 'mohon', 'penjelasannya', 'bijak', 'karna', 'pemula', 'minim', 'pengetahuan', 'aplikasi', 'telkomsel', 'mohon', 'ulasan', 'telkomsel', 'remains', 'heart']</t>
  </si>
  <si>
    <t>['kecewa', 'karenakan', 'memilih', 'jaringan', 'menyebabkan', 'putusnya', 'koneksi', 'internet', 'hilangnya', 'koneksi', 'tolong', 'tingkat', 'daerah', 'provinsi', 'jawa', 'pemalang', '']</t>
  </si>
  <si>
    <t>['jaringan', 'kentang', 'hujan', 'hujan', 'gua', 'pakek', 'tri', 'cepet', 'tri', 'sinyal', 'ghoib', 'jaringan', 'berkulitas', 'berubah', 'kentang', 'perbaiki', 'jaringan', 'dipelosok', 'ama', 'desa', 'desa', 'kota', 'perbaiki', 'satelitnya', 'bermasalah', 'hah', 'udah', 'mahal', 'lemot', 'sesuai', 'harga', 'gua', 'bandingin', 'ama', 'axis', 'njieng', 'udah', 'mahal', 'ngeleg', 'contoh', 'entr', 'giaman', 'emosi', 'coba', 'mahal', 'lemot']</t>
  </si>
  <si>
    <t>['telkomsel', 'bertahan', 'mending', 'tutup', 'deh', 'ngerugikan', 'pelanggan', 'harga', 'kuota', 'mahal', 'mestinya', 'disesuaikan', 'pelayanannya', 'sinyal', 'parah', 'hilang', 'total', 'banget', 'jaringan', 'internet', 'leletnya', 'ampun', 'msh', 'terbsik', 'pelayanan', 'diperbaiki', '']</t>
  </si>
  <si>
    <t>['', 'kecewa', 'telkomsel', 'pdahal', 'kartu', 'tertera', 'memiliki', 'kuota', 'gb', 'pulsa', 'nmun', 'ntah', 'knpa', 'kuota', 'ngga', 'bsa', 'pke', 'msih', 'utuh', 'segitu', 'yng', 'aneh', 'mlahan', 'pulsa', 'yng', 'kesedot', 'gmna', 'min', 'tolong', 'perbaiki', '']</t>
  </si>
  <si>
    <t>['bener', 'ngak', 'kuota', 'internet', 'gue', 'gb', 'masuk', 'pesan', 'habis', 'hilang', 'pulsa', 'gue', 'aneh', 'banget', '']</t>
  </si>
  <si>
    <t>['telkomsel', 'provider', 'pilihan', 'dipakai', 'cuaca', 'area', 'kota', 'pelosok', 'harga', 'provider']</t>
  </si>
  <si>
    <t>['sinyal', 'strip', 'doang', 'ndak', 'ilang', 'gimana', 'rusak', 'jelek', 'kali', 'gabisa', 'make', 'provider', '']</t>
  </si>
  <si>
    <t>['aplikasi', 'dibuka', 'force', 'close', 'beli', 'paketan', 'tolong', 'lakukan', 'perbaikan', 'update']</t>
  </si>
  <si>
    <t>['tolong', 'klu', 'buka', 'aplikasi', 'verikasi', 'nomor', 'verifikasi', 'nomor', 'detik', 'buru', 'habis', 'jaringan', 'telkomsel', 'super', 'lelet', 'jadiny', 'aplikasi', 'klu', 'kyk', 'gitu', 'terima', 'kasih', 'aplikasi', 'uninstall', '']</t>
  </si>
  <si>
    <t>['kuota', 'kemendikbud', 'operator', 'lancar', 'lancar', 'telkomsel', 'bermasalah', 'sampe', 'buka', 'web', 'learning', 'meraih', 'keuntungan', 'banyaknya', 'kah', 'kuota', 'kemendikbud', '']</t>
  </si>
  <si>
    <t>['mengecewakan', 'csnya', 'balasnya', 'pulsa', 'berkurang', 'mengecewakna', 'mending', 'profider', 'telkomsel', 'banget', 'dna', 'balasnya', 'huh', 'kecewa', 'parah', 'mengecewakan', '']</t>
  </si>
  <si>
    <t>['kecewa', 'sinyal', 'jaringan', 'buruk', 'pengguna', 'tsel', 'ganti', 'nomor', 'kali', 'merasakan', 'sinyalnya', 'buruk', 'streaming', 'youtube', 'kualitas', 'buffering', 'kebangetan', '']</t>
  </si>
  <si>
    <t>['tolong', 'perbaiki', 'sinyal', 'telkomsel', 'pagi', 'siang', 'malem', 'jelak', 'mulu', 'sinylnya', 'jujur', 'kecewa', 'bangetsi', 'sinyalnya', 'tetep', 'kaya', 'gini', 'mohon', 'perbaiki', '']</t>
  </si>
  <si>
    <t>['aplikasi', 'kualitas', 'sinyal', 'kualitas', 'pelayanan', 'buruk', 'telkomsel', 'provider', 'ter', 'buruk', 'kuota', 'internet', 'gb', 'dipake', 'internet', 'gabisa', 'dasar', 'provider', 'bangkrut', 'telkomsel', '']</t>
  </si>
  <si>
    <t>['telkomsel', 'trouble', 'gimana', 'buka', 'paketan', 'gb', 'lho', 'ngisi', 'paketan', 'jaringannya', 'kek', 'gini', 'mohon', 'perbaikannya', 'btw', 'gabisa', 'login', '']</t>
  </si>
  <si>
    <t>['jaringan', 'hancur', 'lelet', 'pke', 'nge', 'game', 'lumayan', 'kdang', 'jaringan', 'kadang', 'kesel', 'jringan', 'nge', 'ganggu', 'bangt', 'anjm', 'pas', 'main', 'game', 'bagusin', 'min', 'jringan', 'paket', 'kouta', 'abis', 'jaringan', 'bagus', 'sekian', 'wasalam']</t>
  </si>
  <si>
    <t>['buka', 'apk', 'slalu', 'suruh', 'login', 'aneh', 'mendaftar', 'login', 'simpati', 'telkomsel', 'udah', 'keluhan', 'pelanggan', 'telkomsel', 'mohon', 'maaf', 'memperbaikinya', 'bla', 'bla', 'bla', 'kenyataanya', 'smpai', 'china', 'korea', 'udah', 'matahari', 'buatan', 'telkomsel', 'pelanggan', 'emosi', 'butuh', 'maaf', 'team', 'telkomsel', 'kendala', 'slalu', 'mengganggu', 'kepercayaan']</t>
  </si>
  <si>
    <t>['telkomsel', 'internet', 'tercepat', 'terkuat', 'indonesia', 'kalah', 'providers', 'maaf', 'tsel', 'ganti', 'kartu', 'signal', 'mengecewakan']</t>
  </si>
  <si>
    <t>['beli', 'paket', 'promo', 'kali', 'beli', 'paket', 'dihari', 'kuota', 'isi', 'pulsa', 'ribu', 'kepotong', 'ribu', 'sorenya', 'kepotong', 'ribu', 'pagi', 'kepotong', 'ribu', 'kuota', 'aktif', 'banget', 'telkomsel', 'isi', 'pulsa', 'ribu', 'lancar', 'kuota', 'pemaksaaan', 'namanya', 'udah', 'komplain', 'email', 'diblock', 'pesan', 'komplain', 'veronika', 'aplikasinya', 'direspon', '']</t>
  </si>
  <si>
    <t>['data', 'habis', 'akses', 'telkomsel', 'beli', 'data', 'masuk', 'aplikasi', 'koneksi', 'lambat', 'pulsa', 'udah', 'kesedot', 'banget', 'kecewa', '']</t>
  </si>
  <si>
    <t>['telkomsel', 'mengalami', 'penurunan', 'drastis', 'gamer', 'telkomsel', 'work', 'gamer', 'yaaa', 'mending', 'provider', 'abad', 'perubahan', 'sarankan', 'pindah', 'trimakasih']</t>
  </si>
  <si>
    <t>['mohon', 'perbaiki', 'aplikasi', 'skrg', 'berhenti', 'android', 'susah', 'penggunaan', 'aman', 'respon', 'perbaikan', '']</t>
  </si>
  <si>
    <t>['pulsa', 'berkurang', 'memiliki', 'kuota', 'aktif', 'mohon', 'telkomsel', 'memperbaiki', 'plz', 'masak', 'pulsa', 'habis', 'kuota', 'aktif', 'asw']</t>
  </si>
  <si>
    <t>['terimakasih', 'aplikasi', 'bernama', 'telkomsel', 'senang', 'disisi', 'suka', 'pembelian', 'paket', 'paket', 'abis', 'kena', 'pulsa', 'matikan', 'data', 'kena', 'pulsa', 'bintang', '']</t>
  </si>
  <si>
    <t>['paket', 'myshop', 'menipu', 'klik', 'pulsa', 'mencukupi', 'pulsa', 'melebihi', 'harga', 'pulsa', 'ditambah', 'menu', 'paket', 'beli', 'langsung', 'menghilang', 'parah', 'asa', 'hoyong', 'najong', 'bengeut', 'jurig', '']</t>
  </si>
  <si>
    <t>['asallammualikum', 'guysss', 'nyesel', 'telkomsel', 'ancurr', 'parah', 'udh', 'thn', 'tsl', 'parah', 'jaringan', 'suka', 'loss', 'koneksi', 'truss', 'warga', 'rakyarr', 'indonesia', 'gausah', 'telkomsel', 'lagii', 'beli', 'mahal', 'sampe', 'ratusan', 'ribu', 'mala', 'kecewakan', 'bkln', 'ganti', 'kartuu', 'gini', 'truss', 'wasallammualikumm', '']</t>
  </si>
  <si>
    <t>['telkomsel', 'paket', 'internet', 'mahal', 'pandemi', 'kasih', 'bunos', 'terjangkau', 'ngangur', 'dirumah', 'paket', 'internet', 'membebankan', '']</t>
  </si>
  <si>
    <t>['beli', 'paket', 'unlimited', 'kadang', 'susah', 'nyambung', 'sinyal', 'penuh', 'matiin', 'nyalain', 'data', 'mode', 'pesawat', 'capek', 'pengen', 'ganti', 'provider']</t>
  </si>
  <si>
    <t>['mudah', 'pahami', 'mengerti', 'promo', 'telkomsel', 'memanjakan', 'pelanggan', 'telkomsel', 'tolong', 'daerah', 'kabupaten', 'tingkatkan', 'kualitas', 'jaringan', 'internet', 'pengguna', 'jaringan', 'telkomsel', 'senang', 'nyaman', 'melakulan', 'sosmed', 'game', 'trimakasih']</t>
  </si>
  <si>
    <t>['parah', 'sinyal', 'ilang', 'ilangan', 'lemooooot', 'banget', 'ngegame', 'susah', 'hadeh', 'tolong', 'diperbaiki', '']</t>
  </si>
  <si>
    <t>['tolong', 'dibuatkan', 'pelayanan', 'pulsa', 'save', 'indosat', 'pulsa', 'kesedot', 'internetan', 'karna', 'perihal', 'kuota', 'abis', 'pulsa', 'rb', 'sisa', 'rb', 'karna', 'buka', 'shopee', 'sebentar', 'dapet', 'subsidi', 'kuota', 'belajar', 'pemerintah', 'tetep', 'kesedot', 'pulsa', 'astaghfirullah', 'merugikan', 'konsumen', 'tolong', 'perbaiki', 'pelayanannya', 'pelayanannya', 'indosat', 'kuota', 'internet', 'habis', 'nyedot', 'pulsa', '']</t>
  </si>
  <si>
    <t>['jaringan', 'telkomsel', 'berubah', 'main', 'game', 'online', 'ping', 'jaringan', 'banget', 'nggak', 'udah', 'main', 'terbuka', 'ram', 'udah', 'habis', 'beli', 'paket', 'combo', 'main', 'game', 'online', 'lag', 'ping', 'mengecil', 'udah', 'jam', 'jam', 'malam', 'terkadang', 'koneksinya', 'hilang', 'ganggu', 'main', 'game', 'aplikasi', 'tugas', 'chattingan', 'akses', 'mohon', 'memperbaiki', '']</t>
  </si>
  <si>
    <t>['woyy', 'kualitas', 'sesuai', 'harga', 'tarif', 'internetmu', 'mahal', 'kualitas', 'nyaa', 'lemot', 'payaaaaaahhh', '']</t>
  </si>
  <si>
    <t>['liat', 'keluhan', 'pelangganmu', 'keluhan', 'dibalas', 'suruh', 'kirim', 'email', 'busuk', 'koneksi', 'telkomsel', 'nyesel', 'banget', 'cuaca', 'terik', 'lemot', 'mendung', 'lemot', 'ujan', 'lemot', 'provider', 'busuk', '']</t>
  </si>
  <si>
    <t>['dapet', 'kuota', 'kemendikbud', 'login', 'tpi', 'dapet', 'sms', 'telkomsel', 'gini', 'isinya', 'yth', 'pakai', 'kuota', 'kemendikbud', 'bla', 'bla', 'bla', 'abis', 'kuota', 'kemendikbud', 'dipake', 'kuotanya', 'jaringan', 'gimana', 'telkomsel', 'ngecewain', 'banget', 'udah', 'isi', 'smsnya', 'sumpah', 'kecewa', '']</t>
  </si>
  <si>
    <t>['dear', 'telkomsel', 'jaringan', 'hilang', 'quota', 'rugi', 'kaya', 'gini', 'udah', 'mahal', 'pilih', 'telkomsel', 'karna', 'mahal', 'bagus', 'ngga', 'hilang', 'kadang', 'perbaikilah']</t>
  </si>
  <si>
    <t>['paket', 'ceria', 'telkom', 'udah', 'ngg', 'sdangkan', 'tersedia', 'ngg', 'kebeli', 'minat', 'jualan', 'kagak', 'jngan', 'php', '']</t>
  </si>
  <si>
    <t>['aktifkan', 'isi', 'quota', 'harga', 'mahal', 'quota', 'datanya', 'cepat', 'menguap', 'jam', 'pakai', 'gb', 'jam', 'pakai', 'gb', 'habis', 'menguangnya', 'kemana', 'udahlah', 'coba', 'cari', 'cocok']</t>
  </si>
  <si>
    <t>['', 'kak', 'menghubungi', 'via', 'telegram', 'petunjuk', 'jaringan', 'setabil', 'terima', 'kasih', 'respon', 'cepat', 'harap', 'telkomsel', 'terbaik', 'pelanggan', 'terimakasih', '']</t>
  </si>
  <si>
    <t>['kesini', 'ancur', 'sinyal', 'sesuai', 'harga', 'paket', 'auto', 'pindah', 'provider', 'ratingnya', 'udah', 'jelek', 'peningkatan', 'jaringan']</t>
  </si>
  <si>
    <t>['mohon', 'maaf', 'kasih', 'bintang', 'puas', 'telkomsel', 'dimana', 'harga', 'paket', 'data', 'mahal', 'promo', 'jaringannya', 'nge', 'lag', '']</t>
  </si>
  <si>
    <t>['aplikasi', 'hancur', 'buka', 'aplikasi', 'login', 'ulang', 'udah', 'jaringan', 'kota', 'pekanbaru', 'hancur', 'ditambah', 'aplikasi', 'amburadur', 'hadehhh', '']</t>
  </si>
  <si>
    <t>['telkomsel', 'parah', 'banget', 'kuota', 'dikit', 'pulsa', 'langsung', 'jahat', 'banget', 'emang', 'peringatan', 'muncul', 'udah', 'matiin', 'data', 'cek', 'pulsa', 'langsung', 'habis', 'kebijakan', 'jahanam', 'emang', 'tarif', 'normal', 'pastikan', 'kuota', 'pelanggan', 'njir', 'jahat', 'banget', 'kasihan', 'rakyat', 'pandemi', 'gini', 'pulsa', 'ilang', 'gue']</t>
  </si>
  <si>
    <t>['tolong', 'beritahu', 'letak', 'customer', 'servis', 'aplikasi', 'menemukan', 'keluhan', 'tolong', 'perbaiki', 'sinyal', 'perbaiki', 'penggunaan', 'kuota', 'unlimited', 'youtube', 'karna', 'lambat', 'kuota', 'karna', 'jaringan', 'batasan', 'penggunaan', 'kuota', 'unlimited', 'youtube', 'tolong']</t>
  </si>
  <si>
    <t>['pas', 'instal', 'jaringan', 'jelek', 'download', 'balas', 'langsung', 'terkirim', 'pas', 'udah', 'download', 'mytelkomselnya', 'jaringannya', 'jelek', 'tunggu', 'menit', 'chat', 'terkirim', 'kecewa', 'mytelkomsel']</t>
  </si>
  <si>
    <t>['jaringan', 'stabil', 'kebanyakan', 'lelet', 'harga', 'mahal', 'kualitas', 'jelek', 'kualitas', 'jaringan', 'internet', 'telkomsel', 'pelanggan', 'rugi', 'ayo', 'telkomsel', 'harga', 'mahalin', 'kualitas', 'perbaiki']</t>
  </si>
  <si>
    <t>['penguna', 'telkomsel', 'bertahun', 'senin', 'maret', 'beli', 'pulsa', 'ribu', 'paket', 'internet', 'gojek', 'paketkan', 'ribu', 'paket', 'internet', 'aktivasi', 'sms', 'masuk', 'pulsa', 'ribu', 'masuk', 'pulsa', 'senilai', 'ribu', 'kembalikan', 'pulsa', 'otomatis', 'pulsa', 'raib', 'tlp', 'telkomsel', 'progres', 'kecewa']</t>
  </si>
  <si>
    <t>['telkomsel', 'bagus', 'paket', 'combo', 'sakti', 'aplikasikan', 'promo', 'telkomsel', 'paket', 'pesial', 'cek', 'promo', 'sms', 'promo', 'kartu', 'paket', 'spesial', 'pelayanan', 'emang', 'bagus', 'disuruh', 'lapor', 'screenshot', 'kirim', 'email', 'pusing', 'officer', 'menyimpan', 'data', 'pelanggan', 'telkomsel', 'jdi', 'tolong', 'diperbaiki', 'tnpa', 'hrus', 'pembuktiannya', '']</t>
  </si>
  <si>
    <t>['jaringan', 'kek', 'ampas', 'ngelag', 'bener', 'malem', 'parah', 'kuota', 'ngaruhnya', 'kacau']</t>
  </si>
  <si>
    <t>['signal', 'jaringan', 'buruk', 'kartu', 'ganti', 'telkomsel', 'memperbaiki', 'layanannya', 'beralih', 'provider', 'pelayanan', 'jaringannya', '']</t>
  </si>
  <si>
    <t>['', 'kasih', 'semenjak', 'kejadian', 'kebakaran', 'riau', 'koneksi', 'hancur', 'berenti', 'pakai', 'telkomsel', 'karna', 'suka', 'main', 'game', 'online', 'butuh', 'koneksi', 'stabil', 'beralih', 'operator', 'pingin', 'coba', 'berharap', 'koneksi', 'normal', 'kek', 'nggak', 'koneksi', 'hancur', 'hancur', '']</t>
  </si>
  <si>
    <t>['telkomsel', 'kuotanya', 'mahal', 'sesuai', 'area', 'lokasi', 'promo', 'masuk', 'ujung', 'ujungnya', 'pas', 'akses', 'maaf', 'layannan', 'akses', 'sistem', 'sibuk', 'membeli', 'paket', 'diarahkan', 'telkomsel', 'hasilnya', 'kadang', 'mahal', 'sesuai', 'info', 'telkomsel', 'sekedar', 'saran', 'promo', 'tolong', 'betulkan', 'pelanggan', 'kecewa', 'perhatiannya', 'ucapakan', 'terima', 'kasih', '']</t>
  </si>
  <si>
    <t>['uda', 'paket', 'mahal', 'dibela', 'beli', 'jaringannya', 'kayak', 'taik', 'dihubungi', 'csnya', 'perbaikan', 'sampe', 'proses', 'uda', 'sebulan', 'lapor', 'perbaikan', 'tolong', 'niat', 'ngasih', 'jaringan', 'bagus', 'mending', 'slogan', 'manis', 'taik', 'kucing', 'jaringannya', 'tolong', 'perbaiki', 'daerah', 'kec', 'tapung', 'kab', 'kampar', 'riau', 'jarak', 'pemancarnya', 'sinyal', 'buruk', 'telkomsel', 'backup', 'jaringannya', '']</t>
  </si>
  <si>
    <t>['plis', 'jaringan', 'drumah', 'ancur', 'banget', 'gada', 'sma', 'sya', 'pelanggan', 'setia', 'telkomsel', 'dri', 'sya', 'smp', 'smpai', 'skrng', 'knp', 'telkomsel', 'prnh', 'sinyal', 'rumah', 'sya', 'rumah', 'sya', 'desa', 'mundu', 'kabupaten', 'cirebon', 'plis', 'mohon', 'perbaiki', 'sinyal', 'daerah', 'mundu']</t>
  </si>
  <si>
    <t>['aplikasinya', 'bagus', 'paketnya', 'memiliki', 'promo', 'murah', 'sayangnya', 'kasi', 'sms', 'suruh', 'download', 'aplikasi', 'telkomsel', 'mendapatkannya']</t>
  </si>
  <si>
    <t>['perbaiki', 'jaringan', 'menyalahkan', 'pelanggan', 'kondisi', 'hujan', 'cuaca', 'cerah', 'berbeda', 'beli', 'paket', 'telkomsel', 'murah', 'dibandingkan', 'operator', 'sesuai', 'layanan', '']</t>
  </si>
  <si>
    <t>['pas', 'beli', 'paket', 'data', 'pulsa', 'tolong', 'diperbaiki', 'pengguna', 'mytelkomsel', 'nyaman', 'transaksi', '']</t>
  </si>
  <si>
    <t>['beli', 'paket', 'telkomsel', 'sinyal', 'balok', 'tpi', 'speed', 'ping', 'banget', 'harapan', 'dibenahi', 'dlu', 'telkomsel', 'speed', 'ping', 'kalah', 'provider', 'sebelah', '']</t>
  </si>
  <si>
    <t>['maaf', 'knp', 'jaringan', 'lambat', 'stabil', 'kali', 'yaa', 'udh', 'komplen', 'petugas', 'telkomselnya', 'via', 'telegram', 'disuruh', 'nunggu', 'laaa', 'dsuruh', 'laaa', 'jelek', 'kek', 'gni', 'tolong', 'laa', 'daring', 'gmeet', 'masuk', '']</t>
  </si>
  <si>
    <t>['sip', 'paketan', 'lihat', 'statusnya', 'besok', 'offline', 'aplikasinya', 'mudah', 'pengecekannya', '']</t>
  </si>
  <si>
    <t>['woi', 'telkomsel', 'kuota', 'data', 'mahal', 'mahalin', 'jaringan', 'bobrok', 'warga', 'beli', 'paket', 'data', 'pakai', 'uang', '']</t>
  </si>
  <si>
    <t>['wahh', 'plat', 'merah', 'speed', 'turun', 'drastis', 'kartu', 'halo', 'lemot', 'sesuai', 'pelayanan', 'kecewa', '']</t>
  </si>
  <si>
    <t>['seriuss', 'udah', 'males', 'kali', 'telkomsel', 'jaringan', 'parah', 'kalinya', 'ganti', 'kartu', 'keluarga', 'mah', 'enak', 'mahal', 'tpi', 'berkualitas', 'udah', 'males', 'bintang', 'sudi']</t>
  </si>
  <si>
    <t>['oalah', 'axis', 'axis', 'jaringan', 'lelet', 'bergegas', 'pindah', 'telkomsel', 'telkomsel', 'jaringan', 'bagus', 'bayangkan', 'ehh', 'parah', 'lag', 'axis', 'kecewa', '']</t>
  </si>
  <si>
    <t>['jaringan', 'ancur', 'berharap', 'beli', 'kartu', 'kewajiban', 'mempedulikan', 'kacau', 'asli', 'udah', 'jaringan', 'jijik']</t>
  </si>
  <si>
    <t>['mas', 'mba', 'admin', 'operator', 'apalah', 'disebutnya', 'aplikasinya', 'eror', 'tulisan', 'something', 'went', 'wrong', 'login', 'aplikasi', 'aplikais', 'kebuka', 'gabisa', 'cek', 'kuota', 'dll', 'tulisan', 'something', 'went', 'wrong', 'mohon', 'dinotice', 'terimakasih', '']</t>
  </si>
  <si>
    <t>['selamat', 'pulsa', 'pulsa', 'apain', 'pajangan', 'kah', 'gimana', 'iklas', 'ngasih', 'ngasih', 'njing', 'taik', 'sms', 'asli', 'selamat', 'paket', 'pulsa', 'rp', 'aktif', 'berlaku', 'tgl', 'pkl', 'wib', 'cek', 'status', 'berhenti', 'berlangganan', 'telkomsel', 'apps', 'hub', 'info', '']</t>
  </si>
  <si>
    <t>['jaringan', 'telkomsel', 'hancur', 'buang', 'buang', 'paketan', 'harga', 'paket', 'mahal', 'bertahun', 'telkomsel', 'kesini', 'amsyong', 'bagus', 'jaringan', 'buka', 'playstore', 'masyaallah', 'muternya']</t>
  </si>
  <si>
    <t>['beli', 'kuota', 'mahal', 'banget', 'ngga', 'kaya', 'anak', 'gb', 'cumarp', 'aktip', 'hri', 'ngga', 'pafahal', 'pakai', 'simpati', 'loop', 'kartunya', 'payah', 'telkomsel', 'lumayan', 'pakai', 'telkomsel', 'gini', 'ganti', 'kartu', '']</t>
  </si>
  <si>
    <t>['', 'telkomsel', 'jaringan', 'lemot', 'jaringan', 'stabil', 'pemakaian', 'kouta', 'lancar', 'kouta', 'dipakai', 'sisa', 'kouta', 'terpakai', 'hangus', 'parah', 'telkomsel', 'pulsa', 'sisa', 'hilang', '']</t>
  </si>
  <si>
    <t>['sinyal', 'jelek', 'pakek', 'pakek', 'telkomsel', 'telkomsel', 'emang', 'mahal', 'sinyal', 'bagus', 'mahal', 'jelek', 'jaringan', '']</t>
  </si>
  <si>
    <t>['', 'telkomsel', 'kasih', 'bintang', 'dlu', 'sbg', 'driver', 'ojol', 'gojek', 'notabene', 'gojek', 'telkomsel', 'jaringan', 'stabil', 'orderan', 'masuk', 'ambil', 'panas', 'pdhal', 'samsung', 'ram', 'rom', 'jarang', 'apl', 'ngebid', 'indikator', 'sinyal', 'bener', 'mengecewakan', 'telkomsel', 'driver', 'ojol', 'ratusan', 'ribu', 'indonesia', 'notabene', 'area', 'tangerang', 'kota', 'jaringan', 'payah', 'musti', 'gmn', 'skrg', 'boossss']</t>
  </si>
  <si>
    <t>['kecewa', 'banget', 'kartu', 'gua', 'duanya', 'telkomsel', 'sinyal', 'jelek', 'udah', 'menghubungi', 'costumer', 'kek', 'gini', 'gua', 'sebulan', 'ribu', 'sinyal', 'kek', 'coba', 'main', 'game', 'kuat', 'muter', 'sampe', 'sinyal', 'gua', 'bagus']</t>
  </si>
  <si>
    <t>['wilayah', 'serang', 'banten', 'signal', 'jelek', 'buka', 'aplikasi', 'telkomnya', 'lucu', 'buruk', 'parah', 'signalnya', 'kecewa', 'mahal', 'mengecewakan', '']</t>
  </si>
  <si>
    <t>['malam', 'jaringan', 'internet', 'tolonglah', 'layanan', 'terbaik', 'konsumen', 'bayar', 'langganan', 'menikmati', 'internet', 'gratis', 'bayar', '']</t>
  </si>
  <si>
    <t>['yuk', 'yuk', 'berbenah', 'udh', 'baca', 'ulasan', 'ngasi', 'bintang', 'yuk', 'males', 'coba', 'berkali', 'nggk', 'masuk', 'yuk', 'tergeser', 'operator', 'lho', 'bagus', 'yuk', 'pertahankan', 'udh', 'pelanggan', 'gembor', 'narik', 'pelanggan', 'trimakasih']</t>
  </si>
  <si>
    <t>['seneng', 'kartu', 'telkomsel', 'karna', 'sinyal', 'desa', 'sinyal', 'sinyal', 'bagus', 'karna', 'udah', 'kartu', 'telkomsel', 'penurun', 'sinyal', 'mbs', 'kepecetan', 'sinyal', 'udah', 'turun', 'mohon', 'perbaiki', 'terima', 'kasih', '']</t>
  </si>
  <si>
    <t>['telkomsel', 'sinyal', 'hancur', 'sinyal', 'masuk', 'situs', 'manapun', 'tolong', 'perbaiki', 'jaringan', 'pelanggan', 'pindah', 'tetangga', 'telkomsel', 'sinyal', 'keong', 'lelet', '']</t>
  </si>
  <si>
    <t>['yaa', 'tuker', 'point', 'ngk', 'bisaa', 'udah', 'ribuan', 'smpe', 'setahun', 'hanguss', 'tuker', 'point', 'ngk', 'bisaa', 'mohon', 'bantuanya']</t>
  </si>
  <si>
    <t>['baguus', 'data', 'sms', 'kagak', 'gratisan', 'sms', 'pulsa', 'sinyal', 'bnyak', 'sms', 'gagal', 'ngeselin', 'bngt', 'tolong', 'tolong', 'knapa', 'gitu', 'perbaiki', '']</t>
  </si>
  <si>
    <t>['aplikasi', 'keren', 'lengkap', 'sulit', 'mengerti', 'aplikasi', 'gunanya', 'maju', 'telkomsel']</t>
  </si>
  <si>
    <t>['sinyal', 'jelek', 'kota', 'palembang', 'gangguan', 'tahan', 'pakek', 'telkomsel', 'gini', 'performa', 'telkomsel', 'mending', 'tutup', 'bangrut']</t>
  </si>
  <si>
    <t>['jaringan', 'penuh', 'sinyal', 'jalan', 'telkomsel', 'receh', 'skrg', 'mahal', 'menjijikan', 'pensiun', 'telkom', 'aplikasinya', 'loading', 'bet', 'gabisa', 'mode', 'oflen', 'receh', 'bener']</t>
  </si>
  <si>
    <t>['tolong', 'cek', 'jaringan', 'internet', 'sumbar', 'sumatra', 'barat', 'nelpon', 'minggu', 'tolong', 'cek', 'salah', 'buruk', 'pelayanan', 'telkomsel', 'anjinm', 'beli', 'paket', 'mahal', 'jaringan', 'internet', 'buruk', 'buruk', 'bermutu', '']</t>
  </si>
  <si>
    <t>['mohon', 'maaf', 'sblum', 'kecewa', 'telkomsel', 'besok', 'ganti', 'kartu', 'telkomsel', 'jaringan', 'terlemot']</t>
  </si>
  <si>
    <t>['udah', 'seharian', 'sinyal', 'jaringan', 'paket', 'aktif', 'kartu', 'november', 'kartu', 'berkali', '']</t>
  </si>
  <si>
    <t>['', 'daerah', 'jaringan', 'gnya', 'susah', 'dibilang', 'nggak', 'jaringan', 'bintang', 'jaringan', 'internet', 'telkomsel', 'luas', 'rating', 'terimakasih']</t>
  </si>
  <si>
    <t>['paket', 'internet', 'mahal', 'mahal', 'kecewa', 'temen', 'gua', 'gb', 'rb', 'gua', 'gua', 'mah', 'iri', 'temen', 'gua', 'paket', 'murah', 'murah', 'paket', 'mahal', 'mahal', 'susah', 'banget', 'kartu', 'telkomsel', 'kasih', 'bintang', 'mengecewakan']</t>
  </si>
  <si>
    <t>['tsel', 'kelupaan', 'isi', 'pulsa', 'hangus', 'beli', 'malesbya', 'tsell', 'kebanyakan', 'iklan', 'masuk', 'orang', 'menawarkan', 'semoga']</t>
  </si>
  <si>
    <t>['vertifikasi', 'terkirim', 'nomor', 'nomor', 'udah', 'telkomsel', 'pindah', 'nomor', 'vertifikasi', 'ulang', 'gagal', '']</t>
  </si>
  <si>
    <t>['kartu', 'hangus', 'keisi', 'pulsa', 'pas', 'kere', 'kerenya', 'urus', 'telkomsel', 'payah', 'konsumen', 'coba', 'telkomsel', 'alasannya', 'klw', 'prowpeder', 'sebelah', 'ribet', 'langsung', '']</t>
  </si>
  <si>
    <t>['kartu', 'telkomsel', 'panggilan', 'hanyar', 'kartu', 'ayah', 'adik', 'mengalami', 'telkomsel', '']</t>
  </si>
  <si>
    <t>['kendala', 'jaringan', 'kagi', 'lemot', 'browsing', 'buka', 'aplikasi', 'jga', 'lemot', 'download', 'pembaruan', 'mb', 'btuh', 'mnt', '']</t>
  </si>
  <si>
    <t>['jaringan', 'hancur', 'lemot', 'bener', 'kalah', 'provider', 'sebelah', 'kartu', 'miskin', 'telkomsel', 'licik', 'mencari', 'keuntungan', 'memikirkan', 'pelanggan', 'setianya', 'udh', 'kuota', 'mahal', 'jaringannya', 'hancur', 'habis', 'duit', 'sia', '']</t>
  </si>
  <si>
    <t>['keluha', 'telegram', 'disuruh', 'nunggu', 'jam', 'jam', 'menunggu', 'kejelasan', 'aktif', 'aktif', 'ditanggal', 'berubah', 'terimakasih', 'telkomsel']</t>
  </si>
  <si>
    <t>['sumpah', 'telkomsel', 'temen', 'akses', 'kuota', 'internet', 'murah', 'kartu', 'mahal', 'dapet', 'tawaran', 'kuota', 'murah', 'payah', '']</t>
  </si>
  <si>
    <t>['login', 'muter', 'banget', 'jminta', 'refresh', 'refresh', 'banget', 'refresh', 'refresh', 'knp', 'mohon', 'terima', 'kasih']</t>
  </si>
  <si>
    <t>['', 'funny', 'paket', 'kuota', 'beli', 'pemakaian', 'habis', 'terpakai', 'kuota', 'beli', 'pemakaian', 'tersedot', 'paket', 'beli', 'terbuang', 'sia', 'terpakai', 'berlaku', 'habis', 'mubazir', 'deh', 'iya', 'jaringan', 'telkomsel', 'bagus', 'semoga', 'kedepannya', 'telkomsel', '']</t>
  </si>
  <si>
    <t>['rugi', 'banget', 'beli', 'paketan', 'telkomsel', 'mahal', 'lemotnya', 'karuan', 'kaya', 'operatornya', 'iklan', 'kenyatannya', 'berbeda', 'pengen', 'laku', 'tolong', 'obral', 'janji', 'perbaiki', 'layanan', 'pengen', 'laku']</t>
  </si>
  <si>
    <t>['daily', 'check', 'reedem', 'alasannya', 'maaf', 'penukaran', 'sesuai', 'channel', 'ditentukan']</t>
  </si>
  <si>
    <t>['bener', 'kecewa', 'telkomsel', 'isi', 'pulsa', 'laporannya', 'berhasil', 'pulsa', 'masuk', 'udah', 'complain', 'tpi', 'jawabannya', 'disuruh', 'menunggu', 'udh', 'kejelasan', 'emangnya', 'pulsa', 'segitu', 'telkomsel', 'ganti', 'mesti', 'merugikan', 'konsumen', 'bertanggung', '']</t>
  </si>
  <si>
    <t>['gajelas', 'beli', 'paket', 'kesalahan', 'sistem', 'trus', 'banget', 'beli', 'paket', 'nomer', 'beda', 'bayarannya', 'trus', 'beli', 'paket', 'sms', 'susah', 'banget', 'nyaman', 'sistem', 'kaya', 'gini', 'trus', '']</t>
  </si>
  <si>
    <t>['jaringanya', 'buruk', 'paketan', 'mahal', 'banget', 'cepet', 'abis', 'unlimited', 'sosial', 'media', 'buka', 'youtube', 'pakai', 'kuota', 'please', 'deh', 'penipuan']</t>
  </si>
  <si>
    <t>['butuh', 'paket', 'telp', 'ngk', 'cash', 'membeli', 'pulaa', 'saldo', 'telomse', 'beli', 'paket', 'telp', 'dfn', 'harga', 'murah', 'terjangkau', 'telkomsel', '']</t>
  </si>
  <si>
    <t>['selamat', 'pagi', 'kak', 'mohon', 'maaf', 'paket', 'aktif', 'paketan', 'kurangi', 'pakai', 'paketan', 'terbaru', 'paketan', 'utuh', 'paketan', 'terbaru', 'aktifnya', 'paketan', 'sebentar', 'paketan', 'kali', 'provider', 'operator', 'dipakai', 'paketan', 'habis', 'terimakasih']</t>
  </si>
  <si>
    <t>['bayar', 'tagihannya', 'pas', 'kouta', 'masuk', 'tagihan', 'menyesal', 'kartu', 'halo', 'sahabat', 'rekan', 'rekan', 'kawan', 'kawan', 'kartu', 'halo', 'tagihannya', 'bengkak', 'menguntukan', 'merugikan', 'pandemi', 'kayak', 'gini']</t>
  </si>
  <si>
    <t>['tsel', 'jaringan', 'pengguna', 'jaringan', 'sebelah', 'kacau', 'tsel', 'kecewain', 'pengguna', 'tunjukin', 'tsel', 'kaya', 'super', 'ngebut', 'sepi', 'pengguna']</t>
  </si>
  <si>
    <t>['saran', 'memilih', 'salah', 'kouta', 'internet', 'dipakai', 'kouta', 'internet', 'dibeli', 'sisanya', 'kouta', 'internet', 'kemdikbud', 'terpakai', 'kouta', 'internet', 'dibeli', 'sayang', 'kouta', 'internet', 'dibeli', 'tersisa', 'hangus', 'berlakunya', 'tinggal', 'kouta', 'internet', 'kemdikbud', 'terpakai', '']</t>
  </si>
  <si>
    <t>['anjurkan', 'main', 'game', 'online', 'sinyal', 'full', 'bar', 'jaringan', 'buffring', 'ampun', 'coba', 'deh', 'mending', 'kaya', 'dibegoin', 'grgr', 'nama', 'udh', 'harga', 'mahal', 'skrg', 'lemot', 'makasih']</t>
  </si>
  <si>
    <t>['developer', 'telkomsel', 'keluhan', 'jam', 'suka', 'engga', 'dapet', 'sinyal', 'emang', 'jaringan', 'eror', 'menit', 'jam', 'keperluan', 'dijam', 'jam', 'udah', 'gitu', 'perasaan', 'kemarin', 'marin', 'lancar', 'lancar', 'engga', 'aneh', 'abis', 'kouta', 'emang', 'suka', 'ngelag', 'kouta', 'woi', '']</t>
  </si>
  <si>
    <t>['harga', 'paket', 'mahal', 'koneksi', 'stabil', 'jelek', 'telkomsel', 'indihom', 'stabil', 'kacau', 'daerah', 'cipayung', 'depok', 'parah', 'koneksinya']</t>
  </si>
  <si>
    <t>['telkomsel', 'menang', 'merek', 'kualitas', 'dibawah', 'standart', 'beli', 'kuota', 'internet', 'mahal', 'jaringanya', 'stabil', 'daerah', 'kota', 'bogor', 'tolong', 'telkomsel', 'upgrade', 'jaringannya', '']</t>
  </si>
  <si>
    <t>['aplikasi', 'taik', 'mencret', 'firur', 'chat', 'langsung', 'out', 'den', 'error', 'aplikasinya', 'paket', 'data', 'lemotnya', 'kayak', 'dodol', 'basi', 'ketulungan', 'buffering', 'cekot', 'cekot', 'kyk', 'bintang', 'toejoe', 'kuota', 'tersisa', 'signal', 'jaringan', 'full', 'mentok', 'tobat', 'gue', 'kagak', 'langganan', 'paket', 'data', 'telkomsel', 'pakai', 'oprator', 'gsm', 'indosat', 'axis', 'josss', 'anti', 'lemot', 'signal', 'minus', '']</t>
  </si>
  <si>
    <t>['update', 'parah', 'cepat', 'loading', 'aplikasinya', 'paket', 'internet', 'suka', 'menghilang', '']</t>
  </si>
  <si>
    <t>['aduhhh', 'udah', 'males', 'gua', 'ngurus', 'aplikasi', 'cape', 'kesabaran', 'gua', 'udah', 'enak', 'login', 'langsung', 'beli', 'paketan', 'sewot', 'nomor', 'gua', 'udah', 'terdaftar', 'gua', 'lgi', 'ngga', 'kuota', 'suruh', 'verifikasi', 'kejadian', 'trus', 'ngga', 'tolong', 'perbaikannya']</t>
  </si>
  <si>
    <t>['pengguna', 'istri', 'pengguna', 'istri', 'promo', 'murah', 'paket', 'gb', 'penawaran', 'paket', 'harga', 'keatas', 'gila', 'pengguna', 'peras', '']</t>
  </si>
  <si>
    <t>['tolong', 'beli', 'paket', 'ribu', 'gb', 'ngak', 'jaringan', 'bukanya', 'jelek', 'telkomsel', 'tolong', 'perbaiki']</t>
  </si>
  <si>
    <t>['buka', 'aplikasi', 'taun', 'nama', 'nggk', 'sejalan', 'kualitas', 'layanan', 'komentar', 'puas', 'reply', 'doang', 'buktikan', 'pelayanan', 'lbh', '']</t>
  </si>
  <si>
    <t>['asli', 'parah', 'beli', 'paket', 'mahal', 'jam', 'sinyal', 'hilang', 'orang', 'kab', 'tangerang', 'main', 'game', 'sinyal', 'hilang', 'buktinya', 'kecewa', 'udah', 'telkom', 'marah', 'ganti', 'kartu', 'telkomsel', 'mengecewakan']</t>
  </si>
  <si>
    <t>['tolong', 'jaringannya', 'diperbaiki', 'secepatnya', 'udh', 'error', 'malem', 'ganggu', 'banget', 'beli', 'paket', 'murah', 'langganan', 'pelanggan', 'kali', 'telkomsel', 'ambruk', 'banget', 'emang', 'perbaikan', 'error', 'gimana', 'pemberitahuan', 'diem', 'kayak', 'kambing', 'conge', 'kesel', 'sumpah', 'iklan', 'dilancarin', 'klarifikasi', 'gaada', 'gaperlu', 'suruh', 'kirim', 'keluhan', 'email', 'orang', 'keluhan', 'sosial', 'media', 'telkomsel', '']</t>
  </si>
  <si>
    <t>['maaf', 'kak', 'lemot', 'silahkan', 'perbaiki', 'jaringan', 'termahal', 'kencang', 'silakaan', 'hubungi', 'email', '']</t>
  </si>
  <si>
    <t>['bintang', 'jaringan', 'bagus', 'rating', 'minus', 'bintang', 'kasih', 'minus', 'bintang', 'kualitas', 'jaringannya', 'diperhatikan', 'promo', 'teruslah', 'telkomsel', 'yth', 'bgaimana', 'dngn', 'kesejahtraan', 'pelanggan', 'tsel', 'tower', 'dibanyakin', 'kualitas', 'jaringan', 'dibawa', 'trimakasih', 'jaringan', 'lelet', '']</t>
  </si>
  <si>
    <t>['jaringan', 'ancurrrr', 'ancurrrr', 'ancuuuuurrrrrr', 'tarifnya', 'mahal', 'operatol', 'cek', 'kuota', 'susahnya', 'ampun', 'periksa', 'jaringan', 'jaringan', 'kuota', 'jga', 'busyyyyyetttt', 'leletnya', 'ampun', 'telkomsel', 'burikkkkkkkkkkkkkkk', '']</t>
  </si>
  <si>
    <t>['tolong', 'kualitas', 'jaringan', 'perbaiki', 'telkomsel', 'kerja', 'kaya', 'lintah', 'darat', 'beli', 'kuota', 'mahal', 'rb', 'paket', 'gb', 'jaringannya', 'sampah', 'buruk']</t>
  </si>
  <si>
    <t>['kesini', 'jaringan', 'srmakin', 'parah', 'sya', 'bosan', 'jaringan', 'setabil', 'paket', 'belajar', 'aman', 'aman', 'pengguna', 'mohon', 'mamaf', 'pindah', 'provider', 'gara', 'gara', 'jaringan', 'memburuk', 'pindah', 'provider', 'selalau', 'nyaman', 'jaringan', '']</t>
  </si>
  <si>
    <t>['yuk', 'bareng', 'bintang', 'udh', 'apapun', 'ngga', 'tanggepin', 'udh', 'baca', 'baca', 'komentar', 'sosial', 'media', 'telkomsel', 'komplain', 'jaringan', 'cape', 'ngga', 'tanggepin', 'kayak', 'gini', 'niatnya', 'ganti', 'telkomsel', 'cepet', 'ngga', 'beli', 'unlimited', 'mahal', 'kuliah', 'online', 'faktanya', 'sinyalnya', 'ngga', 'tolong', 'perbaiki', 'kabar', 'anak', 'kuliahan', 'duit', 'habis', 'beli', 'kuota', 'rugikan']</t>
  </si>
  <si>
    <t>['pelanggan', 'setia', 'telkomsel', 'bertahun', 'kecewa', 'jaringan', 'lelet', 'banget', 'okelah', 'sehari', 'lelet', 'mah', 'wajar', 'perbaikan', 'gangguan', 'cumam', 'udah', 'berhari', 'gini', 'kecewa', 'banget', 'repot', 'telkom', 'apk', 'kebuka', 'sekalinya', 'udah', 'kebuka', 'login', 'udahlah', 'kecewa', 'bangeeet', 'mba', 'mas', 'baca', 'ulasan', 'tolong', 'telkomsel', 'jelasin', 'maslah', 'sebenernya', 'kasih', 'pelanggan', 'kompensasi', 'makasih', '']</t>
  </si>
  <si>
    <t>['serba', 'lemot', 'jaringan', 'lemot', 'login', 'app', 'lemot', 'harga', 'kuota', 'mahal', 'kirain', 'beli', 'kuota', 'mahal', 'jaringan', 'bagus', 'super', 'lemot', 'tolong', 'perbaiki', 'dulunya', 'terkenal', 'bagus', 'semoga', 'stabil', 'sperti', 'jaringannya', '']</t>
  </si>
  <si>
    <t>['jaringan', 'hancur', 'jelek', 'sesuai', 'harga', 'operator', 'jaringan', 'berdiri', 'terbaik', 'masyarakat', 'indonesia', 'keuntungan', 'bejibun', '']</t>
  </si>
  <si>
    <t>['internet', 'jalan', 'paket', 'data', 'ngalamin', 'kali', 'bertahun', 'telkomsel', 'eror', 'jam', 'set', 'paket', 'data', 'internet', 'mati', 'kartu', 'aneh', 'coba', 'beli', 'paket', 'internet', 'malam', 'login', 'via', 'telkomsel', 'coba', 'beli', 'paket', 'internet', 'malam', 'manual', 'kode', 'dial', 'berhasil', 'internet', 'jalan', '']</t>
  </si>
  <si>
    <t>['sinyal', 'telkomsel', 'parah', 'isi', 'pulsa', 'daftar', 'paket', 'internet', 'play', 'video', 'youtube', 'nggak', 'kesini', 'kecewa', 'telkomsel', 'udah', 'mahal', 'hasil', 'diharapkan', 'thumbs', 'down', 'for', 'telkomsel', '']</t>
  </si>
  <si>
    <t>['jaringan', 'parah', 'banget', 'jam', 'malam', 'pas', 'main', 'game', 'disconect', 'gunain', 'pdhl', 'sinyal', 'kuota', 'cepet', 'hbs', 'jaringan', 'buruk', 'benerin', 'jaringan', 'mahal', 'kuota', 'doang', 'bisanya']</t>
  </si>
  <si>
    <t>['tolong', 'telkomsel', 'jaringannya', 'perbaiki', 'kesini', 'jaringannya', 'parah', 'gila', 'taun', 'make', 'telkomsel', 'kali', 'terparah', 'paket', 'mahal', 'kualitas', 'buruk', 'sengaja', 'broadband', 'karna', 'emang', 'kualitas', 'skarang', 'kalah', 'mohon', 'banget', 'perbaiki', 'udh', 'pindah', 'broadband', 'iya', 'ngebiarin', 'customer', 'kabur', 'mohon', 'customer', 'pindah', 'broadband']</t>
  </si>
  <si>
    <t>['ancurr', 'jaringan', 'simpati', 'udh', 'kepengen', 'ganti', 'perdana', 'jaringan', 'simpati', 'bagus', 'kya', 'gini', 'beda', 'cepet', 'emosi', '']</t>
  </si>
  <si>
    <t>['streaming', 'download', 'merah', 'kenceng', 'biat', 'main', 'game', 'widihhhhh', 'gila', 'ping', 'ancur', 'jaringan', 'suka', 'ngilang', 'kemana', 'beralih', 'provider', 'main', 'game', 'mpwr', 'indosat', 'stream', 'download', 'karnakan', 'harga', 'paket', 'telkomsel', 'harga', 'pejabat', 'jarang', 'promo', 'orang', 'kebanyakan', '']</t>
  </si>
  <si>
    <t>['telkomsel', 'pakai', 'pakai', 'kartu', 'telkomsel', 'mahal', 'stabil', 'jaringan', 'tindak', 'cepat', 'napa', 'jaringan', 'super', 'lemot', 'pantes', 'pelanggan', 'kecewa', 'maju', 'kebelakang', 'pelanggan', 'rela', 'membayar', 'mahal', 'fasilitas', 'memadai', 'report', 'berulang', 'jaringanya', 'perbaiki', 'luarnya', 'donk', '']</t>
  </si>
  <si>
    <t>['telkomsel', 'kambuh', 'penyakit', 'telkomsel', 'komitmen', 'telkomsel', 'profesional', 'telkomsel', 'licik', 'telkomsel', 'egois', 'telkomsel', 'diandalkan', 'pokoknya', 'telkomsel', 'bangsatttttttttt']</t>
  </si>
  <si>
    <t>['sinyal', 'benerin', 'orang', 'kartu', 'telkomsel', 'akses', 'internet', 'lancar', 'biarpun', 'harga', 'paket', 'interner', 'mahal', 'dri', 'kartu', 'benerin', 'sinyal', 'gue', 'tinggal', 'jakarta', 'nye', 'kaga', 'dapet', 'sinyal', '']</t>
  </si>
  <si>
    <t>['jaringan', 'down', 'rekomended', 'film', 'game', 'mengecewakan', 'kurangi', 'update', 'promo', 'perbaiki', 'jaringan', 'promo', 'menjanjikan', 'jaringan', 'mengecewakan']</t>
  </si>
  <si>
    <t>['pelanggan', 'setia', 'telkomsel', 'lohh', 'telkomsel', 'jelek', 'banget', 'jaringan', 'kartu', 'perdana', 'perdana', 'tolong', 'perbaiki', 'pelanggan', 'setia', 'beralih', 'keperdana', '']</t>
  </si>
  <si>
    <t>['boss', 'telkomsel', 'masuk', 'jam', 'signall', 'masuk', 'youtube', 'game', 'data', 'gb', 'cooeeeggg', 'tolong', 'bener', 'bayar', 'nyuri', 'kamprettttt', '']</t>
  </si>
  <si>
    <t>['tolong', 'diperbaiki', 'sinyal', 'jkrt', 'brt', 'mlm', 'sinyal', 'bapuk', 'kaya', 'kartu', 'jadul', 'simpati', 'udh', 'terkenal', 'malu', 'maluin', 'daerah', 'jkrt', 'brt', 'perbaiki', 'manager', 'telkomser', 'hello', 'jaringan', 'malam', 'jaringan', 'telkomsel', 'buruk']</t>
  </si>
  <si>
    <t>['pengaduan', 'via', 'tlp', 'sinyal', 'peningkatan', 'jaringan', 'buatkan', 'laporan', 'alhasil', 'sinyalnya', 'busuk', 'kecewa']</t>
  </si>
  <si>
    <t>['tolong', 'diperbaiki', 'jaringan', 'stabil', 'diatas', 'jam', 'malam', 'knpa', 'akses', 'game', 'youtube', 'sinyal', 'bagus', 'terhubung', 'data', 'toling', 'diperbaiki', 'sekian', 'terima', 'kasih']</t>
  </si>
  <si>
    <t>['nyesel', 'banget', 'kartu', 'jaringan', 'kentang', 'ampas', 'ngga', 'berkualitas', 'gue', 'saranin', 'telkomsel', 'mending', 'ganti', 'kartu', 'lainnn']</t>
  </si>
  <si>
    <t>['jaringan', 'ancur', 'kuota', 'sinyalnya', 'payah', 'suka', 'ilang', 'sinyal', 'kecewa', 'gua', 'sumpah', 'make', 'telkomsel', 'jaman', 'sekolah', 'bagus', 'payah', 'sinyalnya']</t>
  </si>
  <si>
    <t>['kali', 'paket', 'lemot', 'paketnya', 'sinyal', 'buruk', 'sampek', 'kayak', 'gini', 'beli', 'quota', 'gb', 'kayak', 'gini', 'parah', 'sinyal', 'harga', 'paket', 'mahal', 'sinyal', 'buruk', 'pantes', 'dpet', 'rewwerd', 'bagus']</t>
  </si>
  <si>
    <t>['jaringan', 'error', 'rugi', 'kecewa', 'pakai', 'telkomsell', 'kasar', '']</t>
  </si>
  <si>
    <t>['sebulan', 'kebelakang', 'ampe', 'telkomsel', 'jaringan', 'parah', 'sebulan', 'bagus', 'andalan', 'maen', 'game', 'mah', 'ampuuuunn', 'daaahhh', 'ping', 'merah', 'sinyal', 'kuat', 'koneksi', 'paraaaaaaahhh']</t>
  </si>
  <si>
    <t>['payahh', 'telkomsel', 'parah', 'sinyal', 'jam', 'malam', 'pergantian', 'jam', 'eror', 'sinyal', 'tolong', 'provider', 'maintenance', 'langsung', 'beritahu', 'notifikasi', 'ilang', 'sinyal', 'bener', 'bener', 'kecewa', 'telkomsel']</t>
  </si>
  <si>
    <t>['tolong', 'jaringan', 'kali', 'palanggan', 'telkomsel', 'trus', 'trusan', 'kecewain', 'beli', 'kuota', 'mahal', 'mahal', 'sesuai', 'ekspektasi', 'pindah']</t>
  </si>
  <si>
    <t>['transfer', 'kuota', 'max', 'kena', 'pulsa', 'tukar', 'poin', 'dapet', 'kuota', 'gb', 'kena', 'pulsa', 'telkomsel', 'sinting', 'gila', 'pki', 'memeras', 'terlena', 'diatas', 'nokia', '']</t>
  </si>
  <si>
    <t>['min', 'mohon', 'maaf', 'tolong', 'perbaiki', 'stiap', 'gangguan', 'signal', 'infokan', 'urgent', 'kartu', 'telkomsel', 'daerah', 'sperri', 'kali', 'telfon', 'call', 'center', 'sperti', 'jaringannya', 'ngadat', 'tolong', 'pelanggan', '']</t>
  </si>
  <si>
    <t>['min', 'knp', 'pas', 'ambil', 'reward', 'daily', 'stamp', 'gagal', 'tulisan', 'maaf', 'penukaran', 'sesuai', 'channel', 'ditentukan', '']</t>
  </si>
  <si>
    <t>['apk', 'berguna', 'bagus', 'pengguna', 'murah', 'saran', 'telkomsel', 'mengoptimalkan', 'apk', 'bug', 'situasi', 'jaringan', 'full', 'ngelag', 'obat', 'intinya', 'apk', 'berguna', 'butuh', 'perhatian', '']</t>
  </si>
  <si>
    <t>['daily', 'check', 'mkin', 'iya', 'kmrn', 'tnggl', 'claim', 'menghilang', 'bsa', 'claim', 'alasan', 'channel', 'sesuai', 'claim', 'byar', 'rupiah', 'tolong', 'bener', 'bener', 'kecewa', 'pelanggan', 'telkomsel', '']</t>
  </si>
  <si>
    <t>['telkomsel', 'parah', 'ngt', 'sinyalnya', 'subang', 'kalijati', 'perbatasan', 'cipndeuy', 'kalijati', 'ancur', 'udah', 'beli', 'paket', 'mahal', 'sinyak', 'kaga', 'payah', 'udah', 'kaya', 'gini', 'kaga', 'perbaikan', 'mndingn', 'patahin', 'kartunya', 'kapok', 'pdahal', 'pengguna', 'th', 'telkomsel', 'kali', 'kecewain', 'mendingn', 'beli', 'kartu', '']</t>
  </si>
  <si>
    <t>['bohong', 'ajalah', 'beli', 'kuota', 'game', 'nyedot', 'kuota', 'utama', 'kuota', 'utama', 'habis', 'main', 'game', 'upload', 'foto', 'upload', 'bukti', 'parah', 'paraaah', 'cuan', 'trus', 'kualitas']</t>
  </si>
  <si>
    <t>['suka', 'aplikasi', 'telkomsel', 'memudahkan', 'unduk', 'mendaftar', 'paket', 'nelpon', 'internetn', 'dll', 'engisi', 'pulsa', 'aplikasi', 'telkomsel', 'aplikasi', 'shopee', 'shopeepay', 'pulsapn', 'jdi', 'murah', 'chasbacnya', '']</t>
  </si>
  <si>
    <t>['sinyal', 'bagus', 'klau', 'masuk', 'rumah', 'kadang', 'sinyal', 'suka', 'hilang', 'hilang', 'smoga', 'smakin', 'lancar', 'kuat', 'sinyal', 'trima', 'kasih', 'telkomsel']</t>
  </si>
  <si>
    <t>['woy', 'bnr', 'pagi', 'ampe', 'mlm', 'kaya', 'gini', 'sinyal', 'beres', 'menang', 'mahal', 'doank', 'simpati', 'bagus', 'knp', 'kaya', 'gini', 'klu', 'dha', 'bangkrut', 'kasih', 'ush', 'nyusahin', 'orang', 'sinyal', 'jelek', 'gemn', 'saingan', 'cepat', 'perbaiki', 'custemer', 'kecewa', '']</t>
  </si>
  <si>
    <t>['pagi', 'siang', 'sore', 'malam', 'jaringannya', 'main', 'nge', 'lag', 'mulu', 'tolong', 'jaringannya', 'kayak', 'kemarin', 'nge', 'lag', 'main', 'ganti', 'kartu', 'gini']</t>
  </si>
  <si>
    <t>['kecewa', 'perihal', 'paket', 'internet', 'member', 'platinum', 'paket', 'unlimited', 'kelas', 'rendah', 'member', 'gold', 'paket', 'unlimited', 'combo', 'sakti', 'gimana', 'ceritanya', 'enak', 'member', 'gold', 'member', 'platinum', 'pemakaian', 'pulsa', 'rb', 'ngotak', 'kalah', 'saingan', 'kartu', 'perdana', 'dominan', 'mengadakan', 'paket', 'unlimited', 'kartu', 'sultan', 'sinyal', 'dlm', 'pesawat']</t>
  </si>
  <si>
    <t>['alasan', 'pilih', 'telkomsel', 'jaringan', 'internet', 'lancar', 'kecepatan', 'download', 'bps', 'kbps', 'kasihan', 'mending', 'ganti', 'murahan', 'lancar']</t>
  </si>
  <si>
    <t>['beli', 'seharian', 'pm', 'paginya', 'dipakai', 'namanya', 'seharian', 'telkomsel', 'jam', 'sistem', 'primitif', 'hitung', 'serakah', 'telkomsil', 'telkom', 'sialan', 'tipu', 'komen', 'maaf', 'silahkan', 'baca', 'keluhannya', 'updagte', 'sistem']</t>
  </si>
  <si>
    <t>['', 'telkomsel', 'mantap', 'migrasi', 'kartu', 'halo', 'iming', 'jaringan', 'prioritas', 'kesini', 'hancur', 'jaringannya', 'kalah', 'provider', 'anak', 'bawang', 'digemari', 'kawula', 'muda', 'helo', 'kartu', 'halo', 'tunjukkan', 'kehebatanmu', 'ditinggalin', 'pelanggan', 'ayo', 'bangun', 'tidurmu', 'wujudkan', 'mimpimu', 'asyik', 'mimpimu', 'depanmu', 'hampa', '']</t>
  </si>
  <si>
    <t>['tolong', 'min', 'susah', 'beli', 'paket', 'link', 'suport', 'sperti', 'dlu', 'hadeuuh', 'tlong', 'perbaiki', '']</t>
  </si>
  <si>
    <t>['telkomsel', 'kartu', 'banguss', 'paket', 'mahal', 'jaringan', 'burik', 'buka', 'status', 'bisaaa', 'nyesel', 'beli', 'paket', 'telkomsel', 'mahal', 'jaringan', 'kayak', 'taiilkkk', 'berhenti', 'pakai', 'telkomsel', 'mending', 'pakai', 'paket', 'murah', 'jaringan', 'stabill', '']</t>
  </si>
  <si>
    <t>['kuota', 'mahal', 'sinyal', 'murahan', 'kota', 'boro', 'boro', 'main', 'game', 'liat', 'story', 'lemottt', 'sinyal', 'psbb', '']</t>
  </si>
  <si>
    <t>['njer', 'bangsuy', 'korupsi', 'telkomsel', 'beli', 'kuota', 'unlimited', 'tulisannya', 'giliran', 'beli', 'paket', 'kebeli', 'pulsa', 'cuman', 'dikit', 'kuota', 'penyesalan', '']</t>
  </si>
  <si>
    <t>['semangkin', 'promo', 'lelet', 'sebagus', 'merugikan', 'customer', 'telkomsel', 'perbaikan', 'customer', 'pindah', '']</t>
  </si>
  <si>
    <t>['aplikasi', 'telkomsel', 'berat', 'eror', 'dibuka', 'muncul', 'tulisan', 'tutup', 'aplikasi', '']</t>
  </si>
  <si>
    <t>['hai', 'telkomsel', 'tolong', 'saran', 'dengerin', 'kartu', 'pakai', 'murah', 'pengguna', 'tsel', 'pke', 'krtunya', 'mahal', 'pakai', 'kartu', 'tsel', 'ganti', 'perasaan', 'mahal', 'paket', 'heran', 'mohon', 'perbaikan', 'kasih', 'tsel', '']</t>
  </si>
  <si>
    <t>['login', 'link', 'verifikasi', 'diterima', 'link', 'dikirim', 'pos', 'cepat', 'nyampe', '']</t>
  </si>
  <si>
    <t>['jaringan', 'buruk', 'aktifkan', 'paket', 'data', 'sidoarjo', 'jawatimur', 'galau', 'mending', 'nyari', 'mahal', 'kepakai', 'lemotnya', 'ampun', 'pubg', 'ngelag', 'main', 'lancar']</t>
  </si>
  <si>
    <t>['jaringannya', 'dibetulkan', 'anjg', 'harga', 'mahal', 'provider', 'jarang', 'gapapa', 'jam', 'main', 'game', 'ngirim', 'pesan', 'kemarin', 'bener', 'bener', 'jaringan', 'udah', 'protes', 'dibenerin', 'mengontol', 'jaringannya', 'lemot', 'kekuatan', 'sinyalnya', 'turun', 'pengguna', 'kartu', 'berharap', 'diperbaiki', 'secepatnya', 'terimakasih', '']</t>
  </si>
  <si>
    <t>['pengguna', 'telkomsel', 'banget', 'kartu', 'telkomsel', 'bermain', 'game', 'karna', 'kecepatan', 'sinyal', 'stabil', 'axis', 'download', 'atw', 'streaming', 'kebalikan', 'axis', 'main', 'game', 'karna', 'sinyal', 'bagus', 'deri', 'telkomsel', 'trimakasih', '']</t>
  </si>
  <si>
    <t>['tolong', 'telkomsel', 'promo', 'doang', 'gede', 'gedein', 'urus', 'jaringan', 'paket', 'doang', 'mahal', 'jaringan', 'kaya', 'keong', 'lelet', 'banget', 'download', 'udh', 'jaringan', 'daerah', 'bogor', 'jawabarat', 'nggak', 'bener', 'beli', 'paket', 'terpakai', 'coba', 'jaringan', 'ganti', 'jaringan', 'manual', 'otomatis', 'coba', 'ganti', 'apn', 'lambat', 'tolong', 'perbaiki', 'promo', 'pelanggan', 'setia', 'beralih', 'provider', 'tolong', 'perbaiki', '']</t>
  </si>
  <si>
    <t>['telkomsel', 'jelek', 'banget', 'jaringan', 'meresahkan', 'pengen', 'beralih', 'operator', '']</t>
  </si>
  <si>
    <t>['pakai', 'telkomsel', 'jamannya', 'simpati', 'nusantara', 'produc', 'keluaran', 'telkomsel', 'sampe', 'skrg', 'gonta', 'ganti', 'produc', 'telkomsel', 'alasan', 'kartu', 'chip', 'rusak', 'usia', 'kartu', 'pulsa', 'beli', 'sya', 'perkirakan', 'ratusan', 'juta', 'milyaran', 'rupiah', 'sya', 'beribu', 'ribu', 'kali', 'tukar', 'telkomsel', 'poin', 'undian', 'telkomsel', 'poin', 'terpilih', 'pemenang', 'telkomsel', 'poin', 'undian', 'setingan']</t>
  </si>
  <si>
    <t>['pelaporan', 'beli', 'paket', 'shopee', 'pay', 'aktif', 'telkomsel', 'tetep', 'blm', 'folloe', 'suruh', 'nunggu', 'kerja', 'udh', 'minggu', 'telpon', 'call', 'center', 'telkomsel', 'payah', 'banget', 'gagal', 'sistem', 'aplikasinya']</t>
  </si>
  <si>
    <t>['min', 'ngebuka', 'aplikasi', 'butuh', 'min', 'kayak', 'banget', 'kouta', 'mempengaruhi', 'kecepatan', 'pengguna', 'iya', 'jaringan', 'bagus', 'aplikasi', 'sebelah', 'gini', 'tolong', 'perhatikan', 'min', 'peduli', 'masukkan', 'boomerang', 'telk', '']</t>
  </si>
  <si>
    <t>['jaringan', 'ancur', 'pengguna', 'setia', 'telkomsel', 'karna', 'jaringannya', 'bagus', 'ancur', 'banget', 'kalah', 'provider']</t>
  </si>
  <si>
    <t>['aplikasi', 'cek', 'kuota', 'loadingnya', 'salut', 'melatih', 'kesabaran', 'orang', 'masuk', 'sampe', 'login', 'berkali', 'kali', 'mantappp', 'kerjaan', 'gue', 'app', '']</t>
  </si>
  <si>
    <t>['gaaush', 'komplain', 'twitter', 'line', 'macem', 'ribet', 'telkomsel', 'kesini', 'kacau', 'jaringan', 'bukanya', 'bagus', 'paketan', 'doang', 'mahal', 'jaringan', 'kendor', 'bapuk', '']</t>
  </si>
  <si>
    <t>['jaringan', 'taikkk', 'beli', 'mahal', 'jaringan', 'lemot', 'buruk', 'telkomsel', 'kalah', 'kartu', 'axis', 'tri', 'jaringan', 'setabil', 'axis', 'tri']</t>
  </si>
  <si>
    <t>['jaringan', 'sampe', 'perbaikan', 'susah', 'menghubungi', 'via', 'messenger', 'aplikasi', 'tanggapan', 'mengubah', 'apn', 'matikan', 'data', 'services', 'udah', 'dicoba', 'berkali', 'separah', 'mohonlah', 'petugas', 'dilapangan', 'tanggap', 'keluhan', 'customer', 'sampe', 'customer', 'beralih', 'provider', 'jaringan', 'kaya', 'gini', '']</t>
  </si>
  <si>
    <t>['sinyal', 'ampas', 'jaringan', 'turun', 'detastis', 'mingu', 'internetan', 'gini', 'buang', 'uang', 'gwa', 'jir', 'gini', 'tolong', 'perbaiki', '']</t>
  </si>
  <si>
    <t>['ihhh', 'telkomsel', 'jaringan', 'ancur', 'parah', 'parah', 'kartu', 'harga', 'paket', 'murah', 'telkomsel', 'udah', 'paket', 'mahal', 'jaringan', 'jelek', 'kartu', 'nomor', 'indosesia', 'tapin', 'peminat', 'telkomsel', 'udah', 'beralih', 'kartu', 'kecewanndengan', 'telkomsel']</t>
  </si>
  <si>
    <t>['prabayar', 'tpi', 'kecewa', 'telkomsel', 'prabayar', 'pascabayar', 'pascabayar', 'merugikan', 'konsumen', 'terpaksa', 'diblokir', 'nomor', 'hilang', 'mohon', 'pascabayar', 'diubah', 'prabayar', 'pengguna', 'setia', 'telkomsel', 'terpaksa', 'kehilangan', 'memakai', 'telkomsel', '']</t>
  </si>
  <si>
    <t>['kayak', 'abal', 'abal', 'promo', 'bagus', 'kenyataanya', 'nggka', 'seauai', 'bkn', 'kayak', 'semut', 'jalan', 'kayak', 'nenek', 'nenek', 'suruh', 'jalan', 'langsung', 'mandek', 'dek', 'dek', 'dek', '']</t>
  </si>
  <si>
    <t>['', 'telkomsel', 'link', 'akun', 'diversifikasi', 'ulang', 'halaman', 'daftarnya', 'pelanggan', 'memakai', 'telkomsel', 'beda', 'operator', 'operator', 'smartfrent', 'menangani', 'akun', 'pendaftar', 'pelanggan', '']</t>
  </si>
  <si>
    <t>['kecewa', 'berat', 'aplikasi', 'telkomsel', 'sumpah', 'poin', 'telkomsel', 'hilang', 'pakai', 'isi', 'paket', 'gagal', 'pulsa', 'terpotong', 'paket', 'tutup', 'aplikasi', 'mengecewakan', 'orang', 'tolong', 'telkomsel', 'mencuri']</t>
  </si>
  <si>
    <t>['', 'area', 'kec', 'kedungjati', 'kab', 'grobogan', 'prov', 'jateng', 'sebulan', 'jaringan', 'stabil', 'memburuk', 'tolong', 'benahi', 'langganan', 'telkomsel', 'terganggu', 'stabilnya', 'jaringan']</t>
  </si>
  <si>
    <t>['sungguh', 'mengecewakan', 'log', 'mendingan', 'tolong', 'telkomsel', 'perbaiki', 'secepatnya', 'kecewa', 'berlarut', 'larut']</t>
  </si>
  <si>
    <t>['telkomsel', 'ceroboh', 'fitur', 'menonaktifkan', 'pengambilan', 'pulsa', 'otomatis', 'kuota', 'internet', 'habis', 'telkomsel', 'otomatis', 'mencuri', 'pulsa', 'utama', 'kuota', 'internet', 'habis', 'coba', 'fitur', 'pulsa', 'utama', 'dicuri', 'otomatis', 'layanan', 'kartu', 'milik', 'tetangga', '']</t>
  </si>
  <si>
    <t>['', 'bintang', 'telkomsel', 'kartu', 'sultan', 'gini', 'mentang', 'mendominasi', 'beli', 'paket', 'mahal', 'jaringan', 'jelek', 'kntuull', 'dipakai', 'orang', 'mudah', 'dipakai', 'ngegame', 'diwilayah', 'seumur', 'hidup', 'beli', 'kartu', 'telkomsel']</t>
  </si>
  <si>
    <t>['ampuun', 'sinyal', 'jelek', 'iya', 'ganti', 'provider', 'tolong', 'perbaiki', 'daerah', 'cibereum', 'tasikmalaya', '']</t>
  </si>
  <si>
    <t>['stelah', 'update', 'masuk', 'login', 'padahall', 'sdah', 'smpai', 'skrg', 'kali', 'masukkan', 'salah', 'melulu', 'ganti', 'kah', 'tulisannya', 'bahasa', 'inggris', 'terpaksa', 'kasih', 'bintang']</t>
  </si>
  <si>
    <t>['log', 'out', 'sekalinya', 'udah', 'log', 'out', 'log', 'susahnya', 'main', 'otp', 'dikirm', 'sms', 'nyampenya', 'luama', 'banget', 'sayang', 'apps', 'bagus', 'terpaksa', 'pakai', 'telkomsel', '']</t>
  </si>
  <si>
    <t>['isi', 'pulsa', 'telkomsel', 'metode', 'pembayaran', 'shopee', 'pey', 'saldo', 'shopee', 'berkurang', 'temkomselnya', 'maaf', 'transaksi', 'berhasil', 'coba', 'gila', 'siii', 'parahnya', 'udh', 'veronica', 'comen', 'tpj', 'bales', 'cuman', 'comen', 'sampek', 'tindak', 'lanjutkan']</t>
  </si>
  <si>
    <t>['klau', 'kasih', 'hadiah', 'tukar', 'poin', 'jujur', 'pengguna', 'telkomsel', 'bujangan', 'ampe', 'kasih', 'mimpi', 'muluk', 'indah', 'nol', 'hadiahnya', '']</t>
  </si>
  <si>
    <t>['cuman', 'ngerasa', 'beli', 'paket', 'ketengan', 'nonton', 'tolong', 'telkomsel', 'emang', 'nonton', 'mending', 'hapus', 'ketengan', 'udah', 'make', 'telkomsel', 'bukanya', 'bagus', 'ampas', '']</t>
  </si>
  <si>
    <t>['korupsi', 'kebangetan', 'beli', 'paket', 'youtube', 'dipake', 'mala', 'buka', 'youtube', 'menit', 'pulsa', 'rb', 'habis', 'beli', 'paket', 'youtube', 'pulsa', 'jujur', 'perusahaan', 'berkah', 'rugi', 'telkomsel', 'isi', 'pulsa', 'pulsa', 'habis', 'ntah', 'kepotong', 'berlangganan', 'bijak', 'jujur', 'mendirikan', 'perusahaan', 'untung', 'pelanggan', 'buntung']</t>
  </si>
  <si>
    <t>['download', 'udh', 'masuk', 'sampe', 'masuk', 'kali', 'telkomsel', 'bantu', 'ntr', 'kasih', 'full', 'bintang']</t>
  </si>
  <si>
    <t>['telkomsel', 'ajar', 'yaa', 'pelanggan', 'setia', 'telkomsel', 'untung', 'pelanggan', 'kesal', 'hati', 'hati', 'kesal', 'pelanggan', 'beralih', 'telkomsel', 'untung', 'rugi', 'operator', 'tetangga', 'karyawan', 'phk', 'massal', 'berinovasi', 'telkomsel', 'doa', 'pelanggan', 'setia', 'azab', 'telkomsel']</t>
  </si>
  <si>
    <t>['laporan', 'kejelasan', 'beli', 'pulsa', 'tokopedia', 'status', 'berhasil', 'tertapi', 'pulsa', 'masuk', 'tokopedia', 'menyarankan', 'menghubungi', 'telkomsel', 'kejelasan', '']</t>
  </si>
  <si>
    <t>['beli', 'paket', 'paket', 'sediakan', 'cuman', 'paket', 'conference', 'butuh', 'paket', 'bulanan', 'telkomsel', 'ngk', 'bener', 'pelayanannya']</t>
  </si>
  <si>
    <t>['buka', 'app', 'lemot', 'nyedot', 'kuota', 'masuk', 'gitu', 'nyedot', 'kb', 'mb', 'lemot', 'banget', 'tolong', 'dibenahi', 'udah', 'mahal', 'paketannya', 'nyaman']</t>
  </si>
  <si>
    <t>['tolong', 'berwajib', 'jaringannya', 'menyusahkan', 'pengguna', 'beraktivitas', 'jaringan', 'dimedia', 'sosial', 'beli', 'paket', 'operator', 'disaat', 'daring', 'online', 'paket', 'terpakai', 'terbuang', 'sia', 'sia', 'kali', 'merasakan', 'terganggu', 'jaringan', 'udah', 'minggu']</t>
  </si>
  <si>
    <t>['update', 'masuk', 'anjerr', 'diperbaiki', 'akun', 'pakai', 'wifi', 'data', 'kaga', 'masuk']</t>
  </si>
  <si>
    <t>['bilangnya', 'kuota', 'gratis', 'motong', 'pulsa', 'aplikasi', 'seberat', 'susah', 'buka', 'jaringan', 'ksini', 'bnr', 'udh', 'byk', 'komplain', 'perbaikannya', 'emang', 'kualitas', 'menurun', 'harga', 'turunin', '']</t>
  </si>
  <si>
    <t>['tolong', 'diperhatikan', 'telkomsel', 'sistem', 'koneksi', 'stabil', 'update', 'keversi', 'terbaru', 'terkendala', 'kestabilan', 'koneksi', '']</t>
  </si>
  <si>
    <t>['login', 'aplikasi', 'berat', 'pdhl', 'sinyal', 'bagus', 'tolong', 'perbaiki', 'gitu', 'sinyal', 'telkomsel', 'bagus', 'daerah', 'pdhl', 'kampung']</t>
  </si>
  <si>
    <t>['aplikasi', 'bosok', 'masak', 'beli', 'paket', 'kuota', 'msk', 'keaplikasinya', 'aplikasinya', 'biaya', 'internet', 'orang', 'kalu', 'kepepet', 'gaperlu', 'data', 'selular', 'nyesal', 'gua', 'pakai', 'telkomsel', 'boros', 'lelet', 'aplikasinya', 'dibikin', 'ribet', '']</t>
  </si>
  <si>
    <t>['tolong', 'diperbaiki', 'kuota', 'ngapa', 'ngapain', 'buka', 'aplikasi', 'mytelkomsel', 'tolonglaah', 'mengecewakan']</t>
  </si>
  <si>
    <t>['parah', 'asli', 'telkomsel', 'udah', 'dibela', 'beli', 'mahal', 'pengen', 'kualitas', 'hancur', 'kartu', 'nyesel', 'bangt', 'pelanggan', 'nyari', 'kepuasan', 'harga', 'beli', 'kuota', 'mahal', 'murah', 'bagus', 'sinyalnya', 'paham', '']</t>
  </si>
  <si>
    <t>['jelek', 'banget', 'aplikasi', 'jaringannya', 'masuk', 'susah', 'banget', 'jaringan', 'stabillah', 'coba', 'buka', 'aplikasi', 'lancar', 'lancar', 'tolong', 'donk', 'diperbaiki', 'konsumen', 'kecewa', 'trimaksh']</t>
  </si>
  <si>
    <t>['masuk', 'telkomsel', 'susah', 'banget', 'jaringan', 'lelet', 'gila', 'kepala', 'pusing', 'mempermudah', 'ngcek', 'kouta', 'mempermudah', 'mempersulit', 'mengisi', 'kouta', 'beli', 'kouta', 'susah', 'jaringanya', 'lelet', 'tolong', 'kembangkan', 'telkomselnya']</t>
  </si>
  <si>
    <t>['performa', 'aplikasi', 'telkomsel', 'menurun', 'maintenance', 'bug', 'kali', 'mengakses', 'aplikasi', 'loading', 'memasukkan', 'nomor', 'telepon', 'pikir', 'berkali', 'kali', 'pikir', 'update', 'aplikasi', 'playstore', 'pembaruan', 'sedikitpun', 'tolong', 'fix', 'secepatnya', '']</t>
  </si>
  <si>
    <t>['terkadang', 'habis', 'apk', 'masuk', 'lgi', 'disuruh', 'verifikasi', 'udah', 'verifikasi', 'tampilan', 'menunya', 'terbaca', 'koneksi', 'buruk', 'coba', 'koneksi', 'jaringan', 'lancar', 'mb', '']</t>
  </si>
  <si>
    <t>['perbaiki', 'jaringan', 'update', 'mulu', 'update', 'ancurr', 'mending', 'hapus', 'aplikasi']</t>
  </si>
  <si>
    <t>['', 'jelek', 'signal', 'paket', 'combo', 'langganan', 'paket', 'gb', 'sebulan', 'menunjang', 'pekerjaan', 'nominal', 'mahal', 'sebenernya', 'dibanding', 'provider', 'paket', 'dimasukkan', 'combo', 'pengalaman', 'langganan', 'berpuluh', 'paket', 'combo', 'paket', 'beres', 'pemakaian', 'standart', 'signal', 'jelek', 'kuota', 'cepat', 'habis', 'kayak', 'gini', 'geser', 'provider', 'sebelah', 'menghambat', 'kerjaan', '']</t>
  </si>
  <si>
    <t>['jaringannya', 'gimana', 'ambil', 'paket', 'tolong', 'perbaiki', 'buang', 'buang', 'pulsa']</t>
  </si>
  <si>
    <t>['pas', 'login', 'lemot', 'berat', 'gini', 'malas', 'beli', 'paketnya', 'diupdate', 'bug', 'sinyal', 'terkadang', 'hilang', 'kartu', 'ampas', 'tolong', 'diperbaiki', 'sinyal', 'apikasinya', 'pelanggan', 'puas', 'kaya', 'gini', 'tolong', 'secepatnya', '']</t>
  </si>
  <si>
    <t>['developer', 'bagus', 'telkomsel', 'hancur', 'signal', 'buka', 'aplikasi', 'loading', 'seharian', 'tolong', 'perbaiki', 'min', '']</t>
  </si>
  <si>
    <t>['ayolah', 'login', 'trus', 'menerima', 'magic', 'link', 'magic', 'link', 'konyol', 'masuk', 'nomor', 'orang', 'kesel', 'maap', 'apk', 'bener', 'maksain', 'saran', '']</t>
  </si>
  <si>
    <t>['woy', 'kmu', 'provider', 'bumn', 'malu', 'aplikasi', 'super', 'lemot', 'sinyal', 'buka', 'aplikasi', 'lancar', 'giliran', 'buka', 'aplikasi', 'lemot', 'parah', 'udh', 'harga', 'kuota', 'mhl', 'giliran', 'bli', 'paket', 'buka', 'apk', 'super', 'lemot', 'apk', 'payah', '']</t>
  </si>
  <si>
    <t>['kesini', 'eror', 'cek', 'kuota', 'login', 'terkendala', 'jaringan', 'pakai', 'wifi', 'jaringannya', 'stabil', 'diaplikasi', 'loading', 'banget', 'eror', 'mulu', 'mohon', 'diperbaiki', 'pelanggan', 'kabur', '']</t>
  </si>
  <si>
    <t>['', 'allah', 'ribetnya', 'paketan', 'udh', 'mahal', 'beli', 'paket', 'susahnya', 'masyaallah', 'ayo', 'sesuaikan', 'harganya']</t>
  </si>
  <si>
    <t>['beli', 'kuota', 'data', 'udah', 'lemot', 'nyesel', 'beli', 'mahal', 'mahal', 'sinyal', 'lemot', 'beres', 'telkomsel', 'udah', 'bangkrut', '']</t>
  </si>
  <si>
    <t>['mengecewakan', 'buka', 'apk', 'lemot', 'mutu', 'merugikan', 'pelanggan', 'sangaaaattt', 'mutuu', 'mengecewakan', '']</t>
  </si>
  <si>
    <t>['login', 'susah', 'bngt', 'sinylny', 'bgus', 'bener', 'lgi', 'tolong', 'kak', 'perbaiki', 'tolong', 'harga', 'kuota', 'jan', 'mahal', 'sekrang', 'pandemi', 'sulit', 'nugas', 'jngann', 'bhasaaa', 'inggris', 'tmbh', 'nyulis']</t>
  </si>
  <si>
    <t>['telkomsel', 'kontoll', 'kasih', 'bintang', 'sudi', 'uda', 'beli', 'paket', 'mahal', 'jaringan', 'hilang', 'kota', 'begoo', 'nyesal', 'kali', 'pakai', 'telkomsel', 'bngs', '']</t>
  </si>
  <si>
    <t>['bagus', 'telkomsel', 'udah', 'kaya', 'tuker', 'poin', 'paket', 'data', 'bayar', 'pulsa', 'skarang', 'tuker', 'poin', 'paket', 'data', 'bayar', 'pulsa', 'gitu', 'beli', 'paket', 'data', 'pulsa', 'harga', 'paket', 'mahal', 'kualitas', 'jaringan', 'bagus']</t>
  </si>
  <si>
    <t>['terkadang', 'ter', 'log', 'out', 'otomatis', 'aplikasi', 'mytelkomsel', 'log', 'out', 'akun', 'aplikasi', 'mohon', 'perbaikan', 'tambahan', 'bintang', 'terisi', '']</t>
  </si>
  <si>
    <t>['down', 'grade', 'apk', 'provider', 'kayak', 'gini', 'gada', 'improvement', 'fitur', 'komplain', 'selayaknya', 'reply', 'alihkan', 'apk', 'situ', 'udah', 'gaberani', 'the', 'point', 'harga', 'doang', 'mahal', 'kualitas', 'nol']</t>
  </si>
  <si>
    <t>['aplikasi', 'taik', 'buka', 'appnya', 'bsa', 'bet', 'loading', 'mulu', 'jaringan', 'stabil', 'tpi', 'bsa', 'loading', 'app', 'malu', 'telkomsel', 'beli', 'paket', 'jga', 'msh', 'tersisa', 'udah', 'top', 'pulsa', 'jga', 'ehh', 'pembelian', 'berhasil', 'tpi', 'sms', 'masuk', 'kouta', 'masuk', 'nyesel', 'pakai', 'telkom']</t>
  </si>
  <si>
    <t>['log', 'telkomsel', 'error', 'paket', 'kartu', 'hallo', 'jaringan', 'lemot', 'telkomsel', 'pelayanan', 'seburuk', 'pdahal', 'signal', 'kuat', 'drpda', 'provider', 'rolong', 'perhatikan', 'keluhan', 'konsumen', 'lihat', 'ulasan', 'keluhan', 'perbaikan', 'peningkatan', 'layanan', 'tolong', 'tanggapi', 'sayang', 'konsumen', 'pindah', 'provider', 'tawarkan', 'signal', 'pelayanan', '']</t>
  </si>
  <si>
    <t>['lemot', 'aplikasinya', 'pas', 'cek', 'play', 'store', 'update', 'pas', 'update', 'tolong', 'perbaiki', 'kadang', 'jaringan', 'lemot', 'indikasi', 'jaringan', 'penuh']</t>
  </si>
  <si>
    <t>['telkomsel', 'beli', 'paket', 'mahal', 'tpi', 'jaringan', 'menghilang', 'mahal', 'paket', 'pelanggan', 'hasil', 'memuaskan', 'paket', 'tpi', 'jaringan', 'kagak']</t>
  </si>
  <si>
    <t>['sampah', 'membuang', 'login', 'gagal', 'niat', 'kelola', 'aplikasi', 'mending', 'buang', 'kelaut', 'aplikasi', 'sial', '']</t>
  </si>
  <si>
    <t>['semenjak', 'migrasi', 'kartu', 'halo', 'sinyalnya', 'rusak', 'login', 'apk', 'disconnect', 'kuota', 'beda', 'kartu', 'ngelag', 'sampek', 'disconnect', 'berulang', 'kali', 'rugi', 'besok', 'bayar', 'mahal', 'mahal', 'pelayanan', 'kayak', 'dimohon', 'telkomsel', 'kartu', 'kartu', 'perdana']</t>
  </si>
  <si>
    <t>['menunggu', 'hasil', 'telkomsel', 'membuahkan', 'hasil', 'hubungi', 'customer', 'berkali', 'kali', 'follow', 'menunggu', 'konfirmasi', 'mohon', 'kebijakan', 'telkomsel', 'menyikap', 'keluhan', 'pelanggan', 'dirugikan', 'membeli', 'kuota', 'senilai', 'rb', 'fasilitas', 'kompensasi', 'ato', 'ganti', 'rugi']</t>
  </si>
  <si>
    <t>['jaringan', 'hancur', 'kecewa', 'login', 'suruh', 'login', 'ulang', 'keluhan', 'sinyal', 'paket', 'masuk', 'pulsa', 'sedot', 'lakukan', 'tindakan', 'malas', 'perbaiki', 'pengguna', 'nyaman', 'apk', 'menyarankan', 'perbaiki', 'keluhan', 'pengguna', 'beralih', 'developer', 'mohon', 'baca', 'tanggapi', '']</t>
  </si>
  <si>
    <t>['provider', 'telkom', 'pemaksaan', 'nomor', 'beli', 'paket', 'pilihannya', 'mahal', 'terpaksa', 'membeli', 'butuh', 'menu', 'pilihan', 'paket', 'beda', 'nomor', 'promo', 'murah', 'dipikir', 'nomor', 'pindah', 'provider', 'gitu', 'susah', 'bro', 'kasih', 'keringanan', 'pelanggan', 'setia', 'timbal', 'telkomsel', 'pelanggan', 'setia', 'kabur', 'provider', '']</t>
  </si>
  <si>
    <t>['', 'numpang', 'nanya', 'pembelian', 'paket', 'combo', 'sakti', 'metode', 'pembayaran', 'dana', 'connection', 'error', 'pas', 'bayar', 'signal', 'internet', 'stabil', '']</t>
  </si>
  <si>
    <t>['kalinya', 'nyoba', 'beli', 'pulsa', 'rb', 'apk', 'masuk', 'telp', 'csnya', 'diblg', 'proses', 'jam', 'beli', 'paket', 'terpaksa', 'beli', 'pulsa', 'mbanking', 'mending', 'mbanking', 'pulsa', 'masuk', 'waah', 'brrti', 'telkomsel', 'ngadi', 'rb', 'min', 'asem', '']</t>
  </si>
  <si>
    <t>['permisi', 'diperbaiki', 'apknya', 'login', 'susah', 'beli', 'paket', 'apk', 'kayak', 'error', 'gitu', 'gini', 'ihh', 'udah', 'clear', 'cache', 'paksa', 'berhenti', 'macem', 'tetep', '']</t>
  </si>
  <si>
    <t>['bertahun', 'pakai', 'telkomsel', 'hadiah', 'telkomsel', 'poin', 'menyebalkan', 'minimal', 'motor', 'mobil', 'gitu', '']</t>
  </si>
  <si>
    <t>['layanannya', 'jelek', 'sinyal', 'ampun', 'lola', 'chat', 'admin', 'blsnya', 'both', 'masuk', 'aplikasi', 'masuknya', 'banget', 'atuh', 'buang', 'bukanya', 'memudahkan', 'costumer']</t>
  </si>
  <si>
    <t>['asli', 'kacau', 'jaringan', 'telkomsel', 'jelek', 'udh', 'beli', 'paket', 'mahal', 'jaringan', 'super', 'duper', 'lemot', 'udh', 'langganan', 'kali', 'kecewa', 'telkomsel', '']</t>
  </si>
  <si>
    <t>['sinyal', 'sinyal', 'ngak', 'mutu', 'ngak', 'mutu', 'pas', 'main', 'game', 'lagsung', 'pindah', 'ngak', 'ngak', 'jalan', 'main', 'jam', 'pagi', 'sampe', 'jam', 'axis', 'indosat', 'jam', 'segitu', 'ngak', 'ngelang', 'irit', 'murah', 'udah', 'mahal', 'ngak', 'sinyal', 'ngak', 'gratisan', 'kecewa', 'pokok', 'telekomolosel', 'ngak', 'isi', 'voucer', 'pulsa', 'nyesel', 'telkomsel', 'penipuan', 'sinyal', 'oke', 'bagusan', 'axis', 'indosat', 'im', '']</t>
  </si>
  <si>
    <t>['pindah', 'kartu', 'main', 'game', 'lancar', 'pindah', 'telkomsel', 'main', 'game', 'ancur', 'kali', 'kalah', 'putus', 'koneksi', 'ngelag', 'berulang', 'terimakasih', 'telkomsel']</t>
  </si>
  <si>
    <t>['setahun', 'didaerah', 'telkomsel', 'lelet', 'kaya', 'siput', 'jaringan', 'kalah', 'kuning', 'smpai', 'ttep', 'lelet', 'tmbah', 'sinyal', 'urgent', 'kualitas', 'koneksi', 'jaringan', 'sebanding', 'harga', 'paket', 'serasa', 'beli', 'kuota', 'subsidi', 'internetan', 'jam', 'pagi', 'doang', 'itupun', 'speednya', 'mentok', 'kbps']</t>
  </si>
  <si>
    <t>['kasi', 'bintang', 'seminggu', 'anjlok', 'drastis', 'sinyal', 'ancoorrr', 'kesel', 'pelanggan', 'setia', 'gini', 'asli', 'gedek', 'rekomend', 'family', 'pade', 'manyun', 'sinyal', 'telkomsel', 'parah', 'membaik', 'beli', 'paketan', 'mahal', 'sinyal', 'andalkan', 'kecewa', 'parah', 'pelayanan', 'skrg']</t>
  </si>
  <si>
    <t>['harga', 'mahal', 'lemot', 'ampun', 'malam', 'jaringan', 'unlimited', 'jaringan', 'lemot', 'mending', 'ganti', 'provider', 'tinggal', 'tangerang', 'gimana', 'pelosok', '']</t>
  </si>
  <si>
    <t>['kukasih', 'kenceng', 'buset', 'nikmat', 'banget', 'sinyal', 'down', 'nyebelin', 'pemberitahuan', 'auto', 'langsung', 'ganti', 'kartu', 'provider', 'sampe', 'sinyal', 'normal']</t>
  </si>
  <si>
    <t>['brand', 'bumn', 'kaki', 'aplikasi', 'eror', 'jaringan', 'terlemah', 'kelas', 'bego', 'kasih', 'bintang', 'pegawainya', 'kasih', 'bintang', '']</t>
  </si>
  <si>
    <t>['kecewa', 'koneksi', 'internet', 'telkomsel', 'buruk', 'koneksi', 'internet', 'rugi', 'kerjaan', 'berantakan', 'gara', 'buruk', 'jaringan', 'internet', 'telkomsel', 'mohon', 'maaf', 'ucapkan', 'terima', 'kasih', '']</t>
  </si>
  <si>
    <t>['telkomsel', 'please', 'perbaiki', 'jaringan', 'internet', 'beralih', 'mahal', 'lemot', 'kerja', 'terganggu', '']</t>
  </si>
  <si>
    <t>['parah', 'telkomsel', 'beli', 'kuota', 'jaringan', 'lemot', 'kadang', 'koneksi', 'internet', 'pindah', 'kek', 'gini', 'untung', 'doank', 'gede', 'pelanggan', 'diperdulikan', 'kuota', 'gede', 'dipakek', 'buang', 'pengen', 'ngomong', 'kasar', '']</t>
  </si>
  <si>
    <t>['kecewa', 'karna', 'main', 'game', 'sinyalnya', 'selau', 'setabil', 'hilang', 'bagus', 'udah', 'banting', 'karna', 'sinyal', 'telkomsel', 'war', 'pingnya', 'gerak', 'mati', 'kaya', 'gini', 'pindah', 'tolong', 'bersangkutan', 'ambil', 'tindakan', 'mengecewakan', 'sinyalnya', 'tolong', 'perbaiki', 'ganti', 'telkomsel', 'udah', 'suruh', 'ganti']</t>
  </si>
  <si>
    <t>['parah', 'telkomsel', 'dikota', 'sinyal', 'lemott', 'beli', 'gb', 'beli', 'murah', 'kualitas', 'murahan', 'delevelor', 'telkomsel', 'manajemen', 'telkomsel', 'diperbaiki', 'sistem', 'nyaaa', '']</t>
  </si>
  <si>
    <t>['malam', 'lancar', 'jaringannya', 'alias', 'lelet', 'maen', 'game', 'free', 'fire', 'ngelag', 'telkomsel', 'parah', 'jaringannya', 'lancar', 'lelet', 'banget', 'parah', 'memuaskan', 'recommended', '']</t>
  </si>
  <si>
    <t>['sinyalnya', 'kadang', 'cepet', 'kadang', 'lambat', 'main', 'game', 'browsing', 'pending', 'performanya', 'parah', 'terganggu', 'cek', 'sinyal', 'kuota', 'mulu', 'sinyal', 'kuota', 'aman', 'terkendali', 'mohon', 'ditingkatkan', 'jaringan', 'kalah', 'kartu', '']</t>
  </si>
  <si>
    <t>['beli', 'kuota', 'udah', 'langsung', 'gua', 'buang', 'kecewa', 'banget', 'jaringannya', 'coba', 'suruh', 'restart', 'gua', 'note', 'plus', 'sinyal', 'sumpah', 'gua', 'nyesel', 'karna', 'udah', 'beli', 'rugi', 'banget', 'murah', 'gua', 'kecewa', 'tugas', 'mengharuskan', 'make', 'internet', 'gagal', 'internet', 'bener', 'bener', 'payah', 'uuit', 'bener', 'bener', 'pengen', 'make', 'umpatan', 'kasar', 'provider']</t>
  </si>
  <si>
    <t>['tol', 'langit', 'akses', 'cepat', 'harga', 'mahal', 'faktanya', 'hoax', 'kualitasnya', 'ancur', 'seancur', 'signalblemot', 'hoax', 'mahal', 'kaya', 'ganti', 'operator', 'layak', 'dibeli', 'produknya']</t>
  </si>
  <si>
    <t>['bintang', 'tingkatkanlah', 'kwalitas', 'jaringan', 'internetnya', 'lemot', 'pelanggan', 'telkomsel', 'beralih', 'provider', 'bagus', 'hayoo', 'tingkatkan']</t>
  </si>
  <si>
    <t>['telkomsel', 'buruk', 'jaringan', 'kecewa', 'pelanggan', 'setia', 'paket', 'mahal', 'jaringan', 'buruk', 'mending', 'ganti', 'kartu', 'murah', 'jaringan', 'kenceng', '']</t>
  </si>
  <si>
    <t>['promo', 'paket', 'data', 'berbeda', 'beda', 'kartu', 'ngepasin', 'paket', 'mahal', 'mahal', 'auto', 'ganti', 'pradana', 'kartu', 'jarang', 'promo', 'bandingkan', 'keluaran', 'terbaru', 'telkomsel', '']</t>
  </si>
  <si>
    <t>['kuota', 'mengecewakan', 'knp', 'sinyal', 'telkomsel', 'dulunya', 'bagus', 'vpn', 'bagus', 'sinyal', 'tolonglah', 'pengguna', 'telkomsel', 'tolong', 'telkomsel', 'memperbaiki', 'kekuatan', 'sinyal', 'rusak', 'terima', 'kasih', '']</t>
  </si>
  <si>
    <t>['dimana', 'telkomsel', 'jaringannya', 'lelet', 'udah', 'beli', 'paket', 'mahal', 'sakit', 'hati', 'untung', 'doank', 'kualitas', 'lelet', '']</t>
  </si>
  <si>
    <t>['jaringan', 'buruk', 'buruk', 'kebijakan', 'swkali', 'perbaikan', 'admin', 'tuna', 'netra', 'buta', 'tuli', 'mendengarkan', 'pengunanya', 'miris', 'jaringan', 'telkomsel', '']</t>
  </si>
  <si>
    <t>['bad', 'banget', 'provider', 'super', 'lemot', 'kesini', 'bener', 'lemot', 'sinyal', 'buruk', 'perbaiki', 'mahalnya', 'doang', 'kualitas', 'sesuai', '']</t>
  </si>
  <si>
    <t>['perbaiki', 'koneksi', 'internet', 'sinyal', 'bagus', 'lemot', 'bagus', 'koneksi', 'internet', 'gue', 'tambahin', 'bintanganya', 'tetep', 'gue', 'unistal', 'gue', 'buang', 'kartunya', 'pindah', 'jaringan', 'sebelah', 'gue']</t>
  </si>
  <si>
    <t>['tolong', 'admin', 'telkomsel', 'indonesia', 'perbaiki', 'jaringan', 'lag', 'telkomsel', 'paket', 'data', 'mahal', 'jaringan', 'bagus', 'laa', 'paket', 'data', 'mutah', 'jaringan', 'ampas', 'belajar', 'online', 'susah', 'telkomsel', 'terpuruk', 'mohon', 'admin', 'dibaca', 'butuh', 'bantuan', 'paket', 'kemendikbud', 'butuhkan', 'cuman', 'jaringan', 'internet', 'bagus', 'orang', 'kaya', 'raya', 'sekedar', 'membeli', 'paket', 'data', 'diperbaiki', '']</t>
  </si>
  <si>
    <t>['paket', 'ceria', 'mahal', 'aktif', 'jaringan', 'buruk', 'tolong', 'min', 'pelanggan', 'kabur', 'mohon', 'tindak', 'lanjuti', 'trimakasih', '']</t>
  </si>
  <si>
    <t>['memuaskan', 'jaringan', 'telkomsel', 'terlelet', 'indonesia', 'jaringan', 'harga', 'paket', 'internet', 'termahal', 'sinyal', 'terburuk', 'kartu', 'seluler', 'mending', 'tutup', 'perusahaan', 'telkomsel', 'cacat', 'deh', 'telkomsel']</t>
  </si>
  <si>
    <t>['mengecewakan', 'aplikasi', 'telkomsel', 'kali', 'top', 'pulsa', 'aplikasi', 'link', 'aplikasi', 'telkomsel', 'pulsanya', 'masuk', 'saldo', 'potong', 'trus', 'pemberitahuan', 'sms', 'transaksi', 'berhasil', 'pas', 'cek', 'pulsa', 'masuk', 'tolong', '']</t>
  </si>
  <si>
    <t>['turun', 'kualitasnya', 'mengecewakan', 'rugi', 'beli', 'pulsa', 'dipakai', 'lelet', 'abiss', 'silakan', 'dibaca', 'keluhan', 'mytelkomsel', 'jam', 'komunikasi', 'sinyal', 'lelet', 'doang', 'solusi', '']</t>
  </si>
  <si>
    <t>['coment', 'balas', 'telkomsel', 'keluhan', 'utama', 'sinyal', 'suruh', 'milih', 'bintang', 'kaga', 'gua', 'milih', 'bintang', 'sayang', 'terpaksa', 'kasih', 'bintang', 'tolong', 'baca', 'coment', 'kasih', 'provider', 'bagus', 'ganti', 'kartu', '']</t>
  </si>
  <si>
    <t>['maunya', 'apasih', 'telkomsel', 'lgi', 'maen', 'ping', 'stabil', 'lgsung', 'down', 'merah', 'udah', 'harga', 'kuota', 'jga', 'lumayanahal', 'tolong', 'tolong', 'perbaiki', 'kualitas', 'sinyal', 'mengecewakan', '']</t>
  </si>
  <si>
    <t>['telkomsel', 'kesini', 'buruk', 'sii', 'kualitas', 'jaringannya', 'kecewa', 'kecewa', 'pelayanan', 'jaringan', 'telkomsel', 'udah', 'harga', 'kuotanya', 'mahal', 'jaringannya', 'busuk', 'sii', 'tolong', 'mohon', 'perbaiki', 'jaringannya', '']</t>
  </si>
  <si>
    <t>['telkomsel', 'sinyal', 'buruk', 'tolong', 'donk', 'perbaiki', 'masak', 'terkenal', 'jaringan', 'handal', 'sekarng', 'sinyal', 'parah', 'bangettttt', 'lampu', 'mati', 'sinyal', 'internet', 'mati', 'paraaaahhhhh', '']</t>
  </si>
  <si>
    <t>['nyesel', 'banget', 'pkx', 'layanan', 'telkomsel', 'sinyal', 'macem', 'taii', 'jaringan', 'kuota', 'mahal', 'smua', 'ngisi', 'pulsa', 'abis', 'nyari', 'duit', 'gampang', 'pkx', 'mode', 'pesawat', 'internet', 'bru', 'lancar', '']</t>
  </si>
  <si>
    <t>['burukk', 'ngisi', 'pulsa', 'hbis', 'pdhal', 'pakek', 'kuota', 'internet', 'mahall', 'murah', 'jaringan', 'super', 'duper', 'jelekk', 'kali', '']</t>
  </si>
  <si>
    <t>['buruk', 'pulsa', 'terkuras', 'layanan', 'sewa', 'gprs', 'habis', 'mengakses', 'internet', 'wifi', 'chat', 'solusi', 'terpotong', 'layanan', 'gprs', 'tsb', 'tolong', 'telkomsel', 'monopoli', 'provider', 'plat', 'merah', 'menguras', 'pulsa', '']</t>
  </si>
  <si>
    <t>['kayanya', 'komentar', 'jaringan', 'pelanggan', 'harga', 'mahal', 'kualitas', 'berkurang', 'keseriusan', 'telkomsel', 'perbaikan', 'kualitas', 'layak', 'pasang', 'harga', 'pagi', 'sore', 'lumayan', 'malam', 'beda', 'bedanya', 'telkomsel', 'mahal', '']</t>
  </si>
  <si>
    <t>['', 'ngerasa', 'kasian', 'temen', 'sampe', 'banting', 'gara', 'telkomtod', 'wkwkwksk', 'kartu', 'terbesar', 'indonesia', 'kartu', 'terburuk', 'indonesia', 'canda', 'telkomtod']</t>
  </si>
  <si>
    <t>['telkomsel', 'skrang', 'sdah', 'skali', 'parah', 'mahal', 'iya', 'bobotnya', 'nihil', 'mengecewakan', 'beli', 'paket', 'unlimited', 'youtube', 'buka', 'situs', 'youtube', 'trsbut', 'bkannya', 'kuota', 'unlimitednya', 'kepotong', 'pulsa', 'potong', 'paketan', 'unlimited', 'aplikasi', 'pastinya', 'kepake', 'pulsa', 'habis', 'engga', 'percaya', 'silahkan', 'dicoba', 'disayangkan', 'pelanggan', 'telkomsel', 'kabur', '']</t>
  </si>
  <si>
    <t>['telkomsel', 'minggu', 'jaringan', 'kunjung', 'membaik', 'parah', 'nonton', 'video', 'youtube', 'buka', 'snap', 'ngk', 'ayolah', 'udah', 'mahal', 'beli', 'kuota', 'gb', 'telkomsel', 'eeh', 'indosat', 'baguss', 'tolong', 'perbaiki', 'yha', '']</t>
  </si>
  <si>
    <t>['kartu', 'jaringan', 'parah', 'kartu', 'kartu', 'sultan', 'jaringan', 'kaya', 'kartu', 'murah', 'ngeleg', 'gue', 'beli', 'kuota', 'unlimited', 'max', 'kuota', 'internet', 'reguler', 'udah', 'habis', 'kuota', 'unlimited', 'apk']</t>
  </si>
  <si>
    <t>['telkomsel', 'jaringan', 'lampung', 'kec', 'buay', 'bahuga', 'kab', 'way', 'kanan', 'kamp', 'agung', 'tower', 'lelet', 'kdangkala', 'area', 'susah', '']</t>
  </si>
  <si>
    <t>['trims', 'pelayanannya', 'jaringan', 'internet', 'putus', 'nyambung', 'pulih', 'membeli', 'paket', 'data', '']</t>
  </si>
  <si>
    <t>['telkomsel', 'tolong', 'dengarkan', 'keluhan', 'diperbaiki', 'kuota', 'internet', 'habis', 'otomatis', 'nyedot', 'pulsa', 'kwalitas', 'jaringan', 'tinggal', 'cibitung', 'kabupaten', 'bekasi', 'bagus', 'lemot', 'terimakasih']</t>
  </si>
  <si>
    <t>['', 'daerah', 'kota', 'bekasi', 'daerah', 'pekayon', 'sinyal', 'telkom', 'jelek', 'kadang', 'main', 'game', 'normal', 'mohon', 'perbaiki', '']</t>
  </si>
  <si>
    <t>['koneksi', 'data', 'mati', 'pulsa', 'berkurang', 'pemakaian', 'data', 'operator', 'memiliki', 'sistem', 'canggih', 'memproteksi', 'pulsa', 'user', 'pemakaian', 'internet', 'paket', 'data', 'habis', 'internet', 'otomatis', 'terputus', 'memakan', 'pulsa', 'kehendaki', 'operator', 'plat', 'merah', 'ternesar', 'seantero', 'negeri', 'telkom', 'sistem', '']</t>
  </si>
  <si>
    <t>['aplikasi', 'membantu', 'memperbaiki', 'sinyal', 'paketan', 'mahal', 'sinyal', 'jelek', 'lapor', 'telkomsel', 'respon', 'pindah']</t>
  </si>
  <si>
    <t>['telkomsel', 'parah', 'banget', 'sinyal', 'leg', 'bawa', 'main', 'game', 'online', 'telkomsel', 'menjual', 'paket', 'kouta', 'internet', 'mahal', 'telkomsel', 'mementingkan', 'pelanggan', 'setia', 'beda', 'provider']</t>
  </si>
  <si>
    <t>['aplikasi', 'lancar', 'jaya', 'giliran', 'main', 'mobile', 'legend', 'ping', 'ms', 'mulu', 'telkomsel', 'paketan', 'mahal', 'kualitas', 'abal', 'abal', '']</t>
  </si>
  <si>
    <t>['kecewa', 'sinyalnya', 'lelet', 'sinyalnya', 'cepat', 'udah', 'beli', 'paket', 'mahal', 'mohon', 'perbaiki', 'sinyalnya']</t>
  </si>
  <si>
    <t>['memuaskan', 'alias', 'mengecewakan', 'maksud', 'hati', 'isi', 'ulang', 'pulsa', 'perpanjang', 'aktif', 'kartu', 'sms', 'telp', 'langsung', 'dimakan', 'paket', 'pulsa', 'berhenti', 'berlangganan', 'prosesnya', 'ribet', 'namanya', 'veronika', 'umurnya', 'susah', 'pertanyaanku', 'mimin', 'siapanya', 'veronika', 'namanya', 'lina', 'temen', 'sekolahku', 'temen', 'sekelas', 'namanya', 'ujang', '']</t>
  </si>
  <si>
    <t>['saran', 'pakai', 'kartu', 'telkomsel', 'sinyal', 'lemot', 'main', 'game', 'lag', 'parah', 'pdhl', 'kuotanya', 'mahal', 'indosat', 'lancar', 'telkomsel', 'telkomsel', 'cuman', 'nyari', 'untung', 'kenyamanan', 'pengguna', 'diperhatikan', 'calon', 'bangkrut']</t>
  </si>
  <si>
    <t>['kesal', 'kinerja', 'jaringan', 'telkomsel', 'pindah', 'pelanggan', 'telkomsel', 'jaringan', 'tolong', 'nama', 'telkomsel', 'upgrade', 'jaringannya', 'terima', 'kasih', '']</t>
  </si>
  <si>
    <t>['kartu', 'badut', 'beli', 'kuota', 'sinyal', 'ngebadut', 'sinyal', 'lancar', 'shubuh', 'doank', 'ampas', 'benerin', 'donk', 'sinyal', 'parah', 'bener', '']</t>
  </si>
  <si>
    <t>['jaringan', 'suka', 'hilang', 'hilang', 'mendadak', 'data', 'selulernya', 'mati', 'mendadak', 'main', 'game', 'online', 'jaringan', 'stabil', 'wilayah', 'kota', 'pontianak', '']</t>
  </si>
  <si>
    <t>['mahal', 'doank', 'sinyal', 'afk', 'mulu', 'telkom', 'bangkrut', 'yyaaa', 'bintang', 'perubahan', 'kasih', 'bintang', 'sadar', 'ganti', 'prioritas', 'telkomsel']</t>
  </si>
  <si>
    <t>['bertahun', 'kali', 'kecewa', 'tagihan', 'dicancel', 'konfirmasi', 'playstore', 'telkomselnya', 'gunanya', 'beli', 'aplikasi', 'berguna', 'playstore', 'metode', 'pembayaran', 'telkomsel', 'otomatis', 'bgitu', 'kepotong', 'aplikasinya', 'udh', 'dihapus', 'kecewa', '']</t>
  </si>
  <si>
    <t>['tukar', 'kartu', 'beli', 'paketan', 'bulanan', 'bukti', 'tanda', 'terima', 'beli', 'barang', 'dipasar', 'bukti', 'tanda', 'terima', 'profesional', 'dibawah', 'kelas', 'amatiran', 'kwitansi', 'grapari', 'telkomsel', '']</t>
  </si>
  <si>
    <t>['beli', 'pulsa', 'telkomsel', 'tulisan', 'poin', 'poin', 'dibeli', 'memakai', 'poin', 'tolong', 'secepatnya', '']</t>
  </si>
  <si>
    <t>['kasih', 'bintang', 'aplikasi', 'bagus', 'diperbaiki', 'sinyal', 'main', 'game', 'online', 'lelet', 'sinya', 'nurun', 'jelek', 'sinyal', 'mohon', 'diperbaiki', 'orang', 'senang', 'aplikasi', 'sekian', 'terima', 'kasih', '']</t>
  </si>
  <si>
    <t>['kecewa', 'parah', 'sinyalnya', 'sekelas', 'telkomsel', 'kartu', 'provider', 'mahal', 'sinyal', 'susah', 'dijamin', 'pelanggannya', 'lari', '']</t>
  </si>
  <si>
    <t>['pelanggan', 'telkomsel', 'beli', 'berganti', 'telkomselnya', 'sinyal', 'terbaik', 'rasakan', 'sinyal', 'telkomsel', 'perbaikan', 'sinyal', 'telkomsel', 'pelanggan', 'berpindah', 'provider']</t>
  </si>
  <si>
    <t>['sinyalnya', 'enak', 'paket', 'gamenya', 'main', 'game', 'kuotanya', 'tolong', 'perbaiki', 'telkomsel', 'beli', 'paket', 'game', 'main']</t>
  </si>
  <si>
    <t>['selamat', 'siang', 'kecewa', 'tinggal', 'stempel', 'kuota', 'gb', 'hr', 'membuka', 'aplikasi', 'telkomsel', 'mencari', 'dayly', 'check', 'kemana', 'perginya', 'telan', 'bumi', 'tolong', 'telkomsel', 'mmg', 'bonus', 'kuota', 'pengumpulan', 'stampel', 'hrs', 'tepati', 'smp', 'tgl', 'stampel', 'dayly', 'check', 'hilangkan', 'terima', 'kasih', 'telkomsel', 'oke', 'banget', '']</t>
  </si>
  <si>
    <t>['aplikasi', 'gimana', 'beli', 'paket', 'susah', 'disuruh', 'cek', 'koneksi', 'internet', 'internet', 'lancar', 'lancar', 'niat', '']</t>
  </si>
  <si>
    <t>['telkomsel', 'buruk', 'kecewa', 'loyal', 'sekolah', 'dasar', 'kuliah', 'menggunakannya', 'koneksi', 'internet', 'sangatt', 'buruk', 'pulsa', 'tersedot', 'aktifkan', 'paket', 'data', 'internet', 'telkomsel', 'seprti', 'citra', 'perusahaan', 'buruk', 'perbaiki', 'pelanggan', 'beralih', 'kartu', '']</t>
  </si>
  <si>
    <t>['sinyal', 'parah', 'pls', 'ambil', 'bangakan', 'simpati', 'bagus', 'knp', 'jelek', 'kepuasan', 'castumer', 'bayar', 'gratisan', 'parahhhhhhh']</t>
  </si>
  <si>
    <t>['tolong', 'berhasil', 'login', 'login', 'aplikasinya', 'telkomsal', 'beli', 'paket', 'telkomsel', 'suruh', 'loin']</t>
  </si>
  <si>
    <t>['beli', 'paket', 'interne', 'malam', 'tpi', 'klu', 'udah', 'jam', 'malam', 'paket', 'interne', 'malam', 'buka', 'youtube', 'video', 'apk', 'klu', 'buka', 'somed', 'knapa', 'gini', 'deh', 'tolong', 'kondisikan', 'berkeluh', 'utuh', 'jga', '']</t>
  </si>
  <si>
    <t>['signal', 'kota', 'metro', 'ampun', 'dahhh', 'lemot', 'abis', 'sesuai', 'harga', 'dibeli', 'sesuai', 'nama', 'perusahaan', 'orang', 'bodoh', 'bertahan', 'provider', '']</t>
  </si>
  <si>
    <t>['kesini', 'sinyal', 'lemot', 'kota', 'papa', 'telkomsel', 'mahal', 'sinyal', 'menunjang', 'ehh', 'taunya', 'kek', 'gini', '']</t>
  </si>
  <si>
    <t>['cmn', 'blng', 'knp', 'kasih', 'bintang', 'sya', 'beli', 'paket', 'telkomsel', 'pdhl', 'pulsa', 'sya', 'ckup', 'dri', 'ckup', 'knp', 'tolong', 'bantuannya', 'lahhhh', 'telkomsel']</t>
  </si>
  <si>
    <t>['tolong', 'biyar', 'buka', 'aplikasi', 'bebas', 'kuota', 'kitakan', 'beli', 'cek', 'kuota', 'aplikasi', 'sinyalnya', 'buruk', 'tempatku', '']</t>
  </si>
  <si>
    <t>['paket', 'data', 'dibeli', 'konsumen', 'hangus', 'jangka', 'dikumulatifkan', 'haknya', 'konsumen', 'dagang', 'buruk', 'adil', 'peradilan', 'akhirat', 'zholim', '']</t>
  </si>
  <si>
    <t>['aplikasi', 'sampahhh', 'penipu', 'rakyat', 'pulsa', 'dipakai', 'dipotong', 'trus', 'mpe', 'abis', 'jaringn', 'lelet', 'sesuai', 'hrga', 'mutu', 'semoga', 'cpt', 'mati', 'kau', 'ttup', 'usia', 'negri', 'peras', 'kmi', 'trusss', '']</t>
  </si>
  <si>
    <t>['langsung', 'kurangi', 'bintang', 'karna', 'telkomsel', 'payah', 'jaringan', 'skr', 'lelet', 'melulu', 'pentingin', 'pelanggan', 'kasi', 'rating', 'bagus', 'rating', 'bagus', 'pelanggan', 'betulin', 'jaringan', 'kesel', '']</t>
  </si>
  <si>
    <t>['mending', 'rame', 'rame', 'bakar', 'kartu', 'telkomsel', 'gaguna', 'udah', 'mahal', 'sinyal', 'jelek', 'pelayanan', 'jelek', 'gangguan', 'teros', 'gliran', 'dicomplain', 'perbaikan', 'kualitas', 'jaringan', 'tetep', 'jelek', 'telkomsel', 'gajelas', 'anying', 'bangkrut', 'mending']</t>
  </si>
  <si>
    <t>['', 'pengguna', 'telkomsel', 'kesini', 'sinyal', 'ancur', 'setahun', 'terahir', 'bener', 'gabisa', 'dipake', 'pagi', 'sampe', 'malem', 'sinyal', 'lancar', 'jam', 'pagi', 'menjelang', 'subuh', 'udah', 'ngirimi', 'email', 'keluhan', 'perubahan', 'mahal', 'doang', 'pelayanan', 'kek', 'sampah', 'kalah', 'provider', 'murah', 'ngasih', 'harga', 'dibawah', 'benefit', 'buka', 'medsos', 'keluhan', 'ngasih', 'duit', 'ganti', 'kartu', '']</t>
  </si>
  <si>
    <t>['parah', 'banget', 'jaringan', 'parah', 'kesini', 'turun', 'kualitas', 'gratis', 'tolong', 'dengar', 'komentar', '']</t>
  </si>
  <si>
    <t>['rubah', 'bintang', 'bintang', 'beli', 'kuota', 'perdana', 'harga', 'rb', 'gb', 'sinyal', 'ngadat', 'sinyalnya', 'lte', 'dibilang', 'sinyal', 'telkomsel', 'terbaiklah', 'gue', 'harga', 'segitu', 'unlimited', 'btw', 'full', 'internetan', 'sebulan', 'uang', 'rb', 'koneksi', 'kalah', 'sinyalnya', 'lte', 'okay', 'gays', '']</t>
  </si>
  <si>
    <t>['hancur', 'jelek', 'lemot', 'jaringannya', 'buffering', 'parah', 'buka', 'apapun', 'leletnya', 'parah', 'beli', 'kuota', 'mahal', 'mahal', 'jaringannya', 'jelek', '']</t>
  </si>
  <si>
    <t>['sinyal', 'jelek', 'lelet', 'dipakai', 'game', 'ngelag', 'gara', 'gara', 'ping', 'merah', 'kualitasnya', 'sesuai', 'harga', 'pindah', 'provider', 'nyata', 'murah', 'kualitas', 'sinyalnya', 'bagus', 'bintang', 'kasih', 'bintang', 'provider', 'ampas']</t>
  </si>
  <si>
    <t>['kecewa', 'beli', 'paket', 'data', 'pas', 'dipakai', 'langsung', 'drop', 'sinyal', 'kaya', 'gunung', 'kencang', 'sinyal', 'mahal', 'doang', 'sinyal', 'lemot', 'skarang', 'tolong', 'tingkatkan', 'jaringannya', 'pengguna', '']</t>
  </si>
  <si>
    <t>['sinyal', 'jaringan', 'stabil', 'mingguan', 'turun', 'karingan', 'cuman', 'doang', 'hati', 'turun', 'gitu', 'buka', 'status', 'video', 'muter', 'kayak', 'gangsing']</t>
  </si>
  <si>
    <t>['pelanggan', 'telkomsel', 'alasan', 'memilih', 'telkomsel', 'jangkauan', 'luas', 'stabil', 'dibandingkan', 'kompetitornya', 'jarang', 'beli', 'paket', 'internet', 'dll', 'relatif', 'mahal', 'contoh', 'harga', 'paket', 'rb', 'seminggu', 'rb', 'anehnya', 'pilihan', 'paket', 'tertera', 'rb', 'pulsa', 'terpotong', 'beralih', 'provider', 'internet', 'murah', '']</t>
  </si>
  <si>
    <t>['kecewa', 'telkomsel', 'desa', 'lemot', 'banget', 'kayak', 'gini', 'jaringan', 'lemot', 'mohon', 'telkomsel', 'terbaik', 'penggunanya', 'terima', 'kasih', 'perhatiannya']</t>
  </si>
  <si>
    <t>['telkomsel', 'jelek', 'buka', 'apl', 'game', 'jaringan', 'langsung', 'pindah', 'konek', 'kuota', 'lokal', 'unlimitednya', 'mohon', 'perbaiki', 'admin', 'auto', 'kartu', '']</t>
  </si>
  <si>
    <t>['ditempat', 'kalimantan', 'selatan', 'jaringan', 'lelet', 'kota', 'desa', 'tolong', 'perbaikan', 'jaringan', 'lancar', 'kesulitan', 'kuliah', '']</t>
  </si>
  <si>
    <t>['males', 'internet', 'provider', 'jaringan', 'buruk', 'main', 'ping', 'jelek', 'download', 'speed', 'lambat', 'sinyal', 'udah', 'ojin', 'jin']</t>
  </si>
  <si>
    <t>['telkom', 'emosi', 'sinyal', 'lemotnya', 'kaya', 'siput', 'rugi', 'pelangan', 'hati', 'emosi', 'koneksi', 'jelek', 'tolong', 'perbaiki', 'sinyal', 'kasih', 'bintang', 'kecewa']</t>
  </si>
  <si>
    <t>['ditempat', 'sinyalnya', 'kuat', 'sinyalnya', 'down', 'banget', 'kalah', 'kartu', 'telkomsel', 'emang', 'terlalalu', 'mementingkan', 'kenyamanan', 'pelanggan', 'semoga', 'perusahaan', 'kebakaran', 'mudah', 'mudahan', 'bangkrut', '']</t>
  </si>
  <si>
    <t>['susah', 'sinyalnya', 'cuman', 'main', 'game', 'aplikasi', 'sosmed', 'susah', 'masuk', 'harga', 'paket', 'internet', 'mahal', 'jaringan', 'burik', 'mengecewakan']</t>
  </si>
  <si>
    <t>['paket', 'sepcial', 'for', 'you', 'apk', 'telkomsel', 'beda', 'paket', 'ceria', 'sms', 'paket', 'ceria', 'arahkan', 'membalas', 'pesan', 'kirim', 'membeli', 'apk', 'telkomsel', 'apk', 'telkomsel', 'persulit', 'kartu', 'telkomsel', 'ngalamin', 'kayak', 'gini', 'mempersulit', 'customer', 'gua', 'igu', 'perbaili']</t>
  </si>
  <si>
    <t>['astaghfirullah', 'sinyal', 'darah', 'paketan', 'termahal', 'kelasnya', 'kasih', 'servis', 'upgrade', 'maintenance', 'perawatan', 'sinyal', 'stabil', 'plat', 'merah', 'cocok', 'dikasih', 'one', 'star', 'pelayanan', 'buruk', 'sinyal', 'unstable', '']</t>
  </si>
  <si>
    <t>['', 'sah', 'telkomsel', 'beli', 'paket', 'lelet', 'sinyal', 'memuaskan', 'perbaiki', 'jaringan', 'harga', 'paket', 'data', 'mahal', 'seindonesia', 'raya', 'otak', 'chat', 'customer', 'service', 'memuaskan', 'respon', 'sinyal', 'kayak', 'taik', 'kayak', 'pepej']</t>
  </si>
  <si>
    <t>['gimana', 'masukin', 'voucher', 'aplikasi', 'mah', 'payah', 'kaya', 'apk', 'sebelah', 'tinggal', 'barcode', 'langsung', 'isi', 'kasih', 'bintang', 'mengecewakan']</t>
  </si>
  <si>
    <t>['telokmsel', 'sinyalnya', 'busuk', 'kalah', 'dipasang', 'tower', 'busuk', 'kebanyakan', 'korupsi']</t>
  </si>
  <si>
    <t>['telkomsel', 'smp', 'skrg', 'udh', 'thn', 'pindah', 'operator', 'jaringan', 'telkomsel', 'sakit', 'hati', 'jelek', 'jaringannya']</t>
  </si>
  <si>
    <t>['aplikasinya', 'gabisa', 'ganti', 'layanan', 'murah', 'pelayanan', 'telkomsel', 'payah', 'sms', 'penuh', 'iklan', 'makan', 'memori', '']</t>
  </si>
  <si>
    <t>['pelanggan', 'telkomsel', 'kesini', 'sinyal', 'jelek', 'main', 'game', 'paketan', 'promo', 'beli', 'pdhl', 'tolong', 'admin', 'bantuannya', 'udah', 'kali', 'pulsa', 'hilang', 'kirain', 'paketan', 'promo', 'udah', 'aktif']</t>
  </si>
  <si>
    <t>['pakai', 'kartu', 'halo', 'sinyalnya', 'buruk', 'pakai', 'paket', 'internet', 'combo', 'sakti', 'parah', 'maaf', 'bintang', 'emang', 'layak', '']</t>
  </si>
  <si>
    <t>['pengguna', 'telkkmsel', 'kecewa', 'jaringan', 'telkomsel', 'buruk', 'harga', 'kuota', 'mahal', 'perbaiki', 'jaringan', 'telkomsel', 'merugi', 'kuota', 'mahal', '']</t>
  </si>
  <si>
    <t>['jaringannya', 'buruk', 'buka', 'youtube', 'kualitas', 'ngelag', 'pas', 'main', 'game', 'online', 'sinyalnya', 'merah', 'kuning', 'stabil', 'udah', 'sebulan', 'jaringannya', 'jelek', 'buka', 'lelet', 'banget', '']</t>
  </si>
  <si>
    <t>['woy', 'komen', 'hargain', 'song', 'sinyal', 'error', 'snyl', 'kali', 'error', 'sinyal', 'knp', 'harga', 'telkomsel', 'nambah', 'mahal', 'murahin', 'napa', 'mahal', 'maaf', 'lasih', 'bintang', '']</t>
  </si>
  <si>
    <t>['senang', 'banget', 'aplikasi', 'beli', 'paket', 'cek', 'pulsa', 'nga', 'capek', 'ketik', 'buka', 'apknya', 'isi', 'pulsa']</t>
  </si>
  <si>
    <t>['kali', 'beli', 'pulsa', 'langsung', 'abis', 'tersisa', 'blom', 'apain', 'pulsa', 'udeh', 'hilang', 'aje', 'celamitan', 'telkomsel', 'orang', 'butuh', 'banget', 'orang', 'jengkel', 'aje', '']</t>
  </si>
  <si>
    <t>['buruk', 'kayak', 'gini', 'pengguna', 'pindah', 'provider', 'harga', 'paket', 'masuk', 'akal', 'barengi', 'jaringan', 'bagus']</t>
  </si>
  <si>
    <t>['mohon', 'pihat', 'telkomsel', 'mmbuat', 'aplikasinya', 'bug', 'perbaiki', 'beli', 'paket', 'harga', 'kebuang', 'udah', 'beli', 'blm', 'masuk', 'pulsa', 'kebayar', 'aplikasi', 'simcard', 'error', 'jaringan', 'udh', 'bener', 'aplikasinya']</t>
  </si>
  <si>
    <t>['mahal', 'doank', 'beli', 'paket', 'prank', 'beli', 'kuota', 'tba', 'kuota', 'lokal', 'komplen', 'rumit', 'jualan', 'mendingan', 'sinyal', 'sebagus', 'buang', 'duit', 'doank', 'kartu', 'telkom', 'beli', 'paket', 'prank', 'taii', 'nyari', 'duit', 'tgl', 'metik', 'mengecewakan', '']</t>
  </si>
  <si>
    <t>['', 'th', 'setia', 'pakai', 'telkomsel', 'dapet', 'promo', 'bener', 'promo', 'paket', 'internet', 'harganya', 'mahal', 'paket', 'promo', '']</t>
  </si>
  <si>
    <t>['telkomsel', 'login', 'masuk', 'telkomsel', 'susah', 'knp', 'login', 'facebook', 'google', 'berhasil', 'menulis', 'kode', 'otp', 'kadaluarsa', 'menit']</t>
  </si>
  <si>
    <t>['sinyal', 'stabil', 'alasannya', 'perbaikan', 'perbaikan', 'alasannya', 'faktor', 'topografy', 'daerah', 'datar', 'terhalangi', 'bukit', 'alasannya', 'kekuatan', 'sinyal', 'main', 'pubg']</t>
  </si>
  <si>
    <t>['pelanggan', 'setia', 'telkomsel', 'jaringan', 'main', 'game', 'ngping', 'jaringan', 'kayak', 'gini', 'pindah', 'langganan', 'gitu']</t>
  </si>
  <si>
    <t>['kesini', 'lemot', 'ganguan', 'sinyal', 'telkomsel', 'paket', 'internet', 'mkin', 'mahal', 'jaringan', 'gangguan', 'lancar', 'tolong', 'perbaiki']</t>
  </si>
  <si>
    <t>['tolong', 'perbaiki', 'lemot', 'jaringan', 'trs', 'susah', 'belajar', 'online', 'membuka', 'medsos', 'lemot', 'tlong', 'perbaiki', 'pengguna', 'telkomsel', 'kecewa']</t>
  </si>
  <si>
    <t>['', 'telkomsel', 'tolong', 'dibaca', 'ulasan', 'kuota', 'kemendikbud', 'membuka', 'apk', 'instagram', 'pulsa', 'disedot', 'dipake', 'apk', 'kesallllll', '']</t>
  </si>
  <si>
    <t>['buruk', 'jaringan', 'beli', 'paketan', 'gamesmax', 'khusus', 'mobile', 'legend', 'maen', 'game', 'gabisa', 'login', 'game', 'susah', 'kadang', 'jaringannya', 'ilang', 'anehnya', 'masuk', 'aplikasi', 'mytelkomsel', 'diperbaiki', 'malu', 'udah', 'paketan', 'harganya', 'mahal', 'jaringan', 'buruk']</t>
  </si>
  <si>
    <t>['hati', 'hati', 'paket', 'data', 'menipu', 'semalam', 'beli', 'paket', 'data', 'pulsa', 'udah', 'terkuras', 'paket', 'data', 'nggak', 'masuk', 'mohon', 'pertanggung', 'jawabannya', 'telkomsel', '']</t>
  </si>
  <si>
    <t>['habis', 'beli', 'pulsa', 'habis', 'nggk', 'ngaktifin', 'data', 'internet', 'hilang', 'pulsa', 'ngerugiin', 'banget', 'pelanggan', 'mohon', 'penjelasan', '']</t>
  </si>
  <si>
    <t>['rating', 'diatas', 'dibawah', 'menunjukan', 'kualitas', 'aplikasi', 'telkomsel', 'komplain', 'didownload', 'uninstal']</t>
  </si>
  <si>
    <t>['kemarin', 'data', 'saldo', 'sisa', 'pas', 'cek', 'sisa', 'transaksi', 'apapun']</t>
  </si>
  <si>
    <t>['ditingkatkan', 'pelayanan', 'info', 'daerah', 'sawoo', 'kab', 'ponorogo', 'jatim', 'pemancar', 'pasang', 'baterai', 'listrik', 'mati', 'signal', 'ilang', 'aktifitas', 'lumpuh', 'total', 'sampe', 'listrik', 'nyala', 'pdhl', 'lokasi', 'kejadian', 'pln', 'padam', 'karenakan', 'pohon', 'tumbang', 'menimpa', 'kabel', 'listrik', 'mohon', 'kebijakan', 'telkomsel', 'spy', 'pelayanan', 'lbh', 'mantap', 'amati', 'lbh', 'pengguna', 'telkomsel', 'sktr', 'lokasi', '']</t>
  </si>
  <si>
    <t>['mohon', 'maaf', 'belik', 'paket', 'telkomsel', 'terbeli', 'selesai', 'paketnya', 'masuk', 'pulsa', 'kuras', 'sampek', 'habis', 'tolong', 'solusinya', 'anak', 'kosan', 'duit', 'jajan', 'paket', 'kuliah', 'abis', 'gitu', 'kecewa', 'bagus', 'duitnya', 'belik', 'makan', '']</t>
  </si>
  <si>
    <t>['aplikasi', 'membatasi', 'pilihan', 'konsumen', 'produk', 'penjualannya', 'konsumen', 'dipaksa', 'memilih', 'produk', 'terbatas', 'cenderung', 'merugikan', 'konsumen', 'pilihan', 'produk', 'mahal', '']</t>
  </si>
  <si>
    <t>['masuk', 'aplikasi', 'google', 'berhenti', 'face', 'berhenti', 'berhenti', 'log', 'out', 'restart', 'tolong', 'perbaiki', 'aplikasi', 'telkomsel', 'terima', 'kasih']</t>
  </si>
  <si>
    <t>['jaringan', 'telkomsel', 'daerah', 'waru', 'sidoarjo', 'jawa', 'timur', 'parah', 'signal', 'keluarpun', 'cuman', 'tolong', 'perbaiki', 'terimakasih', 'telkomsel', 'indonesia', 'bangkit', '']</t>
  </si>
  <si>
    <t>['mantul', 'program', 'produk', 'hrs', 'menjadikan', 'pelanggan', 'penguna', 'diuntungkan', 'minimal', 'hak', 'sbg', 'pelanggan', 'hrs', 'transparan', 'kemitraan', 'win', 'win', 'solusi', 'program', 'promosi', 'hrs', 'terinci', 'dipertimbangkan', 'direalisasikan', 'paket', 'quota', 'internet', 'telp', 'sms', 'dibagi', 'sms', 'chat', 'sukses', 'telkomsel', '']</t>
  </si>
  <si>
    <t>['sinyalnya', 'maknyus', 'telkomsel', 'udh', 'rekomended', 'jaringan', 'down', 'ojol', 'sinyal', 'srg', 'stabil', 'kalah', 'pke', 'smartfrend', 'bingung', 'ngomong', 'telkomsel', 'plg', 'mahal', 'jaringan', 'smkin', 'buruk', 'wil', 'beji', 'depok', 'jabar', 'lelet', '']</t>
  </si>
  <si>
    <t>['telkomsel', 'mohon', 'bantuan', 'beli', 'kartu', 'perdana', 'telkomsel', 'registrasi', 'pemberitahuan', 'registrasi', 'berhasil', 'cek', 'kuota', 'skali', 'data']</t>
  </si>
  <si>
    <t>['maaf', 'kasih', 'bintang', 'jaringan', 'telkomsel', 'menurun', 'tolong', 'perkuat', 'jaringan', 'kusus', 'daerah', 'plosok', 'kalimantan', 'barat', 'udah', 'bagus', 'jaringan', 'mengecewakan', 'pelanggan', 'telkomsel', 'terimakasih']</t>
  </si>
  <si>
    <t>['sinyal', 'kesini', 'kacaw', 'main', 'game', 'online', 'bertahun', 'pakai', 'telkomsel', 'kesini', 'sinyal', 'parah', 'tolong', 'perbaiki', 'jaringannya', 'makasih', '']</t>
  </si>
  <si>
    <t>['parah', 'parahhhhh', 'ngawur', 'telkomsel', 'udah', 'paketan', 'mahal', 'mahal', 'sinyal', 'ala', 'kadarnya', 'kartu', 'terbaik', 'ngegame', 'halahhh', 'tinggal', 'kota', 'sinyal', 'kaya', 'hutann', 'parah', 'parah', 'udalah', 'kecewa', 'tekomsel', 'besok', 'besok', 'make', 'kartu', '']</t>
  </si>
  <si>
    <t>['sekedar', 'klau', 'tlkomsel', 'gratis', 'hidupin', 'apk', 'memakan', 'pls', 'tdi', 'sisa', 'kuota', 'internet', 'pulsa', 'ribu', 'dftr', 'internet', 'harga', 'aktifin', 'data', 'data', 'internet', 'sisa', 'pulsa', 'ribu', 'pastinya', 'terpotong', 'mendaftar', 'sekedar', 'maaf', 'melenceng']</t>
  </si>
  <si>
    <t>['mohon', 'diperbaiki', 'signal', 'tangerang', 'kabupaten', 'cikupa', 'citra', 'raya', 'mekar', 'asri', 'gokil', 'tsel', 'kesini', 'kaya', 'three', 'jaman', 'three', 'uda', 'kemajuan', 'skrg', 'signal', 'diplosok', 'uda', 'dapet', 'beda', 'tsel', 'kesini', 'buruk', '']</t>
  </si>
  <si>
    <t>['kecewa', 'banget', 'telat', 'tenggang', 'udah', 'diisi', 'pulsa', 'tolong', 'gimana', 'ganti', 'ganti', 'kartu', 'aktif', 'bayar', '']</t>
  </si>
  <si>
    <t>['telkomsel', 'seenak', 'memotong', 'pulsa', 'pelanggan', 'persetujuan', 'sms', 'premium', 'konfirmasi', 'udah', 'komplen', 'solusi', 'kapok', 'daah', 'telkomsel', '']</t>
  </si>
  <si>
    <t>['telkomsel', 'mabok', 'gimana', 'iya', 'download', 'mobile', 'legend', 'menit', 'udah', 'promosi', 'sms', 'gencar', 'kek', 'spam', 'beli', 'kuota', 'jaringan', 'kek', 'gini', 'nunggu', 'presiden', 'rencana', 'pakai', 'telkomsel', 'kah', 'diperbaiki', 'jaringan', '']</t>
  </si>
  <si>
    <t>['telkomsel', 'pura', 'jaringannya', 'lelet', 'warga', 'indo', 'pindah', 'operator', 'download', 'google', 'play', 'store', 'dikota']</t>
  </si>
  <si>
    <t>['paket', 'promo', 'jaringan', 'promo', 'promo', 'jaringan', 'buruk', 'mewakili', 'gamers', 'trus', 'utamain', '']</t>
  </si>
  <si>
    <t>['lemot', 'aplikasinya', 'diupdate', 'lemot', 'jaringan', 'pdahal', 'dikompres', 'sederhana', 'aplikasinya', 'kuota', 'habis', 'langsung', 'potong', 'pulsa', 'donk', 'fitur', 'lock', 'pulsa', 'kyak', 'provider', 'sebelah', 'kitanya', 'ngatur', 'pengeluaran', 'pulsanya', '']</t>
  </si>
  <si>
    <t>['mencoba', 'paket', 'kartu', 'halo', 'paket', 'internetnya', 'cenderung', 'mahal', 'dibandingkan', 'paket', 'pra', 'bayar', 'promo', 'keputusan', 'mengalihkan', 'nomer', 'pra', 'bayar', 'paket', 'kartu', 'halo', 'menguntungkan', 'serasa', 'jebakan', 'marketing', 'tunggu', 'penawaran', 'menariknya', '']</t>
  </si>
  <si>
    <t>['nggak', 'telkomsel', 'kota', 'jawa', 'timur', 'signalnya', 'kek', 'siputt', 'parah', 'kek', 'kolbuntet', 'perbaikan', 'penjajah', 'dirumah', 'sendrii', 'harga', 'pketan', 'selangit', 'layanan', 'kek', 'buriikk']</t>
  </si>
  <si>
    <t>['kartu', 'telkomsel', 'mahal', 'mahal', 'lemot', 'lagg', 'tolonglah', 'telkomsel', 'bayar', 'mahal', 'mahal', 'lemot', 'lagg', 'solusinya', 'main', 'game', 'sinyalnya', 'merah', 'gerak', 'oyy', 'min', 'berbulan', 'lemot', 'sihhh', 'malam', 'sinyalnya', 'bagus', 'lemot', 'astagaaaaa']</t>
  </si>
  <si>
    <t>['lapor', 'telkomsel', 'bls', 'capek', 'udh', 'telkomsel', 'mengecewakan', 'jaringan', 'hancur', 'jaringan', 'indonesia', 'tpi', 'jaringan', 'kyk', 'sampah', 'gini', 'kota', 'tpi', 'jaringan', 'hancur', 'banget', 'pakai', 'telkomsel', 'rugi', 'pekerjaan', 'tertunda', 'gara', 'jaringan']</t>
  </si>
  <si>
    <t>['hmmm', 'pengguna', 'telkomsel', 'th', 'kecewa', 'kualitas', 'jaringan', 'telkomsel', 'prioritas', 'penggunaan', 'internet', 'jaringaan', 'tetep', 'bagus', 'kali', 'jumpai', 'bug', 'aplikasi', 'beli', 'paket', 'khsus', 'lahh', 'blom', 'beli', 'pas', 'belinya', 'meningkatkan', 'kualitasnya', '']</t>
  </si>
  <si>
    <t>['beli', 'maxstream', 'gala', 'giga', 'nonton', 'hbo', 'ehhh', 'kemakan', 'paket', 'data', 'internet', 'multimedianya', 'full', 'kesentuh', 'udah', 'seharian', 'nonton', 'maksudnya', 'yaaaaa', 'anehhhhhhh', '']</t>
  </si>
  <si>
    <t>['harga', 'paketan', 'berubah', 'berubah', 'paket', 'muncul', 'kecewa', 'harga', 'mahal', 'jaminan', 'signal', 'bagus', '']</t>
  </si>
  <si>
    <t>['sial', 'udh', 'hmpr', 'pkai', 'telkomsel', 'lelet', 'mahal', 'coba', 'pkai', 'pakai', 'telkomsel', 'jaringannya', 'sial', 'hancur', 'jujur', 'nyesel', 'kecewa', 'dlu', 'smpai', 'skrg', 'bersumpah', 'internetan', 'pkai', 'telkomsel', '']</t>
  </si>
  <si>
    <t>['telkosmel', 'pelit', 'menghapus', 'kuota', 'combo', 'salah', 'kuata', 'hemat', 'disaat', 'pandemi', 'berali', 'membali', 'data', 'operator', 'telkomsel', 'seindah', 'mahaaaalll']</t>
  </si>
  <si>
    <t>['tolong', 'sopan', 'sopan', 'mytelkomsel', 'mytelkomsel', 'semoga', 'sukses', 'amin', '']</t>
  </si>
  <si>
    <t>['coba', 'pengguna', 'kartu', 'hallo', 'limit', 'nelpon', 'sms', 'operator', 'telkomsel', 'bergeming', 'saran', 'guys', '']</t>
  </si>
  <si>
    <t>['tolong', 'beritahu', 'knp', 'pulsa', 'berkurang', 'internet', 'aza', 'wifi', 'nelpon', 'prnh', 'aktifin', 'data', 'seluler', 'udah', 'gitu', 'telkomsel', 'cek', 'pemakaian', 'pulsa', 'knp', 'skrg', 'gada', 'heran', 'gemes', 'solusi', 'gmn', '']</t>
  </si>
  <si>
    <t>['waaaah', 'parah', 'aplikasi', 'telkomsel', 'kesini', 'lemot', 'kaya', 'keong', 'lemot', 'suka', 'aplikasi', 'proses', 'transaksi', 'pembelian', 'promo', 'tukar', 'poin', 'suka', 'eror', 'males', 'aplikasi', 'telkomsel', 'hapus', 'android', 'simcard', 'telkomsel', '']</t>
  </si>
  <si>
    <t>['bgs', 'bet', 'emang', 'bener', 'bagus']</t>
  </si>
  <si>
    <t>['', 'telkomsel', 'buka', 'udah', 'update', 'buka', 'trus', 'hapus', 'instal', 'buka', 'mohon', 'bantuan', 'mytelkomsel', 'buka']</t>
  </si>
  <si>
    <t>['min', 'stiap', 'beli', 'kuota', 'gagal', 'sistem', 'eror', 'bla', 'bla', 'bla', 'tunggu', 'menit', 'coba', 'coba', 'trs', 'ampe', 'nunggu', 'perbaikin', 'tolong', 'pulsa', 'kesedot', 'ribu', 'gara', 'gara', 'yaaa', '']</t>
  </si>
  <si>
    <t>['parah', 'nich', 'sinyal', 'hujan', 'ancur', 'banget', 'buka', 'sosmed', 'kaya', 'cepat', 'tolong', 'perbaiki', 'pelanggan', 'setia', '']</t>
  </si>
  <si>
    <t>['pulsa', 'hilang', 'pemakaian', 'hati', 'isi', 'pulsa', 'kuota', 'internetnya', 'boros', 'gb', 'youtube', 'menit', 'habis', 'paket', 'sms', 'blm', 'dipakai', 'hilang', 'paketnya', 'dipercaya', 'pelanggan', 'diperbaiki', 'sistemnya', 'amburadul', '']</t>
  </si>
  <si>
    <t>['mohon', 'maaf', 'telkomsel', 'telpon', 'sms', 'akses', 'internet', 'memutuskan', 'pindah', 'provider', 'jaringan', 'internet', 'telkomsel', 'buruk', 'sesuai', 'harga', 'mahal', 'dibayarkan', 'bermain', 'game', 'down', 'perbaikan', 'menghubungi', 'terima', 'kasih']</t>
  </si>
  <si>
    <t>['aplikasi', 'tolong', 'perhatikan', 'gangguan', 'masuk', 'aplikasi', 'buka', 'nonton', 'youtube', 'lancar', 'buka', 'aplikasi', 'mytelkomsel', 'buruk', 'aplikasi', 'dipakai', 'maksimal', 'memalukan', '']</t>
  </si>
  <si>
    <t>['update', 'lemot', 'masuk', 'kontak', 'aneh', 'data', 'kontak', 'diambil', 'upload', 'telkomsel', 'kah', 'pidana', '']</t>
  </si>
  <si>
    <t>['membantu', 'apk', 'logout', 'login', 'ulang', 'semoga', 'perbaiki', 'kualitas', 'apk', 'terima', 'kasih', '']</t>
  </si>
  <si>
    <t>['kecewa', 'knp', 'appnya', 'promo', 'gtu', 'ehh', 'pas', 'dibeli', 'kgk', 'udh', 'berhari', 'coba', 'tuk', 'beli', 'paket', 'ehh', 'pdahal', 'pulsa', 'dri', 'serasa', 'php', 'promo', 'dimunculin', 'hapus', 'jdi', 'bela', 'org', 'isi', 'pulsa', 'tpi', 'dibeli', '']</t>
  </si>
  <si>
    <t>['keluhan', 'perbaiki', 'komentar', 'membantu', 'masukan', 'mahal', 'konsumen', 'peka', '']</t>
  </si>
  <si>
    <t>['kecewa', 'beraaat', 'paket', 'gua', 'gb', 'knapa', 'pesan', 'paket', 'hbis', 'knapa', 'gua', 'pakai', 'internet', 'pdahal', 'berlakunya', '']</t>
  </si>
  <si>
    <t>['tolong', 'perbaiki', 'operasi', 'system', 'one', 'samsung', 'menyebabkan', 'crash', 'samsung', 'galaxy', 'update', 'versi', 'aplikasi', 'terbaru', 'mentok', '']</t>
  </si>
  <si>
    <t>['udah', 'paketan', 'telkomsel', 'emng', 'sinyal', 'rada', 'gemes', 'terhitung', 'lancar', 'nyoba', 'ngaktifin', 'paket', 'extend', 'aktif', 'engga', 'pulsa', 'udah', 'berkurang', 'lho', 'tolong', 'kasih', 'penjelasan', 'miin', '']</t>
  </si>
  <si>
    <t>['kuota', 'mahal', 'harga', 'berlaku', 'sesuai', 'kadang', 'paketan', 'berubah', 'seenak', 'udelnya', 'kuota', 'tiktok', 'berguna', 'bangsa', 'negara', 'terkesan', 'membantu', 'merusak', 'generasi', 'muda', 'anak', 'sinyal', 'buruk', 'kadang', 'hilang', 'kadang', 'lambat', 'worth', '']</t>
  </si>
  <si>
    <t>['kasih', 'bonus', 'sehari', 'kayak', 'axis', 'sma', 'bonus', 'apk', 'telkomsel', 'bonus', 'udh', 'kuota', 'cepet', 'abis', 'bonus', 'gblokk', 'kartu', 'sultan']</t>
  </si>
  <si>
    <t>['paket', 'kuota', 'mahal', 'unlimitute', 'cloud', 'max', 'paket', 'ceria', 'jaringan', 'lemot', 'daerah', 'citayem', 'tolong', 'perbaiki', 'pengguna', 'telkomsel', 'perbaiki', 'trimaksih']</t>
  </si>
  <si>
    <t>['mengecewakan', 'udah', 'beli', 'paket', 'mahal', 'sinyal', 'ditempatku', 'sinyal', 'bagus', 'banget', 'telkomsel', 'kesini', 'mengecewakan', 'udah', 'konfirmasi', 'email', 'udah', 'sebulan', 'nggak', 'balesan', 'canda', 'balesan', 'omong', 'doang', 'deh', 'min', '']</t>
  </si>
  <si>
    <t>['maaf', 'kurangi', 'bintang', 'bintang', 'telkomsel', 'gangguan', 'sekalinya', 'gangguan', 'makan', 'apalg', 'listrik', 'mati', 'slalu', 'sinyal', 'telkomsel', 'mati', 'mengecewakan', '']</t>
  </si>
  <si>
    <t>['fitur', 'menarik', 'pengguna', 'telkomsel', 'puas', 'jaringan', 'ngelag', 'gitu', 'telkomsel', 'berusaha', 'layanan', 'terbaik', 'terimakasih', 'telkomsel', '']</t>
  </si>
  <si>
    <t>['apalah', 'telkomsel', 'lemot', 'cepat', 'jaringan', 'mahal', 'beli', 'paket', 'koneksi', 'payah', 'sia', 'kasih', 'bintang', 'kasih', 'bintang']</t>
  </si>
  <si>
    <t>['telkomsel', 'ngaco', 'ngelag', 'buka', 'aplikasi', 'pas', 'rank', 'hilang', 'koneksinya', 'hilang', 'sinyal', 'mending', 'gnti', '']</t>
  </si>
  <si>
    <t>['mengkonsumsi', 'data', 'coba', 'wifi', 'data', 'terambil', 'gb', 'berjalan', 'user', 'gatau', 'data', 'download']</t>
  </si>
  <si>
    <t>['sinyal', 'jelek', 'main', 'game', 'ngelek', 'klau', 'siang', 'hadeh', 'emosi', 'buka', 'aplikasi', 'susah', 'benerr', 'klw', 'paket', 'data', 'udh', 'tinggal', 'lag', 'parah']</t>
  </si>
  <si>
    <t>['kasih', 'bintang', 'karna', 'kecewa', 'jaringan', 'internet', 'lemot', 'belasan', 'taun', 'memakai', 'telkomsel', 'auto', 'ganti', 'kartu', 'karna', 'telkomsel', 'lemot']</t>
  </si>
  <si>
    <t>['dear', 'telkomsel', 'nomor', 'kemarin', 'sabtu', 'hilang', 'signal', 'padah', 'jumat', 'telfon', 'sms', 'seminggu', 'isi', 'aplikasi', 'pulsanya', 'baikin', 'provider', 'solusi', 'notifikasi', 'non', 'aktifkan', 'nomor', 'aktifkan', 'mending', 'provider', 'terulang', 'kejadian', '']</t>
  </si>
  <si>
    <t>['pulsa', 'hilang', 'ikhlas', 'kejadiannya', 'kali', 'berkali', 'kali', 'mengharapkan', 'pertanggungjawaban', 'telkomsel']</t>
  </si>
  <si>
    <t>['sinyal', 'buruk', 'jaringan', 'tpi', 'kaya', 'hidup', 'jaman', 'edge', 'jaman', 'maju', 'modern', 'sinyal', 'cepat', 'terbatas', '']</t>
  </si>
  <si>
    <t>['pasang', 'voucher', 'operatornya', 'maaf', 'system', 'sibuk', 'tunggu', 'pas', 'udah', 'tunggu', 'jam', 'pas', 'pasang', 'operatornya', 'tolong', 'kasih', 'solusinya', '']</t>
  </si>
  <si>
    <t>['jujur', 'harga', 'paket', 'mahal', 'tpi', 'tida', 'sesuai', 'jaringan', 'bagus', 'murah', 'harga', 'paket', 'telkomsel', 'tpi', 'mahal', 'lemot']</t>
  </si>
  <si>
    <t>['kuota', 'cuman', 'bukak', 'whatsapp', 'youtube', 'doang', 'buka', 'browser', 'lemot', 'buka', 'buka', 'otomatis', 'mode', 'data', 'gratis', 'klik', 'pakai', 'data', 'notif', 'data', 'internet', 'habis', 'beli', 'paketan']</t>
  </si>
  <si>
    <t>['telkomsel', 'tolong', 'nagih', 'kartu', 'hallo', 'cek', 'nagih', 'orng', 'berhenti', 'kartu', 'hallo', 'surat', 'granpari', 'orang', 'telkomsel', 'nagih', 'nomor', 'orang', 'tua', 'panik', 'menagih', 'tuntut', 'bersangkutan', '']</t>
  </si>
  <si>
    <t>['kecewa', 'aplikasi', 'telkomsen', 'penipu', 'udah', 'bayar', 'pulsa', 'paket', 'pemberitahuan', 'pulsa', 'terpotong', 'udah', 'kali', 'harap', 'perbaiki']</t>
  </si>
  <si>
    <t>['apasih', 'aplikasi', 'telkomsel', 'error', 'update', 'versi', 'terbaru', 'instal', 'uninstall', 'install', 'error', 'kesulitan', 'beli', 'paket', 'internet', 'mohon', 'pencerahannya', 'terimakasih', '']</t>
  </si>
  <si>
    <t>['aplikasi', 'mytelkomsel', 'cek', 'kouta', 'tersisa', 'gampang', 'poin', 'dapatkan', 'isi', 'ulang', 'manfaatkan', 'undian', 'selenggarakan', 'mytelkomsel', 'terimakasih', 'mytelkomsel', '']</t>
  </si>
  <si>
    <t>['kena', 'prank', 'telkomsel', 'kuota', 'entertaiment', 'pakai', 'kuota', 'reguler', 'brti', 'beli', 'kuota', 'entertaimen', 'ngebeli', 'doank', 'kagak', 'pakai', 'punyq', 'kuota', 'reguler', 'paham', '']</t>
  </si>
  <si>
    <t>['dear', 'telkomsel', 'mohon', 'penjelasannya', 'beli', 'paket', 'unlimited', 'youtube', 'berharap', 'puas', 'lihat', 'video', 'menguras', 'kuota', 'utama', 'tersedia', 'kuota', 'unlimited', 'youtube', 'telkomsel', 'aktif', 'data', 'utama', 'berkurang', 'unlimited', 'apanya', 'tlg', 'evaluasi', 'trmksh']</t>
  </si>
  <si>
    <t>['maaf', 'pengguna', 'setia', 'telkomsel', 'kecewa', 'stamp', 'kumpulkan', 'hilang', 'ngulang', 'stamp', 'lumayan', 'tukar', 'kuota', 'heran', 'mencoba', 'nukar', 'kuota', 'alias', 'locked', 'menukar', 'bertahap', 'nukarnya', 'sampe']</t>
  </si>
  <si>
    <t>['khusus', 'telkomsel', 'denger', 'promo', 'doang', 'sinyal', 'menyusahkan', 'orang', 'sinyal', 'telkomsel', 'lumayan', 'mahal', 'sinyalnya', 'orang', 'bingung', 'penyebabnya', 'php', 'kpd', 'pelanggan', 'terbaik', 'buruk', '']</t>
  </si>
  <si>
    <t>['keluhan', 'jaringan', 'buka', 'akses', 'medsos', 'lag', 'ampun', 'dahlah', 'telkomsel', 'rusak', 'iya', 'indonesia', 'kek', 'gini', 'boong', 'dahlah', 'pokonya', 'kecewa', 'pelayanan', 'telkomsel', '']</t>
  </si>
  <si>
    <t>['mengecewakan', 'jaringan', 'bagus', 'pas', 'buka', 'telkomsel', 'lelet', 'ujung', 'ujungnya', 'sistem', 'sibuk', 'mengecewakan', '']</t>
  </si>
  <si>
    <t>['jaringan', 'telkomsel', 'stabil', 'lelet', 'tolong', 'tingkatkan', 'kualitas', 'jaringan', 'telkomsel', 'perbaiki', 'lelet', 'stabil', 'jaringan']</t>
  </si>
  <si>
    <t>['kecewa', 'telkomsel', 'jaringan', 'ngelek', 'tolong', 'ngelek', 'zoom', 'out', 'tolong', 'benarin', 'sinyal']</t>
  </si>
  <si>
    <t>['org', 'susah', 'beli', 'pulsa', 'dibodohi', 'jadwal', 'paket', 'aktif', 'bner', 'jan', 'nipu', 'orang', 'dibilang', 'strategi', 'marketing', 'ngebodohin', 'konsumen', 'kasian', 'puas', 'bngett', 'layanan', 'telkomsel', 'ikhlas', 'pulsa', 'ilang', 'gara', 'strategi', 'marketing', 'doang', 'ngerugiin', 'konsumen', 'ikhlas', 'uang', 'ilang', 'mohon', 'telkomsel', 'nipu', 'konsumen', 'layanan', 'buruk', '']</t>
  </si>
  <si>
    <t>['uda', 'wilayah', 'sumatera', 'utara', 'kota', 'medan', 'tembung', 'jaringan', 'telkomsel', 'buruk', 'susah', 'menjelang', 'malam', 'saudara', 'teman', 'teman', 'merasakan', 'buruknya', 'sinyal', 'telkomsel', 'mesti', 'pindah', 'jaringan', 'data', 'intinya', 'kecewa', 'telkomsel', 'kartu', 'perdana', 'mahal', 'paket', 'data', 'mahal', 'jaringanya', 'sehebat', 'uda', 'kayak', 'jaringan', 'kartu', 'murahan']</t>
  </si>
  <si>
    <t>['aah', 'masuk', 'apk', 'telkomsel', 'nunggu', 'banget', 'tulisan', 'telkomsel', 'menaggapi', 'tolong', 'perbaiki', 'kesalahan', 'pas', 'perbaiki', 'kasi', 'bintang', '']</t>
  </si>
  <si>
    <t>['jaringan', 'buruk', 'main', 'game', 'jumping', 'mulu', 'akses', 'youtube', 'stabil', 'tolong', 'perbaikin', 'sinyal', 'daerah', 'bekasi', 'selatan', 'cikunir', 'kecewa', 'udah', 'isi', 'paket', 'mahal', 'mahal', 'busuk', 'jaringan', '']</t>
  </si>
  <si>
    <t>['jaringan', 'lemot', 'kayaknya', 'afk', 'jaringannya', 'udara', 'diriku', 'membeli', 'voucher', 'ribuan', 'membeli', 'kuota', 'guedee', 'lancar', 'hellooo', 'hot', 'bales', 'mimin', '']</t>
  </si>
  <si>
    <t>['lakukan', 'solusi', 'pindahkan', 'mode', 'jaringan', 'perbaikilah', 'jaringan', 'kalah', 'provider', 'sebelah', 'bintang', 'memperbaiki', 'jaringan', 'aplikasi', '']</t>
  </si>
  <si>
    <t>['woyy', 'telkomsel', 'sinyal', 'jelek', 'didaerah', 'cikarang', 'pinggiran', 'nggak', 'bagus', 'paketan', 'mahal', 'doang', 'sinyal', 'bad', 'kecewa', 'provider', '']</t>
  </si>
  <si>
    <t>['devloper', 'telkomsel', 'sebernernya', 'niat', 'ngembangin', 'jelek', 'kualitas', 'jaringan', 'sinyalnya', 'sinyal', 'gangguan', 'diganti', 'mode', 'manual', 'trus', 'balikan', 'otomatis', 'sinyal', 'burik', 'kecewa', 'berat', 'beli', 'paket', 'mahal', 'burik', 'sinyalnya', '']</t>
  </si>
  <si>
    <t>['update', 'troossss', 'sinyal', 'lemah', 'promo', 'paket', 'murah', 'jarang', 'trus', 'klaim', 'bonus', 'kuota', 'daily', 'check', 'kepake', 'kuota', 'roli', '']</t>
  </si>
  <si>
    <t>['kecewa', 'jaringan', 'telkomsel', 'bagus', 'rusak', 'parah', 'kayak', 'kerja', 'orang', 'telkomsel', 'keluhan', 'direspon', 'beli', 'paket', 'mahal', 'jaringan', 'buruk', 'indosat', 'telkomsel', '']</t>
  </si>
  <si>
    <t>['iya', 'lemot', 'beralih', 'tolonglah', 'tingkat', 'jngn', 'sampe', 'kaya', 'udah', 'berlangganan', 'sampe', 'brp', 'thn', 'signal', 'jelek', 'kalah', 'produk', 'harganya', 'murah']</t>
  </si>
  <si>
    <t>['pakai', 'kartu', 'udah', 'lumayan', 'sinyal', 'lemot', 'tertera', 'buka', 'yutup', 'suka', 'lemot', 'buka', 'sopi', 'ngelag', 'chat', 'suka', 'hilang', 'sinyal', 'mohon', 'semoha', 'diperbaiki', 'sinyalnya', 'kesel', 'kayak', 'gini', 'setia', 'pakai', 'telkomsel', 'karna', 'sinyal', 'bagus', 'harga', 'mahal', 'dibanding', 'operator', 'kayak', 'gini', 'mending', 'ganti', 'murah', '']</t>
  </si>
  <si>
    <t>['kecewa', 'telkomsel', 'buruk', 'sinyalnya', 'udh', 'bertahun', 'pakai', 'telkomsel', 'kali', 'kecewa', 'mah', 'paket', 'mahal', 'jaringannya', 'lemot', 'ganti', 'kartu', 'gua', 'tolong', 'perbaiki', '']</t>
  </si>
  <si>
    <t>['telkomsel', 'jaringan', 'bagus', 'all', 'telkomsel', 'skrg', 'jelek', 'klw', 'mati', 'lampu', 'sinyal', 'ilang', '']</t>
  </si>
  <si>
    <t>['telkomsel', 'kesini', 'buruk', 'sinyalnya', 'pas', 'main', 'game', 'pubg', 'mobil', 'legend', 'ping', 'ms', 'terkadang', 'ms', 'provider', 'indosat', 'smartfren', 'ganti', 'provider', 'speedtest', 'hasilnya', 'mbps', 'dang', 'terkadang', 'sinyal', 'sinyal', 'bagus', 'jam', 'wib', 'tolong', 'ditingkatkan', 'perbaiki', 'hope', 'full']</t>
  </si>
  <si>
    <t>['gimana', 'jaringan', 'telkomsel', 'bener', 'kek', 'gini', 'males', 'telkomsel', 'pindah', 'sebelah', 'ngegame', 'sulit', 'aduh', 'tolong', 'telkomsel', 'perbaiki', 'jaringannya', '']</t>
  </si>
  <si>
    <t>['mahal', 'doang', 'sinyalnya', 'sesuai', 'harga', 'down', 'perbaiki', 'kaya', 'gini', 'ganti', 'kartu', 'kecewa', 'telkom', 'tour', 'game', 'down', 'sinyalnya', 'telkomsel', 'nomor', 'sinyal', 'kaya', 'gini', 'sesuai', 'bintang', 'nol', 'kasih', 'bintang', 'nol', 'ngapain', 'nyuruh', 'twitter', 'admin', 'bantu', 'ngapain', 'sampe', 'isinya', 'kekecewaan', 'keluh', 'kesah', 'tangani', 'suruh', 'twitter']</t>
  </si>
  <si>
    <t>['waw', 'sinyal', 'penuh', 'sayang', 'kecepatan', 'internet', 'kb', 'brousing', 'lemot', 'banget', 'buka', 'liat', 'foto', 'susah', 'semoga', 'kedepannya', 'lemot', 'lemot', 'gpp', 'keliat', 'jujur']</t>
  </si>
  <si>
    <t>['sinyal', 'jelek', 'parah', 'lemot', 'mahal', 'sesuai', 'coba', 'test', 'pakai', 'telkomsel', 'operator', 'jelek', 'sinyalnya', 'tarif', 'mahal', 'jelek', 'sinyalnya', '']</t>
  </si>
  <si>
    <t>['geratisi', 'mendonglod', 'aplikasi', 'etapi', 'bong', 'hayuk']</t>
  </si>
  <si>
    <t>['pulsa', 'berkurang', 'niatnya', 'disimpan', 'beli', 'paket', 'minggu', 'dikurangi', 'mengisi', 'pulsa', 'kemaren', 'make', 'nelpon', 'dsb', 'dikurangi', 'mohon', 'dicek', 'ttg', 'terima', 'kasih']</t>
  </si>
  <si>
    <t>['unlimited', 'unlimited', 'kecewa', 'telkomsel', 'kartu', 'orang', 'kuota', 'mahal', 'sultan', 'sinyal', 'emosi', 'stabil', 'skali', 'stabil']</t>
  </si>
  <si>
    <t>['telkomsel', 'mantul', 'boong', 'seringkali', 'pulsa', 'dibabat', 'habis', 'lantaran', 'notifikasi', 'muncul', 'pulsa', 'habis', 'terpotong', 'pengguna', 'paket', 'ketengan', 'harian', 'paket', 'habis', 'rutin', 'mengisi', 'kenyataannya', 'habis', 'terpotong', 'proteksi', 'paket', 'data', 'habis', 'notif', 'berjalan', 'cenderung', 'pulsa', 'terpotong', 'mohon', 'proteksi', 'paket', 'data', 'habis', 'kesannya', 'memanfaatkan', 'pulsa', 'pelanggan', 'setia', 'camprettto', '']</t>
  </si>
  <si>
    <t>['sinyal', 'telkomsel', 'knpa', 'kesini', 'lemot', 'sinyal', 'telkom', 'bagus', 'indosat', 'indosat', 'bagus', 'sinyalnya', 'ditambah', 'harga', 'paketnya', 'murah', 'telkomsel', 'knpa', 'kecewa', 'bngt', 'ijin', 'berhenti', 'kartu', 'telkomsel', '']</t>
  </si>
  <si>
    <t>['pulsa', 'habis', 'yaa', 'diisi', 'minggu', 'pakek', 'data', 'ngidupin', 'wifi', 'tpi', 'knpa', 'pulsa', 'habiss', 'tolong', 'jelasin', 'knpaa', '']</t>
  </si>
  <si>
    <t>['pakai', 'telkomsel', 'bagus', 'jaringan', 'internet', 'super', 'lelet', 'tolong', 'diperhatikan', 'berani', 'membeli', 'kuota', 'beda', 'mahal', 'harga', 'oprator', 'telkomsel', 'diam', 'diam', 'bae', 'pelangan', 'telkomsel', 'kabur', '']</t>
  </si>
  <si>
    <t>['knp', 'kartu', 'telkomsel', 'lemot', 'tolong', 'pusat', 'telkomsel', 'benerin', 'jaringannya', 'kuliah', 'ngelag', 'youtube', 'lag', 'ngeleg', 'apk', 'telkomsel', 'bagus', 'coment', 'benerin', 'jaringan', 'telkomselnya', 'makasih', 'tolong', 'perbaikannya', 'nyaman', 'banget', 'sinyal', 'skrg']</t>
  </si>
  <si>
    <t>['keluhan', 'kuota', 'internet', 'kemendikbud', 'bertuliskan', 'kuota', 'internet', 'kuota', 'belajar', 'pakai', 'pulsa', 'penuh', 'kuota', 'internetnya', 'berkurang', 'minggu', 'pakai', 'kuota', 'berkurang', 'mb', 'sisa', 'pulsa', 'tersedot', 'ribu', 'peringatan', 'pemberitahuan', 'pulsa', 'tersedot', 'ribu', 'lumayan', 'beli', 'kuota', 'hangus', 'sia', '']</t>
  </si>
  <si>
    <t>['kpd', 'yth', 'telkomsel', 'hebat', 'knp', 'kemari', 'jaringannya', 'jelek', 'nyedot', 'pulsa', 'ampe', 'habis', 'buka', 'aplikasi', 'telkomsel', 'buka', 'aplikasi', 'gratislah', 'milik', 'trus', 'paket', 'ketengan', 'beli', 'pulsa', 'rb', 'beli', 'data', 'ketengan', 'data', 'habis', 'habis', 'sisa', 'pulsanya', 'beli', 'ketengan', 'youtube', 'susah', 'buka', 'youtube', 'seringkali', 'ngga', 'buka', 'youtube', 'habis', 'mulu', 'sedekah', '']</t>
  </si>
  <si>
    <t>['udah', 'bagus', 'sinyal', 'kadang', 'ilang', 'beli', 'paket', 'telkomsel', 'pas', 'dipake', 'sinyal', 'ditempat', 'gatau', 'saran', 'semoga', 'kedepannya', 'sinyal', 'full', 'beli', 'kuota', 'telkomsel', 'paket', 'data', 'kebanyakan', 'takut', 'kebuang', 'aktif', 'kartu', 'telkomsel']</t>
  </si>
  <si>
    <t>['ganti', 'layanan', 'telkomsel', 'hallo', 'sesuai', 'iklankan', 'dapet', 'internet', 'utama', 'unlimited', 'aplikasi', 'sebutkan', 'operator', 'penawaran', 'sesuai', 'unlimited', 'whatsap', 'aplikasi', 'berguna', 'tertipu', 'tolong', 'pelayanan', 'perbaiki', 'jiga', 'perbaiki', 'membayat', 'tagihan', 'terimaksih']</t>
  </si>
  <si>
    <t>['pengisian', 'ulang', 'kartu', 'tatap', 'mohon', 'aktifkan', 'secepatnya', 'aktif', 'kartu', 'secepatnya', '']</t>
  </si>
  <si>
    <t>['terima', 'kasih', 'telkomsel', 'lambat', 'cek', 'kuota', 'terima', 'kasih', 'aplikasinya', 'eror', 'login', 'kelebihannya', 'promosi', 'poin', 'hilang']</t>
  </si>
  <si>
    <t>['kesini', 'lumayan', 'kualitas', 'jaringan', 'oke', 'promo', 'oke', 'updetan', 'dpt', 'paket', 'ceria', 'sebulan', 'kedepan', 'cinta', 'tsel', 'lnjut', 'uldtab', 'sinyanl', 'bar', 'lelet', 'ampun', 'parah', 'pindah', 'kesinyal', 'full', 'barr', 'ttp', 'lelet', 'kota', 'medan', 'jaringan', 'lelet', 'parah', 'buka', 'stori', 'bufring', 'nontn', 'parah', 'gila', 'lelettttttt', 'percumaya', 'plat', 'merah', 'lbh', 'kencang', 'tri', 'stabil', '']</t>
  </si>
  <si>
    <t>['bguss', 'beli', 'kuota', 'notifikasi', 'blum', 'isi', 'tlong', 'pdhl', 'kmrin', 'eror', 'pulsa', 'internet', 'bagus', 'tdak', 'keisi', 'notifikasi', 'jdi', 'gimana', 'tlng', 'prbaiki', 'mksi']</t>
  </si>
  <si>
    <t>['aneh', 'banget', 'login', 'mesti', 'berkali', 'dicoba', 'keribetan', 'dengab', 'aplikasi', 'mempermudah', 'login', 'mesti', 'berulang', 'kali', 'haduuuuhhhh', 'mengecewakan']</t>
  </si>
  <si>
    <t>['aplikasi', 'penipuan', 'masak', 'gua', 'beli', 'paket', 'tulisanya', 'geratis', 'besok', 'notifikasi', 'tagihan', 'membayar', 'kuota', 'main', 'suka', 'gelag', 'telkom', 'telkom']</t>
  </si>
  <si>
    <t>['jujur', 'kecewa', 'sie', 'telkomsel', 'tindak', 'kejahatan', 'penyalahgunaan', 'nomer', 'telepon', 'masuk', 'nomer', 'telepon', 'kenal', 'mengaku', 'ngaku', 'teman', 'kerabat', 'sodara', 'kenal', 'menyimpan', 'nomer', 'mohon', 'tindak', 'sistem', 'keamanan', 'terganggu', 'sie', 'kejadian', 'udah', 'berulang', 'kali', '']</t>
  </si>
  <si>
    <t>['tolong', 'knp', 'sinyal', 'nambak', 'jls', 'udh', 'telkomsel', 'sinyal', 'burik', 'udh', 'tolong', 'perbaiki', 'update', 'apk', 'telkomsel', 'give', 'away', 'yng', 'sinyal', 'bagus', 'nak', 'mythical', 'glory', 'udh', 'nak', 'turun', 'season', 'allah', 'kasih', 'udh', 'telkomsel']</t>
  </si>
  <si>
    <t>['jaringan', 'kentut', 'mati', 'hidup', 'tolong', 'diperbaiki', 'telkomsel', 'buruk', 'dibandingkan', '']</t>
  </si>
  <si>
    <t>['pas', 'check', 'menu', 'daily', 'check', 'hilang', 'besoknya', 'kumpulin', 'stamp', 'nol', 'bobrok', 'bobrok', 'niat', 'kasih', 'reward', 'min', 'mending', 'jual', 'kuotanya', 'uang', '']</t>
  </si>
  <si>
    <t>['kasih', 'fitur', 'pembatasan', 'penggunaan', 'data', 'paket', 'habis', 'pulsa', 'dimakan', 'block', 'penggunaan', 'datanya', 'kadang', 'notif', 'sisa', 'paket', 'telkomsel', 'telat', 'pulsa', 'udah', 'kemakan', 'notifnya', '']</t>
  </si>
  <si>
    <t>['teruntuk', 'telkomsel', 'tolong', 'menyesuaikan', 'paket', 'gamemax', 'sesuai', 'speed', 'ngegame', 'suka', 'ngedrop', 'kadang', 'ping', 'turun', 'teruntuk', 'flash', 'bagus', 'cuman', 'kendala', 'mati', 'lampu', 'listrik', 'suka', 'ngilang', 'pendapat', 'paket', 'gamemax', 'speed', 'suka', 'ngedrop', 'ngegame', '']</t>
  </si>
  <si>
    <t>['udh', 'check', 'udh', 'dpt', 'stamp', 'keesokannya', 'check', 'skrng', 'check', 'keenam', 'diulang', 'dpt', 'stamp', 'gmn', 'dpt', 'rewards', 'klw', 'gitu', 'kecewa', 'euy', 'dibikin', 'kesel', 'sinyalnya', 'aneh', 'buka', 'youtube', 'lancar', 'giliran', 'buka', 'sampe', 'skrng', 'ttp', 'males', 'ketik', '']</t>
  </si>
  <si>
    <t>['halo', 'kak', 'min', 'kualitas', 'sinyal', 'daerah', 'bagus', 'harga', 'paket', 'terbilang', 'mahal', 'telkomsel', 'suka', 'membagi', 'model', 'kuota', 'butuhkan', 'paket', 'reguler', 'biaya', 'terjangkau', 'terbilang', 'mahal', 'daerah', 'flores', 'minggu', 'paket', 'habis', 'pelanggan', 'setia', 'telkomsel', 'kasihan', 'pengeluaran', 'habis', 'pulsa', '']</t>
  </si>
  <si>
    <t>['bug', 'eror', 'isi', 'pulsa', 'menambah', 'aktif', 'kartu', 'tolong', 'solusinya', 'edited', 'reply', 'silahkan', 'cek', 'email', 'min', 'kirim', 'beserta', 'buktinya', '']</t>
  </si>
  <si>
    <t>['kecewa', 'berubah', 'kebijakan', 'paket', 'kombo', 'sakti', 'harga', 'paket', 'kombo', 'sakti', 'kemari', 'dpat', 'sms', 'sel', 'suruh', 'pasang', 'paket', 'combo', 'sakti', 'pas', 'beli', 'gimana', 'bos', 'ber', 'ubah', 'kebijakan', 'paket', 'uang', 'pas', 'butuh', 'paket', 'hemat', 'terima', 'kasih']</t>
  </si>
  <si>
    <t>['menyesal', 'seumur', 'hidup', 'pindah', 'kartu', 'halo', 'bayar', 'kualitas', 'layananya', 'babelan', 'bekasi', 'gratis', 'bermenfaat', 'bayar', 'kartu', 'pilihan', 'kecuali', 'pasrah']</t>
  </si>
  <si>
    <t>['halo', 'admin', 'jaringan', 'lelet', 'tower', 'dimanapun', 'jaringan', 'top', 'jaringan', 'bagus', 'kota', 'kota', 'dikit', 'jaringan', 'evdo', 'dahulunya', 'orang', 'udah', 'kartu', 'telkomsel', 'promo', 'paket', 'data', 'nelfon', 'sms', 'murah', 'udah', 'telkomsel', 'mahal', 'murah', 'kartu', 'ganti', '']</t>
  </si>
  <si>
    <t>['kecewa', 'kesal', 'membeli', 'paket', 'aplikasi', 'telkomsel', 'berkali', 'gagal', 'top', 'pulsa', 'membeli', 'paket', 'mohon', 'penjelasannya', 'min', '']</t>
  </si>
  <si>
    <t>['tolong', 'teemen', 'temen', 'janga', 'beli', 'paket', 'internet', 'ribu', 'pembohongan', 'capek', 'capek', 'beli', 'paket', 'masuk', 'pembodohan', 'tolong', 'istal', 'apk', 'terkomsael', '']</t>
  </si>
  <si>
    <t>['kecewa', 'cek', 'quata', 'telepon', 'sms', 'muncullll', 'telkomsel', 'jaringan', 'suka', 'drop', 'pakett', 'telkomsel']</t>
  </si>
  <si>
    <t>['telkomsel', 'berniat', 'menawarkan', 'promo', 'tawarkan', 'tawarkan', 'promo', 'paket', 'unlimited', 'beli', 'suruh', 'cek', 'koneksi', 'koneksi', 'aman', 'aman', '']</t>
  </si>
  <si>
    <t>['slmat', 'siang', 'maaf', 'telkomsel', 'beli', 'nomer', 'nelpon', 'tpi', 'mnayakan', 'nama', 'orang', 'jdi', 'nyaman', 'skrng']</t>
  </si>
  <si>
    <t>['kemarin', 'cek', 'day', 'hilang', 'menu', 'cek', 'pas', 'sehari', 'dibuka', 'ehhh', 'udah', 'muncul', 'cek', 'hadiahnya', 'klaim', '']</t>
  </si>
  <si>
    <t>['telkomsel', 'boss', 'kartu', 'sultan', 'paket', 'mahal', 'signal', 'tipu', 'tinggal', 'kota', 'serasa', 'hutan', 'uda', 'ketinggalan', 'kartu', 'anak', 'sekolahan', 'kaya', 'three', 'im', 'dll', 'jaringan', 'stabil', 'laporan', 'pengaduan', 'balesnya', 'boot', 'nyambung', 'udahlah', 'mending', 'ganti', 'kartu', 'warga', 'prabumulih']</t>
  </si>
  <si>
    <t>['salah', 'aplikasi', 'kali', 'coba', 'instal', 'app', 'kali', 'app', 'aplksi', 'sistem', 'android', 'mjd', 'fulnerabl', 'berat', 'dibandingkn', 'sekelas', 'google', 'chrome', 'lbih', 'buka', 'browser', 'chrome', '']</t>
  </si>
  <si>
    <t>['terimakasih', 'telkomselll', 'berkat', 'pulsa', 'ribu', 'habis', 'tersisa', 'tinggal', 'perak', 'terimakasih', 'telkomsel', 'harap', 'kartu', 'telkom', 'nyedot', 'pulsanya', 'karna', 'menyenangkan', '']</t>
  </si>
  <si>
    <t>['provider', 'indo', 'jaringan', 'parah', 'jaringan', 'ilang', 'stabil', 'dipaksa', 'sma', 'kualitas', 'jaringanya', 'parah', 'banget', '']</t>
  </si>
  <si>
    <t>['kuota', 'mahal', 'doang', 'gua', 'barusan', 'beli', 'kuota', 'youtube', 'unlimited', 'harga', 'dicobain', 'gimana', 'loading', 'loading', 'mulu', 'gua', 'udh', 'beli', 'pulsanya', 'udh', 'berkurang', 'tolong', 'telkom']</t>
  </si>
  <si>
    <t>['tolong', 'min', 'unlimited', 'kagak', 'tolong', 'min', 'beli', 'dibulan', 'januari', 'beli', 'paket', 'unlimited', 'min']</t>
  </si>
  <si>
    <t>['kenapan', 'internetmax', 'murah', 'keungan', 'beli', 'internet', 'omg', 'dll', 'tidk', 'jaringan', 'sinyal', 'telkomsel', 'tolong', 'tolong', 'telkomsel', 'msayarakat', 'menjual', 'internet', 'harga', 'tejangkau', 'msayarakat', 'keuangan', 'terbatas', 'trimakasih']</t>
  </si>
  <si>
    <t>['emang', 'niat', 'kasih', 'penukaran', 'poin', 'tolong', 'customer', 'care', 'langsung', 'update', 'telkomsel', 'bersangkutan', 'langsung', 'menutup', 'telepon', 'bayar', '']</t>
  </si>
  <si>
    <t>['gimanasi', 'mytelkomsell', 'beli', 'kuotaa', 'kemarin', 'transaksi', 'gagal', 'muluu', 'silahkan', 'coba', 'menit', 'gitu', 'ajaa', 'terusss', 'gimanasih', 'pembayaran', 'dana', 'link', 'ajaa', 'bisaa', 'saldo', 'udah', 'mencukupi', 'bangett', 'heran', 'deh', '']</t>
  </si>
  <si>
    <t>['seriring', 'penurunan', 'kecepatan', 'telkomsel', 'kasih', 'bintang', 'pengalaman', 'kenyamanan', 'pelanggan', 'ambang', 'kebosanan', 'speed', 'internet', 'telkomsel', 'lelet', 'semoga', 'membaik', 'btw', 'daerah', 'kec', 'grobogan', 'telkomsel', 'parah', 'abissss', '']</t>
  </si>
  <si>
    <t>['pulsa', 'udah', 'provider', 'mahal', 'pelayanan', 'kualitas', 'rendah', 'signal', 'gambal', 'semoga', 'provider', 'ngalahin', 'telkomsel', 'jelek']</t>
  </si>
  <si>
    <t>['mytelkomsel', 'tolong', 'dipertimbangkan', 'ulasan', 'membuka', 'apk', 'whatsapp', 'kuota', 'kemendikbud', 'pulsa', 'disedot', 'kesal', 'tolong', 'buatkan', 'fitur', 'pengunci', 'pulsa', 'apk', 'axisnet', 'maksud', 'membandingkan', 'fitur', 'pengunci', 'pulsa', 'pengguna', 'kartu', 'telkomsel', 'mengalami', 'kerugian', '']</t>
  </si>
  <si>
    <t>['kartu', 'upgrade', 'tetep', 'lemot', 'muncul', 'pemberitahuan', 'tersambung', 'internet', 'download', 'video', 'gagal', 'cek', 'operator', 'normal', 'kartu', 'normal', 'upgrade', 'suruh', 'beli', 'kuota', 'kepakai', 'transfer', 'kartu', 'max', 'transfer', 'transfer', 'kali', 'transfer', 'biaya', 'telkomsel', 'tolong', 'transfer', 'kuota', 'dlm', 'dlm', 'transfer']</t>
  </si>
  <si>
    <t>['pliss', 'perbaikin', 'sinyal', 'telkomselnya', 'hidupin', 'sinyal', 'data', 'hilang', 'hilang', 'sinyalnya', 'anehnya', 'sinyalnya', 'hilang', 'detik', 'kek', 'gitu', 'gimana', 'nikmatin', 'kuota', 'telkomsel', 'ubah', '']</t>
  </si>
  <si>
    <t>['pulsa', 'terbilang', 'mahal', 'kualitas', 'sinyal', 'notif', 'kuota', 'habis', 'terlambat', 'kuota', 'habis', 'langsung', 'notif', 'pulsa', 'kesedot', 'disisi', 'suka', 'sistem', 'check', 'poin', '']</t>
  </si>
  <si>
    <t>['tungkatkan', 'trutama', 'paket', 'internet', 'lbh', 'murah', 'jangn', 'kalah', 'kartu', 'berlomba', 'promo', 'mengiurkan', 'heee', 'hamir', 'mkai', 'internet']</t>
  </si>
  <si>
    <t>['halo', 'provider', 'terbaik', 'mengerti', 'beli', 'voucher', 'kuota', 'internet', 'lokal', 'pembelian', 'kuota', 'internet', 'combo', 'omg', 'aplikasi', 'mytelkomsel', 'kuota', 'internet', 'lokal', 'gb', 'internet', 'gb', 'kuota', 'internet', 'lokal', 'terpakai', 'pembelian', 'aplikasi', 'voucher', 'aktivasi', 'internet', 'voucher', 'pembelian', 'aplikasi', 'dirumah', 'dimana', 'internet', 'lokal', 'terpakai', 'daerah', 'aktivasi', 'sayang', 'uang']</t>
  </si>
  <si>
    <t>['keluhkan', 'telkomsel', 'menanggapi', 'serius', 'keluhkan', 'lari', 'telkomsel', 'cuman', 'menang', 'jaringan', 'luas', 'kualitas']</t>
  </si>
  <si>
    <t>['kecewa', 'pengguna', 'layanan', 'telkomsel', 'jaringan', 'telkomsel', 'main', 'game', 'free', 'fire', 'sinyalnya', 'jelek', 'banget', 'ngelek', 'ngelek', 'youtube', 'susah', 'daerah', 'bandar', 'lampung', 'tolong', 'perbaiki', 'jaringan', 'telkomsel', 'terimakasih', '']</t>
  </si>
  <si>
    <t>['kualitas', 'internet', 'tolong', 'ditingkatkan', 'pengguna', 'hallo', 'sebulan', 'menilai', 'kualitas', 'internet', 'telkomsel', 'lemot', 'susah', 'akses', 'internet', 'gagal', 'akses', 'pengalaman', 'kartu', 'hallo', 'semoga', 'telkomsel', 'kedepan', 'memperhatikan', 'pengguna', 'kartu', 'hallo', 'trims', '']</t>
  </si>
  <si>
    <t>['kecewa', 'kualitas', 'jaringan', 'internet', 'telkomsel', 'buruk', 'menyebalkan', 'bar', 'sinyal', 'penuh', 'kecepatan', 'rendah', 'membuka', 'browser', 'loading', 'kuota', 'mahal', 'jaringan', 'sesuai', 'nominal', 'bayar', 'mohon', 'diperhatikan', 'kualitas', 'jaringan', 'didaerah']</t>
  </si>
  <si>
    <t>['dev', 'tolong', 'app', 'ditambah', 'fitur', 'night', 'mode', 'dark', 'mode', 'buka', 'gelap', 'enak', 'matanya', 'tolong', 'dev', 'fitur', 'tambahkan', 'terimakasih', '']</t>
  </si>
  <si>
    <t>['mendingannnn', 'aplikasi', 'apos', 'yaaaa', 'nggak', 'buka', 'hop', 'maaf', 'banggg', 'kesabaran', 'habissss', 'udah', 'paket', 'mahal', 'pulsa', 'mahal', 'kartu', 'mahal', 'coba', 'kartu', 'iniiiii', 'jaringan', 'lelet', 'mendingan', 'telkomsel', 'hapus', 'indonesia', 'dunia']</t>
  </si>
  <si>
    <t>['jaringan', 'palingan', 'hancur', 'merugikan', 'pelanggan', 'paket', 'terbuang', 'jaringan', 'error', 'paket', 'barulah', 'jaringannya', 'normal', 'siasat', 'sungguh', 'mengecewakan', 'bintang', 'sudi', '']</t>
  </si>
  <si>
    <t>['cuih', 'cuih', 'cuih', 'aplikasi', 'kartu', 'bangst', 'main', 'game', 'lag', 'ampun', 'lancar', 'main', 'jaringan', 'terputus', 'gara', 'kartu', 'auto', 'bakar', 'kartu', 'bangkrut', 'bangkrut', 'anjng', 'sampe', 'jaringan', 'terbatas', '']</t>
  </si>
  <si>
    <t>['mohon', 'telkomsel', 'jaringan', 'mengecewakan', 'lelet', 'operator', 'mahal', 'nggk', 'berguna', 'niat', 'bubar', 'bos', 'konsumen', 'kecewa']</t>
  </si>
  <si>
    <t>['aplikasi', 'berhenti', 'membeli', 'paket', 'berlangganan', 'paket', 'otomatis', 'provider', 'kecepatan', 'internet', 'menurun', '']</t>
  </si>
  <si>
    <t>['sinyal', 'telkomsel', 'berkulitas', 'internet', 'wilayah', 'muara', 'bulian', 'sungguh', 'mengecewakan', '']</t>
  </si>
  <si>
    <t>['kalii', 'ngerasa', 'kesal', 'layanan', 'telkomsel', 'gini', 'kemaren', 'beli', 'paket', 'telkomsel', 'keknya', 'udah', 'kali', 'sms', 'udah', 'masuk', 'trus', 'pas', 'idupin', 'datanya', 'pulsa', 'kesedot', 'bingung', 'semoga', 'telkom', '']</t>
  </si>
  <si>
    <t>['tolong', 'admin', 'telkomsel', 'jaringan', 'uda', 'minggu', 'drop', 'dusun', 'teluk', 'bagus', 'desa', 'bayasa', 'jaya', 'kec', 'kempas', 'kab', 'indra', 'giri', 'hilir', 'provinsi', 'riau', 'tolong', 'telkomsel', 'beli', 'paket', 'mahal', 'mahal', 'puas', 'hasil', 'sekian', 'terimah', 'kasih']</t>
  </si>
  <si>
    <t>['telkomsel', 'terhormat', 'membeli', 'kartu', 'perdana', 'aplikasi', 'mytelkomsel', 'mengisi', 'formulirnya', 'ditemukan', 'kota', 'tujuan', 'mytelkomsel', 'update', 'terbaru', '']</t>
  </si>
  <si>
    <t>['tolong', 'memangnya', 'paket', 'darurat', 'bug', 'mengaktifkannya', 'aktif', 'demgan', 'tolong', 'diperbaiki', 'sma', 'membayar', 'berguna']</t>
  </si>
  <si>
    <t>['heran', 'apk', 'mytelkomsel', 'beli', 'pulsa', 'beli', 'paket', 'telp', 'harian', 'harga', 'giliran', 'nelp', 'orang', 'maaf', 'pulsa', 'mencukupi', 'konter', 'beli', 'pulsa', 'pulsa', 'mencukupi', 'nelp', 'tolong', 'telkomsel', 'diperkuat', 'diperlancar', 'lagilah', 'sistemnya', 'nelp', 'gabisa', 'heran']</t>
  </si>
  <si>
    <t>['mahal', 'banget', 'harga', 'kuotanya', 'terpaksa', 'beli', 'cuman', 'telkomsel', 'bagus', 'diaderah', 'alhamdulillah', 'sebentar', 'tower', 'provider', 'dibangun', 'ditempat', 'harga', 'kuotanya', 'murah', 'telkomsel', '']</t>
  </si>
  <si>
    <t>['dear', 'telkomsel', 'pakai', 'telkomsel', 'udah', 'kecepatannya', 'lemot', 'abis', 'ujan', 'sinyal', 'tinggal', 'terganggu', 'tolong', 'perbaikilah', 'byk', 'pindah', '']</t>
  </si>
  <si>
    <t>['selamat', 'telkomsel', 'bertambah', 'buruknya', 'pelayanan', 'jaringan', 'semoga', 'sukses', 'jaringan', 'terburuk', 'diindonesia', '']</t>
  </si>
  <si>
    <t>['kecewa', 'telkomsel', 'jaringan', 'browsing', 'tolong', 'mempersulit', 'pelanggan', 'harga', 'paket', 'data', 'mahal', 'imbangi', 'kecepatan', 'untungnya', 'ningkatin', 'jaringan', 'jaringan', 'dimana', 'lancar', 'jaringan', 'dimana', 'susah', '']</t>
  </si>
  <si>
    <t>['pelanggan', 'telkomsel', 'kecewa', 'kesini', 'telkomsel', 'jaringannya', 'buruk', 'fix', 'pindah', 'operator', '']</t>
  </si>
  <si>
    <t>['beruntung', 'dikota', 'jual', 'promo', 'internet', 'kartu', 'telkomsel', 'suka', 'streaming', 'bola', 'basket', 'kartu', 'udah', 'coba', 'telkomsel', 'jarang', 'banget', 'ngelag', 'munafik', 'provider', 'terbaik', 'lanjutkan', '']</t>
  </si>
  <si>
    <t>['sinyal', 'lemot', 'gapapa', 'sumpah', 'gapapa', 'alex', 'sumpah', 'gapapa', 'mikir', 'main', 'sosmed', 'game', 'browsing', 'lemotnya', 'allah', 'pengin', 'banting', 'inget', 'beli', 'paket', 'data', 'kadang', 'ngutang', 'beli', 'harga', 'mahal', 'sinyal', 'kabur', 'kaya', 'temen', 'tagih', 'utang', '']</t>
  </si>
  <si>
    <t>['membeli', 'paket', 'pulsa', 'mencukupi', 'mohon', 'diperbaiki', 'minggu', 'membeli', 'paket', 'sekolah', 'tolong', 'diperbaiki', 'secepatnya', '']</t>
  </si>
  <si>
    <t>['sistem', 'buruk', 'pulsa', 'hilang', 'pemakaian', 'detik', 'pulsa', 'tersedot', 'tolong', 'diperbaiki', 'sistemnya', 'sumpah', 'sistemnya', 'jelek', 'banget', 'pelayanannya', 'tolong', 'diperbaiki', '']</t>
  </si>
  <si>
    <t>['suka', 'telkomsel', 'mahal', 'jaringan', 'bagus', 'skrg', 'turun', 'semoga', 'kedepan', 'jaringan', 'perbaiki', 'kaya', 'gini', 'mending', 'pindah', 'kartu', '']</t>
  </si>
  <si>
    <t>['kartu', 'telkom', 'pakai', 'kab', 'sinyal', 'lemot', 'kak', 'kota', 'sinyal', 'bagus', 'banget', 'cepet', 'kartu', 'telkom', 'hello', 'mohon', 'bantuan']</t>
  </si>
  <si>
    <t>['sinyal', 'udah', 'minggu', 'jelek', 'bantul', 'yogyakarta', 'lancar', 'data', 'kuota', 'unli', 'beli', 'kuota', 'utama', 'gua', 'gitu']</t>
  </si>
  <si>
    <t>['telkomsel', 'curang', 'banget', 'masak', 'disuruh', 'daily', 'check', 'pas', 'klaim', 'reward', 'bonus', 'kuota', 'gb', 'tombol', 'daily', 'check', 'diilangin', 'woooiii', 'telkomsel', 'sinyalnya', 'susah', 'kayak', 'mantep', 'huuuu', '']</t>
  </si>
  <si>
    <t>['telkomsel', 'parah', 'data', 'internet', 'lemot', 'banget', 'buka', 'facebook', 'butuh', 'perjuangan', 'tolong', 'perbaiki', 'bagus', '']</t>
  </si>
  <si>
    <t>['benci', 'telkomsel', 'gua', 'nyalain', 'paket', 'data', 'pas', 'gua', 'internetan', 'muncul', 'sms', 'internet', 'tarif', 'non', 'paket', 'alhasil', 'pulsa', 'kesedot', 'kehilangan', 'pulsa', 'ribu', '']</t>
  </si>
  <si>
    <t>['memudahkan', 'pembelian', 'paket', 'ketenangan', 'kuota', 'telkomsel', 'skrng', 'sinyalnya', 'kutamg', 'bagus', 'yaa', 'kuota', 'sinyalnya', 'bagus', 'tpi', 'berasa', 'kartu', 'telkomsel', 'semoga', 'telkomsel', 'memperbaiki', 'keluhan', 'customernya', '']</t>
  </si>
  <si>
    <t>['udah', 'minggu', 'cek', 'pas', 'cek', 'cek', 'stempel', 'ilang', 'asli', 'tipu', 'ngabisin', 'kuota', 'mantap', 'tipu']</t>
  </si>
  <si>
    <t>['pengguna', 'kartu', 'hati', 'hangus', 'perrbaiki', 'nonaktifkan', 'jual', 'beda', 'sebelah', 'hangus', 'perbaiki', 'berubah', 'pascabayar', 'mengecewakan']</t>
  </si>
  <si>
    <t>['telkomsel', 'paket', 'mahal', 'jaringan', 'bagus', 'emank', 'jaringan', 'pas', 'nyoba', 'main', 'nonton', 'ngeleq', 'delay', 'plissss', 'jaringan', 'tolong', 'kondisikan', '']</t>
  </si>
  <si>
    <t>['', 'telkom', 'parah', 'isi', 'pulsa', 'matiin', 'data', 'seluler', 'langsung', 'lenyap', 'pencurian', 'halus', 'anjrit', 'udah', 'kali', 'gitu', 'akses', 'whatsapp', 'detik', 'doang', 'kecewa', '']</t>
  </si>
  <si>
    <t>['tolong', 'dikasih', 'tambahan', 'fitur', 'pengunci', 'pulsa', 'pulsa', 'kesedot', 'kouta', 'data', 'habis', 'merugikan', 'banget', 'telat', 'menit', 'pulsa', 'langsung', 'ludes', 'habis', 'pliss', 'ditambahin', 'fitur', 'gembok', 'pulsa', '']</t>
  </si>
  <si>
    <t>['jaringan', 'unlimited', 'lemot', 'kuota', 'abis', 'sosmed', 'main', 'game', 'kek', 'jaringa', 'mahal', 'doang', 'jaringannya', 'kagak', 'stabil']</t>
  </si>
  <si>
    <t>['kuota', 'internet', 'aktip', 'sinyal', 'kota', 'kampung', 'sungguh', 'tersiksa', 'baca', 'grafari', 'terdekat', 'ganti', 'kartu', 'terdaftar', 'sekolah', 'ribet', 'ganti', 'sinyal', 'mohon', 'perbaiki', 'nyaman', '']</t>
  </si>
  <si>
    <t>['min', 'kuota', 'youtube', 'gb', 'kesedot', 'pulsa', 'ribu', 'sisa', 'ribu', 'kembaliin', 'ikhlasin', 'bintang', 'pilih', 'bintang', 'aplikasi', 'dikasih', 'bintang', '']</t>
  </si>
  <si>
    <t>['sebenernya', 'jaringan', 'telkomsel', 'bagus', 'sayang', 'lemot', 'cuaca', 'buruk', 'coba', 'perbaiki', 'kestabilan', 'jaringan', 'customer', 'nyaman', 'jaringan', 'terimakasih']</t>
  </si>
  <si>
    <t>['kecewa', 'kualitas', 'sinyal', 'telkomsel', 'pengguna', 'setia', 'telkomsel', 'sinyal', 'bagus', 'tpi', 'sinyal', 'telkomsel', 'buruk', 'harga', 'kualitas', 'jaringan', 'buruk', 'berharap', 'perbaikan', 'secepatnya', 'telkomsel', 'pengguna', 'setia', 'telkomsel', 'beralih']</t>
  </si>
  <si>
    <t>['please', 'kak', 'perbaiki', 'sinyal', 'telkomsel', 'sinyal', 'telkomsel', 'buruk', 'daerah', 'daerah', 'ciamis', 'tolong', 'peebaiki', 'sinyal', 'meresahkan', 'main', 'gane', '']</t>
  </si>
  <si>
    <t>['kartu', 'telkomsel', 'lancar', 'ajh', 'hambatan', 'lag', 'sinyal', 'data', 'mati', 'beli', 'kuota', 'unlimited', 'max', 'gb', 'diakses', 'beli', 'diakses', 'buang', 'duit', 'ajh', 'tolong', 'telkomsel', 'diperbaiki', 'pleasee']</t>
  </si>
  <si>
    <t>['download', 'aplikasi', 'verifikasi', 'link', 'link', 'expired', 'trus', 'erorr', 'kah', 'aplikasi', '']</t>
  </si>
  <si>
    <t>['buka', 'app', 'loading', 'trs', 'sinyal', 'full', 'isi', 'pulsa', 'app', 'responnya', 'sistem', 'gangguan', 'cek', 'pulsa', 'knp', 'tolong', '']</t>
  </si>
  <si>
    <t>['kuota', 'internet', 'pemberitahuan', 'memakai', 'akses', 'non', 'paketan', 'kepotong', 'deh', 'pulsaku', 'hilang', 'ribu', 'kemana', '']</t>
  </si>
  <si>
    <t>['kemaren', 'beli', 'paket', 'rb', 'akses', 'disney', 'hotstar', 'pas', 'nonton', 'sisa', 'paketan', 'gb', 'gabisa', 'akses', 'tolong', 'telkom', 'gmn']</t>
  </si>
  <si>
    <t>['bermain', 'game', 'mobile', 'legends', 'data', 'wifi', 'pulsa', 'terhisap', 'memiliki', 'kuota', 'games', 'gb', 'mohon', 'penjelasanya', 'karna', 'mengirim', 'email', 'ditanggapi', 'sekian', 'terima', 'kasih']</t>
  </si>
  <si>
    <t>['aplikasi', 'dibuka', 'gmna', 'jaringan', 'susah', 'banget', 'satelit', 'bumi', 'datar', 'mengawang', 'ruang', 'hampa', 'mengelilingi', 'matahari', 'wkwkw']</t>
  </si>
  <si>
    <t>['combo', 'sakti', 'free', 'medsos', 'games', 'dll', 'free', 'apanya', 'pulsa', 'habisin', 'kuota', 'telpon', 'jalan', 'abisin', 'kuota', 'internet', 'free', 'medsos', 'games', 'jalan', 'signalnya', 'kasih', 'parah', 'banget', 'penawaran', 'hebat', 'telkomsel', '']</t>
  </si>
  <si>
    <t>['', 'kampung', 'signal', 'internetnya', 'tida', 'stabil', 'kampung', 'fahudu', 'pulau', 'hiri', 'maluku', 'utara', 'mohon', 'lihat', 'mengharapkan', 'untu', 'pendidikan', '']</t>
  </si>
  <si>
    <t>['terang', 'jaringan', 'internet', 'telkomsel', 'parah', 'tolong', 'perbaiki', 'menawarkan', 'paket', 'internet', 'jaringannya', 'lelet', 'salam', 'ternate', 'maluku', 'utara']</t>
  </si>
  <si>
    <t>['kecewa', 'banget', 'gua', 'ama', 'telkomsel', 'harga', 'kuota', 'doang', 'mahal', 'kaga', 'gunain', 'gua', 'udh', 'beli', 'kuota', 'unlimitied', 'rb', 'kuota', 'unlimitied', 'youtube', 'pas', 'kuota', 'utama', 'habis', 'kuota', 'unlimitied', 'kaga', 'kecewa', 'bat', 'gua', 'kaga', 'gunain', '']</t>
  </si>
  <si>
    <t>['tolong', 'telkomsel', 'perbaiki', 'jaringan', 'lelet', 'banget', 'beda', 'sebelah', 'buka', 'aplikasi', 'bnget', 'kartu', 'termahal', 'kualitas', 'jaringan', 'terbaik', 'mohon', 'perbaiki', '']</t>
  </si>
  <si>
    <t>['kemaren', 'daftar', 'telfon', 'hellooo', 'telkomsel', 'kaabar', 'perbaiki', '']</t>
  </si>
  <si>
    <t>['lemah', 'jaringannya', 'lemot', 'pakai', 'game', 'stiap', 'jam', 'siang', 'jam', 'jam', 'malam', 'lemah', 'dipakai', 'mohon', 'jaringannya', 'tinggatkan', '']</t>
  </si>
  <si>
    <t>['jaringan', 'telkomsel', 'kyk', 'kecewa', 'gua', 'padaha', 'gua', 'udah', 'telkomsel', 'paket', 'dri', 'kerna', 'skrng', 'harga', 'kuota', 'turunkan', 'jaringan', 'kyk', 'ahsudahlah', 'gb', 'gua', 'seminggu', 'abis', 'beli', 'sebulan', 'belom', 'habis', 'paket', 'kecewa', 'gua', 'ganti', 'paket', 'jringan', 'anccur', 'gua', 'butuh', 'strieming', 'coy', 'tolong', 'kembalikan', 'harga', 'normal', 'biarkan', 'hrga', 'telkomsel', 'kualitas', 'jaringan', '']</t>
  </si>
  <si>
    <t>['minus', 'bintang', 'telkomsel', 'memuaskan', 'jaringan', 'interned', 'lelet', 'lemot', 'tersendat', 'sendat', 'konek', 'konek', 'dikalahi', 'kartu', 'exsis', 'koneksi', 'cepat', 'terhubung', 'telkomsel', 'memuaskan', 'minim', 'stop', 'pakai', 'telkomsel']</t>
  </si>
  <si>
    <t>['perusahaan', 'kelas', 'bumn', 'nasional', 'abal', 'abal', 'maaf', 'keluhannya', 'blah', 'bleh', 'blah', 'bleh', 'udah', 'harga', 'mahal', 'jaringan', 'lemot', 'nomor', 'telkomselku', 'lbh', 'iya', 'jaringan', 'lbh', 'lancar', 'drpd', 'lancar', 'plisss', 'your', 'price', 'doesn', 'match', 'with', 'your', 'quality', '']</t>
  </si>
  <si>
    <t>['tgl', 'maret', 'berpindah', 'indosat', 'jaringannya', 'menunggu', 'perbaikan', 'jaringan', 'internet', 'keluhan', 'pengguna', 'simpati', 'didaerah', 'tinggal', 'blum', 'perbaikan', 'pakai', 'simpati', 'blum', 'separah', 'semoga', 'telkomsel', 'cepat', 'memperbaikinya', 'sayang', 'pakai', 'karawang', 'barat', 'kerta', 'bumi', 'karawang', 'kulon', '']</t>
  </si>
  <si>
    <t>['pengguna', 'apk', 'telkomsel', 'terimakasih', 'promo', 'daily', 'chak', 'sabar', 'kuota', 'membantu', 'meringankan', 'pemakaian', 'kuota', '']</t>
  </si>
  <si>
    <t>['kecewa', 'telkomsel', 'pulsa', 'masul', 'ribu', 'sisa', 'beli', 'koin', 'webtoon', 'sisanya', 'kqn', 'kepake', 'sms', 'rupian', 'ribuan', 'doooooong', 'sisa', 'sisanya', 'kemana', 'gila', 'yaa', 'telkomsel', 'ngambil', 'pulsanya', 'banget', 'kuota', 'mahal', 'cepat', 'habis', 'pulak', 'parah', 'parah', 'parah', '']</t>
  </si>
  <si>
    <t>['unreg', 'unsubscribe', 'paket', 'telp', 'bulanan', 'gimana', 'ikuti', 'veronica', 'unsubscribe', 'unreg', 'mohon', 'info']</t>
  </si>
  <si>
    <t>['telkomsel', 'keperluan', 'komunikasi', 'dimana', 'terbatas', 'jangkauan', 'stabilitas', 'signal', 'mumpuni', 'telkomsel', 'teman', 'abadi', 'mengabdi', 'nusa', 'bangsa', '']</t>
  </si>
  <si>
    <t>['baca', 'ulasan', 'pelanggan', 'mayoritas', 'puas', 'layanan', 'telkomsel', 'harga', 'paketan', 'mahal', 'sinyal', 'super', 'lemot', 'hilang', 'nyedot', 'pulsa', 'dibohongi', 'dibodohi', 'kecurangan', 'telkomsel', 'telkomsel', 'mendengarkan', 'keluhan', 'bisanya', 'silahkan', 'hubungi', 'mimin', 'bla', 'bla', 'bla', 'tindak', 'lanjutannya', 'udah', 'tutup', 'dijual', '']</t>
  </si>
  <si>
    <t>['pulsa', 'mesti', 'berkurang', 'kartu', 'didiemin', 'ngga', 'dipake', 'data', 'nggak', 'dinyalakan', 'mesti', 'berkurang', 'pulsaku', 'udah', 'tahunan', 'gini', 'kecewa', '']</t>
  </si>
  <si>
    <t>['chanel', 'youtube', 'namanya', 'borneo', 'vlogs', 'pakai', 'sim', 'card', 'ttg', 'uploud', 'video', 'leletnya', 'ampun', 'ngeselin', 'banget', 'ngab', 'pakai', 'tsel', 'uploud', 'video', 'youtube', 'hitungan', 'menit', 'berhasil', 'upload', 'subcreb', 'chanelku', 'pakai', 'tsel', 'cepat', 'subcrebe', 'chanelku', 'terima', 'kasih', 'tsel']</t>
  </si>
  <si>
    <t>['sinyalnya', 'jelek', 'parah', 'teleponan', 'data', 'anehnya', 'sinyal', 'full', 'menghubungkan', 'ulang', 'giliran', 'buka', 'yutup', 'aplikasi', 'lancar', 'jaya', 'aneh', 'banget', 'asli', 'paham', 'asli', 'alex', 'alex']</t>
  </si>
  <si>
    <t>['akses', 'masuk', 'susah', 'link', 'kirim', 'udah', 'berkali', 'kali', 'nyoba', 'sinyal', 'telkomsel', 'melemot', 'gimana', 'upgrade', 'perbaiki', '']</t>
  </si>
  <si>
    <t>['kemarin', 'kehilangan', 'handphone', 'pergi', 'grapari', 'mengurus', 'kartu', 'kenomor', 'kartu', 'halo', 'berbayar', 'kehilangan', 'kartu', 'terblokir', 'tolong', 'bantuu']</t>
  </si>
  <si>
    <t>['reccomended', 'banget', 'pengguna', 'telkomsel', 'sarankan', 'pengguna', 'tekomsel', 'isi', 'ulang', 'paket', 'apk', 'bner', 'work', 'banget', 'bnyak', 'bnget', 'penawaran', 'spesial', 'telkomsel', 'kemaren', 'dapet', 'promo', 'spesial', 'gb', 'sayang', 'minggu', 'good', 'cuman', 'daily', 'surprise', 'disitu', 'hadiah', 'belun', 'claim', 'sayang', 'udah', 'dapet', 'stamp', 'bnyak', 'hadiah', 'ilang', 'gitu', '']</t>
  </si>
  <si>
    <t>['ngisi', 'pulsa', 'rb', 'isi', 'pulsa', 'rb', 'udah', 'rb', 'beli', 'wifi', 'telkomsel', 'kebangetan', 'udah', 'mahal', 'suka', 'nyedot', 'pulsa', '']</t>
  </si>
  <si>
    <t>['huhuhu', 'bagus', 'ngerespon', 'dibuka', 'parah', 'banget', 'buka', 'kali', 'langsung', 'respon', 'lemot', 'doang', 'trus', 'verifikasi', 'link', 'link', 'dibuka', 'menit', 'sms', 'link', 'sampe', 'pas', 'menit', 'nunggu', 'plis', 'layanan', 'telkomsel', 'diperbaikin', 'pengguna', 'nyaman', '']</t>
  </si>
  <si>
    <t>['paket', 'mahal', 'paket', 'pendidikan', 'mahal', 'trus', 'kuota', 'ketengan', 'utama', 'gimana', 'udah', 'jaman', 'kaya', 'gini', 'mahalin', '']</t>
  </si>
  <si>
    <t>['telkomsel', 'hilangin', 'tarif', 'non', 'paket', 'hemat', 'gitu', 'habis', 'beli', 'pulsa', 'sedot', 'internett', 'fungsi', 'pulsa', 'telepon', 'sms', 'pembelian', 'internet', 'kuota', 'internet', 'habis', 'habis', 'pakai', 'pulsa', 'jaringan', 'internet', 'kalah', 'provider', 'indosat', 'program', 'pulsa', 'safe', '']</t>
  </si>
  <si>
    <t>['menghubungkan', 'mytelkomsel', 'aplikasi', 'dana', 'sistem', 'sibuk', 'masak', 'iya', 'coba', 'berminggu', 'minggu', 'sistemnya', 'sibuk', 'karyawan', 'telkomsel', 'cuna', 'doang', 'mohon', 'perbaiki', 'woiiiiiii', 'kartu', 'udah', 'mahal', 'sinyal', 'jelek', 'ditambah']</t>
  </si>
  <si>
    <t>['dear', 'telkomsel', 'pengguna', 'android', 'kesulitan', 'sms', 'link', 'tersedia', 'pilihan', 'salin', 'mohon', 'dipermudah', 'login', 'aplikasi', 'coba', 'metode', 'email', 'google', 'terdaftar', '']</t>
  </si>
  <si>
    <t>['parah', 'kecepatan', 'ngga', 'sampe', 'kbps', 'kuota', 'midnight', 'nyesel', 'beli', 'parah', 'gmna', '']</t>
  </si>
  <si>
    <t>['tolong', 'simpati', 'jawa', 'pati', 'tolong', 'perbarui', 'jaringan', 'sulit', 'kampung', 'kecamatan', 'jaken', 'pati', 'terima', 'kasih']</t>
  </si>
  <si>
    <t>['tolong', 'perbaiki', 'jaringannya', 'delay', 'udah', 'lemot', 'tolong', 'teliti', 'orang', 'berpindah', '']</t>
  </si>
  <si>
    <t>['aplikasi', 'buka', 'udah', 'instal', 'ulang', 'hbs', 'data', 'tolong', 'perbaiki', 'pelayanannya', 'makasih']</t>
  </si>
  <si>
    <t>['claim', 'bonus', 'kuota', 'daily', 'check', 'sinyal', 'ancur', 'gini', 'min', 'niat', 'ngasih', 'gratisan', 'mah', 'ngadain', 'event', 'gituan', 'nyusahin', '']</t>
  </si>
  <si>
    <t>['kasih', 'karna', 'kartu', 'paketnya', 'kemahalan', 'long', 'beli', 'paket', 'internet', 'murah', 'kayak', 'orang', '']</t>
  </si>
  <si>
    <t>['suka', 'aplikasih', 'telkomsel', 'mudah', 'membeli', 'pulsa', 'paketan', 'data', 'pulsa', 'telpon', 'sms', 'pilihan', 'lainya', 'mudah', 'dapatkan', 'mudah', 'tukarkan', 'poin', 'ikutan', 'undian', 'semoga', 'poin', 'tukar', 'undi', 'minggu', 'terpilih', 'sukses', 'selllalu', 'telkomsel', '']</t>
  </si>
  <si>
    <t>['semenjak', 'mytelkomsel', 'beli', 'pulsa', 'paket', 'data', 'jdi', 'mudah', 'bolak', 'counter', 'pulsa', 'udah', 'gitu', 'nonton', 'film', 'disney', 'hotstar', 'sinyal', 'lancar', '']</t>
  </si>
  <si>
    <t>['sinyal', 'parah', 'kesini', 'parah', 'data', 'internet', 'bapuk', 'daerah', 'padat', 'penduduk', 'bagus', 'make', 'telkomsel', 'mahal', 'doang', 'layanan', 'jelek', '']</t>
  </si>
  <si>
    <t>['payment', 'disneyhotstar', 'aplikasi', 'statusnya', 'blm', 'langganan', 'why', 'pulsa', 'kepotong', 'haduh', '']</t>
  </si>
  <si>
    <t>['kasi', 'bintang', 'niat', 'karna', 'udah', 'percaya', 'peformas', 'telkomsel', 'cuman', 'rumah', 'jaringan', 'lelet', 'banget', 'full', 'cari', 'tugas', 'skripsi', 'susah', 'banget', 'telkomsel', 'tolong', 'perbaiki', 'kasi', 'bintang']</t>
  </si>
  <si>
    <t>['aplikasi', 'sangt', 'bagus', 'menampilkan', 'pilhan', 'menu', 'pket', 'data', 'internet', 'lengkap', 'berbeda', 'ayo', 'aplikasi', 'cepat', 'donlod', 'play', 'store', '']</t>
  </si>
  <si>
    <t>['ass', 'kartu', 'promo', 'kuota', 'internetnya', 'mahal', 'mahal', 'gb', 'rb', 'tolong', 'min', 'kasih', 'promo', 'gb', 'unlimited', 'rb', '']</t>
  </si>
  <si>
    <t>['jaringan', 'telkomsel', 'lemot', 'bangeeetttt', 'suka', 'ilang', 'sinyalnya', 'kuota', 'koneksi', 'kaya', 'gitu', 'sampe', 'pindah', 'provider', 'grgr', 'jaringan', 'jelek', 'beli', 'paket', 'gb', 'slalu', 'berhasil', 'tolong', 'perbaiki', 'follow', '']</t>
  </si>
  <si>
    <t>['udh', 'bln', 'telkomsel', 'lemot', 'mesti', 'pke', 'pvn', 'internetan', 'lancar', 'hub', 'robot', 'internet', 'lokal', 'bls', 'nawarin', 'paket', 'data', 'pulsa', 'hadehhh', 'pke', 'combo', 'sakti', 'apanya', 'sakti', 'combo', 'mletot', 'nie', 'skrg', 'sinyal', 'bagus', 'but', 'mnt', 'sinyalnya', 'ngawurrrrrr', '']</t>
  </si>
  <si>
    <t>['mentang', 'pakai', 'paket', 'swadaya', 'gojek', 'sinyalnya', 'bedakn', 'paket', 'terbukti', 'sinyal', 'putus', 'lemot', 'trs', 'teman', 'pakai', 'paket', 'lancar', 'banget', 'duduk', 'meja', 'paket', 'swadaya', 'sinyal', 'rto', 'lemot', '']</t>
  </si>
  <si>
    <t>['', 'telkomsel', 'errorr', 'cek', 'kuota', 'data', 'errorrr', 'mohon', 'perbaiki', 'secepat', 'trims', 'buka', 'aplikasi', 'telkomsel', 'nongol', 'penawaran', 'beli', 'sim', 'telkomsel', 'mohon', 'penjelasan', '']</t>
  </si>
  <si>
    <t>['isi', 'pulsa', 'habis', 'gimana', 'telkomsel', 'potong', 'paket', 'daruratkan', 'cuman', 'pulsa', 'habis', 'uda', 'telkomsel', '']</t>
  </si>
  <si>
    <t>['jaringan', 'telkomsel', 'jelek', 'gnti', 'pdhal', 'diganti', 'leletttt', 'tolong', 'perbaiki', 'manajemen', 'telkomsel', 'mahal', 'telpon', 'kuota', 'knp', 'sistemnya', 'jelek', 'harga', 'rupa', 'harga', 'buatlah', 'sistem', 'jaringannya', 'trimakasih']</t>
  </si>
  <si>
    <t>['login', 'ulang', 'kali', 'masuk', 'ribet', 'aplikasi', 'resposif', 'menjengkelkan', 'aplikasi', 'seandainya', 'mendownload', 'aplikasi', '']</t>
  </si>
  <si>
    <t>['tolong', 'donk', 'infonya', 'temen', 'diaplikasi', 'telkomsel', 'paket', 'internetnya', 'gb', 'harga', 'rb', 'aplikasi', 'telkomsel', 'sampe', 'gb', 'harga', 'rb', 'berlangganan', 'telkomsel', 'beli', 'kali', 'beli', 'paket', 'internet', 'gb', 'kasih', 'bonus', 'kek', 'kek', '']</t>
  </si>
  <si>
    <t>['najisss', 'bisanya', 'cuman', 'peras', 'rakyat', 'telpon', 'mahal', 'sms', 'mahal', 'internet', 'mahal', 'heran', 'milik', 'indonesia', 'semahal', 'perass', 'mulu']</t>
  </si>
  <si>
    <t>['parah', 'jaringan', 'internet', 'bagus', 'jadikan', 'provider', 'prioritas', 'ganti', 'sebelah', 'ahhhh', 'bagus', 'murah', 'bintang', '']</t>
  </si>
  <si>
    <t>['maaf', 'min', 'parah', 'singal', 'lemot', 'abis', 'yaaa', 'telkomsel', 'terbaik', 'parahnya', 'maaf', 'salah']</t>
  </si>
  <si>
    <t>['pengguna', 'telkomsel', 'mewakili', 'pengguna', 'telkomsel', 'ingn', 'mengeluh', 'sinyal', 'telkomsel', 'desa', 'air', 'dingin', 'kec', 'tanjung', 'tebat', 'kab', 'lahat', 'prov', 'sumatera', 'selatan', 'kmi', 'memohon', 'diperbaiki', 'sinyal', 'telkomsel', 'siswa', 'belajar', 'online', 'pekerja', 'mengeluh', 'sinyal', 'dll', 'warga', 'perbaikan', 'sinyal', 'jaringan', 'telkomsel', 'menggagu', 'pekerjaan', 'sinyal', 'jaringan', 'telkomsel', 'lemah', '']</t>
  </si>
  <si>
    <t>['pakai', 'telkomsel', 'jaringan', 'jelek', 'daerah', 'tolong', 'perbaiki', 'update', 'kapasitasnya', 'penguna', 'telkomsel', 'daerah', 'setu', 'bekasi']</t>
  </si>
  <si>
    <t>['minggu', 'sinyalnya', 'lemot', 'min', 'mohon', 'diperbaiki', 'min', 'kasih', 'bintang', 'ntar', 'udah', 'bagus', 'kasih', '']</t>
  </si>
  <si>
    <t>['aplikasi', 'logout', 'sndiri', 'dpt', 'info', 'asik', 'pemberitahuan', 'system', 'error', 'occured', 'thu', 'buka', 'youtube', 'facebook', 'buffering', 'lemot', '']</t>
  </si>
  <si>
    <t>['berlangganan', 'th', 'kali', 'pulsa', 'hilang', 'rb', 'sekejap', 'kuota', 'giga', 'males', 'telkomsel', '']</t>
  </si>
  <si>
    <t>['telkomsel', 'skrng', 'beli', 'paket', 'jaringan', 'parah', 'pulza', 'beli', 'hilang', 'sekejap', 'gunain', 'emang', 'telkomsel', 'taikkk']</t>
  </si>
  <si>
    <t>['sumpah', 'jaringanya', 'hilang', 'kalaw', 'jaringan', 'kasih', 'pemberitahuan', 'jaringan', 'buruk', 'menit', 'gitu', 'klu', 'udh', 'jaringan', 'buruk', 'berhenti', 'online', 'dlu', 'jaringan', 'ataw', 'main', 'transaksi', 'atm', 'online', 'blokir', 'gegara', 'jaringan', 'hilang', 'telkomsel', 'udh', 'tpi', 'peningkatan', 'gmn', '']</t>
  </si>
  <si>
    <t>['kualitas', 'telkomsel', 'menurun', 'jaringan', 'menurun', 'kestabilannya', 'chat', 'responsif', 'terbaru', 'penggunaan', 'kuota', 'rancu', 'contoh', 'kuota', 'kemendikbud', 'pulsa', 'diset', 'only', 'pulsa', 'tersedot', 'set', 'only', 'kuota', 'kemendikbud', 'tersedot', 'kuota', '']</t>
  </si>
  <si>
    <t>['tolong', 'aktifin', 'internet', 'omg', 'internet', 'harian', 'internet', 'mingguan', 'kuota', 'ketengan', 'transaksi', 'membutuhkan', 'kode', 'verifikasi', 'dapt', 'sms', 'bingung', 'musti', 'gimana']</t>
  </si>
  <si>
    <t>['sumpah', 'nyesel', 'banget', 'beli', 'paket', 'paket', 'gg', 'susah', 'jaringan', 'internet', 'busuk', 'paket', 'mahal', 'internet', 'jakarta', 'gimana', 'daerah', 'auto', 'ganti', '']</t>
  </si>
  <si>
    <t>['mengecewakan', 'pelanggan', 'program', 'telkomsel', 'ap', 'poin', 'hepi', 'udah', 'habis', 'kali', 'teramat', 'kecewa', '']</t>
  </si>
  <si>
    <t>['beli', 'quota', 'aktif', 'sadar', 'pelanggan', 'telkomsel', 'pembodohan', 'publik', 'namanya', 'pengguna', 'cerdas', 'sob', '']</t>
  </si>
  <si>
    <t>['jaringan', 'parah', 'engga', 'berguna', 'engga', 'sinyal', 'stabil', 'mendingan', 'tutup', 'kantor', 'jarang', 'dapet', 'duit', 'karna', 'jaringan', 'engga', 'bermutu', 'anak', 'istri', 'orang', 'tua', 'saudara', 'telkomsel', 'fiix', 'ganti', 'karna', 'emosi', 'jaringan', 'telkomsel', 'busuk', 'bintang', '']</t>
  </si>
  <si>
    <t>['membantu', 'sukai', 'menjual', 'data', 'internet', 'promo', 'suka', 'telkomsel', 'suka', 'hadiah', 'pulsa', 'paket', 'data', 'sesuka', 'jaringannya', 'lemot', 'daerah', '']</t>
  </si>
  <si>
    <t>['ubah', 'prioritas', 'pemakaian', 'datanya', 'aktifnya', 'habis', 'didahuluin', 'masak', 'kouta', 'regular', 'gb', 'tinggal', 'doang', 'kepakai', 'kouta', 'aktifnya', 'kouta', 'kemendikbud', 'apknya', 'lumayan', 'membantu', 'sekian', 'terimakasih', '']</t>
  </si>
  <si>
    <t>['bagus', 'sinyal', 'sinyal', 'susah', 'bener', 'tolong', 'perbaikan', 'minggu', 'perubahan', 'gara', 'sinyal', 'jelek', 'susah', 'belajar', 'main', 'game', 'online', 'kalbar', 'kubu', 'raya', 'arus', 'deras', 'tolonglah', 'perbaikan', 'secepatnya']</t>
  </si>
  <si>
    <t>['pke', 'aplikasi', 'telkomsel', 'lancar', 'tingkat', 'performa', 'spya', 'lancar', 'gampang', 'log', 'aplikasi', 'telkomsel', 'sukses', 'telkomsel', '']</t>
  </si>
  <si>
    <t>['sumpah', 'parah', 'jaringan', 'telkomsel', 'kerjaan', 'jdi', 'terganggu', 'jaringan', 'super', 'jelek', 'kerjakan', 'lola', 'udah', 'beli', 'paketnya', 'mahal', 'jaringan', 'jelek', 'bener', 'bener', 'parah', 'kecewa', 'jaringan', 'telkomsel']</t>
  </si>
  <si>
    <t>['penjelasan', 'paket', 'detail', 'mohon', 'cek', 'koneksi', 'pas', 'pembian', 'mengalami', 'koneksi', 'sngat', 'bagus', 'knpa', 'beli', 'paket', 'muncul', 'notifikasi', 'cek', 'koneksi', 'ulangi', 'menit', 'bosan', 'baca']</t>
  </si>
  <si>
    <t>['provider', 'gajelas', 'paket', 'kuota', 'pulsa', 'kesedot', 'kuotanya', 'pindah', 'kartu', 'sim', 'udah', 'paketin', 'kuota', 'masuk', 'masuk', 'aplikasi', 'gajelas', 'pokoknya', 'banget', 'deh']</t>
  </si>
  <si>
    <t>['aplikasinya', 'jelek', 'logout', 'tautkan', 'email', 'masuk', 'email', 'iya', 'pulang', 'kampung', 'login', 'mytelkomsel']</t>
  </si>
  <si>
    <t>['serasa', 'scam', 'terpake', 'pulsa', 'internet', 'kemdikbud', 'terpakai', 'giga', 'internet', 'kemdikbud', 'dipakai', 'terbuang']</t>
  </si>
  <si>
    <t>['mantap', 'mudah', 'akses', 'pembelian', 'paket', 'cek', 'pulsa', 'bonus', 'tingkatkan', 'pelayanan', 'telkomsel', 'sukses', 'jaya', 'telkomsel', 'tolong', 'daerah', 'long', 'bawan', 'kalimantan', 'utara', 'ditingkatkan', 'pelayanan', 'terbatas', 'akses', 'internet', 'disana', 'terimakasih', 'telkomsel']</t>
  </si>
  <si>
    <t>['udah', 'taun', 'telkomsel', 'bagus', 'koneksinya', 'busuk', 'saran', 'gaush', 'mahal', 'mahal', 'ngasih', 'harga', 'sinyal', 'dikasih', 'seharga', 'rbuan', 'busuk', 'abiss', 'rumah', 'kota', 'sinyal', 'dikasih', 'berasa', 'kampung', 'sinyal', 'kek', 'mah', 'cocok', 'paketan', 'murahan', 'mahal', 'mahal', 'beli', 'paket', 'ngasih', 'sinyal', 'botak']</t>
  </si>
  <si>
    <t>['suka', 'telkomsel', 'udah', 'isi', 'pulsa', 'isi', 'paket', 'apklikasi', 'telkomsel', 'pulsa', 'langsung', 'disedot', 'sungguh', 'miris', 'telkomsel', 'memperhatikan', 'kenyamanan', 'pengguna', 'telkomsel', 'kunci', 'pulsa', 'membuka', 'aplikasi', 'telkomsel', 'pengguna', 'ulasan', 'jelek', 'telkomsel', 'terimakasih']</t>
  </si>
  <si>
    <t>['', 'konsisten', 'konten', 'dibilang', 'dapet', 'promo', 'pindah', 'paket', 'klik', 'bacaan', 'error', 'sinyal', 'kadang', 'stabil', '']</t>
  </si>
  <si>
    <t>['telkomsel', 'buka', 'aplikasinya', 'makan', 'pulsa', 'pesannya', 'mengakses', 'internet', 'tarif', 'non', 'paket', 'info', 'tsel', 'data', 'tarif', 'hemat', 'beli', 'paket', 'internet', 'tsel', 'maaf']</t>
  </si>
  <si>
    <t>['alhamdulillah', 'internet', 'murah', 'terbaik', 'rakyat', 'bangsa', 'klu', 'murah', 'mahal', 'bangsa', 'indonesia', 'merdeka', 'telkomsel', 'terbaik', 'indonesia']</t>
  </si>
  <si>
    <t>['please', 'please', 'please', 'orang', 'daerah', 'terpencil', 'butuh', 'sinyal', 'bagus', 'nyalain', 'data', 'internet', 'pulsa', 'ambil', 'please', 'hilangkan', 'sapai', 'makan', 'uang', 'itungan', 'dunia', '']</t>
  </si>
  <si>
    <t>['telkomsel', 'udah', 'pulsa', 'berkurang', 'trus', 'ngk', 'beli', 'paket', 'nyalain', 'data', 'seluler', 'jam', 'cek', 'jam', 'tinggal', 'beli', 'paket', 'terpaksa', 'ngk', 'udah', 'kali', 'kyk', 'gitu', 'trus', 'rugi', 'mohon', 'perbaiki', 'rugi', 'banget', 'kejadian']</t>
  </si>
  <si>
    <t>['jaringannya', 'plis', 'benerin', 'tinggal', 'perdesaan', 'susah', 'jaringanya', 'telkomsel', 'pagi', 'jam', 'malem', 'dapet', 'kecepatan', 'jaringan', 'detik', 'dapetnya', 'detik', 'lemot']</t>
  </si>
  <si>
    <t>['telkom', 'sinyal', 'parah', 'pagi', 'siang', 'sore', 'malem', 'malem', 'tetep', 'ngelag', 'udh', 'paket', 'mahal', 'sinyal', 'parahnya', 'maen', 'benerin', 'sinyal', 'paket', 'mahal', 'sinyal', 'ampas', 'ngasih', 'saran', 'twiter', 'email', 'macem', 'keluhannya', 'sinyal', 'parah', 'ampas', 'ancur', 'perbaiki', 'sinyal', 'suruh', 'twiter', 'email', 'edit', 'gila', 'gila', 'belom', 'dinenerin', 'cuy', 'ampas']</t>
  </si>
  <si>
    <t>['keluh', 'kesah', 'pelanggan', 'tanggapi', 'serius', 'sihh', 'gara', 'card', 'tenggang', 'grapari', 'jga', 'pindah', 'prabayar', 'pasca', 'bayar', 'berat', 'boss', 'kebijakanmuuu', '']</t>
  </si>
  <si>
    <t>['kasih', 'bintang', 'kebijakan', 'paket', 'donk', 'promo', 'terbatas', 'pakai', 'telkomsel', 'huwaaaaahhhhhh', 'tarifnya', 'kagak', 'akumulasi', '']</t>
  </si>
  <si>
    <t>['tolong', 'telkom', 'daerah', 'sumsel', 'kab', 'ogan', 'ilir', 'sinyal', 'lemot', 'banget', 'skrng', 'lmot', 'kyk', 'sebelah', 'lemotnya', 'warga', 'dsini', 'risih', 'sinyal', 'kek', 'gini', 'kek', 'gini', 'bkal', 'pindah', 'kartu', 'sebelah', 'irit', 'lemotnya', 'kasih', 'star', 'normal', 'jaringannya', 'kasih', 'star', '']</t>
  </si>
  <si>
    <t>['aslinya', 'nggak', 'pengen', 'kartu', 'sinyal', 'telkomsel', 'kyk', 'ditelan', 'ombak', 'timbul', 'tenggelam', 'kasih', 'bintang', 'kedepannya', '']</t>
  </si>
  <si>
    <t>['heran', 'jaringan', 'maen', 'game', 'patah', 'nyesel', 'udah', 'ngisi', 'paket', 'udah', 'mahal', 'memuaskan', 'mending', 'pindah', 'jaringan', 'sebelah', '']</t>
  </si>
  <si>
    <t>['tlng', 'telkomsel', 'knpa', 'jaringan', 'nonton', 'lancar', 'lancar', 'giliran', 'pusb', 'rnk', 'ngelag', 'mohon', 'perbaiki', 'pengguna', 'telkomsel', 'rugikan', 'gini', 'pindah', 'jngn', 'make', 'telkomsel', 'udah', 'kecewa']</t>
  </si>
  <si>
    <t>['beli', 'paket', 'internet', 'telkom', 'metode', 'pembayaran', 'shope', 'pay', 'saldo', 'shopepay', 'berkurang', 'paket', 'internet', 'masuk', 'coba', 'telpon', 'telkom', 'dibilangnya', 'dicek', 'dikonfirmasi', 'konfirmasi', 'telpon', 'telkomselnya', 'kak', 'dihubungi', 'kedepan']</t>
  </si>
  <si>
    <t>['laporan', 'keluhan', 'signal', 'via', 'email', 'percakapan', 'sampe', 'skrg', 'hasil', 'nol', 'laporan', 'th', 'parah', '']</t>
  </si>
  <si>
    <t>['maketkan', 'gb', 'kuota', 'entertain', 'maxstream', 'vidio', 'bundling', 'vidio', 'nggak', 'dipakai', 'nyedot', 'kuota', 'utama', 'mulu', 'utuh', 'gb', 'nnton', 'bola', 'vidio', 'maxstream', 'kompalin', 'email', 'syarat', 'ribet', 'udah', 'dipenuhi', 'ditangani', 'telfon', 'operator', 'udah', 'kehilangan', 'ganggu', 'kerja', 'telfon', 'sehari', 'besoknya', 'dikabari', 'ditangani', 'rusak', 'telkomsel', 'bagus', 'kuning', '']</t>
  </si>
  <si>
    <t>['internetnya', 'lambat', 'sinyal', 'hilang', 'parah', 'harga', 'paketnya', 'mahal', 'harga', 'mahal', 'kualitasnya', 'tolong', 'jaringan', 'griya', 'sangiang', 'mas', 'kecamatan', 'priuk', 'kota', 'tangerang', 'diperbaiki', 'diperbaiki', 'kasih', 'bintang', '']</t>
  </si>
  <si>
    <t>['sinyal', 'jelek', 'gimana', 'paket', 'mahal', 'sinyal', 'jelek', 'download', 'apk', 'sampe', 'jam', 'jaringan', 'gimana', 'buruk', 'jaringan', 'mohon', 'perbaiki', 'jaringan', 'turun', 'harga', 'paketnya', 'mahal', 'orang', 'kelas', 'menengah', 'kebawah']</t>
  </si>
  <si>
    <t>['sengaja', 'donload', 'kasih', 'ulasan', 'pulsa', 'potong', 'tree', 'telkom', 'tree', 'beli', 'paket', 'trus', 'perpanjang', 'otomatis', 'kepotong', 'pulsa', 'bener', 'perpanjang', 'paket', 'fengan', 'telkomsel', 'paket', 'habis', 'langsung', 'motong', 'pulsaaa', 'sampe', 'mnit', 'pulsa', 'habis', 'dipake', 'habis', 'asli', 'kecewa', 'serakah', 'telponan', 'doang', 'sekarng', 'mah', 'rugiiii', 'beli', 'kouta', 'dipotong', 'pulsa', 'iming', 'promo', 'parah', '']</t>
  </si>
  <si>
    <t>['telkomsel', 'lelet', 'sinyal', 'jujur', 'kecewa', 'banget', 'promo', 'kuota', 'puluhan', 'sinyal', 'lambat', 'bin', 'lelet', 'banget', 'tolong', 'donk', 'telkomsel', 'sinyal', 'perbaikin', '']</t>
  </si>
  <si>
    <t>['kecewa', 'telkomsel', 'hri', 'sya', 'beli', 'paket', 'gb', 'hri', 'pda', 'jam', 'tnggal', 'tdi', 'sya', 'pket', 'data', 'app', 'mytelkomsel', 'paket', 'data', 'pulsa', 'sya', 'habis', 'pda', 'sya', 'cek', 'sms', 'app', 'mytelkomsel', 'pmblian', 'pket', 'data', 'sya', 'bli', 'tertulis', 'jam', 'tnggal', 'beda', 'sms', 'sya', 'trima', 'perangkat', 'telepon', 'tolong', 'mngecewakan', 'pelanggan', 'kecewa', 'krna', 'pket', 'data', 'pulsa', 'sya', 'hangus', '']</t>
  </si>
  <si>
    <t>['sebulan', 'jaringan', 'telkomsel', 'jelek', 'daerah', 'sukoharjo', 'jateng', 'ngawi', 'jatim', 'udah', 'pasang', 'wifi', 'indihome', 'zte', 'jaringan', 'jaringan', 'bagus', 'bergadang', 'jam', 'tugas', 'tugas', 'ujian', 'praktek', '']</t>
  </si>
  <si>
    <t>['gimana', 'aneh', 'tib', 'pulsa', 'ilang', 'malh', 'masuk', 'paketan', 'maxtrem', 'daftar', 'kesitu', 'aduh', 'karen']</t>
  </si>
  <si>
    <t>['aplikasi', 'ampas', 'error', 'ketimbang', 'bagusnya', 'buka', 'daily', 'check', 'error', 'error', 'error', 'telkom', 'app', 'receh', 'gini', 'gag', 'sampah', 'kualitas', 'koneksi', 'ampas', 'bin', 'tolol', 'bayar', 'rebu', 'perbulan', 'koneksi', 'mati', 'mulu', 'mendig', 'klen', 'bubar', 'dungu']</t>
  </si>
  <si>
    <t>['telkomsel', 'aneh', 'bener', 'aneh', 'jaringan', 'internet', 'lemah', 'lemot', 'kacau', 'sinyal', 'full', 'jaringan', 'internet', 'down', 'parah', 'sebanding', 'harga', 'paketan', 'mahal', 'jaringan', '']</t>
  </si>
  <si>
    <t>['mohon', 'maaf', 'tolong', 'perbaiki', 'udah', 'kali', 'beli', 'kouta', 'pulsa', 'tersambung', 'dana', 'kesalahan', 'jaringan', 'mohon', 'diperbaiki', 'please', 'butuh', 'kouta', 'murah', 'tolong', 'devoloper', 'tolong', 'please', 'help', 'bnar', 'membutuhkan', 'perbaikan', 'aplikasi', 'merugikan', 'tman', '']</t>
  </si>
  <si>
    <t>['kasih', 'bintang', 'karna', 'tsel', 'favorit', 'cuman', 'jaringan', 'jelek', 'tolong', 'perbaiki', 'kenyamanan', 'trims']</t>
  </si>
  <si>
    <t>['jaringan', 'tangerang', 'raya', 'tangerang', 'kota', 'tangerang', 'selatan', 'jam', 'jelek', 'diganti', 'ganti', '']</t>
  </si>
  <si>
    <t>['mohon', 'maaf', 'telkomsel', 'kendala', 'teknis', 'beli', 'paket', 'telkomsel', 'mohon', 'bantuannya']</t>
  </si>
  <si>
    <t>['', 'allah', 'lelet', 'telkomsel', 'super', 'lelet', 'posisi', 'kota', 'bandung', 'hufftt', '']</t>
  </si>
  <si>
    <t>['kebanyakan', 'pesan', 'promo', 'nipu', 'giliran', 'konfirmasikan', 'pembelian', 'sistem', 'sibuk', 'bisnis', 'nipu', 'orang', 'doa', 'jelek', 'orang']</t>
  </si>
  <si>
    <t>['jaringan', 'telkomsel', 'udah', 'minggu', 'hilang', 'timbul', 'daerah', 'kyk', 'ngga', 'pengguna', 'kecewa', 'kyk', 'gini', 'mending', 'ganti', 'provider']</t>
  </si>
  <si>
    <t>['iklan', 'bagus', 'kualitas', 'sinyal', 'pelosok', 'desa', 'terpencil', 'cuman', 'main', 'game', 'sinyalnya', 'ilang', 'ilang', 'donk', 'beli', 'kuota', 'mahal', 'mahal', 'dptnya', 'signal', 'lag', '']</t>
  </si>
  <si>
    <t>['kecewa', 'keluhan', 'sinyal', 'ditanggapi', 'telkomsel', 'jaringan', 'pakai', 'buka', 'browser', 'ganti', 'coba', 'telkomsel', 'respon', 'coba', 'chat', 'veronica', 'semoga', 'pemerataan', 'jaringan', 'gnya', 'stabil', 'zoom', 'out']</t>
  </si>
  <si>
    <t>['', 'telkomsel', 'membantu', 'sinyal', 'telkomsel', 'telkomsel', 'memuaskan', 'jaringan', 'mahal', 'doang', 'jaringan', 'bagus', '']</t>
  </si>
  <si>
    <t>['sinyal', 'suka', 'hilang', 'kecepatan', 'internet', 'menurun', 'mengeluh', 'internet', 'lemot', 'beli', 'paket', 'mahal', 'mahal', 'kecepatan', 'internet', 'olah', 'dibatasi', 'perhari', 'jam', '']</t>
  </si>
  <si>
    <t>['kecewa', 'banget', 'kuota', 'game', 'alih', 'alih', 'lancar', 'lag', 'parah', 'merusak', 'performa', 'game', 'benahi', '']</t>
  </si>
  <si>
    <t>['beli', 'paket', 'combo', 'seharga', 'ribu', 'sinyal', 'komplen', 'tanggapi', 'member', 'gold', 'telkomsel', 'parah', 'pelayanan', 'mudah', 'mudahan', 'perusahaan', 'telkomsel']</t>
  </si>
  <si>
    <t>['parah', 'telkomsel', 'kemarin', 'kasih', 'bonus', 'pulsa', 'trus', 'tarik', 'pulsa', 'utama', 'tarik', 'sisa', 'penipuan', 'penguras', 'bagus', 'kasih', 'bintang']</t>
  </si>
  <si>
    <t>['koneksi', 'internet', 'jelek', 'internet', 'lokal', 'berlaku', 'jelek', 'kuota', 'giga', 'dipakai', 'daerah', 'denpasar', 'rugi']</t>
  </si>
  <si>
    <t>['kritik', 'telkomsel', 'mohon', 'pelayanan', 'jaringan', 'tingkatkan', 'promo', 'produk', 'telkomsel', 'menarik', 'berimbang', 'pelayanan', 'jaringan', 'ditempat', 'jaringan', 'telkomsel', 'paket', 'data', 'mahal', 'telkomsel', 'tolong', 'pelayanan', 'jaringan', 'utamakan', 'tks']</t>
  </si>
  <si>
    <t>['aplikasinya', 'bagus', 'membantu', 'pengecekan', 'paket', 'data', 'tlfon', 'sms', 'alangkah', 'baiknya', 'menu', 'pengaturan', 'tambahkan', 'foto', 'profil', 'pengguna', 'pakai', 'foto', 'profill', 'terima', 'kasih', '']</t>
  </si>
  <si>
    <t>['jaringan', 'telkomsel', 'daerah', 'kota', 'makassar', 'buruk', 'pingnya', 'turun', 'beli', 'telkomsel', 'main', 'game', 'jaringannya', 'lemot', 'mempengaruhi', 'pengguna', 'kecewa', 'telkomsel']</t>
  </si>
  <si>
    <t>['jaringan', 'burik', 'jaringan', 'internet', 'telkomsel', 'mengutamakan', 'kepuasan', 'pelanggan', 'berani', 'bayar', 'mahal', 'jaringan', 'setara', '']</t>
  </si>
  <si>
    <t>['jaringan', 'buruk', 'sampah', 'ampas', 'main', 'game', 'ping', 'merah', 'giliran', 'buka', 'youtube', 'lancar', 'tolol', 'mentingin', 'duit', 'kenyamanan', 'pengguna', 'gausah', 'upgrade', 'udah', 'jelek', 'gimana', 'jelek', 'bintang', 'maaf', 'gabisa', 'nambah', 'stop', 'pakai', 'kartu', 'telkomsel']</t>
  </si>
  <si>
    <t>['tolong', 'telkomsel', 'plisssss', 'harga', 'kuota', 'turunkan', 'rb', 'gb', 'kuota', 'mutlka', 'promo', 'tekomsel', 'sinyal', 'bagus', 'banget', 'tpi', 'sayang', 'mahal', 'banget', 'mahal', 'jdi', 'kartu', 'nggk', 'sebagus', 'tpi', 'murah', 'meriah', 'rb', 'dapetin', 'gb', 'gb', 'rb', 'msih', 'telkomsel', 'nggk', 'rb', 'kuotanya', 'cuman', 'doang', 'tolong', 'berbaik', 'hatilah']</t>
  </si>
  <si>
    <t>['min', 'promo', 'bener', 'dikit', 'membeli', 'paket', 'ketengan', 'belajar', 'memakai', 'google', 'meet', 'tersedot', 'kuota', 'utama', 'kuota', 'belajar', 'beli', 'terpakai', 'min']</t>
  </si>
  <si>
    <t>['kartu', 'mahal', 'jaringan', 'miskin', 'beli', 'paket', 'pulsa', 'comot', 'maunya', 'telom', 'benci', 'makenya', 'admin', 'bls', 'cmn', 'maaf', 'tindakan', 'bintangnya', 'sepotong', 'kasi', 'sepotong', 'ngapain', 'kasi', 'bintang', 'ikhlas', 'sebenernya', 'awok', '']</t>
  </si>
  <si>
    <t>['heran', 'kadang', 'liat', 'jaringan', 'balok', 'sinya', 'bagus', 'pas', 'buka', 'youtube', 'ama', 'google', 'kuota', 'tolong', 'kadang', 'perhatikan', 'datanya', 'diaktifin', 'kadang', 'sinyalny', 'turun', 'matiin', 'lgi', 'sinyal', 'bingung', 'jelasinnya', 'kadang', 'kuota', 'kluar', 'dri', 'masuk', 'bingung', 'dahlah', 'tolong', '']</t>
  </si>
  <si>
    <t>['aplikasinya', 'berat', 'dijalankan', 'perpindahan', 'fitur', 'fitur', 'loadingnya', 'terkadang', 'aplilasi', 'otomatis', 'menguras', 'quota', 'data', 'pengguna', 'mohon', 'ditingkatkan', 'kualitas', 'aplikasinya', '']</t>
  </si>
  <si>
    <t>['apl', 'jelek', 'kebijakan', 'harga', 'kuota', 'datanya', 'jaringan', 'daerah', 'konsumen', 'kecewa', 'berat', '']</t>
  </si>
  <si>
    <t>['burik', 'udah', 'log', 'aplikasi', 'kadang', 'pas', 'buka', 'muter', 'disuruh', 'log', 'ulang', 'verification', 'link', 'sms', 'loading', 'jaringan', 'bagus', 'sisa', 'pulsa', 'paket', 'data', 'pas', 'cek', 'pulsa', 'potong', 'telkomsel', 'korup', 'gini', 'nyedotin', 'pulsa', 'njaanncookk', '']</t>
  </si>
  <si>
    <t>['perbaikan', 'detik', 'koneksi', 'parah', 'koneksi', 'unggulanku', 'gini', 'kehilangan', 'koin', 'aplikasi', 'koneksi', 'terputus', 'melulu', 'terima', 'kasih', 'telkomsel', 'merugi', '']</t>
  </si>
  <si>
    <t>['telkomsel', 'kesini', 'jelek', 'jaringan', 'udah', 'pembelian', 'paket', 'mahal', 'jaringan', 'kek', 'taii', 'kek', 'nggak', 'sesuai']</t>
  </si>
  <si>
    <t>['hai', 'miin', 'beli', 'paket', 'darurat', 'beli', 'pulsa', 'kepotong', 'pakai', 'paketannya', 'pulsanya', 'hangus']</t>
  </si>
  <si>
    <t>['telkomsel', 'kayak', 'nokia', 'bohongi', 'pelanggan', 'mulu', 'paket', 'ngapain', 'udah', 'habis', 'cepat', 'banget', 'habisnya', 'kyk', 'kartu', 'lihat', 'tinggalin', 'kayak', 'nokia', 'pesan']</t>
  </si>
  <si>
    <t>['bagus', 'hemat', 'pulsa', 'pembelian', 'paket', 'murah', 'membantu', 'darurat', 'sekedar', 'saran', 'pelanggan', 'setia', 'telkomsel', 'tolong', 'sinyal', 'daerah', 'tolong', 'optimal', 'jaringannya', 'tugas', 'lambat', 'loading', 'makasih', '']</t>
  </si>
  <si>
    <t>['telkomsel', 'data', 'internet', 'knp', 'tarik', 'pulsa', 'mengakses', 'internet', 'tarif', 'non', 'paket', 'trus', 'gunanya', 'data', 'internet', 'asw', 'kesel', 'telkomsel', 'mohon', 'perbaiki', 'namanya', 'pegurasan', 'ajg', '']</t>
  </si>
  <si>
    <t>['', 'telkomsel', 'bagus', 'informasi', 'mudah', 'penggunaan', 'lambat', 'kaya', 'alhamdulillah', 'telkomsel', '']</t>
  </si>
  <si>
    <t>['pke', 'telkomsel', 'komplain', 'jaringan', 'tanggepin', 'komplain', 'lokasi', 'tes', 'speed', 'doang', 'ping', 'ms', 'speed', 'download', 'mbps', 'dibilang', 'normal', 'pke', 'telkomsel', 'jalan', 'bales', 'chat', 'nunggu', 'menit', 'kirim', 'gila', 'bales', 'chat', 'koneksinya', 'kuat', 'tsel']</t>
  </si>
  <si>
    <t>['combo', 'sakti', 'rb', 'kuota', 'gb', 'telp', 'min', 'sms', 'cek', 'aktifkan', 'lwt', 'mytsel', 'outlet', 'bit', 'mtsel', 'skb', 'prog', 'hadiah', 'klik', 'bit', 'poinsakti', 'combo', 'iklan', '']</t>
  </si>
  <si>
    <t>['selamat', 'menjelang', 'siang', 'bpk', 'layayan', 'telkomsel', 'kek', 'main', 'game', 'koneksi', 'terputus', 'membaik', 'memburuk']</t>
  </si>
  <si>
    <t>['turunkan', 'bintang', 'mohon', 'dibantu', 'paket', 'data', 'aktif', 'pulsa', 'terpotong', 'gmn', 'isi', 'pulsa', 'terpotong', 'tolong', 'kembalikan', 'pulsa', 'terpotong', 'kaya', 'gini', 'isi', 'pulsa', '']</t>
  </si>
  <si>
    <t>['komplain', 'telkomsel', 'isi', 'pulsa', 'aktif', 'kartu', 'nggak', 'nambah', 'nomor', 'mati', 'lho', 'gini', 'uang', 'habis', 'isi', 'pulsa', 'bolak', 'kaga', 'nambah', 'aktif', 'telkomsel', 'mohon', 'memperbaiki', 'trouble', 'nomor', 'makasih', '']</t>
  </si>
  <si>
    <t>['tarif', 'nyesek', 'kuota', 'data', 'habis', 'notif', 'telat', 'pulsa', 'kesedot', 'habis', 'notif', 'kuota', 'habis', 'mytelkom', 'free', 'kuota', 'bukanya', 'kuota', 'habis', 'beli', 'kuota', '']</t>
  </si>
  <si>
    <t>['saran', 'kuota', 'internet', 'habis', 'mending', 'putus', 'koneksi', 'internetnya', 'langsung', 'masukan', 'tarif', 'pulsa', 'rugi', 'banget', 'mohon', 'perubahan', 'kebijakannya']</t>
  </si>
  <si>
    <t>['mohon', 'maaf', 'min', 'knapa', 'pas', 'nyambungin', 'akun', 'dana', 'telkomsel', 'banyaan', 'maaf', 'gangguan', 'sistem', 'cek', 'koneksi', 'ulang', 'transaksi', 'menit', 'jaringanku', 'bagus', 'saldo', 'dana']</t>
  </si>
  <si>
    <t>['suka', 'mohon', 'diperbaharui', 'dimaksimalkan', 'kemudahannya', 'dipermurah', 'tarif', 'internetnya', 'mengecewakan', 'pelanggan', 'telkomsel', 'terimakasih', '']</t>
  </si>
  <si>
    <t>['login', 'susah', 'mending', 'gka', 'aplikasi', 'memepmudah', 'mempersulit', 'login', 'layar', 'putih', 'minggu', 'malas', 'emosi']</t>
  </si>
  <si>
    <t>['pulsa', 'hilang', 'saldonya', 'sisa', 'kuota', 'pulsa', 'kemana', '']</t>
  </si>
  <si>
    <t>['pulsa', 'memilih', 'paket', 'data', 'lwt', 'ribet', 'aplikasi', 'berguna', 'memudahkan', 'memiljh', 'paket', 'pulsa', 'berlaku', 'kartu', 'lengkap', '']</t>
  </si>
  <si>
    <t>['aplikasinya', 'super', 'jelek', 'boong', 'hayuuu', 'kuntul', 'sumpah', 'aplikasi', 'menarik']</t>
  </si>
  <si>
    <t>['download', 'aplikasi', 'buka', 'memuat', 'ulang', 'buka', 'aplikasi', 'buka', 'tolong', 'baca']</t>
  </si>
  <si>
    <t>['desember', 'tkp', 'jaringan', 'tsel', 'game', 'jelek', 'sampe', 'skrng', 'ttp', 'jelek', 'auto', 'pindah', 'provider', 'gamemax', 'gb', 'pas', 'ngegame', 'ngelag', 'gaguna', '']</t>
  </si>
  <si>
    <t>['mantap', 'pokoknya', 'semoga', 'dapet', 'hadiah', 'motor', 'penukaran', 'poin', 'minggu', 'dapet', 'keluarga', 'beliin', 'kartu', 'telkomsel', 'janji', '']</t>
  </si>
  <si>
    <t>['mkin', 'bagus', 'telkomselnya', 'bagus', 'hancurkan', 'rame', 'rame', 'kuota', 'jaringan', 'kbijakan', 'telkomsel', 'detik', 'jaringan', 'brubah', 'ubah', '']</t>
  </si>
  <si>
    <t>['paket', 'games', 'max', 'kuota', 'dipakai', 'download', 'game', 'kuota', 'utama', 'bermain', 'kuota', 'utama', 'gimana', 'maksudnya', '']</t>
  </si>
  <si>
    <t>['halo', 'admin', 'ber', 'kritik', 'program', 'daily', 'check', 'pas', 'mengambil', 'hadiah', 'akumulasi', 'check', 'mengalami', 'kendala', 'maaf', 'sistem', 'sibuk', 'mohon', 'coba', 'poin', 'mengambil', 'hadiah', 'mending', 'ambil', 'masuk', 'hadiah', 'mohon', 'sistem', 'sibuk', 'mengambil', 'hadiah', 'hadiah', 'masuk', 'mengurangi', 'poin', 'thanks']</t>
  </si>
  <si>
    <t>['kecewa', 'beli', 'paket', 'data', 'combo', 'sakti', 'mytelkomsel', 'metode', 'pembayaran', 'shopeepay', 'saldo', 'shopee', 'terpotong', 'kuota', 'masuk', 'dapet', 'sms', 'system', 'sibuk', 'kecewa', 'beneran', 'bkn', 'boong', 'kembalikan', 'saldo', 'shopeepay', '']</t>
  </si>
  <si>
    <t>['aplikasi', 'rusakkkkk', 'beli', 'kuota', 'saldo', 'termakan', 'kuota', 'masuk', 'alasan', 'maaf', 'sistem', 'sibuk', 'tolol', 'mending', 'uninstal']</t>
  </si>
  <si>
    <t>['pulsa', 'kesedot', 'paketan', 'internet', 'beli', 'kuota', 'ketengan', 'unlimited', 'youtube', 'facebook', 'tiktok', 'dipakai', '']</t>
  </si>
  <si>
    <t>['notifikasi', 'sms', 'telkomsel', 'pulsa', 'download', 'aplikasi', 'pulsa', 'dijanjikan', 'mohon', 'telkomsel', 'menipu']</t>
  </si>
  <si>
    <t>['streaming', 'iya', 'lancar', 'main', 'game', 'pubg', 'sma', 'laen', 'aman', 'maen', 'behh', 'emosi', 'bawaannya', 'kuning', 'merah', 'kuning', 'merah', 'sinyal', 'sinyal', 'bagus', 'maen', 'game', 'doang', 'selebihnya', 'fine', 'saran', 'mending', 'perbaikin', 'sinyal', 'main', 'game', 'pemakaian', 'telkomsel', 'skrg', 'udah', 'gaenak', 'bad', '']</t>
  </si>
  <si>
    <t>['sinyal', 'tolong', 'perbaiki', 'sinyal', 'telkomsel', 'mendukung', 'pelanggan', 'setia', 'pengguna', 'telkomsel', 'tolong', 'perbaiki', 'terimakasih', '']</t>
  </si>
  <si>
    <t>['parahhhh', 'mah', 'udh', 'kali', 'beli', 'vocer', 'kuota', 'isi', 'blgnya', 'sistem', 'sibuk', 'trus', 'trus', 'isi', 'kuota', 'youtube', 'jam', 'mlm', 'udh', 'pke', 'simpati', 'bnr', 'bnr', 'mengecewak', 'skrg', 'fix', 'ganti', 'kartu']</t>
  </si>
  <si>
    <t>['sinyal', 'jelek', 'daerah', 'bengkulu', 'kususnya', 'daerah', 'seluma', 'sinyal', 'lemod', 'provider', 'sperti', 'im', 'sinyal', 'kuat', 'stabil']</t>
  </si>
  <si>
    <t>['aplikasi', 'bagus', 'suka', 'pakai', 'kartu', 'telkomsel', 'terimakasih', 'sahabat', 'berhati', 'mulia', 'oke', 'amin', 'rabbal', 'alamin', '']</t>
  </si>
  <si>
    <t>['ngomentarin', 'aplikasinya', 'sinyalnya', 'diandalkan', 'rekomendasikan', 'telkomsel', 'temen', 'bersalah', '']</t>
  </si>
  <si>
    <t>['suka', 'telkomsel', 'membeli', 'pulsa', 'dipake', 'bentuk', 'apapun', 'membeli', 'pulsa', 'internet', 'malam', 'pulsa', 'hilang', 'berlangganan', 'apapun', 'kecewa', 'telkom', 'kecewa', '']</t>
  </si>
  <si>
    <t>['jaringan', 'telkom', 'buruk', 'promo', 'khusus', 'pengguna', 'pascabayar', 'prioritynya', 'jaringan', 'tolong', 'diperbaiki', 'dunk', 'kuota', 'jaringan', 'loading', 'trs', 'masuk', 'aplikasi', 'mytelkomsel', 'kluar', 'trs', 'lemot', 'intinya', 'kesini', 'buruk', 'fasilitas', '']</t>
  </si>
  <si>
    <t>['knapa', 'pas', 'isi', 'vocer', 'masuk', 'slalu', 'notif', 'maaf', 'sistem', 'sibuk', 'udah', 'kali', 'beli', 'vocer', 'gitu', 'mohon', 'telkomsel', 'diperbaiki', 'puas', 'pas', 'isi', 'vocer']</t>
  </si>
  <si>
    <t>['udah', 'dijelasin', 'min', 'jaringan', 'telkomsel', 'hancur', 'over', 'load', 'pemakai', 'mestinya', 'perbaikan', 'pelanggan', 'anggaran', 'menambah', 'kapasitas', 'parah']</t>
  </si>
  <si>
    <t>['tolong', 'telkomsel', 'pulsa', 'kepotong', 'membeli', 'jaringan', 'ssring', 'bermasalah', 'ngelag', 'kesel', 'tolong', 'diperbaiki', 'please', 'bet', 'diperbaiki', '']</t>
  </si>
  <si>
    <t>['jaringan', 'internet', 'mencret', 'kehilangan', 'koneksi', 'ping', 'lelet', 'kalah', 'operator', 'sebelah', 'smartfr', 'ngerti', 'buruk', 'paket', 'game', 'udah', 'kuota', 'dipake', 'diporotin', 'kuot', 'internet', 'diluar', 'games', 'ngen', '']</t>
  </si>
  <si>
    <t>['min', 'kenpa', 'ngeluh', 'datanya', 'abis', 'tolong', 'perbaiki', 'secepatnya', 'pindah', 'sebelah', 'sebelah', 'untung', 'tolong', 'min', 'secaptanya']</t>
  </si>
  <si>
    <t>['migrasi', 'kartu', 'simpati', 'kartu', 'halo', 'berharap', 'perbaikan', 'jaringan', 'paket', 'internet', 'janjikan', 'menyesal', 'karna', 'migrasi', 'halo', 'jaringan', 'lalod', 'paket', 'unggul', 'simpati', 'kota', 'tolong', 'dengar', 'keluhan', 'pelanggan', 'setia', 'telkomsel', 'uda', 'bertahun', 'mohon', 'bantuanya', 'simpati', 'krna', 'nyaman', 'simpati', 'terima', 'kasih', '']</t>
  </si>
  <si>
    <t>['kecewa', 'beli', 'pulsa', 'kali', 'ngk', 'masuk', 'trus', 'beli', 'paketan', 'kuota', 'jga', 'ngk', 'masuk', 'maksudnya', '']</t>
  </si>
  <si>
    <t>['jaringan', 'turun', 'sebanding', 'harga', 'jual', 'kuota', 'giganya', 'muahalllll', 'jawa', 'kalimantan', 'hmmmmm']</t>
  </si>
  <si>
    <t>['terimakasih', 'customer', 'telkomsel', 'merespon', 'keluhan', 'tingkatkan', 'pelayanan', 'sllu', 'informasi', 'terbaru', 'member', 'terkait', 'kebijakan', 'mis', 'komunikasi', '']</t>
  </si>
  <si>
    <t>['tolong', 'tambahkan', 'pengaman', 'pulsa', 'telkomsel', 'beli', 'paket', 'telkomsel', 'tersedot', 'pulsa', 'hotspot', 'tetangga', 'beli', 'paket', '']</t>
  </si>
  <si>
    <t>['kebijakan', 'cek', 'paket', 'murah', 'gb', 'harinya', 'mb', 'harga', 'ribu', 'stelah', 'isi', 'pulsa', 'lngsung', 'brbah', 'ribu', 'gb', 'gb', 'sya', 'rencana', 'paket', 'gb', 'ribu', 'sja', 'plsa', 'sya', 'bru', 'isi', 'terpotong', 'bbrpa', 'perak', 'pket', 'pinjaman', 'sya', 'motong', 'pulsa', 'orang', '']</t>
  </si>
  <si>
    <t>['', 'pas', 'daily', 'check', 'hrs', 'habiskan', 'pulsa', 'nggak', 'keseringan', 'telpon', 'pulsa', 'pulsa', 'jakarta', 'benerin', 'paman', 'kerja', 'telkomsel', 'bay']</t>
  </si>
  <si>
    <t>['mengambil', 'hadiah', 'check', 'stamp', 'banget', 'iya', 'check', 'kuota', 'mb', 'pesan', 'notifikasi', 'masuk', 'check', '']</t>
  </si>
  <si>
    <t>['kartu', 'telkomsel', 'promo', 'paket', 'ceria', 'tawarkan', 'pengguna', 'kartu', 'tsel', 'promo', 'paket', 'ceria', 'min', 'mohon', 'sulusinya']</t>
  </si>
  <si>
    <t>['sinyal', 'jelek', 'telkomsel', 'telfon', 'dri', 'pihka', 'telkomsel', 'menawarkan', 'kartu', 'kartu', 'hallo', 'menolak', 'sinyal', 'anjlok', 'gmna', 'coba', 'donk', 'atasi']</t>
  </si>
  <si>
    <t>['kenpa', 'telkomsel', 'gila', 'sinyal', 'lemot', 'banget', 'sampe', 'marah', 'twitrer', 'gitu', 'admin', 'bnyk', 'banget', 'buruk', 'domnload', 'apk', 'lemot', 'bngt', 'off', 'trus', 'sinyal', 'rusak', 'gini', 'mahal', 'doang', 'guys', 'jng', 'beli', 'unlimitedmax', 'sinyal', 'lemot']</t>
  </si>
  <si>
    <t>['pas', 'login', 'banget', 'malas', 'banget', 'kayak', 'gini', 'beda', 'gitu', 'kayak', 'foto', 'deskripsi', 'pas', 'buka', 'pilihan', 'negara', 'versinya', 'beda', 'normal', 'aneh', 'kayak', 'tolong', 'banget', 'apk', 'kecewa', 'emang', 'versi', 'versi', 'kah', 'versi', 'beda', 'download']</t>
  </si>
  <si>
    <t>['telkomsel', 'kesini', 'lemot', 'trus', 'udh', 'ganti', 'pascabayar', 'balikin', 'prabayar', 'gimana', 'telkomsel', 'mahal', 'bagus', 'emosi', 'sabar', 'sabar', 'pahala', 'gue', 'gara', 'gara', 'doang']</t>
  </si>
  <si>
    <t>['telkomsel', 'kuota', 'youtube', 'aktif', 'buka', 'youtube', 'kuota', 'utama', 'beda', 'provider', 'kuota', 'utama', 'kuota', 'youtube', 'aktif', 'buka', 'youtube', 'parah', 'harga', 'mahal', 'mencerminkan', 'kualitas', 'ckckck']</t>
  </si>
  <si>
    <t>['dasar', 'sinyal', 'telkomsel', 'siyal', 'nggak', 'andalkan', 'sinyal', 'main', 'game', 'kemarin', 'kemarin', 'nggak', 'kayak', 'gitu', 'dasar', 'nggak', 'diandalkan', 'tolong', 'satelitnya', 'ajak', 'kebumi', 'sinyal']</t>
  </si>
  <si>
    <t>['tulisan', 'maaf', 'sistem', 'sibuk', 'tusss', 'isi', 'vocer', 'padahl', 'beli', 'blom', 'dipake', 'nyettt', 'ahh', 'males', 'udh', 'beli', 'mahal', 'aktifin', '']</t>
  </si>
  <si>
    <t>['telkomsel', 'simpati', 'nggak', 'pulsa', 'skema', 'tarif', 'potongan', 'kuota', 'sesuai', 'pulsa', 'hilang', 'kuota', 'utama', 'terpotong', 'paket', '']</t>
  </si>
  <si>
    <t>['telkomsel', 'bagus', 'harga', 'mahal', 'kualitas', 'setara', 'harga', 'kau', 'berubah', 'telkomsel', 'kesetiaan', 'pengguna', 'telkomsel', 'beralih', 'kelain', 'provider', 'kau', 'kecewa', '']</t>
  </si>
  <si>
    <t>['tolong', 'donk', 'depannya', 'app', 'tsel', 'teruntuk', 'loggin', 'masuk', 'memakai', 'link', 'masuk', 'nomor', 'masuk', 'pas', 'masuk', 'besoknya', 'verikasi', 'link', 'app', 'tsel', 'kartu', 'pindah', 'ribet', 'bongkar', 'pindahin', 'kartu', '']</t>
  </si>
  <si>
    <t>['pulsa', 'hilang', 'pas', 'udah', 'top', 'potong', 'paket', 'darurat', 'membeli', 'otomatis', 'kebeli', 'tolong', 'perbaiki', 'susah', 'konsumen']</t>
  </si>
  <si>
    <t>['mahal', 'trus', 'bonus', 'kuota', 'daily', 'chek', 'harian', 'ngga', 'berpungsi', 'dngan', 'bagus', 'pakai', 'kuota', 'bonus', 'daily', 'check', 'jaringan', 'ngga', 'pakai', 'sayang', 'capek', 'chek', 'pas', 'bonus', 'ngga', 'berpungsi', 'kalah', 'jaringan', 'sebelah', 'ngga', 'menjanjikan', 'bonus', 'mueah', '']</t>
  </si>
  <si>
    <t>['aduh', 'buruk', 'aplikasi', 'jelek', 'bangett', 'beli', 'kuota', 'lemot', 'ampun', 'udah', 'berkali', 'kali', 'kaya', 'gini', 'pdahal', 'jaringan', 'coba', 'deh', 'perbaiki', 'udah', 'harga', 'kuota', 'bersahabat', 'lemot', 'aduh', 'banget']</t>
  </si>
  <si>
    <t>['kebanyakan', 'iklan', 'buka', 'aplikasinya', 'tampil', 'duluan', 'informasi', 'dibutuhin', 'kayak', 'pulsa', 'kuotanya', 'iklan', 'info', 'duluan', 'aneh', '']</t>
  </si>
  <si>
    <t>['kecewa', 'pembelian', 'kouta', 'ketengan', 'bener', 'contoh', 'beli', 'kouta', 'tiktok', 'ambil', 'paket', 'kouta', 'utama', 'trus', 'gunanya', 'paketan', 'ketengan', 'kek', 'gitu', 'tolong', 'perbaiki', 'kecewa', 'kek', 'gini', '']</t>
  </si>
  <si>
    <t>['paket', 'ceria', 'beli', 'kuotan', 'ambil', 'masyarakat', 'terbantu', 'itung', 'itung', 'amal', '']</t>
  </si>
  <si>
    <t>['jaringan', 'lemot', 'sii', 'buka', 'youtube', 'susah', 'banget', 'tolong', 'perbaiki', 'sinyal', 'udah', 'beli', 'paketan', 'mahal', 'mahal', 'sinyal', 'kek', 'gini', 'baca', 'sukur', 'baca', 'yaudah', 'udah', 'ngungkapin', 'kekecewaan', 'jaringan', 'telkomsel']</t>
  </si>
  <si>
    <t>['kuota', 'internet', 'pulsa', 'kesedot', 'pemakaian', 'internet', 'kuota', 'internet', 'emg', 'telkomsel', 'nyedot', 'pulsa', 'seenak', 'jidat', 'nyesel', 'pakai', 'telkomsel']</t>
  </si>
  <si>
    <t>['beli', 'kuota', 'gamesmax', 'pikir', 'sediakan', 'kuota', 'gamesmax', 'main', 'game', 'berkurang', 'kuota', 'reguler', 'rugi', 'banget', 'beli', 'kuota', 'gamesmax', '']</t>
  </si>
  <si>
    <t>['', 'daerah', 'lingkungan', 'sampora', 'cibinong', 'simpati', 'sinyalnya', 'jelek', 'banget', 'ampe', 'skrng', 'perbaikan', 'pengecekan', 'tim', 'telkomsel', 'males', 'make', 'simpati', '']</t>
  </si>
  <si>
    <t>['sinyal', 'telkomsel', 'buruk', 'enak', 'belajar', 'online', 'jelek', 'sinyalnya', 'chat', 'kadang', 'terkirim', 'sinyal', 'terluas', 'indonesia', 'kualitasnya', 'mengecewakan', '']</t>
  </si>
  <si>
    <t>['kualitas', 'signal', 'jaringan', 'bermasalah', 'alias', 'lemot', 'tlg', 'tingkatkan', 'kualitas', 'jaringannya', 'daerah', 'pedalaman', 'minim', 'signal', 'trims']</t>
  </si>
  <si>
    <t>['jaringannya', 'bagus', 'jelek', 'harga', 'paket', 'naikin', 'jaringan', 'jelek', 'main', 'game', 'buka', 'medsos', 'jelek', 'jaringan', 'bagus', 'banget', 'jelek']</t>
  </si>
  <si>
    <t>['lapor', 'min', 'notifikasi', 'update', 'paket', 'internet', 'habis', 'satunya', 'masak', 'dibilang', 'penggunaan', 'adakan', 'dikenakan', 'biayay', 'sampek', 'pemberitahuan', 'tolong', 'diperbaiki', 'min', 'terimakasih', '']</t>
  </si>
  <si>
    <t>['apk', 'ceritanya', 'beli', 'paket', 'kuota', 'gb', 'kepake', 'gb', 'gb', 'hangus', 'males', 'kartu', 'telkomsel', '']</t>
  </si>
  <si>
    <t>['telkomsel', 'lemotnya', 'ampun', 'buka', 'website', 'google', 'sosmed', 'cepat', 'youtube', 'perubahan', 'pindah', 'kartu', 'sebelah']</t>
  </si>
  <si>
    <t>['parah', 'gila', 'klaim', 'hadiah', 'kuota', 'daily', 'check', 'digunain', 'jaringan', 'nunggu', 'bonusnya', 'abis', 'pakai', 'jaringan', 'kuotanya', 'bonusnya', 'terpakai', 'sia', 'sia', '']</t>
  </si>
  <si>
    <t>['pulsa', 'rb', 'dipaketin', 'rb', 'dpt', 'notif', 'paketan', 'habis', 'pulsa', 'udh', 'habis', 'gimana', 'ceritanya', 'beli', 'pulsa', 'kesedot', 'utang', 'telkomsel', '']</t>
  </si>
  <si>
    <t>['sarankan', 'fitur', 'lock', 'pulsa', 'kepotong', 'suka', 'sebel', 'beli', 'pulsa', 'kesedot', 'pulsa', 'tolong', 'fitur', 'lock', 'pulsa', 'untung']</t>
  </si>
  <si>
    <t>['paket', 'combo', 'telkomsel', 'rb', 'koq', 'rb', 'tolong', 'telkomsel', 'tarif', 'combo']</t>
  </si>
  <si>
    <t>['telkomsel', 'parah', 'paket', 'nelpon', 'paket', 'internet', 'mahal', 'nomor', 'beda', 'hargap', 'pembelian', 'paket', 'cth', 'bln', 'dpt', 'paket', 'nelpon', 'sbln', 'skrg', 'smntara', 'teman', 'msh', 'sbln', '']</t>
  </si>
  <si>
    <t>['jaringannya', 'diperbaiki', 'tolongggg', 'mahasiswa', 'butuh', 'jaringan', 'lancar', 'jaringan', 'ngelag', 'ngelag', 'gini', 'lancar', 'belajarnya', 'harga', 'doang', 'mahal', 'jaringan', 'lemot', 'dipake', 'youtube', 'kenceng', 'dipake', 'gmeet', 'ngelag', 'parah', 'tolong', 'diperbaiki']</t>
  </si>
  <si>
    <t>['jaringan', 'jakarta', 'utara', 'sinyal', 'kadang', 'menyambung', 'internet', 'mode', 'pesawat', 'matikan', 'mode', 'pesawat', 'internet', 'refresh', 'internet', 'laju', 'tolong', 'perbaiki', 'sinyal', 'jakarta', 'utara', 'admin', '']</t>
  </si>
  <si>
    <t>['kecewa', 'jaringannya', 'trus', 'pulsa', 'tersedot', 'paketan', 'aneh', 'merugikan', 'paketan', 'gb', 'pas', 'data', 'pesan', 'masuk', 'tarif', 'masuk', 'akal', 'tolong', 'diperbaiki', '']</t>
  </si>
  <si>
    <t>['mohon', 'maaf', 'kartu', 'min', 'kartu', 'paket', 'spesial', 'unlimited', 'seminggu', 'coba', 'daftarin', 'kemarin', 'pendaftaran', 'proses', 'tolong', 'penjelasan', 'min']</t>
  </si>
  <si>
    <t>['jelek', 'gangguan', 'beli', 'paket', 'data', 'gagal', 'alasan', 'periksa', 'koneksi', 'internet', 'padahala', 'coba', 'notifikasi', 'muncul', 'tolong', 'diperbaiki', '']</t>
  </si>
  <si>
    <t>['selesai', 'log', 'suruh', 'login', 'aplikasi', 'capek', 'log', 'sinyal', 'jelek', 'hargailah', 'signal', '']</t>
  </si>
  <si>
    <t>['kebijakannya', 'bagus', 'promo', 'redeem', 'poin', 'pas', 'dredeem', 'poin', 'udah', 'berkurang', 'beli', 'paket', 'data', 'mahal', 'bener', 'harganya', 'menu', 'utama', 'harga', 'pas', 'klik', 'beli', 'gimna', 'please']</t>
  </si>
  <si>
    <t>['minggu', 'telkomsel', 'sinyalnya', 'lemot', 'parah', 'buka', 'youtube', 'loading', 'mulu', 'gimana', 'pelanggan', 'setia', 'telkomsel', 'kaya', 'gini', 'pindah', 'nie', 'operator', 'kaya', 'gini', 'merusak', 'kepercayaan', 'pelanggan', 'mohon', 'perbaiki', 'apapun', 'diperbaiki', '']</t>
  </si>
  <si>
    <t>['keamanan', 'penggunaan', 'kuota', 'jelek', 'lock', 'batas', 'internet', 'langsung', 'nggak', 'otomatis', 'terhindar', 'menghabiskan', 'pulsa', 'utamanya']</t>
  </si>
  <si>
    <t>['gue', 'heran', 'telkomsel', 'dapet', 'hadiah', 'pulsa', 'daftarin', 'paket', 'internet', 'lainya', 'bsa', 'maksudnya', 'bohong', 'gmn', '']</t>
  </si>
  <si>
    <t>['isi', 'pulsa', 'disedot', 'habislah', 'pulsaku', 'isi', 'pulsanya', 'apk', 'suka', 'copot', 'pasang', 'tetep', 'gitu', 'payah', 'dehh', '']</t>
  </si>
  <si>
    <t>['salam', 'pengguna', 'kartu', 'telkomsel', 'riau', 'the', 'point', 'main', 'game', 'nge', 'lag', 'internetan', 'lemot', 'harga', 'paket', 'mahal', 'abis', 'kesel', 'jaringan', 'mati', 'pas', 'main', 'game', 'mati', 'lampu', '']</t>
  </si>
  <si>
    <t>['berbulan', 'ngisi', 'paket', 'krna', 'harga', 'paket', 'mahal', 'ketimbang', 'ujung', 'kasih', 'paket', 'murah', 'udah', 'tergiur', 'ngisi', 'paket', 'paket', 'udah', 'beli', 'keputusan', 'beli', 'paket', 'murah', 'pindah', 'krtu', '']</t>
  </si>
  <si>
    <t>['knapa', 'kesini', 'app', 'mytelkomsel', 'lemot', 'berat', 'pdhl', 'ram', 'memory', 'msh', 'jaringan', 'jga', 'kenceng', 'pke', 'provider', 'wifi', 'jga', 'lemot', 'pdhl', 'cek', 'kuota', 'daftar', 'paket', 'payahhhhhhhh', 'tlong', 'kpd', 'developer', 'sgera', 'diperbaiki', 'kbanyakan', 'menu', 'berat', 'mnding', 'bkin', 'versi', 'lite', 'deh', 'byeee']</t>
  </si>
  <si>
    <t>['aplikasi', 'fitur', 'kunci', 'pulsa', 'merugikan', 'pengguna', 'kartu', 'update', 'update', 'gajelas', 'terpenting', 'fitur', 'doang']</t>
  </si>
  <si>
    <t>['hai', 'telkomsel', 'mohon', 'maaf', 'tanggal', 'jam', 'mengisi', 'ulang', 'pulsa', 'hilang', 'internetan', 'kuota', 'kemendikbud', 'gb', 'sisa', 'kuota', 'gb', 'mohon', 'penjelasan', '']</t>
  </si>
  <si>
    <t>['paket', 'combo', 'unlimited', 'min', 'beli', 'paket', 'pas', 'beli', 'males', '']</t>
  </si>
  <si>
    <t>['sinyal', 'telkomsel', 'parah', 'call', 'center', 'perbaikan', 'system', 'bnyak', 'pengguna', 'telkomsel', 'kecewa', 'rugikan', 'gara', 'gara', 'sinyal', '']</t>
  </si>
  <si>
    <t>['', 'transaksi', 'telkomsel', 'membeli', 'chip', 'potong', 'pulsa', 'detik', 'pulsa', 'kepotong', 'beli', 'masuk', 'tolong', 'telkomsel', 'jaringan', 'susah', 'mahal', 'kecewa', 'parah']</t>
  </si>
  <si>
    <t>['woy', 'gimana', 'nama', 'telkom', 'udah', 'kualitas', 'jaringan', 'beda', 'operator', 'tolong', 'mencari', 'untung', '']</t>
  </si>
  <si>
    <t>['kualitas', 'sinyal', 'buruk', 'peningkatan', 'sinyal', 'hilang', 'saranin', 'pindah', 'kartu', 'mohon', 'sinyal', 'perbaiki', '']</t>
  </si>
  <si>
    <t>['sumpah', 'paham', 'ama', 'telkomsel', 'kualitas', 'sinyalnya', 'baek', 'ancuuurrrr', 'harga', 'paket', 'mahalin', 'sinyal', 'lelet', 'ampuun', '']</t>
  </si>
  <si>
    <t>['lumayan', 'mahal', 'beli', 'kuota', 'murah', 'coba', 'min', 'kurangin', 'harga', 'kecewa', 'beli', 'paket', 'masuk', 'data', '']</t>
  </si>
  <si>
    <t>['nyesel', 'kartu', 'halo', 'sinyal', 'lemot', 'parah', 'langganan', 'kuota', 'multimedia', 'gabisa', 'dipake', 'bayar', 'rugi', 'aplikasi', 'lemot', 'parah', 'gajelas', 'pokoknya', 'pindah', 'kartu', 'halo', 'nyesel', 'sinyal', 'gangguan', 'mending', '']</t>
  </si>
  <si>
    <t>['', 'isi', 'pulsa', 'beli', 'paket', 'combo', 'bayar', 'utang', 'paket', 'darurat', 'sisa', 'ribu', 'make', 'pulsa', 'tinggal', 'rupiah', 'telkomsel', 'jelasin', 'isi', 'pulsa', 'pas', 'beli', 'paket', 'internet', 'nlpon', 'sms', 'combo', 'muncul', 'tagihan', 'apapun', 'pengisian', 'knp', 'pas', 'isi', 'pulsanya', 'abis', 'kemana', '']</t>
  </si>
  <si>
    <t>['login', 'kunjung', 'menerima', 'link', 'resend', 'link', 'menit', 'link', 'sms', 'masuk', 'satupun', 'biaa', 'tulisan', 'something', 'went', 'wrong', '']</t>
  </si>
  <si>
    <t>['jaringan', 'terbagus', 'indonesia', 'terburuk', 'jaringan', 'termurah', 'beli', 'pelanggan', 'setia', 'telkomsel', 'kecewa', 'layanan', 'terima', 'kasih', 'maaf', 'beralih', 'layak', 'terbaik', 'terburuk', '']</t>
  </si>
  <si>
    <t>['mohon', 'diperbaiki', 'iyaa', 'masuk', 'tulis', 'nomor', 'gara', 'log', 'out', 'uda', 'dicentang', 'otomatis', 'loginnya', 'terima', 'kasih']</t>
  </si>
  <si>
    <t>['telkom', 'buruk', 'sinyal', 'malu', 'maluin', 'udah', 'mahal', 'sinyal', 'gajelas', 'duh', 'ampunnn', 'beli', 'gb', 'dikasih', 'sinyalnya', 'kaya', 'ampas']</t>
  </si>
  <si>
    <t>['beli', 'paket', 'ceria', 'beli', 'ulangi', 'transaksi', 'menit', 'kenyataanya', 'minggu', '']</t>
  </si>
  <si>
    <t>['telkomsel', 'emang', 'parah', 'jaringannya', 'kayak', 'jaringan', 'tri', 'udh', 'lemot', 'banget', 'rugi', 'amad', 'udh', 'beli', 'mahal', 'tpi', 'jaringan', 'lemot', 'amad', 'mendingan', 'ngk', 'kasih', 'promo', 'kayak', 'gini', 'jaringannya', 'dosa', 'orang', 'marah', 'jdinya', 'bantu', 'orang', 'tpi', 'dosa', '']</t>
  </si>
  <si>
    <t>['aplikasi', 'gloud', 'game', 'play', 'store', 'membutuhkan', 'kuota', 'main', 'game', 'streaming', 'ps', 'ps', 'server', 'streaming', 'game', 'mohon', 'paket', 'khusus', 'dimana', 'unlimited', 'data', 'kuota', 'main', 'game', 'resolusi', 'minimal', 'sebentar', 'main', 'berharap', 'paket', 'game', 'sebulan']</t>
  </si>
  <si>
    <t>['sinyal', 'jelek', 'kilometer', 'jarak', 'rumah', 'tower', 'telkomsel', 'tinggal', 'pedesaan', 'sinyal', 'main', 'game', 'tolong', 'perbaiki', 'sinyal', 'kuotanya', 'udah', 'mahal', 'sinya', 'jelek', 'mencoba', 'mode', 'pesawat', 'hasilnya', 'kecewa', 'telkomsel']</t>
  </si>
  <si>
    <t>['kecewa', 'telkomsel', 'migrasi', 'kartu', 'halo', 'fikir', 'internetnya', 'stabil', 'kenyataan', 'sinyal', 'seluler', 'okelah', 'jaringan', 'internetnya', 'menyalahkan', 'ponsel', 'migrasi', 'kartu', 'prabayar', 'alasan', 'migrasi', 'pascabayar', 'prabayar', 'diproses', 'migrasi', 'pascabayar', 'jebakan', 'pelanggan', 'telkomsel', '']</t>
  </si>
  <si>
    <t>['udah', 'kali', 'paketan', 'internet', 'sinyalnya', 'bapukkkk', 'udah', 'pelanggan', 'setia', 'kesini', 'memuaskan', 'tlponan', 'sinyal', 'menghambat', 'gerangan', '']</t>
  </si>
  <si>
    <t>['ngelunjak', 'telkomsel', 'nyari', 'sinyal', 'susah', 'banget', 'hpku', 'support', 'emang', 'jaringanya', 'susah', 'sinyal', 'fulllllllllllllllllllllllllllllllllllllllllllllllllllllllllllllllllllllllllllllllllllllllllllllllll', 'tetep', 'macet', 'nonton', 'vidio', 'kecewa', '']</t>
  </si>
  <si>
    <t>['', 'ganti', 'kartu', 'diperbaiki', 'nggak', 'jaringan', 'jelek', 'banget', 'udah', 'kayak', 'operator', 'abal', 'abal', 'udah', 'kaya', 'hujan', 'ilang', 'ilang', 'jaringannya']</t>
  </si>
  <si>
    <t>['nyesel', 'beli', 'mahal', 'kartu', 'jaringan', 'request', 'time', 'out', 'omdo', 'mulu', 'perbaiki', 'kalah', 'jaringan', 'sebelah', 'terkahir', 'beli', 'kuota', 'telnyet', 'merah', 'mulu', 'kabur', 'kartu', 'omdo', 'doank', 'gede', 'korupsi', 'gede']</t>
  </si>
  <si>
    <t>['telkomsel', 'buruk', 'layanan', 'pulsa', 'habis', 'berkurang', 'telp', 'koata', 'internet', 'udah', 'beli', 'tpi', 'buka', 'game', 'geogle', 'telkomsel', 'tolong', 'pulsa', 'rampok', 'koata', 'mahal', 'layanan', 'buruk', '']</t>
  </si>
  <si>
    <t>['gua', 'udah', 'ganti', 'tim', 'kuning', 'kenapanya', 'sadar', 'dirilah', 'signal', 'kaya', 'siput', 'tidur', 'matok', 'harga', 'kaya', 'mbut', 'dikasih', 'saran', 'hubungi', 'layanan', 'customer', 'kak', 'mata', 'pic', 'udah', 'pelanggan', 'ngeluh', 'jaringan', 'masak', 'iya', 'buta', 'mental', 'ngakunya', 'provider', 'teriyees', 'ngent', '']</t>
  </si>
  <si>
    <t>['mahal', 'beli', 'paket', 'data', 'tolong', 'dibkondisikan', 'pandemi', 'telkomsel', 'parah', 'mahaaal', 'paketan', 'murah', 'gua', 'ful', 'bintang', 'bintang', '']</t>
  </si>
  <si>
    <t>['alhamdulillah', 'telkomsel', 'membantu', 'peluang', 'usaha', 'menjangkau', 'pelanggan', 'sinyal', 'jaringan', 'telkomsel', 'lancar', 'kecuali', 'musim', 'penghujan', 'terimakasih', 'telkomsel', 'sukses', 'telkomsel', 'nggak', 'hadiahnya', '']</t>
  </si>
  <si>
    <t>['aplikasi', 'seminggu', 'dibuka', 'tertulis', 'mengalami', 'crash', 'app', 'udah', 'reboot', 'ulang', 'udah', 'perbarui', 'app', 'tolong', 'masukannya']</t>
  </si>
  <si>
    <t>['telkomsel', 'penipu', 'uda', 'isi', 'pulsa', 'ambil', 'datanya', 'ngga', 'masuk', 'telkosel', 'mkin', 'parah', 'unlimited', 'beli', 'combosakti', 'kenyataannya', 'ngga', 'sma', 'skli', 'buka', 'youtube', 'ngga', 'buka', 'intrnetan', 'plis', 'tolong', 'jngan', 'nipu']</t>
  </si>
  <si>
    <t>['semoga', 'bersahabat', 'depannya', 'muslihat', 'tipu', 'tipu', 'kecurangan', 'konsumen', 'pelanggan', 'kreatif', 'inovatif', 'cerdas', 'upaya', 'meraih', 'kemafaatan', 'kebaikan', 'kemajuan', '']</t>
  </si>
  <si>
    <t>['kanapa', 'jaringan', 'ngak', 'stabil', 'kota', 'solo', 'harga', 'kuota', 'internet', 'mahal', 'profeder', 'sebanding', 'harga', 'jaringan', '']</t>
  </si>
  <si>
    <t>['sinyal', 'jelass', 'banget', 'penipu', 'udh', 'paket', 'mahal', 'sinyal', 'ilang', 'mulu', 'ntn', 'youtube', 'setabil', 'kah', 'hasil', 'menjual', 'paket', 'internet', 'mahal', 'sampe', 'kualitas', 'sinyal', 'urus', '']</t>
  </si>
  <si>
    <t>['gmna', 'ceritanya', 'min', 'kuota', 'unlimited', 'youtube', 'unlimited', 'youtube', 'harga', 'mending', 'beli', 'unlimited', 'youtube', 'penipuan', 'namanya', 'min']</t>
  </si>
  <si>
    <t>['jaringan', 'telkomsel', 'lambat', 'bodo', 'perbaiki', 'jaringan', 'kau', 'tawarin', 'paket', 'mahal', 'mahal', 'paket', 'mahal', 'mahal', 'jaringan', 'diurus', '']</t>
  </si>
  <si>
    <t>['gini', 'min', 'kartu', 'paket', 'tlp', 'unlimited', 'skrg', 'unlimitednya', 'gadak', 'jaringannya', 'full', 'ngelag', 'bagusin', 'min']</t>
  </si>
  <si>
    <t>['aneh', 'tgl', 'jam', 'top', 'pulsa', 'pembayaran', 'lwt', 'shopee', 'masuk', 'kemarin', 'check', 'check', 'tolong', 'diperbaiki', 'system']</t>
  </si>
  <si>
    <t>['jaringan', 'telkomsel', 'jelek', 'pas', 'kali', 'beli', 'bagus', 'jelek', 'banget', 'tower', 'rumah', 'tower', 'deket', 'jelek', 'huh', 'payah', 'jaringan', 'jelek', 'kuta', 'mahal', 'mahal', 'gpp']</t>
  </si>
  <si>
    <t>['jera', 'deh', 'pesan', 'promosi', 'unlimited', 'gue', 'isi', 'beli', 'direspon', 'namanya', 'teknik', 'marketing', 'penipuan', 'payah', '']</t>
  </si>
  <si>
    <t>['tolong', 'perbaiki', 'main', 'game', 'ping', 'stabil', 'mengeluhkan', 'memakai', 'telkomsel', 'mengeluh', 'bermain', 'game', 'stabil', 'okee', 'sosmed', 'lancar', 'game', 'busukk', '']</t>
  </si>
  <si>
    <t>['ngerti', 'telkomsel', 'mahal', 'kualitas', 'sinyal', 'pilihan', 'udah', 'sesuai', 'error', 'aplikasi', 'paket', 'udah', 'bangkrut', 'pindah', 'provider']</t>
  </si>
  <si>
    <t>['sialan', 'telkomsel', 'beli', 'pulsa', 'hilang', 'ribu', 'nyala', 'data', 'tranksaksi', 'ikhlas', 'kejadian', 'setia', 'beli', 'telkomsel', 'kecewa', 'beli', 'paket', 'lunas', 'pulsa', 'yanh', 'dicuri', 'coba', 'mohon', 'deh', 'ambil', 'pulsa', 'orang', 'sembarangan', 'ngutang', 'telkomsel', '']</t>
  </si>
  <si>
    <t>['sumpah', 'nyesel', 'beli', 'kartu', 'telkomsel', 'sinyal', 'mudah', 'gangguan', 'banget', 'ngerjai', 'tugas', 'ulangan', 'gangguan', 'sampek', 'terlambat', 'ngmpul', 'notn', 'youtube', 'suka', 'gangguan', 'gara', 'gara', 'sinyal', 'telkomsel', 'suka', 'hidupin', 'mode', 'peswat', 'akalin', 'ngk', 'gangguan', 'gangguan', 'kesel', 'banget', '']</t>
  </si>
  <si>
    <t>['hadewhh', 'telkomsel', 'kuota', 'abis', 'permisi', 'sisa', 'pulsa', 'disedot', 'provider', 'jaringannya', 'seluas', 'telkomsel', 'ganti', 'operator', '']</t>
  </si>
  <si>
    <t>['kritikkan', 'gini', 'ceritanya', 'pulsa', 'isi', 'menghilang', 'gitu', 'berhargaaaaa', 'aslii', 'gimana', 'ilang', '']</t>
  </si>
  <si>
    <t>['tolong', 'min', 'pilih', 'kasih', 'beda', 'nomer', 'beda', 'harga', 'paket', 'datanya', 'telkomsel', 'menu', 'paket', 'data', 'beda', 'beda', 'hadech', '']</t>
  </si>
  <si>
    <t>['makan', 'uang', 'haram', 'tlkomsel', 'paket', 'gue', 'knpa', 'muncul', 'notif', 'paket', 'pinjaman', 'sampe', 'puluhan', 'smpe', 'smpe', 'pencet', 'beli', 'gua', 'taiik', 'sinyal', 'taik', '']</t>
  </si>
  <si>
    <t>['sinyal', 'stabil', 'nyaman', 'nge', 'game', 'afk', 'gara', 'gara', 'sinyal', 'stabil', 'mohon', 'perbaiki', 'layanan', 'jaringannya', 'sinyal', 'kuat', 'pengguna', 'nyaman', 'terima', 'kasih']</t>
  </si>
  <si>
    <t>['', 'udah', 'ngerti', 'telkomsel', 'skrng', 'kartu', 'simpati', 'sinyalnya', 'daerah', 'rumah', 'sinyal', 'simpati', 'suami', 'lumayan', 'lancar', 'coba', 'diperbaiki', 'sinyalnya']</t>
  </si>
  <si>
    <t>['ayolah', 'telkomsel', 'terluas', 'tercepat', 'sinyal', 'nggak', 'stabil', 'buruk', 'beli', 'paket', 'mahal', 'provider', 'jatoh', 'lancar', 'ditempat', 'nggak', 'niat', 'jualan', 'mending', 'tutup', 'telkomsel', '']</t>
  </si>
  <si>
    <t>['coba', 'jaringan', 'buruk', 'match', 'jalani', 'terhenti', 'penalty', '']</t>
  </si>
  <si>
    <t>['kualitas', 'sinyal', 'bukanya', 'buruk', 'salah', 'pelanggan', 'setia', 'mengharap', 'peningkatan', 'kualitas', 'sinyal', 'secepatnya', '']</t>
  </si>
  <si>
    <t>['yap', 'bagus', 'kesel', 'pas', 'redeem', 'hasil', 'check', 'gb', 'redeem', 'gabisa', 'dipake', 'gada', 'masuk']</t>
  </si>
  <si>
    <t>['jaringan', 'telkomsel', 'mengecewakan', 'beli', 'paket', 'mahal', 'mahal', 'jaringan', 'jelek', 'dimanapun', 'strategi', 'marketing', 'telkomsel', 'hebat', '']</t>
  </si>
  <si>
    <t>['jaringan', 'browsing', 'lelet', 'gimana', 'telkomsel', 'kualitas', 'jaringan', 'internet', 'jelek', 'banget', 'kecepatan', 'jaringan', 'kb', '']</t>
  </si>
  <si>
    <t>['telkomsel', 'kecewa', 'pulsa', 'paket', 'teleponan', 'mohon', 'pencerahan', 'telkomsel', '']</t>
  </si>
  <si>
    <t>['dpt', 'internet', 'gb', 'daily', 'check', 'gara', 'gara', 'point', 'isi', 'pulsa', 'rb', 'kasi', 'point', 'bayar', 'klaim', 'hadiah', 'gara', 'point', 'hhhhh', '']</t>
  </si>
  <si>
    <t>['pengguna', 'telkomsel', 'paket', 'internet', 'paket', 'internet', 'habis', 'pulsa', 'utama', 'habis', 'telkomsel', 'protes', 'perduli', 'hati', 'pertengkaran', 'keluarga', 'gara', 'pulsa', 'utama', 'habis', 'gara', 'gara', 'termakan', 'habisnya', 'paket', 'internet', 'tolong', 'perhatikan', 'telkomsel', 'buka', 'hati', '']</t>
  </si>
  <si>
    <t>['maaf', 'kasih', 'bintang', 'perlakuan', 'menyenangkan', 'paket', 'data', 'beli', 'pemberitahuannya', 'aktif', 'datanya', 'nyalakan', 'pulsa', 'diambil', 'habis', 'harap', 'via', 'telkomsel', 'bertanggung', 'melayani', 'pelanggan', 'terimakasih']</t>
  </si>
  <si>
    <t>['harga', 'paket', 'mahal', 'sinyal', 'ilang', 'mati', 'lampu', 'sinyal', 'langsung', 'ilang', 'ujan', 'dikit', 'sinyal', 'turun', 'payah', 'sesuai', 'harga', '']</t>
  </si>
  <si>
    <t>['mengecewakan', 'jaringannya', 'stabil', 'suka', 'hilang', 'koneksi', 'kecewa', 'pekerjaan', 'tertunda', 'kirim', 'jaringan']</t>
  </si>
  <si>
    <t>['pas', 'beli', 'udah', 'restat', 'udah', 'cek', 'jaringan', 'tetep', 'bisaaaaaaaa', 'woyyyyyyy', 'kasih', 'solusi', 'woyyyy']</t>
  </si>
  <si>
    <t>['', 'kurangi', 'ratingnya', 'aplikasi', 'telkomsel', 'rada', 'ribet', 'aplikasi', 'suka', 'sesi', 'habis', 'masuk', 'isi', 'nomer', 'sms', 'masuk', 'suruh', 'masuk', 'link', 'pas', 'diclik', 'muncul', 'iklan', 'dihapusi', 'muncul', 'iklan', 'risih', 'tujuannya', 'masuk', 'link', 'telkomsel', 'telkoms', 'lnya', 'nggak', 'muncul', 'muncul', 'iklan', '']</t>
  </si>
  <si>
    <t>['maaf', 'mytelkomsel', 'pulsa', 'isi', 'dipaketin', 'menit', 'habis', 'pulsa', 'paketannya', 'seminggu', 'kali', 'kemarin', 'selesai', 'parah', 'maksudnya', 'telkomsel', 'sungguh', 'kecewa', '']</t>
  </si>
  <si>
    <t>['paket', 'ceria', 'tertera', 'dasbord', 'aktifkan', 'sistem', 'sibuk', 'bisaa', 'aktif', 'hilangkan', 'dashboard', 'telkomsel', '']</t>
  </si>
  <si>
    <t>['bintng', 'merasakan', 'hadia', 'telkomsel', 'poin', 'habis', 'sia', 'kah', 'poin', 'donwlod', 'aplokasinya', 'menukar', 'bodoh', 'untung', 'buntung', 'layar', 'penuh', 'aplikasih', 'benara', 'kaaaaan', '']</t>
  </si>
  <si>
    <t>['parah', 'isi', 'pulsa', 'ilang', 'pdhal', 'dipaketin', 'mytelkomsel', 'parah', 'tuker', 'poin', 'stamp', 'sms', 'berhasil', 'redeeem', 'kepotong', 'pulsa', 'bonus', 'paket', 'data', 'masuk', 'alias', 'zonk', 'kesel', 'paket', 'habis', 'pulsa', 'utama', 'langsung', 'dilahap', 'aneh', 'boros']</t>
  </si>
  <si>
    <t>['sinyal', 'telkomsel', 'berguna', 'sma', 'buka', 'maunya', 'operator', 'daerah', 'suka', 'orang', 'telkomsel', 'sinyal', 'siluman', '']</t>
  </si>
  <si>
    <t>['cobalah', 'diperbaiki', 'aplikasinya', 'trus', 'ubah', 'sistem', 'apk', 'nyedot', 'kuota', 'mulu', 'apk', 'kek', 'ovo', 'gitu', 'trus', 'tolonglah', 'diperbaiki', 'fitur', 'refreshnya', 'udah', 'apknya', 'lemot', 'refresh', 'error', 'gini', 'aplikasi', 'buatan', 'indo', 'mengecewakan', 'slalu', 'termakan', 'doktrin', 'hargai', 'karya', 'anak', 'bangsa', 'ato', 'cintai', 'produk', 'indonesia', 'buatan', 'kekurangan', 'kek', 'gini', 'pas', 'update', 'bnyak', 'perubahan', 'hadeh']</t>
  </si>
  <si>
    <t>['putuskan', 'mengunakan', 'aplikasi', 'nyaman', 'pakai', 'login', 'mengunakannya', 'asli', 'kecewa']</t>
  </si>
  <si>
    <t>['jaringan', 'telkomsel', 'memburuk', 'beli', 'paket', 'data', 'mahal', 'jaringan', 'memadai', 'mohon', 'perbaikannya', '']</t>
  </si>
  <si>
    <t>['ngeleq', 'ngeleq', 'jaringan', 'telkomsel', 'mahal', 'kli', 'tolong', 'harga', 'mahal', 'dpt', 'kuota', 'dri', 'kemendikbud', 'mabar', 'indosat', 'murah', 'mabar', 'tolong', 'kek']</t>
  </si>
  <si>
    <t>['aplikasi', 'bagus', 'jaringan', 'telkomsel', 'lancar', 'alias', 'lemot', 'performa', 'jaringan', 'labil', 'pengguna', 'dapatkan', 'kepuasan', 'kelancaran', 'jaringan', 'telkomsel', 'daerah', 'indonesia', 'kota', 'lancar', 'desa', 'wkwkwkwwhahaaaa', '']</t>
  </si>
  <si>
    <t>['', 'pelanggan', 'setia', 'telkomsel', 'jaringan', 'telkomsel', 'suka', 'korup', 'pulsa', 'mnding', 'beralih', 'provider', 'jaringan', 'kyk', 'sarananin', 'pakai', 'telkomsel', 'nyesel', 'mnding', 'provider', 'sebelah', 'tipu', '']</t>
  </si>
  <si>
    <t>['sinyal', 'telkomsel', 'payah', 'payah', 'kuota', 'unlimited', 'udh', 'sinyal', 'bapuk', 'kecewa', 'banget', 'berlangganan', 'telkomsel', 'telkomsel', 'signal', 'bagus', 'skrg', 'payah', 'lakukan', 'manual', 'otomatis', 'signal', 'beres']</t>
  </si>
  <si>
    <t>['telkomsel', 'parah', 'sinyalnya', 'desa', 'dikota', 'sinyal', 'berasa', 'pelosok', 'hutan', 'ngegame', 'ngelag', 'ampun', 'kuota', 'fulll', 'downloadpun', 'kecepatan', 'dibandingkan', 'provider', 'sebelah', 'kecepatannya', 'sampe', 'mbps']</t>
  </si>
  <si>
    <t>['lemoooottnya', 'ampun', 'ampun', 'update', 'mulu', 'lemot', 'udah', 'mahal', 'harganya', 'lemoooot', 'kualitas', 'sesuai', 'harga', 'nihh', 'rugi', 'harga', 'kualitas']</t>
  </si>
  <si>
    <t>['jaringan', 'jelek', 'banget', 'trus', 'ngasih', 'promo', 'pas', 'beli', 'suruh', 'download', 'telkomsel', 'tetep', 'kecewa', 'make', 'kartu', 'udah', 'thn', '']</t>
  </si>
  <si>
    <t>['sinyalnya', 'parahh', 'sja', 'sinyalnya', 'mengecewakan', 'main', 'game', 'ping', 'boro', 'ping', 'mah', 'iya', '']</t>
  </si>
  <si>
    <t>['nama', 'doang', 'dege', 'nonton', 'youtube', 'maen', 'game', 'nonton', 'film', 'jaringan', 'stabil', 'nanya', 'daerah', 'gading', 'serpong', 'tangerang', 'malu', 'komplain', 'costomer', 'orang', 'komplain', '']</t>
  </si>
  <si>
    <t>['macem', 'lancar', 'leletnya', 'ampun', 'paket', 'jaringan', 'nggk', 'andalkan', 'nggk', 'sesuai', 'janjikan', 'udah', 'mahal', 'lelet', 'pulak', 'plisss', 'tolong', 'diperbaharui', 'butuh', 'jaringan', 'full', 'ngerjain', 'kerjaan', 'malam', 'butuhkan']</t>
  </si>
  <si>
    <t>['tolong', 'telkomsel', 'tingkatkan', 'jaringannya', 'daerah', 'daerah', 'rajeg', 'kabupaten', 'tangerang', 'telkomsel', 'lambat', 'jam', 'jam', 'terganggu', 'nonton', 'video', 'bermain', 'game', 'tolong', 'siang', 'terkadang', 'lemot', '']</t>
  </si>
  <si>
    <t>['sinyal', 'telkomsel', 'jelek', 'banget', 'nyaman', 'pakai', 'telkomsel', 'kerja', 'paket', 'mahal', 'jaringan', 'hancur', 'lebur', 'ganti', 'indosat', 'mah', '']</t>
  </si>
  <si>
    <t>['telkomsel', 'jelek', 'kualitasnya', 'dri', 'promonya', 'segi', 'layanan', 'pelanggan', 'kecewa', 'rating', 'turun', 'pindah', 'provider', 'gegara', 'sinyal', 'lemot', 'main', 'game', 'sinyal', 'lemot', 'payah']</t>
  </si>
  <si>
    <t>['telkomsel', 'berguna', 'isi', 'pulsa', 'ambil', 'ngmbil', 'paket', 'internet', 'tersedia', 'gagal', 'ganguan', 'cek', 'pulsa', 'rupiah', 'pulsa', 'kecewa', 'produk', '']</t>
  </si>
  <si>
    <t>['beli', 'paket', 'aplikasi', 'dibuka', 'error', 'gimana', 'beli', 'paket', 'data', 'komplain', 'tetep', 'perubahan', '']</t>
  </si>
  <si>
    <t>['telkomsel', 'internet', 'super', 'lemot', 'main', 'game', 'lag', 'lemot', 'whatsapp', 'suka', 'pending', 'berlangganan', 'unlimited', 'gabisa', 'off', 'mode', 'pesawat', 'kb', 'internet', 'kecepatan', 'segitu', 'tolong', 'perbaiki', 'jaringan', 'kepuasan', 'konsumen', 'mengecewakan', 'terimakasih', '']</t>
  </si>
  <si>
    <t>['ganti', 'didaftarkan', 'kartu', 'halo', 'pas', 'org', 'kantor', 'mao', 'kirim', 'pulsa', 'perbulan', 'jatah', 'pulsa', 'dri', 'kantor', 'kmungkinan', 'mao', 'berubah', 'kartu', 'grapari', 'trus', 'sinyal', 'kartu', 'halo', 'memperlambat', 'kerja', 'beda', 'pakai', 'kartu', 'sinyal', 'lancar', 'karna', 'daftarin', 'telkomsel', 'detail', 'trimakasih']</t>
  </si>
  <si>
    <t>['bagus', 'fitur', 'pulsa', 'lock', 'pulsa', 'safe', 'kuota', 'internet', 'habis', 'langsung', 'deh', 'habis', 'pulsanya', 'note', 'google', 'playstore', 'fast', 'respon', 'kasih', 'bintang', '']</t>
  </si>
  <si>
    <t>['paket', 'mahal', 'jaringan', 'super', 'lemot', 'nelfon', 'nelfon', 'itupun', 'jaringan', 'super', 'lemot', 'paket', 'nelfon', 'kepake', 'udah', 'daftar', 'bingun', 'kesini', 'parah', 'layanan', 'telkomsel']</t>
  </si>
  <si>
    <t>['aduh', 'hallo', 'telkomsel', 'dibayar', 'disuruh', 'bayar', 'aneh', 'mencari', 'keuntungan', 'kotor', 'mending', 'sinyal', 'bagus', 'sinyal', 'udah', 'kayak', 'didalam', 'hutan', 'bayar', 'mahal', 'memuaskan', '']</t>
  </si>
  <si>
    <t>['hai', 'telkomsel', 'tolong', 'jaangan', 'makan', 'pulsa', 'gini', 'beli', 'pulsa', 'paketin', 'ketengan', 'instagram', 'trus', 'angus', 'gitu', 'sisa', 'pulsanya', 'makan', 'pulsa', 'pelanggan', 'tolong', 'mohon', 'kembalikan', 'pulsa', 'hilang', 'andai', 'daerah', 'kartu', 'bagus', 'sinyalnya', 'beli', 'kartu', 'telkomsel', 'makan', 'pulsa', 'pelanggan', 'maaf', 'salah', 'salah', 'terima', 'kasih']</t>
  </si>
  <si>
    <t>['', 'tuhannnn', 'semoga', 'telkomsel', 'konsisten', 'produk', 'ditawarkan', 'pilihan', 'kuotanya', 'beli', 'unlimited', 'unlimited', 'apps', 'kenyataannya', 'gabisa', 'tetep', 'kesedot', 'kuota', 'lokalnya', 'tolong', 'diperbaiki', 'orang', 'orang', 'nyaman', 'telkomsel', '']</t>
  </si>
  <si>
    <t>['paket', 'game', 'login', 'game', 'kuota', 'utama', 'kuata', 'game', 'gede', 'kuata', 'utama', 'habis', 'kuota', 'game', 'login', 'game', 'mengecewakan']</t>
  </si>
  <si>
    <t>['kecewa', 'telkomsel', 'jaringannya', 'eror', 'rusak', 'paket', 'internet', 'unlimited', 'mahal', 'kondisi', 'murahkan', 'paketnya', 'bkn', 'mahal', 'harga', 'paket', 'unlimitednya', 'ganti', 'kartu', 'solusinya', 'terbaik', 'drpd', 'menanggung', 'kecewa', 'terusan', '']</t>
  </si>
  <si>
    <t>['knp', 'beli', 'kuota', 'malam', 'pastiii', 'lemottt', 'bangettt', 'diperbaiki', 'gimana', 'mls', 'jaringan', 'sya', 'heran', 'jaringan', 'daerah', 'malam', 'lemotttt', 'siangnya', 'lemot', '']</t>
  </si>
  <si>
    <t>['hello', 'telkomsel', 'paket', 'internet', 'utama', 'berkurang', 'pas', 'nonton', 'youtube', 'udah', 'beli', 'unlimited', 'youtube', 'mohon', 'diperbaiki']</t>
  </si>
  <si>
    <t>['aplikasi', 'daftar', 'ulang', 'kode', 'verifikasinya', 'telat', 'daftar', 'masuk', 'kode', 'verifikasi', 'besok', 'banget', 'emng', 'gitu', 'mending', 'kasih', 'jam', 'kadaluarsa', 'kode', 'verifikasinya', 'kasih', 'dtk', 'kirim', 'kodenya', 'jam', 'mengecewakan', 'update', 'bagus', 'buruk', 'mending', 'mytelkomsel', 'update', '']</t>
  </si>
  <si>
    <t>['kak', 'telkomsel', 'harga', 'paket', 'combo', 'sakti', 'mahal', 'orang', 'miskin', 'turunkan', 'harganya', 'kuotanya', 'gb', 'gb', 'uang', 'membeli', '']</t>
  </si>
  <si>
    <t>['jaringan', 'jelek', 'peningkatan', 'blass', 'udah', 'mahal', 'jaringan', 'jelek', 'daerah', 'sinyal', 'telkomsel', 'udah', 'make', 'telkomsel', 'mengecewakan', 'pelanggan', 'gua', 'kasih', 'bintang', 'nol', 'gua', 'kasih', 'nol', 'skarang', 'perubahan', 'jaringan', 'merugikan', '']</t>
  </si>
  <si>
    <t>['kasih', 'bintang', 'ajah', 'deh', 'perbaiki', 'harga', 'pulsa', 'kuota', 'mahal', 'buka', 'app', 'lemot', 'layaar', 'putih', 'sekalli', 'buka', 'dech', 'akui', 'kualitas', 'jaringan', 'makasih', 'tel', '']</t>
  </si>
  <si>
    <t>['jaringan', 'stabil', 'bermain', 'game', 'online', 'kosan', 'dibawah', 'tower', 'telkomsel', 'giliran', 'menghabiskan', 'kuota', 'lancar', 'contoh', 'youtube', 'tiktok', 'sungguh', 'membagongkan']</t>
  </si>
  <si>
    <t>['khusus', 'untukmu', 'dptkan', 'kuota', 'gb', 'hr', 'rp', 'mytelkomsel', 'download', 'klaim', 'tsel', 'hotoffers', 'program', 'terbatas', 'mar', 'hoax', 'pagi']</t>
  </si>
  <si>
    <t>['tolong', 'beli', 'paketan', 'cek', 'koneksi', 'ulangi', 'transaksi', 'mnt', 'jaringan', 'bagus', 'ditunggu', 'mnt', '']</t>
  </si>
  <si>
    <t>['jujur', 'pulsa', 'udh', 'ganti', 'telkomsel', 'tandingnya', 'kesel', 'kuota', 'looding', 'kuota', 'unlimited', 'dipake', 'kuota', 'utama', 'habis', 'bohg', 'beli', 'paket', 'kuota', 'unlimitednya', 'ngelumbuk', 'anak', 'zoom', 'tiktok', 'nge', 'lek', 'tolg', 'ditingkatkan', 'jaringannya', 'hujan', 'panas', 'angin', 'apapun', 'keadaannya', 'usahain', 'stabil', 'lancar', 'online', '']</t>
  </si>
  <si>
    <t>['aplikasinya', 'lemot', 'banget', 'loadingnya', 'tulisan', 'pilihan', 'kirim', 'masukan', 'tunggu', 'tutup', 'aplikasi', 'nihh', 'payah', 'bange', 'bad', 'mood']</t>
  </si>
  <si>
    <t>['app', 'bagus', 'akun', 'terblokir', 'pas', 'masuk', 'sia', 'sia', 'beli', 'paket', 'gb', 'gunain', '']</t>
  </si>
  <si>
    <t>['pas', 'beli', 'paket', 'make', 'paket', 'jaringan', 'jelek', 'harga', 'mahal', 'promonya', 'jarang', 'banget', 'habis', 'beli', 'pulsa', 'udah', 'habis', 'paket', 'males', 'telkomsel', 'terserah', 'make', 'telkomsel', 'make', 'telkomsel', 'pelayanannya', 'bagus', 'terima', 'kasih', 'telkomsel', 'melayani', '']</t>
  </si>
  <si>
    <t>['cabut', 'simpati', 'brthun', 'simpati', 'skrng', 'ancur', 'sinyal', 'pindah', 'smartfren', 'wlpun', 'malu', 'mending', 'kartu', 'simpati', '']</t>
  </si>
  <si>
    <t>['parahhh', 'bgtt', 'sinyall', 'jelek', 'bagettttttt', 'sampe', 'emosi', 'pengen', 'ngomong', 'kasar', 'bawaanya', 'tolong', 'telkomsel', 'perbarui', 'niatan', 'ganti', 'provaider', 'sinyal', 'jelekk', 'bgttttttttttt']</t>
  </si>
  <si>
    <t>['tolong', 'pengecekannya', 'kartu', 'hallobsaya', 'terblokir', 'tagihanya', 'berjalan', 'pas', 'cek', 'rb', 'emangnya', 'utang', 'tlong', 'cek', 'lgi', 'trimksih', 'mengecewakan']</t>
  </si>
  <si>
    <t>['maaf', 'knp', 'telkomsel', 'paket', 'data', 'paket', 'tgl', 'habis', 'tgl', 'kalender', 'sdikit', 'kecewa', 'mohon', 'telkomsel', 'mengikuti', 'kalender', 'tgl', 'kecewa', 'layanan', 'segi', 'sinyal', 'semoga', 'kedepannya', 'telkomsel', '']</t>
  </si>
  <si>
    <t>['tolong', 'perbaiki', 'jaringan', 'internetan', 'tolong', 'nge', 'game', 'telkomsel', 'tolong', 'perbaiki', 'jaringannya', 'wilayahku', 'internetan']</t>
  </si>
  <si>
    <t>['tolong', 'keluarin', 'unlimited', 'kuota', 'utamanya', 'habis', 'sinyal', 'setabil', 'gini', 'teruss', 'pengguna', 'telkomsel', 'jamin', 'turun', 'bodoh', 'kek', 'sinyal', 'gini', 'orang', 'butuh', 'mikir', 'sikit', 'telkomsel', 'coba', 'baca', 'penggunanya', 'mikir', 'mikir', 'mikir', 'ngga']</t>
  </si>
  <si>
    <t>['jaringan', 'telkomsel', 'kab', 'merangin', 'mengecewakan', 'internet', 'berbayar', 'perbulan', 'jaringan', 'jelek', 'karna', 'skrg', 'jualan', 'lwt', 'online', 'sosmed', 'butuh', 'rugi', 'brg', 'livekan']</t>
  </si>
  <si>
    <t>['kecewa', 'banget', 'beli', 'paket', 'unlimited', 'sia', 'sampe', 'sehari', 'udah', 'dipake', 'paket', 'beli', 'gb', 'langganan', 'bnr', 'kecewa', 'telkomsel', 'skrg', 'sinyalnya', 'jelek', 'udah', 'covid', 'nyri', 'duit', 'susah', 'paketnya', 'mahal', 'mohon', 'kembalikan', 'paket', 'langganan', 'beli']</t>
  </si>
  <si>
    <t>['min', 'gangguan', 'udah', 'nyoba', 'kali', 'masukin', 'paket', 'bacaan', 'maaf', 'sistem', 'sibuk', 'coba', 'ngeganggu', 'banget', 'masukin', 'paket']</t>
  </si>
  <si>
    <t>['min', 'tolong', 'rubah', 'kategore', 'paket', 'kombo', 'unlimited', 'keatas', 'kasih', 'kebawah', 'sesuai', 'pemakain', 'buget', 'kasih', 'bintang', 'dlu', 'bantu', 'min', 'thank', '']</t>
  </si>
  <si>
    <t>['hallo', 'admin', 'telkomsel', 'sinyal', 'telkomsel', 'lelet', 'beli', 'oaket', 'unlimited', 'max', 'kuota', 'kuota', 'internet', 'lokal', 'kuota', 'internet', 'kuota', 'unlimited', 'gratis', 'dll', 'kuota', 'habis', 'lelet', 'tolong', 'sebabkan', 'terimakasih', 'mimin', 'semoga', 'perbaikan', 'merugikan', 'say']</t>
  </si>
  <si>
    <t>['isi', 'paket', 'sistem', 'sibuk', 'jaringan', 'maen', 'game', 'lag', 'lag', 'harga', 'mahal', 'jaringan', 'sesuai', 'harga', '']</t>
  </si>
  <si>
    <t>['kota', 'internet', 'buruk', 'sinyal', 'hilang', 'mengisi', 'voucher', 'kuota', 'bertulis', 'maaf', 'sistem', 'sibuk', 'tunggu', 'hadehhh', '']</t>
  </si>
  <si>
    <t>['apk', 'penipu', 'tulisannya', 'promo', 'tpi', 'pas', 'beli', 'mahal', 'lgi', 'tuhan', 'membalas', 'semoga', 'apk', 'baned', 'pantesan', 'telkomsel', 'bajak', 'orang', 'bodoh', 'isinya']</t>
  </si>
  <si>
    <t>['', 'tolong', 'diperbaiki', 'beli', 'kuota', 'unlimited', 'youtube', 'ribu', 'masuk', 'pulsa', 'ribu', 'muncul', 'notif', 'maaf', 'pulsa', 'mencukupi', 'rusak', 'telkomsel']</t>
  </si>
  <si>
    <t>['beli', 'pulsa', 'saldo', 'udah', 'potong', 'pembelian', 'berhasil', 'pulsa', 'udah', 'kasih', 'keluhan', 'suruh', 'nunggu', 'jam', 'ngaruh', 'beli', 'masuk', 'kaya', 'gini']</t>
  </si>
  <si>
    <t>['jaringan', 'bagus', 'mengisi', 'pulsa', 'pulsanya', 'langsung', 'habis', 'dirugikan', 'semoga', 'mytelkomsel', 'diperbaharui', 'pulsanya', 'disempan', 'menghidupkan', 'data', 'pulsanya', 'tersedot', 'habis', 'terimakasih', '']</t>
  </si>
  <si>
    <t>['sistem', 'pelayanan', 'kuota', 'beli', 'kuota', 'mahal', 'dipakai', 'kuota', 'beli', 'diutamakan', 'sinyal', 'lemot', '']</t>
  </si>
  <si>
    <t>['maaf', 'konfirmasi', 'login', 'sms', 'verifikasi', 'masuk', 'dicoba', 'berkali', 'kali', 'ganti', 'bintang', 'diperbaiki', 'terima', 'kasih']</t>
  </si>
  <si>
    <t>['kuota', 'utama', 'dipake', 'gara', 'kuota', 'kemendikbud', 'limitnya', 'tinggal', 'sia', 'deh', 'paketan', 'kasar', 'saran', 'alah', 'dikasi', 'saran', 'gabakal', 'digubris', 'gini', 'customer', 'rugi', 'menuntut', 'gini', 'balasan', 'ajg', 'complain', 'kali', 'twitter', 'email', 'jawabannya', 'dipakai', 'bales', 'review', 'gua', 'kentoud', 'palingan', 'kuota', 'gua', 'ilang']</t>
  </si>
  <si>
    <t>['heran', 'telkomsel', 'paketin', 'data', 'pas', 'buka', 'app', 'mytelkom', 'pulsanya', 'keambil', 'ribu', 'ulang', 'kaya', 'gtu', 'sampe', 'kali', 'bayar', 'isi', 'pulsa', 'sampe', 'ribu', 'licik']</t>
  </si>
  <si>
    <t>['mending', 'beli', 'telkomsel', 'buang', 'buang', 'duit', 'udah', 'beli', 'mahal', 'mahal', 'jaringannya', 'stabil', 'main', 'game', 'turun', 'pas', 'nggak', 'main', 'game', 'kecewa', 'telkomsel']</t>
  </si>
  <si>
    <t>['bug', 'aplikasi', 'beli', 'paket', 'force', 'close', 'lapor', 'call', 'center', 'sosmed', 'force', 'close', 'aplikasi', '']</t>
  </si>
  <si>
    <t>['pengguna', 'kartu', 'halo', 'detail', 'billing', 'ditampilkan', 'kemaren', 'detail', 'kemaren', 'ditampilkan', 'detail', 'billing', 'kemaren', 'mohon', 'diperbaiki']</t>
  </si>
  <si>
    <t>['telkomsel', 'tolol', 'udah', 'harga', 'paket', 'internet', 'mahal', 'jaringan', 'lelet', 'nyesel', 'beli', 'telkomsel', 'tolong', 'diperbaiki', 'jaringan', 'internet', 'lemot', 'mulu', 'harga', 'paket', 'internet', 'mahal']</t>
  </si>
  <si>
    <t>['sinyak', 'suka', 'hilang', 'mendadak', 'disaat', 'daring', 'pelajaran', 'berkala', 'mohon', 'perbaiki', 'mengakibatkan', 'mengikutinya', 'sampe', 'hospot', 'jaringan', 'kalah', 'coba', 'tingkatkan', 'harga', 'bawa', 'rupa', 'astagfirullah']</t>
  </si>
  <si>
    <t>['apasih', 'maksudnya', 'gabisa', 'ngisi', 'kuota', 'jam', 'pagi', 'genting', 'gabisa', 'isi', 'kuota', 'pelayanan', 'telkomsel', 'make', 'telkomsel', 'kali', 'kecewa']</t>
  </si>
  <si>
    <t>['curhat', 'dikit', 'min', 'udah', 'nyaman', 'paket', 'combo', 'sakti', 'pas', 'daftarin', 'kgak', 'paket', 'combo', 'saktinya', 'harga', 'paket', 'laen', 'mahal', 'combo', 'sakti', 'pas', 'kayanya', 'terpaksa', 'ganti', 'kartu', 'combo', 'saktinya', 'kgak', '']</t>
  </si>
  <si>
    <t>['kasih', 'bintang', 'maaf', 'pelanggan', 'setia', 'pelanggan', 'telkomsel', 'simpati', 'buruk', 'sinyal', 'telpon', 'telpon', 'jelek', 'kadang', 'nyambung', 'kadang', 'engga', 'kadang', 'suara', 'teman', 'telkomsel', 'mohon', 'perbaiki', 'tingkatkan', 'buruk']</t>
  </si>
  <si>
    <t>['pemberitahuan', 'notifikasi', 'sisa', 'kuota', 'pesan', 'mengakses', 'internet', 'tarif', 'non', 'paket', 'pulsa', 'terpotong', 'paket', 'kecewa', 'pengguna', '']</t>
  </si>
  <si>
    <t>['paketnya', 'mahal', 'kualitas', 'sinyal', 'buruk', 'kirim', 'pesan', 'mengerti', 'keluhan', 'pelanggan', 'veronica', 'robot', 'mengerti', 'pelanggan', 'jaringan', 'memburuk', 'nggak', 'nyambung', 'lho', 'berani', 'hadapi', 'keluhan', 'pelangan', 'setiamu', '']</t>
  </si>
  <si>
    <t>['biaya', 'transaksi', 'data', 'kb', 'biaya', 'maaf', 'telkomsel', 'kecewa', 'isi', 'pulsa', 'habis', 'kemakan', 'mytelkomsel', '']</t>
  </si>
  <si>
    <t>['aplikasi', 'emosi', 'tertulis', 'aplikasi', 'poin', 'top', 'pulsa', 'tukar', 'menukar', 'gagal', 'hasil', 'penukaran', 'mencukupi', 'batas', 'tukar', 'mohon', 'keluhan', 'harap', 'tanggapi', 'udh', 'mending', 'ganti', 'kartu', 'sinyal', 'jelek']</t>
  </si>
  <si>
    <t>['jaringan', 'telkomsel', 'lelet', 'udah', 'malam', 'lelet', 'belik', 'paket', 'combo', 'sakti', 'unlimitednya', 'lelet', 'paket', 'unlimitednya', 'sampe', 'dirugikan', 'sampe', 'beralih', 'provider', 'keluh', 'lelet', 'mohon', 'diperbaiki', 'ditipu', 'pakai', 'telkomsel', 'selelet', 'mohon', 'diperhatikan', 'terimkasih']</t>
  </si>
  <si>
    <t>['sanggat', 'burukk', 'suka', 'mengambil', 'pulsa', 'org', 'bnyk', 'tawaran', 'suruh', 'bayar', 'langganan', 'langganan', 'tulisan', 'berlangganan', 'kesel', 'dapet', 'sms', 'telkomsel', 'udh', 'kyk', 'kecewa']</t>
  </si>
  <si>
    <t>['sinyal', 'lemooot', 'buangettt', 'tolong', 'perbaiki', 'sinyal', 'bagus', 'tinggal', 'kota', 'plosok', 'plosok', 'banget', 'sinyal', 'lemottt', 'buangett', 'liat', 'youtube', 'kirim', 'pesan', 'pending', 'kuota', 'gb', 'abis', 'abis', 'njirrt', '']</t>
  </si>
  <si>
    <t>['kebijakan', 'pembelian', 'paket', 'data', 'bersahabat', 'paket', 'promo', 'berganti', 'ganti', 'kuota', 'terakumulasi', 'menyebalkan', 'kecewa', 'kebijakan', 'telkomsel', 'pakai', 'operator', 'beli', 'paket', 'data', 'sms', 'paket', 'bicara', 'berlaku', 'mengikuti', 'aktif', 'kartu', 'telkomsel', 'beda', 'kuota', 'berlimpah', 'aktif', 'mentok', 'sebulan', 'mbois', 'rek', '']</t>
  </si>
  <si>
    <t>['tolong', 'perbaiki', 'sistem', 'telkomsel', 'masukin', 'voucher', 'kuota', 'susah', 'gini', 'maaf', 'sistem', 'sibuk', 'mohon', 'tunggu', 'knpa', 'yaa', 'susah']</t>
  </si>
  <si>
    <t>['knp', 'daerah', 'sinyal', 'butut', 'axis', 'telkomsel', 'daerah', 'perbaikin', 'gmn', 'daerah', 'cibinong', 'bogor', 'ciriung', 'golf', 'coba', 'tolong', 'perbaiki', 'uda', 'beli', 'mahal', 'mahal', 'kuota', 'sinyal', 'maen', 'game', 'kesel', 'uda', 'bagus', 'bgini', '']</t>
  </si>
  <si>
    <t>['tolong', 'mati', 'lmpu', 'mati', 'jugaa', 'sinyal', 'udah', 'jam', 'terganggu', 'belajar', 'kayak', 'gini', 'kartu', 'mahal', 'jaringan', 'jelek', 'gpp', 'mahal', 'sinyal', 'bagus', 'kayak', 'gini', 'trus', 'berlindung', 'bnyk', 'promo', 'menarik', 'tolong', '']</t>
  </si>
  <si>
    <t>['master', 'udah', 'ngobrolin', 'sampe', 'menurutku', 'telkomsel', 'kehilangan', 'taringnya', 'kaya', 'ecek', 'ecek', 'telkomsell', 'kartu', 'aktifan', 'nyolong', 'pulsa', 'beli', 'pulsa', 'paketan', 'data', 'service', 'apapun', 'udah', 'raib', 'pulsa', '']</t>
  </si>
  <si>
    <t>['nggk', 'belii', 'paket', 'ceria', 'informasinya', 'proses', 'berjam', 'jam', 'nunggu', 'nggak', 'masuk', 'mytelkomsel', 'ganguan', 'tolongg', 'telkomsel', 'bantuan', '']</t>
  </si>
  <si>
    <t>['beli', 'paket', 'data', 'unlimited', 'berhasil', 'sampe', 'sekrng', 'sedangkn', 'saldo', 'shopee', 'pay', 'sudh', 'trpotong', 'gmn', 'sampe', 'paket', 'gada', 'tpi', 'saldo', 'nggk', 'ganti', 'rugi', 'mohon', 'kebijaknnya', 'gini', 'merugikan']</t>
  </si>
  <si>
    <t>['mengecewakan', 'jaringan', 'ping', 'turun', 'stabil', 'alami', 'perubahan', 'menggangu', 'bermain', 'game', 'tolong', 'ditingkatkan', '']</t>
  </si>
  <si>
    <t>['maaf', 'bintang', 'ping', 'jaringan', 'turun', 'stabil', 'lag', 'bermain', 'game', 'aplikasi', 'mytelkomsel', 'lemot', 'loadingnya', 'susah', 'beli', 'paketnya', 'gara', 'gara', 'loading', '']</t>
  </si>
  <si>
    <t>['daerah', 'bantargebang', 'sinyalnya', 'parah', 'internet', 'ngga', 'lancar', 'jaringan', 'lelet', 'ganti', 'nomor', 'privider', 'niiii', 'ngasi', 'bintang', 'rugi']</t>
  </si>
  <si>
    <t>['propblem', 'koata', 'mahal', 'kartu', 'prabayar', 'lainya', 'sinyal', 'stabil', 'down', 'pas', 'hujan', 'kasian', 'pelanggan', 'udah', 'bertahun', 'pakai', 'pelayanan', 'buruk']</t>
  </si>
  <si>
    <t>['udah', 'semingu', 'sinyal', 'telkomsel', 'kalimantan', 'desa', 'pulau', 'kupang', 'kec', 'bataguh', 'kabupaten', 'kapuas', 'gangguan', 'sanggup', 'makai', 'telkomsel', 'udah', 'paket', 'mahal', 'pelayanan', 'buruk', '']</t>
  </si>
  <si>
    <t>['gila', 'pulsa', 'reguler', 'sedot', 'abis', 'sampe', 'rupiah', 'paket', 'internet', 'panggilan', 'sms', 'internetan', 'doang', 'saranin', 'beli', 'paket', 'sisain', 'pulsa', 'reguler', 'abis', 'pulsa', 'reguler', 'kenyot', '']</t>
  </si>
  <si>
    <t>['knpa', 'promo', 'promo', 'internet', 'aplikasi', 'teman', 'memakai', 'aplikasi', 'promonya', 'bnyak', 'kali', 'kesalahannya', 'dimn', '']</t>
  </si>
  <si>
    <t>['penjual', 'voucher', 'kuota', 'kartu', 'perdana', 'nyaranin', 'pembeli', 'telkomsel', 'malu', 'nyaranin', 'telkomsel', 'jaringannya', 'lelet']</t>
  </si>
  <si>
    <t>['jaringan', 'telkomsel', 'lelet', 'paket', 'data', 'jaringan', 'loading', 'banget', 'pdahl', 'kek', 'gini']</t>
  </si>
  <si>
    <t>['aplikasi', 'tuhan', 'instal', 'aplikasi', 'pulsa', 'hilang', 'rb', 'transaksi', 'apapun', 'keterangan', 'dlm', 'data', 'history', 'nihil', 'sisa', 'pulsa', 'rb', 'aplikasi', 'ganti', 'rugi', 'lapor', 'ylki', '']</t>
  </si>
  <si>
    <t>['jaringan', 'telkomsel', 'mengecewakan', 'daerah', 'dolok', 'silau', 'tolong', 'pahami', 'lancar', 'indosat', 'tolong', 'direspon', 'samping', 'tower', 'telkomsel', 'kayak', 'anjrit', '']</t>
  </si>
  <si>
    <t>['kasih', 'bintang', 'udah', 'lock', 'button', 'menjaga', 'pulsa', 'save', 'data', 'berguna', 'lupa', 'matiin', 'data', 'kuota', 'udah', 'san', 'pulsa', 'please', 'telkom', 'adain', 'lock', 'button', 'khawatir', 'pulsa', 'hilang', 'karna', 'lupa', 'matiin', 'data', 'disaat', 'kuota', 'habis', 'berlakunya', 'habis', 'telkom', 'tolong']</t>
  </si>
  <si>
    <t>['buruk', 'tawarin', 'paket', 'internet', 'unlimited', 'seharga', 'rb', 'sms', 'klik', 'masuk', 'telkomsel', 'ambil', 'paket', 'pembelian', 'berhasil', 'pulsa', 'dipotong', 'rb', 'cek', 'paket', 'hubungi', 'call', 'center', 'tanggapannya', 'menunggu', 'mengadu', 'call', 'center', 'sbg', 'pusat', 'pengaduan', 'konsumen', 'keluhan', 'diajukan', 'pengaduan', 'ngomong', 'kecewa']</t>
  </si>
  <si>
    <t>['dear', 'telkomsel', 'terhormat', 'perbaiki', 'sinyal', 'tolong', 'sesuaikan', 'harga', 'paket', 'kurangi', 'harganya', 'melonjak', 'harganya']</t>
  </si>
  <si>
    <t>['tolong', 'beli', 'paket', 'data', 'isi', 'shop', 'berbeda', 'adik', 'bli', 'paket', 'data', 'muncul', 'adik', 'adil', '']</t>
  </si>
  <si>
    <t>['terimakasih', 'karna', 'kartu', 'telkomsel', 'tugas', 'nilai', 'push', 'rank', 'minus', 'minus', 'gaming', 'ketemu', 'yaaaaaaaa']</t>
  </si>
  <si>
    <t>['sinyal', 'telkomsel', 'parah', 'kyk', 'gini', 'gini', 'lemot', 'banget', 'sumpah', 'buka', 'lemot', 'kasih', 'infonya', '']</t>
  </si>
  <si>
    <t>['senin', 'tgl', 'jaringan', 'telkomsel', 'lelet', 'parah', 'pke', 'nge', 'grab', 'kaga', 'konek', 'normal', 'tolong', 'perbaiki', 'sistem', 'kecewa', 'thn', 'pke', 'telkomsel', 'jaringan', 'bagus', 'mohon', 'baca', 'bossss', '']</t>
  </si>
  <si>
    <t>['jelek', 'banget', 'boong', 'haaaaa', '']</t>
  </si>
  <si>
    <t>['heran', 'beli', 'paket', 'combo', 'bulanan', 'mencakup', 'internet', 'tlp', 'sms', 'bonus', 'monetary', 'rb', 'berlaku', 'habiskan', 'paket', 'nelpon', 'sms', 'bulanan', 'sehari', 'barulah', 'pulsa', 'monetary', 'donk', 'beli', 'paket', 'bulanan', 'ahahhah', 'napa', 'min', '']</t>
  </si>
  <si>
    <t>['gimana', 'telkomsel', 'jaringan', 'kartu', 'buruk', 'kouta', 'internet', 'mahal', 'jaringannya', 'buruk', 'tolong', 'perbaiki', 'tambahkan', 'namanya', 'telkom', 'tower', 'jaringan', 'buruk', 'jam', 'jaringan', 'bagus', 'jam', 'tolong', 'perbaiki', 'jaringannya', 'kalah', 'kartu', 'indosat', 'sihhh', 'tolong', 'perbaiki', '']</t>
  </si>
  <si>
    <t>['menarik', 'paket', 'internet', 'harian', 'mahal', 'mahal', 'paket', 'internet', 'hilang', 'fikirkan', '']</t>
  </si>
  <si>
    <t>['pulsa', 'gratis', 'gimana', 'bang', 'udah', 'download', 'bang', 'udah', 'gunain', 'seminggu', 'ngk', 'gimana', 'bang', 'kasih', 'bintang', 'gimana', 'aksesnya', 'bang', 'nipulah', 'cuman', 'downloader', 'dosa', 'kasih', 'bintang', 'deh']</t>
  </si>
  <si>
    <t>['beli', 'paket', 'youtube', 'bohong', 'beli', 'pulsa', 'ambil', 'tolong', 'kuota', 'palsu', 'operator', 'konsisten', 'produknya']</t>
  </si>
  <si>
    <t>['sinyal', 'lemot', 'gini', 'daerah', 'perumahan', 'sinyal', 'mantep', 'kendala', 'knp', '']</t>
  </si>
  <si>
    <t>['bagusnya', 'pelayanan', 'telkomsel', 'isi', 'voucher', 'paket', 'data', 'gakbisa', 'sistem', 'sibuk', 'tunggu', 'tolong', 'diperbaiki', 'sistemnya', 'udah', 'pelanggan', 'beralih', 'kartu', 'paket', 'jaringan', 'pelayanannya', 'pelayanannya', 'hancur', '']</t>
  </si>
  <si>
    <t>['mytelkomsel', 'terhormat', 'hentikan', 'data', 'memotong', 'pulsa', 'paket', 'habis', 'kaliii', 'keluhan', 'direalisasikan', 'pakai', 'program', 'syarat', 'mnt', 'berkendara', 'kehilangan', 'pulsa', 'rbu', 'hny', 'disaku', 'celana', 'paket', 'sya', 'habis', 'berpikir', 'nominal', 'tpi', 'gimana', 'sya', 'berkendara', 'jam', 'pulsa', 'sya', 'rbu', 'ludessss', 'tersisa', 'perakpun', '']</t>
  </si>
  <si>
    <t>['penukaran', 'poin', 'bermanfaat', 'tukar', 'hadiah', 'ngak', 'ngak', 'poinnya', 'tukar', 'pulsa', 'kuota', 'internet', 'tolong', 'maklumi', 'pademi', 'susah', 'cari', 'duit', '']</t>
  </si>
  <si>
    <t>['aplikasi', 'tolol', 'membeli', 'paket', 'darurat', 'membelinya', 'isi', 'pulsa', 'eehhh', 'langsung', 'fotong', 'tolong', 'kejelasanya', 'mohong', 'rugikan', '']</t>
  </si>
  <si>
    <t>['operator', 'telkomsel', 'pelayanan', 'buruk', 'sampe', 'aplikasinya', 'ngk', 'berfungsi', 'pelayanan', 'buruk', '']</t>
  </si>
  <si>
    <t>['log', 'sistem', 'operasi', 'aplikasi', 'check', 'beli', 'pulsa', 'kuota', 'pkai', 'sistem', 'operasi', 'terbaru', 'byk', 'masyarakat', 'pkai', 'sitem', 'operasi', 'android', 'jadul', 'pkai', 'telkomsel', 'beli', '']</t>
  </si>
  <si>
    <t>['aplikasinya', 'jaringan', 'error', 'internet', 'buka', 'aplikasi', 'provider', 'lancar', 'lancar', 'cek', 'berlaku', 'error', 'mhn', 'perbaiki', 'aplikasinya']</t>
  </si>
  <si>
    <t>['kartu', 'dblokir', 'alasan', 'udah', 'hangus', 'minggu', 'isi', 'pulsa', 'kuota', 'mahal', 'jaringan', 'lemot', '']</t>
  </si>
  <si>
    <t>['pelanggan', 'simpati', 'telkomsel', 'lupa', 'isi', 'pulsa', 'tgl', 'maret', 'llu', 'kartu', 'blokir', 'telpon', 'grapari', 'pengaktifan', 'kartu', 'simpati', 'petugasnya', 'diaktifkan', 'migrasi', 'pascabayar', 'kartu', 'halo', 'jwb', 'sanggup', 'pascabayar', 'ttp', 'prabayar', 'ttpi', 'petugasnya', 'kecewa', 'mohon', 'kerendahan', 'hati', 'toleransi', 'pakai', 'kartu', 'prabayar', 'terimakasih', '']</t>
  </si>
  <si>
    <t>['telkomsel', 'menipu', 'pelanggan', 'prabayar', 'pascabayar', 'pascabayar', 'prabayar', 'dikasih', 'berpindah', 'kartu', 'halo', 'merugikan', '']</t>
  </si>
  <si>
    <t>['aplikasinya', 'gabisa', 'dibuka', 'gabisa', 'ngecek', 'kuota', 'beli', 'tulisan', 'disuruh', 'refresh', 'sinyal', 'dipakai', 'bagus', '']</t>
  </si>
  <si>
    <t>['knapa', 'pulsa', 'dipotong', 'habis', 'isi', 'ulang', 'tolong', 'kecewa', 'ntar', 'hapus', '']</t>
  </si>
  <si>
    <t>['duh', 'udah', 'minggu', 'jaringan', 'lemot', 'sakit', 'hati', 'lokasi', 'bekasi', 'kota', 'mending', 'ganti', 'ato', 'axis', 'harga', 'worth', 'kualitas', 'udah', 'restar', 'manual', 'jaringan', 'sampe', 'hardreset', 'jaringan', 'bertahan', 'menit', 'doang', '']</t>
  </si>
  <si>
    <t>['axis', 'sinyal', 'axis', 'bapuk', 'gantilah', 'telkomsel', 'pikir', 'sinyalnya', 'engga', 'bapuk', 'bapuk', 'sinyal', 'telkomsel', 'isi', 'kuota', 'tinggal', 'jakarta', 'selatan', 'mohon', 'diperbaiki', 'servicenya', 'cari', 'cuan', 'sinyal', 'bapuk', '']</t>
  </si>
  <si>
    <t>['parah', 'banget', 'nulis', 'deskripsi', 'paket', 'aktif', 'mengikuti', 'kuota', 'utama', 'pas', 'beli', 'sehari', 'alasan', 'kuota', 'dituju', 'tolong', 'perbaiki']</t>
  </si>
  <si>
    <t>['telkomsel', 'kerjaan', 'tukang', 'nyedot', 'pulsa', 'orang', 'aktifin', 'paket', 'pulsa', 'kesedot', 'geram', 'tolong', 'bertanggung', 'provider', 'mamangsa', 'customer', '']</t>
  </si>
  <si>
    <t>['udah', 'bertahun', 'pakai', 'kartu', 'udah', 'berjuta', 'juta', 'pulsa', 'dibeli', 'udah', 'berkali', 'kali', 'menukarkan', 'poin', 'undian', 'berkali', 'kali', 'kecewa', 'dikasih', 'saham', 'kontribusi', 'pelanggan', 'setia', '']</t>
  </si>
  <si>
    <t>['telkomsel', 'ter', 'hormat', 'tolong', 'adakan', 'perbaikan', 'sinyal', 'sinyal', 'telkomsel', 'udah', 'bagus', 'maklum', 'tinggal', 'desa']</t>
  </si>
  <si>
    <t>['beli', 'pulsa', 'beli', 'kuota', 'situ', 'tertulis', 'gangguan', 'sistem', 'tunggu', 'menit', 'menunggu', 'membeli', 'kuota', 'pulsa', 'kesedot', '']</t>
  </si>
  <si>
    <t>['pulsa', 'kesedot', 'dpt', 'kuota', 'kemendikbud', 'aktif', 'nyalakan', 'kuota', 'data', 'kesedot', 'pulsanya', 'suka', 'ambil', 'pulsa', 'hak', 'kembalikan', 'pulsa', 'diambil', 'hak', 'operator', 'telkomsel', 'loop', 'kartu', 'jaman', 'xovid', 'ambil', 'pulsa', 'orang', 'takutlah', 'menciptakan', 'ikuti', 'perintah', 'nyolong', 'pulsa', 'orang', 'hak', 'anjiiiiiiiiiiiiiiiiiiiiiingggggggg', 'bangsaaaaaaaaaaaaaaaaaaat']</t>
  </si>
  <si>
    <t>['isi', 'ulang', 'pulsa', 'dipotong', 'otomatis', 'koneksi', 'wifi', 'tolong', 'enaknya', 'udah', 'paket', 'inet', 'mahal', 'main', 'potong', 'tolong', 'kembalikan', 'pulsa', 'haknya', 'jngn', 'diambil', 'bgsd']</t>
  </si>
  <si>
    <t>['waaaa', 'bagus', 'banget', 'apk', 'mytelkomsel', 'nyaaa', 'udh', 'langganan', 'pke', 'telkomsel', 'sekeluarga', 'pke', 'telkomsel', 'pke', 'telkomsel', 'lbih', 'mudah', 'segitu', 'semangat', '']</t>
  </si>
  <si>
    <t>['senang', 'mudah', 'orang', 'awam', 'mengerti', 'kekurangan', 'isi', 'paket', 'dirumah', 'terimakasih', 'mytelkom', 'puas', '']</t>
  </si>
  <si>
    <t>['akses', 'aplikasinya', 'paket', 'internet', 'kehabisan', 'beli', 'aplikasi', 'manfaat', 'aplikasi', 'ngecek', 'paket', 'mending', 'non', 'aktifkan', 'cek', 'kuota', 'pakai', 'gbt', '']</t>
  </si>
  <si>
    <t>['aktivin', 'bulanan', 'udah', 'aktif', 'jam', 'malam', 'kasih', 'notifikasi', 'nonaktif', 'terbaca', 'emang', 'pakai', 'aktivin', 'nonaktikan', 'sesuka', 'hati', 'sayang', 'pulsa', 'terbuang', 'gtu']</t>
  </si>
  <si>
    <t>['jaringan', 'telkomsel', 'gangguan', 'jelek', 'paket', 'data', 'isi', 'heran', 'deh', 'ngeselin', '']</t>
  </si>
  <si>
    <t>['nyedot', 'kuota', 'internet', 'pasang', 'aplikasi', 'telkomsel', 'internet', 'jalan', 'donwload', 'data', 'background', 'uninstall', 'aman', 'coba']</t>
  </si>
  <si>
    <t>['berjalan', 'lancar', 'smpai', 'kmaren', 'kirim', 'pulsa', 'smpe', 'tahap', 'payment', 'shopeepay', 'notif', 'mytelsel', 'pembayaran', 'berhasil', 'disarankan', 'coba', 'bbrapa', 'kmudian', 'pikir', 'krna', 'gangguan', 'koneksi', 'jaringan', 'coba', 'lakukan', 'payment', 'bgitu', 'cek', 'shopeepay', 'trnyata', 'dana', 'trpotong', 'transaksi', 'gagal', 'auto', 'pengembalian', 'dana', 'shopeepay', 'qodarullah', 'alhamdulillah', 'smpe', 'dananya', 'admin', 'mohon', 'ditingkatkan', 'yaa']</t>
  </si>
  <si>
    <t>['pengalaman', 'buruk', 'pulsa', 'kuota', 'internet', 'kuota', 'internetnya', 'jenis', 'salah', 'habis', 'pulsa', 'ilang', 'kuota', 'terpakai', 'sekian', 'trims', '']</t>
  </si>
  <si>
    <t>['alhamdulillah', 'jaringan', 'telkomsel', 'daerah', 'lumayan', 'lancar', 'kendalanya', 'mati', 'lampu', 'sinyal', 'telkomsel', 'hilang', 'tpi', 'diluar', 'dri', 'ngk', 'papa', 'lahh', 'terimakasih', 'telkomsel', '']</t>
  </si>
  <si>
    <t>['parah', 'kecewa', 'telkomsel', 'kemarin', 'sore', 'pembelian', 'paket', 'combo', 'sakti', 'aplikasi', 'telkomsel', 'pembayaran', 'via', 'shopee', 'pay', 'keterangan', 'shopee', 'pay', 'berhasil', 'saldo', 'terpotong', 'pemberitahuan', 'aplikasi', 'telkomsel', 'pmbayaran', 'berhasil', 'hub', 'telkomsel', 'konfirmasi', 'paket', 'masuk', 'disuruh', 'nunggu', 'jam', 'blum', 'masuk', 'beli', 'paket', '']</t>
  </si>
  <si>
    <t>['dapet', 'kuota', 'kemendikbud', 'dipakai', 'tulisannya', 'internet', 'tolong', 'terkait', 'perbaiki', 'sekolah', 'paket', 'merugikan', 'toloooong', 'woiiii', 'benerin', 'gua', 'sekolah', 'susah']</t>
  </si>
  <si>
    <t>['keseluruhani', 'telkom', 'the', 'best', 'saran', 'mending', 'tambahin', 'fitur', 'pulsa', 'safe', 'kek', 'operator', 'sebelah', 'kesedot', 'gara', 'gara', 'kuota', 'abis', 'miantep', '']</t>
  </si>
  <si>
    <t>['login', 'nomer', 'nomer', 'router', 'buka', 'apps', 'buka', 'login', 'nomer', 'buka', 'nomer', 'router', 'logout', 'verifikasi', 'ribet', 'router', 'dipasang', 'ditiang', 'rumah', 'mohon', 'diperbaiki', 'logout', '']</t>
  </si>
  <si>
    <t>['telkomsel', 'bagus', 'jelek', 'kualitasnya', 'skrg', 'udh', 'kerja', 'kemendikbud', 'jelek', 'lgi', 'jaringan', 'lemot', 'siang', 'tdi', 'nyari', 'tugas', 'gini', 'mending', 'pindah', 'operator']</t>
  </si>
  <si>
    <t>['kabar', 'nerima', 'kuota', 'gratis', 'mb', 'isi', 'ulang', 'pulsa', 'otomatis', 'pakai', 'terpotong', 'pulsa', 'pulsa', 'rupiah', 'gimana', 'telkomsel', 'niat', 'ngirim', 'gratisan', 'dikasih', 'uang', 'terpotong', 'bukti', 'tinggal', 'pertanggung', 'jawabkan', 'capek', 'ganti', 'kartu', 'pilihan', 'terbaik', 'pakai', 'telkomsel', 'tanggung', 'jeleknya', 'kartu', '']</t>
  </si>
  <si>
    <t>['bintang', 'kecewa', 'telkomsel', 'memiliki', 'kuota', 'internet', 'mengakses', 'internet', 'pulsa', 'kuras', 'ribu', 'terakses', 'detik', 'maaf', 'kecewa', '']</t>
  </si>
  <si>
    <t>['menjijikan', 'sinyal', 'telkomsel', 'buruk', 'dibawah', 'tri', 'sngat', 'mengecewakan', 'mestinya', 'telkomsel', 'bertanggung', 'penjelasan', 'jaringan', 'telkomsel', 'seburuk', 'beli', 'mahal', 'kuota', 'harap', 'dibalas', '']</t>
  </si>
  <si>
    <t>['telkomsel', 'eror', 'harga', 'paketan', 'mahal', 'daerah', 'sedayu', 'bantul', 'jogjakarta', 'hujan', 'mati', 'lampu', 'telkomsel', 'ilang', 'jumat', 'sinyal', 'parah', 'bnget', 'butuhin', 'browsing', 'daring', 'anak', 'anak', 'tolong', 'perbaiki', 'jangn', 'cuman', 'naikin', 'harga', 'kualitas', 'bagus', 'pelanggan', 'puas', '']</t>
  </si>
  <si>
    <t>['telkomsel', 'lemot', 'tinggal', 'priuk', 'jaya', 'bayur', 'pintu', 'dlu', 'telkomsel', 'nyaman', 'banget', 'jaringannya', 'cepet', 'lemot', 'tinggal', 'kenangan', '']</t>
  </si>
  <si>
    <t>['ngasi', 'saran', 'ditambahi', 'pengaturan', 'penguncian', 'pulsa', 'menghindari', 'pulsa', 'habis', 'karna', 'panggilan', 'sengaja', 'data', 'aktif', 'paket', 'berguna', 'banget', 'orangtua', 'anak', 'hobi', 'mainin', 'handpone', 'emak', 'bapaknya', 'trimakasih']</t>
  </si>
  <si>
    <t>['terima', 'kasih', 'perbaikan', 'perbaikan', 'aplikasinya', 'memohon', 'perbaikan', 'signal', 'ditempat', 'dipelosok', 'signal', 'masuk', 'kerumah', 'tepatnya', 'perumahan', 'bbip', 'kecamatan', 'sekernan', 'kabupaten', 'muaro', 'jambi', 'harapan', 'ditempat', 'didirikan', 'menara', 'pemancar', 'signal', 'ditempat', 'penduduk', 'pengguna', 'perhatiannya', 'ucapakan', 'ribuan', 'terimakasih', 'wassalam', '']</t>
  </si>
  <si>
    <t>['ngerti', 'kartu', 'simpati', 'jaringan', 'sinyal', 'terbagus', 'terbaik', 'indonesia', 'didaerah', 'jabodetabek', 'jaringan', 'sinyal', 'kartu', 'simpati', 'jelek', 'banget', 'diwilayah', 'kota', 'bogor', 'dibantarjati', 'jalan', 'padjajaran', 'ceremai', 'ujung', 'jaringan', 'sinyal', 'jelek', 'banget', 'berasa', 'pakai', 'kartu', 'tree', 'jaringan', 'sinyal', 'simpati', 'terkalahkan', 'jaringan', 'sinyal', 'indosat', 'axis', 'tolong', 'perbaiki', 'jaringan', 'sinyalnya', '']</t>
  </si>
  <si>
    <t>['telkomselnya', 'sisa', 'kouta', 'sehari', 'dateng', 'kouta', 'pas', 'ambil', 'kouta', 'dateng', 'rugi', 'sisa', 'kouta', 'kepake', 'tolong', 'bantu', 'gmn']</t>
  </si>
  <si>
    <t>['bsk', 'buang', 'kartu', 'telkomsel', 'ganti', 'sebelah', 'internetan', 'lemot', 'sinyal', 'penuh', 'lola', 'terluas', 'terluas', 'lola', '']</t>
  </si>
  <si>
    <t>['males', 'telkomsel', 'mending', 'pke', 'im', 'murah', 'kek', 'telkomsel', 'mahal', 'sinyal', 'lemot', 'males', 'gwe', 'sebenernya', 'gwe', 'pengguna', 'telkomsel', 'udh', 'thn', 'nga', 'perubahan', 'udah', 'pindah', 'saran', 'telkomsel', 'ganti', '']</t>
  </si>
  <si>
    <t>['telkomsel', 'tolong', 'sinyal', 'daerah', 'kondisikan', 'vidiocall', 'susah', 'macet', 'tolong', 'telkomsel', 'harap', 'memperbaiki', 'sinyal', 'daerah', 'aceh', 'selatan', 'kecamatan', 'pasie', 'raja', 'gampong', 'pucok', 'krueng']</t>
  </si>
  <si>
    <t>['anjink', 'paket', 'mahal', 'jaringan', 'kek', 'siput', 'asw', 'ngentot', 'bener', 'tsel', 'anjink', 'game', 'ngelag', 'sosmed', 'ngelag', 'ngelag', 'paket', 'mahalin', 'jaringan', 'luemmmootttt', 'asuuuuu', 'males', 'tsellllll', 'udah', 'mahal', 'jaringan', 'kek', 'cape', 'anjenk']</t>
  </si>
  <si>
    <t>['ngeluarin', 'produk', 'ulimited', 'kayak', 'smartfreen', 'tetep', 'lemot', 'tetep', 'smartfreen', 'kecewa', 'parah', '']</t>
  </si>
  <si>
    <t>['tingkatkan', 'kwalitas', 'kwantintas', 'program', 'beritahu', 'program', 'khusus', 'kartu', 'pakai', 'pengguna', 'aktif', '']</t>
  </si>
  <si>
    <t>['provider', 'biadab', 'peradaban', 'manusia', 'kuota', 'habis', 'masanya', 'jam', 'wib', 'lupa', 'aktifasi', 'beli', 'paket', 'konsumsi', 'internet', 'pulsa', 'modus', 'gratis', 'kuota', 'gb', 'upaya', 'mengambil', 'pulsamu', 'hpmu', 'mendapati', 'sinyal', 'pulsamu', 'dibantai', 'ampun', 'lupa', 'mematikan', 'data', 'berlaku', 'pembantaian', 'pulsa', 'berlanjut', 'huahahahahah', 'keji', 'sadis', 'biadab', 'tambahin', '']</t>
  </si>
  <si>
    <t>['ngeleg', 'trusss', 'nyesel', 'kartu', 'telkomsel', 'sinyal', 'udah', 'full', 'lemot', 'banget', 'tolong', 'perbaiki', 'kuota', 'kepake', 'gb', 'nyari', 'duit', 'susah', 'kasian', 'kampung', 'sinyalnya', 'aduhh', '']</t>
  </si>
  <si>
    <t>['telkomsel', 'lancar', 'jaringannya', 'lemot', 'banget', 'buka', 'web', 'nunggu', 'banget', 'sinyal', 'bagus', 'jarningannya', 'lambat', 'tolong', 'diperbaiki', '']</t>
  </si>
  <si>
    <t>['tolong', 'perbaiki', 'sinyal', 'gaya', 'paket', 'internet', 'mahal', 'sinyal', 'lemot', 'main', 'game', 'susah', 'gimana', '']</t>
  </si>
  <si>
    <t>['halo', 'permasalahan', 'alami', 'pulsa', 'berkurang', 'notif', 'pengurangan', 'pulsa', 'jaringan', 'buruk', 'kuota', 'gb', 'jaringan', 'full', 'buka', 'youtube', 'game', 'browser', 'bufffering', 'bufffering', 'gimna', 'telkomsel', 'adlah', 'provider', 'terbesar', 'indonesia', 'telkomsel', 'provider', 'terburuk']</t>
  </si>
  <si>
    <t>['', 'tuhan', 'mbak', 'isi', 'kuota', 'ngelag', 'siang', 'isi', 'malem', 'main', 'game', 'ngelag', 'jujur', 'kecewa', 'banget', 'harganya', 'mahal', 'jaringan', 'lumayan', 'dahlah', '']</t>
  </si>
  <si>
    <t>['beli', 'paketnya', 'mahal', 'sinyal', 'parah', 'parah', 'kalah', 'provider', 'murah', 'mending', 'pindah', 'provider', 'jaringan', 'internet', 'stabil', 'goodby', 'telkomsel', 'menemani', 'sya', 'thn', '']</t>
  </si>
  <si>
    <t>['kuota', 'pemakaian', 'lancar', 'jaya', 'pulsa', 'habis', 'disedot', 'pas', 'cek', 'diriwayat', 'pulsa', 'habis', 'pemakaian', 'internet', 'gunanya', 'kuota', 'pajangan', 'terimakasih']</t>
  </si>
  <si>
    <t>['tolong', 'dikembalikan', 'saldo', 'shopee', 'pay', 'masak', 'laporan', 'diaplikasi', 'telkomsel', 'gagal', 'diaplikasi', 'shopee', 'berhasil', 'lho', 'hati', 'teman', 'beli', 'paket', 'via', 'aplikasi', '']</t>
  </si>
  <si>
    <t>['hei', 'telkomsel', 'mengalami', 'gangguan', 'koneksi', 'internet', 'tanggal', 'maret', 'menghubungi', 'telkomsel', 'solusi', 'restart', 'jaringan', 'mohon', 'dibenahi', 'konektivitas', 'jaringannya', 'jujur', 'pelanggan', 'kecewa', 'solusi', '']</t>
  </si>
  <si>
    <t>['beli', 'kuota', 'paket', 'swadaya', 'unlimited', 'gb', 'paket', 'parahnya', 'gb', 'lemot', 'nerima', 'oderan', 'gojek', 'loding', 'tolong', 'telkomsel', 'kuota', 'swadaya', 'unlimited', 'kemana', 'paket', 'swadaya', 'hilang', 'paket', 'lemot', 'terima', 'kasih']</t>
  </si>
  <si>
    <t>['bagus', 'banget', 'aplikasinya', 'cuman', 'kada', 'down', 'kesel', 'banget', 'harapan', 'moga', 'kedepannya', 'diperbaiki', 'sukses', 'telkomsel']</t>
  </si>
  <si>
    <t>['komen', 'karna', 'telkomsel', 'jaringan', 'terbesar', 'terluas', 'indonesia', 'raya', 'sampesampe', 'taun', 'lemot', 'parah', 'tinggal', 'seatap', 'pengguna', 'kartu', 'bisabisanya', 'telkomsel', 'anjlok', 'keliatan', 'garis', 'putih', 'jaringannya', 'wahwahh', 'jujur', 'pakai', 'telkomsel', 'udah', 'markotop', 'anjlok', 'lamalama', 'bakalah', 'ditinggal', 'pengguna', 'semoga', 'semoga', 'deh', '']</t>
  </si>
  <si>
    <t>['', 'liat', 'puas', 'telkomsel', 'sumpah', 'jaringan', 'buruk', 'buka', 'browser', 'banget', 'anehh', 'provider', 'terbesar', 'kualitas', 'sinyal', 'kaya', 'gini']</t>
  </si>
  <si>
    <t>['gimana', 'beli', 'kuota', 'bayar', 'pakai', 'shopee', 'pay', 'diaplikasi', 'bilangnya', 'pembayaran', 'gagal', 'tpi', 'shopee', 'pay', 'kepotong', 'rugi']</t>
  </si>
  <si>
    <t>['telkomsel', 'tolong', 'kartu', 'promo', 'paket', 'murah', 'keluarga', 'telkomsel', 'paket', 'mahal', 'mahal', 'sinyal', 'sekarng', 'jelek', 'tolong', 'developer', 'telkomsel']</t>
  </si>
  <si>
    <t>['tolong', 'telkomsel', 'jaringan', 'jelek', 'banget', 'bagus', 'nelpon', 'call', 'center', 'berkali', 'berbelit', 'pengguna', 'kartu', 'halo', 'sinyal', 'bagus', 'tpi', 'skrang', 'jelek', 'banget']</t>
  </si>
  <si>
    <t>['provider', 'beli', 'paket', 'mahal', 'mahal', 'jaringan', 'sesuai', 'bayar', 'sungguh', 'sanagt', 'mengecewakan', 'alasan', 'perbaikan', 'perbaikan', 'gimana', 'berbulan', '']</t>
  </si>
  <si>
    <t>['ayooo', 'warga', 'pejaten', 'barat', 'pindah', 'bahh', 'gila', 'bagus', 'banget', 'towernya', 'beda', 'tsel', 'harga', 'mahal', 'jaringan', 'nyesel', 'lohhh', 'msh', 'pertahankan', 'tsel', 'dirumah', 'tsel', 'good', 'bye', 'mohon', 'maaf', 'kak', 'hairul', 'keluhan', 'akses', 'internet', 'lambat', 'mimin', 'bantu', 'silakan', 'konfirmasi', 'twitter', 'telegram', 'dll', 'bohong', 'banget', 'kaliannn', 'udh', 'email', 'complain', 'parah', 'team', 'tsel', 'jajarannya']</t>
  </si>
  <si>
    <t>['plis', 'paket', 'unlimited', 'max', 'gratis', 'youtube', 'kenyataannya', 'gua', 'bela', 'belain', 'beli', 'dapet', 'gratis', 'ditipu', 'plislah', 'gaada', 'kuota', 'gratis', 'unlimited', 'dicantumkan', 'pembodohan', 'maaf', 'ngomong', 'sopan', 'gini', '']</t>
  </si>
  <si>
    <t>['bagus', 'dpt', 'promo', 'murah', 'pembelian', 'beli', 'isi', 'pulsa', 'poin', 'undian', 'terpilih', 'knp', 'dpt', 'hadiah', 'mimin', 'tlong', 'tembus', 'hadiahnya', '']</t>
  </si>
  <si>
    <t>['kecewa', 'beli', 'pulsa', 'aplikasi', 'saldo', 'berkurang', 'bayar', 'shopee', 'saldo', 'berkurang', 'pulsa', 'ndak', 'masuk', 'notif', 'berhasil', 'mengecewakan', 'menyebalkan', '']</t>
  </si>
  <si>
    <t>['telkomsel', 'jaringganya', 'kaya', 'siput', 'kampung', 'jakarta', 'sma', 'jakarta', 'utara', 'jaringganya', 'paket', 'kepakai', 'gra', 'jaringganya', 'kaya', 'siput', 'brjalan', 'telkomsel', 'gunanya', '']</t>
  </si>
  <si>
    <t>['paket', 'data', 'masuk', 'saldo', 'shoopepay', 'berkurang', 'pembayaran', 'berhasil', 'aplikasinya', 'gimana', 'inii', '']</t>
  </si>
  <si>
    <t>['tolong', 'gimana', 'beli', 'kuota', 'belajar', 'bayarnya', 'shopeepay', 'pas', 'udh', 'bayar', 'pembayaran', 'berhasil', 'uang', 'ketarik', 'habis', 'kuota', 'masuk', 'gimana', 'parah', 'tekan', 'bayar', 'kali', 'uang', 'kali', 'kebawa', 'kuota', 'masuk', 'mohon', 'solusinya', '']</t>
  </si>
  <si>
    <t>['kirim', 'pulsa', 'tulisan', 'maaf', 'sistem', 'sibuk', 'coba', 'berhari', 'tulisan', 'paketan', 'lemot', 'beli', 'pulsa', 'ribu', 'pulsa', 'ribu', 'kenapaya', 'moga', 'moga', 'kelakuan', 'telkomsel', 'semoga', 'kena', 'balasan', 'karna', 'kartu', 'orang', 'tua', 'kartu', 'buang', 'kartu', 'ngakali']</t>
  </si>
  <si>
    <t>['telkomsel', 'berbeda', 'punyak', 'teman', 'beli', 'paketan', 'murah', 'murah', 'combo', 'sakti', 'beli', 'paketan', 'murah', 'punyak', 'mahal', 'combo', 'sakti', 'app', 'telkosel', 'memperpanjang', 'aktif', 'kuota', '']</t>
  </si>
  <si>
    <t>['tolong', 'jaga', 'privasi', 'kartu', 'orang', 'gue', 'sms', 'pinjaman', 'online', 'orang', 'ngak', 'udah', 'paketan', 'mahal', 'ngak', 'jaga', 'data', 'pelanggan', 'lemot', '']</t>
  </si>
  <si>
    <t>['bagus', 'membantu', 'selengkap', 'kaya', 'karna', 'aplikasi', 'link', 'aplikasi', 'telkomsel', 'muncul', 'saldo', 'link', 'tinggal', 'download', 'aplikasi', 'link', 'ribet', '']</t>
  </si>
  <si>
    <t>['mohon', 'maaf', 'dikasih', 'mangkritik', 'kouta', 'games', 'max', 'kouta', 'games', 'ulasannya', 'kouta', 'games', 'game', 'mobile', 'legend', 'bang', 'bang', 'tertulis', 'kouta', 'games', 'game', 'free', 'fire', 'pubg', 'dll', 'tatapi', 'tertulis', 'konecsi', 'gagal', 'mohon', 'bersangkutan', 'perbaiki', 'puas', 'terimakasih', '']</t>
  </si>
  <si>
    <t>['jaringan', 'kaya', 'gini', 'telepon', 'call', 'center', 'tetep', 'meningkatkan', 'kwalitas', 'menurun', 'drastis', 'jaringannya', 'ngajak', 'berantem', '']</t>
  </si>
  <si>
    <t>['telkomsel', 'pelajar', 'nyaman', 'kualitas', 'sinyal', 'buruk', 'bantuan', 'kuota', 'pemerintah', 'sinyal', 'provider', 'mendukung', 'tolong', 'diperbaiki', 'kualitas', 'sinyal', '']</t>
  </si>
  <si>
    <t>['provider', 'pelaku', 'hoax', 'dibilang', 'pelaku', 'kebohongan', 'publik', 'bilangnya', 'promo', 'motong', 'pulsa', 'bilangnya', 'jaringan', 'terkuat', 'terluas', 'diindonesia', 'jakarta', 'sinyalnya', 'tiarap', 'mulu', 'gue', 'tri', 'jakarta', 'aman', 'aman', 'sekelas', 'simpati', 'dijakarta', 'ilang', 'mulu', 'sinyalnya']</t>
  </si>
  <si>
    <t>['bener', 'bener', 'puas', 'aplikasi', 'daftar', 'lancar', 'lancar', 'pas', 'masuk', 'dibilang', 'internet', 'koneksi', 'wifi', 'terbubung', 'kartu', 'nyalain', 'data', 'datanya', 'muncul', 'mati', 'tolong', 'diperbaiki', 'terima', 'kasih']</t>
  </si>
  <si>
    <t>['komen', 'komen', 'trima', 'gitu', 'udah', 'aplikasi', 'belom', 'kalok', 'udah', 'relakan', 'kalok', 'sukak', 'tinggal', 'ganti', 'kartu', 'susah', 'bayangin', 'aplikasi', 'trus', 'komen', 'kayak', 'gini', 'rasakan', 'gitu', 'sma', 'komenin', 'tinggal', 'nikmati', 'susah', '']</t>
  </si>
  <si>
    <t>['parah', 'bener', 'telkomsel', 'beli', 'paket', 'pakai', 'jaringannya', 'lemooot', 'banget', 'opratornya', 'coba', 'cek', 'jaringan', 'wilayah', 'kedungwaringin', 'kab', 'bekasi', 'udah', 'jaringan', 'internet', 'lemot', 'pisan', 'euy', '']</t>
  </si>
  <si>
    <t>['kebiasaan', 'peringatan', 'kuota', 'habis', 'langsung', 'nyedot', 'pulsa', 'jaringan', 'lambat', 'pilih', 'telokmsel', 'pilihan', 'kantor', 'mewajibkan', 'diperbaiki', 'permasalahan', 'jaringan', 'hilang', 'berubah', '']</t>
  </si>
  <si>
    <t>['asyikkk', 'udah', 'digunain', 'download', 'kali', 'download', 'yeayy', 'udah', 'udah', 'gitu', 'poin', 'harian', 'ditukar', 'kuota', 'pokoknya', 'bagus', 'deh', 'maaf', 'komen', 'jelek', 'pokoknya', 'download', 'yaa', 'dadahh', '']</t>
  </si>
  <si>
    <t>['bingung', 'aing', 'pilihan', 'paket', 'ilangan', 'sisa', 'paket', 'conference', 'paket', 'malam', 'gangguan', 'gimana', 'tolong', 'dongg']</t>
  </si>
  <si>
    <t>['pulsa', 'ilang', 'beli', 'paket', 'unlimited', 'rb', 'sisa', 'pulsa', 'ilang', 'telp', 'sms', 'berlangganan', 'apapun', 'ilang', 'tolong', 'kembalikan', 'pulsa', 'ribu', 'berguna', 'hmbagi', 'menipu', 'habis', 'isi', 'pulsa', 'sms', 'penipuan', 'telkomsel', 'nomer', 'pribadi', 'isi', 'konter', 'pulsa', 'uang', 'atm']</t>
  </si>
  <si>
    <t>['mohon', 'maaf', 'telkomsel', 'harganya', 'cocok', 'kalangan', 'menengah', 'keatas', 'menengah', 'kebawah', 'cocok', 'jaringan', 'luas', 'nikmati', 'orang', 'beli', 'mahal', 'kali', 'pengen', 'nyoba', 'sinyalnya', 'direkomendasikan', 'pas', 'maen', 'game', 'ping', 'normal', 'ms', 'ms']</t>
  </si>
  <si>
    <t>['telkomsel', 'aneh', 'pulsa', 'terpakai', 'berkurang', 'sepengetahuan', 'pemilik', 'kemana', 'pulsa', 'tersimpan', 'gitu', 'ambil', 'pulsa', 'sepengetahuan', 'costumer', '']</t>
  </si>
  <si>
    <t>['aplikasinya', 'gabisa', 'dibuka', 'cuman', 'nongol', 'putih', 'doang', 'udh', 'pdhl', 'jaringannya', 'bagus', 'gimana', 'min', 'buka', 'aplikasi', 'gitu', 'udah', 'perbaharui', 'tolong', 'perbaiki']</t>
  </si>
  <si>
    <t>['maaf', 'pilihan', 'membatalkan', 'berlangganan', 'paket', 'beli', 'paket', 'karna', 'berlaku', 'paket', 'selesai', 'bts', 'kecepatannya', 'paket', 'kuota', 'beli', 'terpakai', 'disuruh', 'mengjubungi', 'opsi', 'menonaktifkan', 'paket', 'tolong', 'perbaiki', '']</t>
  </si>
  <si>
    <t>['aplikasi', 'error', 'beli', 'paket', 'kuota', 'combo', 'sakti', 'paket', 'hilang', 'dibeli', 'jekas', 'paket', 'kuota', 'internet', 'telkomsel', 'hmpir', 'thn', 'berlangganan', 'bagus', 'kesini', 'jelek', '']</t>
  </si>
  <si>
    <t>['informasi', 'disediakan', 'sesuai', 'kuota', 'aplikasi', 'trial', 'penuh', 'error', 'telkomsel', 'salah', 'provider', 'indonesia', 'malu', '']</t>
  </si>
  <si>
    <t>['apknya', 'update', 'kalah', 'apk', 'sebelah', 'update', 'dri', 'apknya', 'abis', 'jaringan', 'kab', 'bandung', 'gada', 'sungguh', 'mengecewakan', 'udah', 'pulsa', 'sedot', 'ampe', 'abis', 'cari', 'uang', 'susah', 'woiii', 'jagan', 'ambil', 'pulsa', 'butuhkan', 'internet', 'pakai', 'belajar', 'mengertilah', 'dateng', '']</t>
  </si>
  <si>
    <t>['kecewa', 'telkomsel', 'teman', 'dihubungi', 'contact', 'center', 'terkait', 'berpindah', 'kekartu', 'hallo', 'pascabayar', 'karna', 'merugikan', 'berpindah', 'kekartu', 'prabayar', 'pilihan', 'melanjutkn', 'nomor', 'diblokir', 'menyesal', 'berpindah', 'karna', 'sya', 'berbicara', 'contact', 'center', 'berhenti', 'berlangganan', 'menjwb', 'resikony']</t>
  </si>
  <si>
    <t>['membeli', 'paket', 'internet', 'pulsa', 'paket', 'internet', 'masuk', 'nomor', 'anehnya', 'pulsa', 'terpotong', 'parah', '']</t>
  </si>
  <si>
    <t>['jujur', 'pengguba', 'telkomsel', 'signal', 'lancar', 'banget', 'gitu', 'kadang', 'kadang', 'suka', 'ngelag', 'paje', 'maen', 'game', 'mohon', 'perbaiki', 'kedepan', 'kartu', 'mahal', '']</t>
  </si>
  <si>
    <t>['isi', 'pulsa', 'pulsanya', 'habis', 'gara', 'youtube', 'premium', 'nggak', 'ngambil', 'youtube', 'premium', 'nggak', 'pemberitahuan', 'enak', 'ambil', 'uang', 'orang', '']</t>
  </si>
  <si>
    <t>['gimana', 'maunya', 'kmaren', 'beli', 'paket', 'permintaan', 'proses', 'mulu', 'bilangnya', 'proses', 'proses', 'trus', 'coba', 'saldo', 'saldonya', 'udah', 'harga', 'paketnya', 'gimana', 'niat', 'ngelola', 'apk', 'kecewe', 'banget', '']</t>
  </si>
  <si>
    <t>['beli', 'simcard', 'tgl', 'maret', 'lsg', 'aktivasi', 'smua', 'paket', 'komplit', 'combo', 'ketengan', 'aktifin', 'ketengan', 'youtube', 'kuota', 'utama', 'lancar', 'tgl', 'maret', 'cek', 'lsg', 'isi', 'pulsa', 'pas', 'apli', 'myt', 'paketnya', 'hilang', 'smua', 'paket', 'tlp', 'sms', 'cek', 'jawabannya', 'terima', 'kasih', 'permintaan', 'proses', 'kontek', 'veronica', 'sambung', 'mimin', 'gada', 'solusi', 'flexi', 'smp', 'migrasi', 'lupa', 'nomor', 'hangus', 'telkomsel', 'skrg', 'tbelakang', 'malu', '']</t>
  </si>
  <si>
    <t>['mmantap', 'sayangnya', 'sinyal', 'telkomsel', 'milih', 'milih', 'ruangan', 'jaringannya', 'perbaikan']</t>
  </si>
  <si>
    <t>['gimana', 'telkomsel', 'unlimited', 'promonya', 'tanggal', 'maret', 'klik', 'giliran', 'klik', 'paket', 'darurat', 'tpi', 'paket', 'unlimited', '']</t>
  </si>
  <si>
    <t>['telkomsel', 'lelet', 'kalah', 'provider', 'udh', 'perbaikan', 'sinyal', 'harga', 'paket', 'udh', 'lumayan', 'mahal', 'jaringan', 'lelet', 'malas', 'telkom']</t>
  </si>
  <si>
    <t>['selmat', 'pagi', 'sms', 'telkomsel', 'berisi', 'dptkn', 'voucher', 'googleplay', 'rb', 'pulsa', 'tsel', 'rb', 'telp', 'sms', 'tsel', 'beli', 'kuota', 'games', 'gb', 'rp', 'rb', 'cek', 'tsel', 'gold', 'promo', 'mar', 'pulsa', 'dipotong', 'otomatis', 'isi', 'pulsa', 'pas', 'nelpon', 'pulsanya', 'udah', 'habis', 'dimakan', 'telkomsel', 'mohon', 'solusinya', 'gmna', 'menghentikan', 'thanks', '']</t>
  </si>
  <si>
    <t>['pulsa', 'hilang', 'paketan', 'hutang', 'pulsa', 'kuota', 'pulsa', 'hilang', 'jam', 'pulsanya', 'gitu', 'tolong', 'udah', 'kali', 'kaya', 'gini']</t>
  </si>
  <si>
    <t>['developer', 'gmn', 'pulsa', 'paket', 'ceria', 'aktif', 'kuota', 'asyik', 'akses', 'lite', 'masuk', 'sms', 'telkomsel', 'akses', 'internet', 'tarif', 'non', 'paket', 'sisa', 'pulsa', 'kesedot', 'tersisa', '']</t>
  </si>
  <si>
    <t>['bagus', 'tolong', 'telkomsel', 'kartu', 'kartu', 'prabayar', 'beli', 'paket', 'kombo', 'saktinya', 'yaa', 'mintak', 'tolong', 'kartu', 'paket', 'combo', 'sakit', 'susah', 'beli', 'paket', 'apps', 'telkomsel', 'baca', 'dapetin', 'paket', 'combo', 'sakit', 'kartu', 'prabayar', 'prabayar', 'ktny', 'kartu', 'minimal', 'bru', 'dpt', 'combo', 'sakit', 'sya', 'bln']</t>
  </si>
  <si>
    <t>['minggu', 'qplikasi', 'telkomsel', 'error', 'trs', 'coba', 'upgrade', 'hapus', 'data', 'uninstal', 'trs', 'instal', 'tetep', 'error', 'kluar', 'lihat', 'dafar', 'paket', 'kuota', 'aplikasi', 'terhenti', 'ubah', 'ulasan', 'aplikasi', 'telkomsel', 'normal', '']</t>
  </si>
  <si>
    <t>['mohon', 'perbaiki', 'membeli', 'paket', 'pulsa', 'tpi', 'seteleh', 'pembelian', 'pulsa', 'mencukupi', 'pulsa']</t>
  </si>
  <si>
    <t>['bersyukur', 'dikasih', 'kuota', 'gb', 'nggak', 'klaim', 'pemberitahuan', 'penukaran', 'melewati', 'batas', 'maksimal', 'klaim', 'tolong', 'bug', 'diperbaiki', '']</t>
  </si>
  <si>
    <t>['bagus', 'laur', 'binasa', 'binasa', 'akal', 'paket', 'lokal', 'mubah', 'isa', 'pakai', 'gb', 'liatin', 'isa', 'kepakai', 'bagus', 'kenyataan', '']</t>
  </si>
  <si>
    <t>['isi', 'pulsa', 'cek', 'minggu', 'kepotong', 'internet', 'pakek', 'wifi', 'permainan', 'telkomsel', 'cari', 'receh', '']</t>
  </si>
  <si>
    <t>['telkomsel', 'org', 'pulsa', 'dicharge', 'pulsa', 'skrg', 'pulsa', 'ngapain', 'pulsa', 'koplak', 'tukar', 'poin', 'tukar', 'kupon', 'dicharge', 'pulsa', 'pikirin', 'pulsanya', 'senin', 'kamis', '']</t>
  </si>
  <si>
    <t>['ribet', 'banget', 'log', 'mulu', 'lag', 'kuotanya', 'mahal', 'jaringannya', 'lelet', 'emosi', 'bawaannya', 'kuota', 'entertainment', 'dahlah', 'pusing', 'banget', 'gibahinnya', '']</t>
  </si>
  <si>
    <t>['bagusan', 'versi', 'versi', 'loading', 'content', 'melulu', 'udah', 'gitu', 'lelet', 'ngabisin', 'kuota', 'cek', 'sisa', 'kuota', '']</t>
  </si>
  <si>
    <t>['veronikanya', 'aduhai', 'sms', 'blasting', 'masuk', 'repot', 'blokir', 'bonus', 'paket', 'berguna', 'chat', 'veronika', 'jam', 'pagi', 'dibilang', 'kakaak', 'berkenan', 'bonusnya', 'silahkan', 'ajukan', 'permintaannya', 'berhenti', 'promo', 'tsel', 'bodoamat', 'promo', 'merchant', 'pakai', 'paket', 'beli', 'bayar', 'bonus', 'sms', 'blast', 'genah', 'semoga', 'denny', 'siregar', 'menang', 'pengadilan', '']</t>
  </si>
  <si>
    <t>['haii', 'min', 'complen', 'dalem', 'tolong', 'telkomsel', 'promo', 'paket', 'bagus', 'bagus', 'paket', 'combo', 'omg', 'mulu', 'udah', 'setahun', 'ngga', 'promo', 'paket', 'bosen', 'paket', 'omg', 'mahal', 'pelajar']</t>
  </si>
  <si>
    <t>['mohon', 'diperbaiki', 'sekarmg', 'menit', 'muncul', 'iklan', 'penwaran', 'paket', 'game', 'melalu', 'info', 'operator', 'muncul', 'stiap', 'sngat', 'mengganggu', 'jaringan', 'seluler', 'berhenti', 'mengganggu', 'aktifitas', 'sya', 'bermain', 'ponsel', 'koneksi', 'internet', 'buruk', 'burik', 'males', 'skrng', 'sya', 'banggakan', 'maslah', '']</t>
  </si>
  <si>
    <t>['tolong', 'diperbaiki', 'jaringan', 'data', 'didaerah', 'kec', 'keritang', 'inhil', 'riau', 'karna', 'tower', 'telkomsel', 'jaringan', 'datanya', 'buruuuuuuuk', 'mengecewakan', '']</t>
  </si>
  <si>
    <t>['sumpah', 'paket', 'unlimited', 'super', 'lambat', 'gb', 'sosmed', 'sepuas', 'buka', 'postingan', 'gambar', 'video', 'buffering', '']</t>
  </si>
  <si>
    <t>['telkom', 'tolong', 'perbaiki', 'jaringannya', 'game', 'knapa', 'ganggu', 'nga', 'suport', 'bnget', 'game', 'lancar', 'udah', 'pke', 'gangguan', 'asli', 'woy', 'kli', 'bner', 'kesel', 'lgi', 'turnamen', 'macth', 'msuk', 'knapa', 'kyk', 'pke', 'pket', 'game', 'axis', 'kartu', 'sultan', 'standar', '']</t>
  </si>
  <si>
    <t>['beli', 'kuota', 'internet', 'aplikasi', 'ngga', 'koneksi', 'jaringanku', 'udah', 'bagus', 'pulsa', 'udah', 'beli', 'kuota', 'panggilan', 'sistemnya', 'sibuk', 'tolong', 'apk', 'perbaharui', 'gangguan', 'sistem']</t>
  </si>
  <si>
    <t>['susah', 'komplain', 'signal', 'ilang', 'ilangan', 'diwilayah', 'fitur', 'chatting', 'custemer', 'care', 'pelanggan', 'operator', 'interaksi', 'memecahkan', 'mslh', 'pelanggan', 'ribet', 'aplikasi']</t>
  </si>
  <si>
    <t>['puas', 'telkomsel', 'kegiatan', 'berhubungan', 'data', 'internet', 'telkomsel', 'memuaskan', 'semenjak', 'pandemi', 'covid', 'setahun', 'kegiatan', 'dikerjakqn', 'rumah', 'layanan', 'internet', 'berjalan', 'maksimal', 'anak', 'anak', 'rekan', 'rekan', 'kerja', 'telkomsel', 'pokoknya', 'telkomsel', 'siip', 'nggak', 'duanya', '']</t>
  </si>
  <si>
    <t>['bintang', 'sumpah', 'telkomsel', 'gua', 'beli', 'paket', 'pulsa', 'gua', 'melebihi', 'harga', 'paket', 'masak', 'iya', 'pulsa', 'gua', 'mencukupi', 'sumpah', 'aneh']</t>
  </si>
  <si>
    <t>['sinyal', 'telkomsel', 'ganguan', 'min', 'yaa', 'jujur', 'kartu', 'mahal', 'sinyal', 'susah', 'nyaman', '']</t>
  </si>
  <si>
    <t>['hadeh', 'sinyal', 'bagus', 'bawa', 'kekamar', 'mandi', 'ilang', 'ruang', 'tamu', 'trus', 'sinyalnaya', 'ilang', 'stabill', 'kota', 'gmna']</t>
  </si>
  <si>
    <t>['telkomsel', 'daerah', 'pagelaran', 'kabupaten', 'pringsewu', 'lampung', 'sinyal', 'bagus', 'sinyal', 'buruk', 'maksimal', 'tolong', 'perhatikan', 'telkomsel', 'kalah', 'operator', 'sebelah', 'menerus', 'pindah', 'sebelah']</t>
  </si>
  <si>
    <t>['mohon', 'maaf', 'signal', 'indosat', 'signal', 'telkomsel', 'signal', 'telkomsel', 'lemah', 'internetan', 'indosat', 'bagus', 'alami', '']</t>
  </si>
  <si>
    <t>['', 'tolong', 'jaringan', 'telkomsel', 'perbaiki', 'emang', 'gangguan', 'telkomsel', 'jaringan', 'ancur', 'banget', 'kota', 'kampung', 'toling', 'kecewain', 'doang', 'ngrasin', 'kya', 'bgni', '']</t>
  </si>
  <si>
    <t>['paket', 'internet', 'rb', 'gb', 'udah', 'skrng', 'paket', 'internetnya', 'mahal', 'unlimitesnya', 'rban', 'udh', 'males', 'kartu', 'sayang', 'udah', 'praktis', 'skrng', 'kartunya', 'trima', 'telpon', 'doang', '']</t>
  </si>
  <si>
    <t>['pusingg', 'bgtt', 'aplikasi', 'oke', 'oke', 'gaada', 'kendala', 'kesini', 'kemarin', 'beli', 'pulsa', 'kesedot', 'udah', 'transaksi', 'pembayaran', 'paketnya', 'paketnya', 'gaada', 'masuk', 'pulsa', 'kesedot', 'habis', 'beli', 'pulsa', 'shoope', 'pay', 'tunggu', 'sampe', 'belom', 'masuk', 'pulsanya', 'aplikasi', 'bangkrut', 'gini', 'ceritanya', '']</t>
  </si>
  <si>
    <t>['paket', 'aktif', 'masak', 'paket', 'aktif', 'habis', 'duluan', 'paket', 'satunya', 'tinggal', 'pakai', 'sayang', 'datanya', 'mahal', 'duh', 'nyaman', 'jadian']</t>
  </si>
  <si>
    <t>['nyesel', 'beli', 'kuota', 'telkomsel', 'sinyal', 'kayak', 'dihutan', 'dikota', 'pantesan', 'udah', 'murah', 'kuota', 'kuota', 'main', 'udah', 'deh', 'ngayal', 'bagus', 'kartu', 'beli', 'kuota', 'telkomsel', 'mending', 'sukses', '']</t>
  </si>
  <si>
    <t>['coba', 'beli', 'paket', 'combo', 'thrifty', 'blm', 'pulsa', 'pulsa', 'mencukupi', 'isi', 'ulang', 'pulsa', 'maaf', 'gangguan', 'sistem', 'jam', 'nonstop', 'gangguan', 'jempol', 'bengkak', 'gangguan', '']</t>
  </si>
  <si>
    <t>['selamat', 'paket', 'aktif', 'berlaku', 'tgl', 'pkl', 'wib', 'cek', 'status', 'berhenti', 'berlangganan', 'telkomsel', 'apps', 'hub', 'info', 'mah', 'jam', 'niat', 'beli', 'besok', 'payah', 'paket', 'harian', 'ribet', 'namanya', 'jam', 'beli', 'paket', 'jam', 'kudunya', 'sampe', 'esok', 'harinya', '']</t>
  </si>
  <si>
    <t>['kesini', 'jelek', 'seluler', 'udah', 'harga', 'kuota', 'internet', 'mahal', 'sinyal', 'kuota', 'internet', 'habis', 'langsung', 'motong', 'pulsa', 'utama', '']</t>
  </si>
  <si>
    <t>['laknat', 'kali', 'jaringan', 'berubah', 'bentar', 'langsung', 'nyedot', 'pulsa', 'habis', 'benak', 'fitur', 'pulsa', 'save', 'kayak', 'jaringan', '']</t>
  </si>
  <si>
    <t>['berlangganan', 'paket', 'darurat', 'terdaftar', 'isi', 'pulsa', 'terpotong', 'nonaktifkan', 'kadang', 'pulsa', 'kepotong', '']</t>
  </si>
  <si>
    <t>['kebanyakan', 'pilihan', 'paket', 'kebingungan', 'penentuan', 'paket', 'pakai', 'nomor', 'masak', 'kemana', 'internet', 'lokal', 'dipakai', '']</t>
  </si>
  <si>
    <t>['hai', 'telkomsel', 'terhormat', 'memberitahu', 'telkomsel', 'dipakai', 'lag', 'mohon', 'maaf', 'mencari', 'untung', 'rugi', 'beli', 'pulsa', 'bohongin', 'lag']</t>
  </si>
  <si>
    <t>['maaf', 'telkomsel', 'makai', 'kartu', 'simpati', 'berharap', 'dapet', 'paket', 'bagus', 'kakak', 'paket', 'combo', 'sakti', 'kecewa', 'sumpah']</t>
  </si>
  <si>
    <t>['gimana', 'telkomsel', 'rusak', 'aplikasi', 'aktivasi', 'paket', 'paket', 'masuk', 'pulsa', 'terpotong', 'udah', 'coba', 'restart', 'masuk', 'benerin', 'paket', 'doang', 'mahal', 'kualitas', 'aplikasi', 'buruk', '']</t>
  </si>
  <si>
    <t>['paket', 'kartu', 'freedom', 'max', 'unlimited', 'aktifnya', 'non', 'aktifkan', 'salah', 'paket', 'tsb', 'gimana', 'paket', 'gunain']</t>
  </si>
  <si>
    <t>['telkomsel', 'payah', 'sinyal', 'internet', 'bener', 'parah', 'rugikan', 'berlangganan', 'pkai', 'telkomsel', 'sya', 'beli', 'paketan', 'internet', 'murah', 'smpai', 'hbis', 'ribu', 'tpi', 'kualitas', 'sinyal', 'buruk', 'mending', 'pindah', 'krtu', 'sja', 'mengecewakan', '']</t>
  </si>
  <si>
    <t>['membantu', 'aplikasi', 'iniz', 'beli', 'paket', 'apapun', 'tinggal', 'sisa', 'saldo', 'apapun', 'disayangkan', 'harga', 'mahal', 'tpi', 'jaringan', 'murahan', 'daerah', 'cirebon', 'timur', 'lancarnya', 'sebentar', 'ngelagnya', 'terlalusering', 'main', 'game', 'online']</t>
  </si>
  <si>
    <t>['hallo', 'kak', 'mersa', 'kecewa', 'krna', 'paket', 'internet', 'mahal', 'paket', 'belajar', 'paket', 'internet', 'mahasiswa', 'kesulitan', 'membeli', 'internet', 'keenakan', 'harga', 'paket', 'internet', 'mahal', 'lgi', 'pandemi', 'cari', 'uang', 'susah', 'mohoh', 'keringanan', 'turun', 'harga', 'paket', 'internet', 'makasih', '']</t>
  </si>
  <si>
    <t>['beli', 'paket', 'mahal', 'jaringan', 'lemot', 'banget', 'mending', 'harga', 'paket', 'turunin', 'kecepatan', 'kayak', 'siput', 'lemot', 'banget', 'mohon', 'maaf', 'tinggal', 'kota', 'sekitaran', 'jakarta']</t>
  </si>
  <si>
    <t>['kasih', 'bintang', 'kemarin', 'promo', 'hilang', 'berharap', 'mytlkomsel', 'mohon', 'menanggapi', 'perihal', '']</t>
  </si>
  <si>
    <t>['gua', 'beli', 'paket', 'promo', 'proses', 'mulu', 'beres', 'sebenernya', 'serius', 'ngasih', 'promo', 'beli', 'paket', 'paket', 'promo', 'proses', 'beres', 'beres']</t>
  </si>
  <si>
    <t>['jaringan', 'telkomsel', 'lelet', 'lemot', 'tolong', 'perbaiki', 'kasihan', 'tinggal', 'desa', 'perkampungan', 'ngak', 'menikmati', 'jarigan', 'bagus', 'klau', 'udah', 'perbaiki', 'entar', 'gua', 'kasi', 'bintang', '']</t>
  </si>
  <si>
    <t>['coba', 'beli', 'paket', 'ketengan', 'youtube', 'berlaku', 'sehari', 'udah', 'dipake', 'disitu', 'keterangan', 'youtube', 'sisa', 'parah', 'jaringannya', 'kesini', 'jelek', 'kota', 'kampung']</t>
  </si>
  <si>
    <t>['gimana', 'beli', 'paket', 'telkomsel', 'sdah', 'min', 'proses', 'pulsa', 'utuh', 'kuota', 'masuk', '']</t>
  </si>
  <si>
    <t>['telkomsel', 'beli', 'paket', 'unlimited', 'youtube', 'pas', 'buka', 'youtube', 'pemberitahuan', 'paketnya', 'berjalan', 'tinggal', 'dll', 'gaje']</t>
  </si>
  <si>
    <t>['telkomsel', 'mikir', 'mikir', 'dlu', 'pelayanan', 'telkomsel', 'kayak', 'mengecewakan', 'kerja', 'butuh', 'internet', 'kencang', 'rela', 'bayar', 'mahal', 'beli', 'paket', 'kartu', 'kartu', 'telkomsel', 'juara', 'harga', 'mahalll', 'abis', 'mengecewakan', 'sesuai', 'harapan', 'daerah', 'banda', 'aceh', 'internetnya', 'hancur', 'habis', 'internet', 'kencang', 'nyesal', 'telkomsel']</t>
  </si>
  <si>
    <t>['tambahin', 'bintang', 'tolong', 'ditindak', 'lanjuti', 'langsung', 'perbaiki', 'daerah', 'uda', 'keluhan', 'sinyal', 'stabil', 'gamer', 'jarak', 'tower', 'meter', 'desa', 'kaibon', 'kec', 'ambal', 'kab', 'kebumen', 'jateng', 'please', 'cek', 'lokasi', 'ntar', 'uda', 'normal', 'sedia', 'tambahin', 'bintangnya', 'masyarakat', 'berterima', 'kasih']</t>
  </si>
  <si>
    <t>['aktivasi', 'internet', 'aplikasi', 'dinyatakan', 'payment', 'proses', 'tindak', 'pulsa', 'rb', 'terpotong', 'rb', 'akses', 'internet', 'aplikasi', 'dst', 'rugi', 'pelanggan', 'tlp', 'call', 'center', 'blm', 'kelanjutannya', 'tetangga', 'klw', 'buka', 'aplikasinya', 'kenakan', 'biaya', 'mengecewakan', 'pakai', 'telkomsel', 'aplikasi', '']</t>
  </si>
  <si>
    <t>['suka', 'aplikasinya', 'cek', 'pulsa', 'paket', 'data', 'tinggal', 'klik', 'aplikasi', 'berhadiah', 'tukar', 'poin', 'mending', 'ditiadakan', 'menarik', 'konsumen', 'undian', '']</t>
  </si>
  <si>
    <t>['masuk', 'aplikasi', 'koneksi', 'stabil', 'wifi', 'tetep', 'dibuka', 'upgrade', 'versi', 'terbaru', '']</t>
  </si>
  <si>
    <t>['suka', 'fitur', 'daily', 'check', 'lumayan', 'kuota', 'tambahan', 'sinyal', 'terkadang', 'telkomsel', 'lemot', 'tpi', 'kadang', 'lancar', 'terimakasih', 'telkomsel']</t>
  </si>
  <si>
    <t>['paket', 'belajar', 'beli', 'uang', 'jajan', 'buka', 'browserpn', 'pulsa', 'kesedot', 'habis', 'nyesel', 'nyesek', 'miris', 'mending', 'jajan', 'anak', 'ketimbang', 'provider', 'makan', 'pulsa', 'pelanggan', 'pas', 'nyesek', 'miris', 'kerjanya', 'ceklis', 'rutinitas', 'doang', 'kekurangan', 'pelanggan', 'dianggap', 'sepelekan', 'tolong', 'perbaiki', 'kekurangan', 'berdampak', 'konsumen', 'gaji', 'bersyukurlah', '']</t>
  </si>
  <si>
    <t>['aplikasi', 'burik', 'bohong']</t>
  </si>
  <si>
    <t>['', 'telkomsel', 'kanapa', 'jelek', 'masak', 'sambungkan', 'akun', 'dana', 'trus', 'beli', 'pulsa', 'gimana', 'saldo', 'dana', 'gimana', 'tolong', 'cepat', 'perbaiki', 'ancur', 'udah', 'update']</t>
  </si>
  <si>
    <t>['gimana', 'telkomsel', 'uda', 'pulsa', 'harga', 'paket', 'masi', 'suruh', 'nunggu', 'menit', 'tinggal', 'sukses', 'susah', 'banget', 'pulsa', 'iya', 'maklum', 'pulsa', 'harga', 'paket', 'persulit', 'gua', 'uda', 'pakek', 'kartu', 'telkomsel', 'beli', 'paket', 'persulit', '']</t>
  </si>
  <si>
    <t>['quota', 'telkomsel', 'drakula', 'cepet', 'abis', 'dipake', 'nongol', 'motif', 'bentar', 'notif', 'kesalnya', 'lgi', 'signal', 'super', 'lelet', 'telkom', '']</t>
  </si>
  <si>
    <t>['berhari', 'buka', 'aplkasi', 'masuk', 'telkomsel', 'udh', 'update', 'tetep', 'buang', 'kuota', 'taunya', 'uninstal', 'dlu', 'gini', 'telkomsel', 'mahale', 'bae', 'suuuuueeee']</t>
  </si>
  <si>
    <t>['pelanggan', 'telkomsel', 'thn', 'bgtu', 'buka', 'aplikasi', 'telkomsel', 'paketnya', 'mahal', 'kartu', 'telkomsel', 'paketnya', 'murah', 'tolong', 'donk', 'paket', 'kartu', 'murah']</t>
  </si>
  <si>
    <t>['mohon', 'harga', 'paketan', 'mohon', 'perbaiki', 'elemen', 'masyarakat', 'yng', 'membeli', 'paket', 'harga', 'yng', 'relatif', 'mahal', 'nyaman', 'terbebani', 'harga', 'lumayan', 'mahal', '']</t>
  </si>
  <si>
    <t>['aplikasi', 'jelek', 'error', 'masuk', 'pesan', 'wait', 'habis', 'peringatan', 'boros', 'baterai', 'tablet', '']</t>
  </si>
  <si>
    <t>['vocer', 'masuk', 'sistem', 'sibuk', 'mulu', 'tungu', 'sebentar', 'haduh', 'percumah', 'beli', 'vocer', 'gunain', 'pandemi', 'ganguan', '']</t>
  </si>
  <si>
    <t>['tolong', 'jaringan', 'diperbaiki', 'kaya', 'siput', 'gini', 'cmn', 'untung', 'doang', 'pikirin', 'kenyamanan', 'pelanggan', 'kehilangan', 'pelanggan', '']</t>
  </si>
  <si>
    <t>['promo', 'dibeli', 'emang', 'salah', 'harga', 'tolong', 'dihilangkan', 'umb', 'apk', 'mytsel', 'alibi', 'perbaikkan', 'kecewa', '']</t>
  </si>
  <si>
    <t>['jaringan', 'telkomsel', 'bagus', 'super', 'ngebut', 'pakai', 'telkomsel', 'mengalami', 'jaringan', 'bagus', 'menelpon', 'call', 'centre', 'telkomsel', 'terkait', 'jaringan', 'jawabannya', 'suruh', 'refresh', 'mode', 'pesawat', 'mengecek', 'apn', 'sisanya', 'suruh', 'bersabar', '']</t>
  </si>
  <si>
    <t>['telkomsel', 'buruk', 'pakai', 'tekomsel', 'thn', 'slrang', 'kecewa', 'berdomisili', 'kabupaten', 'bogor', 'sinyal', 'telkomsel', 'buruk', 'trims', 'ganti', 'kartu', 'otw', '']</t>
  </si>
  <si>
    <t>['sinyal', 'telkomsel', 'parah', 'performa', 'menurun', 'saingan', 'menurun', 'posisi', 'kota', 'sinyal', 'bar']</t>
  </si>
  <si>
    <t>['oooiiiiiii', 'nape', 'sinyal', 'jelek', 'muluuu', 'jakarta', 'jawa', 'cirebon', 'sampe', 'pas', 'surabaya', 'jelek', 'terooos', 'kesel', 'pas', 'maen', 'game', 'ngleg', '']</t>
  </si>
  <si>
    <t>['sinyal', 'eror', 'paket', 'ngojek', 'lemot', 'gacoran', 'kuning', 'sinyal']</t>
  </si>
  <si>
    <t>['lengkap', 'fitur', 'trs', 'jaringan', 'kuat', 'telkomsel', 'aslinya', 'bahagiain', 'orng', 'strez', 'tolong', 'kuatin', 'jaringannya', 'wilayah', 'depok', 'donggg', '']</t>
  </si>
  <si>
    <t>['update', 'selesai', 'aplikasi', 'lemot', 'banget', 'login', 'aplikasi', 'butuh', 'menit', 'android', 'aplikasi', '']</t>
  </si>
  <si>
    <t>['bener', 'bener', 'ahli', 'mencuri', 'pulsa', 'unlimited', 'iyaaaa', 'pulsa', 'dimakan', 'simpati', 'simpatik', '']</t>
  </si>
  <si>
    <t>['mbak', 'tuan', 'terhormat', 'mengadu', 'via', 'twitter', 'email', 'tanggapi', 'sinyal', 'pengaduan', 'dri', 'desember', 'via', 'telpon', 'beritahu', 'close', 'tpi', 'sinyal', 'parah', 'sinyal', 'parah', 'parah', 'jelek', 'bersembunyi', 'promo', 'kuota', 'murah', 'menutupi', 'sinyal', 'liat', 'twiter', 'pengaduan', 'sinyal', 'internet', 'menunggu', 'mending', 'kuota', 'promo', 'hilangkan', 'tpi', 'sinyal', 'internet', 'stabil', '']</t>
  </si>
  <si>
    <t>['sinyal', 'telkomsel', 'harga', 'doang', 'mahal', 'pas', 'main', 'game', 'sinyal', 'kek', 'taii', 'gua', 'main', 'perkotaan', 'kalah', 'kampung', 'malu', 'maluin', 'kota', 'tiang', 'gunung', 'sumpah', 'nyesel', 'banget', 'gua', 'make', 'nihh', 'kartu']</t>
  </si>
  <si>
    <t>['apk', 'burik', 'banget', 'boong', 'apk', 'bagus', 'banget', '']</t>
  </si>
  <si>
    <t>['mohon', 'perhatian', 'konsumen', 'berlangganan', 'telkomsel', 'minggu', 'daley', 'data', 'sellur', 'mohon', 'perhatiannya', 'telkomsel']</t>
  </si>
  <si>
    <t>['maaf', 'telkomsel', 'sinyal', 'kenceng', 'tolong', 'diperbaiki', 'pulsa', 'kemakan', 'kuota', 'internet', 'tolong', 'perbarui', 'sistemnya', 'pelanggan', 'kecewa', 'pindah', 'operator', '']</t>
  </si>
  <si>
    <t>['woi', 'tolong', 'perpaiki', 'kualitas', 'jaringan', 'tutup', 'jaringan', 'aniing', 'jaringannya', 'bagus', 'kota', 'kota', 'gunanya', 'kampung', 'berfikirlah', 'bos', 'makan', 'enak', 'klean', 'beli', 'paket', 'pelayanan', 'memuaskan', 'semoga', 'perhatikan', '']</t>
  </si>
  <si>
    <t>['alhamdulillah', 'udah', 'telkomsel', 'alhamdulillah', 'jaringannya', 'lancar', 'makasih', 'telkomsel', 'sukses', 'amiin']</t>
  </si>
  <si>
    <t>['jaringan', 'daerah', 'bagus', 'kacau', 'kacau', 'jaringannya', 'tolong', 'dibantu', 'paket', 'sosmed', 'games', 'unlimited', 'habiss', 'sebulan', 'penipuan', 'berkali', 'kali', 'kayak', 'gini']</t>
  </si>
  <si>
    <t>['paketnya', 'habis', 'tolong', 'diberhentikan', 'internetnya', 'pulsa', 'kesedot', 'detik', 'kesedotnya', 'sampe', 'puluhan', 'ribu']</t>
  </si>
  <si>
    <t>['ngerubah', 'kartu', 'simpati', 'halo', 'hybrid', 'nyesel', 'rubah', 'simpati', 'peraturan', 'aneh', 'ngerti', 'kemauan', 'pelanggan', 'beli', 'paket', 'susah', 'sibuk', 'maunya', 'telkomsel', 'nyusahin', 'pelanggan']</t>
  </si>
  <si>
    <t>['management', 'membeli', 'paket', 'pulsa', 'telkomsel', 'ribet', 'simple', 'persiapan', 'terimakasih', 'telkomsel']</t>
  </si>
  <si>
    <t>['telkomsel', 'memuakan', 'beli', 'paket', 'kuota', 'pas', 'isi', 'pulsa', 'paket', 'hilang', 'paketkan', 'paket', 'rupiah', 'pulsanya', 'pas', 'parah', 'permainan', 'kapitalis', 'sangan', 'hina', '']</t>
  </si>
  <si>
    <t>['anak', 'rakusnya', 'pelitnya', 'ampun', 'pelanggan', 'udh', 'beli', 'pulsa', 'dpt', 'pulsa', 'donk', 'kumpulin', 'poin', 'ampe', 'beli', 'pulsa', 'jt', 'dpt', 'bonus', 'pulsa', 'ampas']</t>
  </si>
  <si>
    <t>['telkomsel', 'jelek', 'harganya', 'mahal', 'sinyal', 'lemot', 'maksudnya', 'pengguna', 'puas', 'layanan', 'telkomsel', 'kedepannya', 'mohon', 'ditingkatkan']</t>
  </si>
  <si>
    <t>['pembelian', 'paket', 'error', 'yaa', 'gatau', 'mytelkomsel', 'disuruh', 'nunggu', 'menit', 'jam', 'gabisa', 'tefak', 'going', 'naikin', 'bintangnya', 'seriusan']</t>
  </si>
  <si>
    <t>['bagus', 'aplikasi', 'cuman', 'ayolah', 'telkomsel', 'sedot', 'pulsa', 'utama', 'kuota', 'paket', 'abis', 'banget', 'gitu', 'kejadian', 'kemarin', 'malam', 'aktif', 'kuota', 'abis', 'pas', 'beli', 'paket', 'pulsa', 'lantaran', 'kesedot', 'notif', 'mahal', '']</t>
  </si>
  <si>
    <t>['paketan', 'internet', 'aplikasi', 'murah', 'hilang', 'dial', 'beli', 'maunya', 'pindah', 'operator', '']</t>
  </si>
  <si>
    <t>['sengaja', 'isi', 'pulsa', 'telkomsel', 'kartu', 'pakai', 'pakai', 'kartu', 'internet', 'dll', 'dikit', 'berkurang', 'dipakai', 'hahaha', 'telkomsel', 'mencari', 'keuntungan', 'konsumennya', 'anggap', 'sedekah', 'ntar', 'habis', 'isi', 'sedekah', 'telkomsel', '']</t>
  </si>
  <si>
    <t>['mengerti', 'pembelian', 'paket', 'tersedia', 'membeli', 'proses', 'sampe', 'nunggu', 'proses', 'coba', 'paket', 'promo', 'paket', 'berlaku', 'beli', '']</t>
  </si>
  <si>
    <t>['mohon', 'telkomsel', 'mutasi', 'lengkap', 'rinci', 'masuk', 'pulsa', 'terkontrol', 'efektif', 'pulsa', 'masuk', 'terimakasih', '']</t>
  </si>
  <si>
    <t>['tolong', 'beli', 'paket', 'internet', 'pulsa', 'masuk', 'masuk', 'akses', 'berhasil', 'gitu', 'paket', 'blm', 'masuk', 'masuk', 'saldo', 'terpotong', 'tolong', 'perbaiki', 'terimakasih', '']</t>
  </si>
  <si>
    <t>['sinyal', 'telkomsel', 'ragukan', 'game', 'turun', 'mulu', 'sinyal', 'udah', 'paketan', 'mahal', 'signal', 'sesuai', 'bekasi', 'jelek', 'banget', 'kota']</t>
  </si>
  <si>
    <t>['operator', 'telkomsel', 'layanannya', 'jelek', 'gangguan', 'telkomsel', 'kesini', 'burik', '']</t>
  </si>
  <si>
    <t>['terimakasih', 'telkomsel', 'program', 'daily', 'checkin', 'membantu', 'kantongnya', 'pas', 'mohon', 'dipertahankan', 'dihilangkan', 'saran', 'hadiah', 'ditambah', 'hri', 'hri', 'makasih', 'telkomsel', '']</t>
  </si>
  <si>
    <t>['main', 'sedot', 'pulsa', 'udah', 'paketnya', 'seminggu', 'ditarek', 'pulsa', 'klau', 'pulsa', 'ditarek', 'trus', 'pulsa', 'klau', 'pulsa', 'cuman', 'diambil', 'cepat', 'kaya', 'jgan', 'gtu', 'paket', 'internet', 'udah', 'diaktifkan', 'dibilang', 'kuota', 'mksd', '']</t>
  </si>
  <si>
    <t>['provider', 'sampah', 'sinyal', 'jelek', 'loe', 'sekolah', 'kuliah', 'tpi', 'jaringan', 'bener', 'aplikasinya', 'lelet', 'jujur', 'pegawai', 'telkomsel', 'isinya', 'orang', 'tolol', '']</t>
  </si>
  <si>
    <t>['telkomsel', 'kartu', 'internetan', 'pulsa', 'sms', 'nelpon', 'boros', 'kartu', 'semahal', 'percaya', 'cek', 'google', 'maklumi', 'tarif', 'mahal', 'kualitas', 'top', 'kualitas', 'udah', 'jelek', 'indosat', 'harga', 'mahal', 'kasih', 'rating', 'bintang', 'hapus', 'play', 'store', '']</t>
  </si>
  <si>
    <t>['signal', 'jelek', 'keq', 'simpati', 'signal', 'bagus', 'udah', 'signalnya', 'jelek', 'keq', 'dipulau', 'terpencil', 'nonton', 'buka', 'app', 'prosesnya', 'buka', 'game', 'susah', 'nelpon', 'susah', 'suara', 'panggilan', 'terjeda', 'udah', 'beli', 'paket', 'internet', 'mahal', 'kecewa', 'pelanggan', 'setia', 'telkomsel', 'belasan', 'kali', 'ganti', 'operator', 'salut', '']</t>
  </si>
  <si>
    <t>['mengecewakan', 'mencoba', 'kartu', 'telkomsel', 'harapan', 'kartu', 'buruk', 'buruk', 'kali', 'beli', 'paketan', 'maxstream', 'aplikasi', 'sesuai', 'ditawarkan', 'viu', 'iflix', 'hbo', 'telkomsel', '']</t>
  </si>
  <si>
    <t>['aplikasinya', 'jelek', 'boong', '']</t>
  </si>
  <si>
    <t>['udah', 'ngumpulin', 'stempel', 'daily', 'check', 'dapet', 'rewardnya', 'poin', 'syaratnya', 'mending', 'provider', 'sebelah', '']</t>
  </si>
  <si>
    <t>['jualan', 'paket', 'keterangan', 'kecewa', 'korban', 'php', 'telkomsel', 'paket', 'youtube', 'beli', 'pakai', 'suruh', 'paket', 'reguler', 'veronika', 'haduh', 'duh', 'kacau']</t>
  </si>
  <si>
    <t>['tolong', 'min', 'update', 'versi', 'terbaru', 'paket', 'internet', 'beli', 'kox', 'mengecek', 'jdi', 'tolong', 'perbaiki', 'kecewa', 'paket', 'internet', 'mahal', 'mahal', 'paket', 'harganya', 'dibawah', 'ribu']</t>
  </si>
  <si>
    <t>['aplikasi', 'babyak', 'bug', 'tolong', 'perbaiki', 'donk', 'nihhh', 'ahhhh', 'kali', 'trs', 'beli', 'paket', 'vaforit', 'peringatan', 'mohon', 'maaf', 'paket', 'temukan', 'wilayah', 'cobaa', '']</t>
  </si>
  <si>
    <t>['', 'telkomsel', 'sgt', 'membantuku', 'promo', 'pulsa', 'dpt', 'internet', 'gb', 'pulsa', 'rb', 'dpt', 'internet', 'semingu', 'lumayanlah', 'sebulan', 'sms', 'masuk', 'langsung', 'isi', 'pulsa', 'prnh', 'jam', 'mlm', 'sms', 'masuk', 'pulsa', 'ketik', 'terpilih', 'wkwkwk', '']</t>
  </si>
  <si>
    <t>['telkomsel', 'sinyal', 'ter', 'taik', 'udah', 'mahal', 'lemot', 'emosi', 'mati', 'pikir', 'tenang', 'main', 'game', 'balas', 'chat', 'mampus', 'mikir', 'udah', 'mahal', 'harga', 'tolong', 'semaksimal', 'jaringan', 'setara', 'harga', 'kecewa', 'main', 'terpaksa', 'pakai', 'jaringan', 'tolong', 'nyaman', 'konsumen', 'konsumen', 'terpaksa', 'pakai', 'jaringan', 'trims']</t>
  </si>
  <si>
    <t>['telkomsel', 'makan', 'pulsa', 'pulsa', 'tinggal', 'pagi', 'cek', 'tinggal', 'berlngganan', 'tolonglah', 'beli', 'pakai', 'duit', 'daun', 'heh', 'udh', 'hubungin', 'kagak', 'masuk', 'akal', 'responnya', 'damn', '']</t>
  </si>
  <si>
    <t>['haloo', 'semoga', 'balas', 'gabisa', 'beli', 'paket', 'beli', 'paket', 'tgl', 'maret', 'butuhnyaa', 'paket', 'murah', 'garaa', 'ngga', 'uang', 'beli', 'mahal', 'mahaal', 'makanyaa', 'butuh', 'telkomsel', 'gara', 'paket', 'murah', 'ketimbang', 'beli', 'paket', 'manual', 'makasih']</t>
  </si>
  <si>
    <t>['login', 'cepat', 'membingungkan', 'kadang', 'login', 'pendeteksian', 'akun', 'sulit', 'intinya', 'login']</t>
  </si>
  <si>
    <t>['beli', 'mahal', 'mahal', 'rb', 'kasih', 'sinyal', 'jelek', 'buka', 'youtube', 'ampe', 'menit', 'sinyal', 'perbaiki', 'kalah', 'ama', 'axis', 'ganti', 'kartu', 'axis']</t>
  </si>
  <si>
    <t>['event', 'dialy', 'checkin', 'reward', 'diambil', 'diclaim', 'event', 'bener', 'ikhlas', 'hapus', 'event', 'ditambah', 'update', 'kali', 'gue', 'log', '']</t>
  </si>
  <si>
    <t>['beli', 'pulsa', 'beli', 'paketan', 'whastsapp', 'seharga', 'pulsa', 'nol', 'pdhal', 'pas', 'beli', 'wifi', 'data', 'mati', 'bener', 'ngabisin', 'pulsa', 'banget', 'nyesel', 'beli', 'kartu', 'telkomsel']</t>
  </si>
  <si>
    <t>['nyesel', 'beli', 'paket', 'simpati', 'beli', 'paket', 'swadaya', 'harga', 'rb', 'gb', 'emang', 'murah', 'sii', 'sumpah', 'lemot', 'ampu', 'perubahan', 'terpaksa', 'berhenti', 'langganan', 'simpati', '']</t>
  </si>
  <si>
    <t>['semoga', 'telkomsel', 'jaya', 'cintai', 'pelanggan', 'masyarakat', 'bersyukur', 'penawaran', 'tawarkan', 'telkomsel', 'pokoknya', 'jaya', 'selalulah', 'telkomsel', '']</t>
  </si>
  <si>
    <t>['aplikasi', 'okey', 'pilihan', 'program', 'pembayaran', 'pilihan', 'pembayaran', 'disimpan', 'otomatis', 'ribet', 'masuk', 'aplikasi', 'simpan', 'otomatis', 'linkaja', 'dana', 'ovo', 'shopeepay', 'gopay', '']</t>
  </si>
  <si>
    <t>['suka', 'sedot', 'pulsa', 'paket', 'data', 'habis', 'pastikan', 'pulsa', 'beli', 'paket', 'nggak', 'isi', 'pulsa', 'tekor', 'provider', 'main', 'sedot', 'pulsa', 'min', 'nggak', 'tanggung', 'nggak', 'sampe', 'menit', 'signalnya', 'masya', 'allah', 'buagus', 'banget', 'sampe', 'capek', 'nunggunya', 'muter', '']</t>
  </si>
  <si>
    <t>['istimewa', 'aplikasi', 'bagus', 'simpel', 'mudah', 'penggunaanya', 'promo', 'saran', 'fitur', 'lock', 'mengunci', 'pulsa', 'layanan', 'profider', 'sebelah', 'paket', 'data', 'habis', 'lupa', 'mematikan', 'data', 'selular', 'pulsa', 'tersedot', 'habis', '']</t>
  </si>
  <si>
    <t>['update', 'aplikasi', 'mytelkomsel', 'terbaru', 'menu', 'dialy', 'check', 'menghilang', 'dicari', 'ketemu', 'ngasih', 'ulasan', 'daily', 'check', 'udah', 'terima', 'kasih', '']</t>
  </si>
  <si>
    <t>['pengen', 'curhat', 'tanggapin', 'signalnya', 'kek', 'tindak', 'perbaikan', 'signal', 'pulsa', 'kesedot', 'notif', 'masuk', 'paket', 'masuk', 'pengguna', 'resah', 'beli', 'paket', 'unlimited', 'gb', 'lumayanlah', 'bbrp', 'kali', 'beli', 'beres', 'gb', 'berpindahlah', 'gb', 'joss', 'buriq']</t>
  </si>
  <si>
    <t>['kembalikan', 'pulsa', 'beli', 'paket', 'malem', 'paketnya', 'berguna', 'speed', 'lelet', 'maen', 'game', 'buka', 'gogle', 'lemooooootttt', 'banget', 'trus', 'pket', 'mlm', 'kembalikan', 'pulsa', 'please', 'pket', 'malem', 'berguna', 'skali', 'menyesal', 'membeli', 'pket', 'mlm', 'telkomsel', 'balikin', 'pulsa', 'paket', 'malam', 'merugikan']</t>
  </si>
  <si>
    <t>['kecewa', 'namanya', 'dibarengi', 'kualitas', 'jaringan', 'berubah', 'peduli', 'jaringan', 'lancar', 'koneksinya', 'meeting', 'client', 'via', 'conference', 'call', 'gagal', 'gara', '']</t>
  </si>
  <si>
    <t>['', 'sadar', 'rate', 'star', 'terbukti', 'layanan', 'buruk', 'tambahin', 'telkomsel', 'jelek', 'layanan', 'jaringannya', 'nie', 'important', 'bknnya', 'diperbaiki', 'buruk', 'jaringannya', 'terbukti', 'habis', 'ulasan', 'jaringan', 'bener', 'mahal', 'doank', 'pelayanan', 'bagusnya', 'beli', 'paket', 'ehhhh', 'jelek', 'kuota', 'full', 'dipake', 'blm', 'kasih', 'rate', 'dibihongi']</t>
  </si>
  <si>
    <t>['area', 'jawa', 'kecamatan', 'mandiraja', 'kulon', 'tepatnya', 'perbatasan', 'banjarnegara', 'kebumen', 'mohon', 'perbaiki', 'kualitas', 'sinyalnya', 'area', 'pegunungan', 'telkomsel', 'terkenal', 'kecepatan', 'koneksi', 'disitu', 'susah']</t>
  </si>
  <si>
    <t>['telkomsel', 'penipun', 'paket', 'unlimited', 'sosmed', 'chat', 'music', 'games', 'kirim', 'gambr', 'lemot', 'buka', 'game', 'susa', 'bener', 'kecewa', 'pdhal', 'pke', 'unlimited', 'msih', 'lancar', 'game', 'youtube', 'knpa', 'dibatasi', 'telkomsel', 'mencekek', 'leher']</t>
  </si>
  <si>
    <t>['tolong', 'min', 'aplikasi', 'bug', 'sya', 'beli', 'paket', 'malam', 'kali', 'data', 'masuk', 'aktiv', 'bayar', 'beli', 'pulsa', 'shoppepay', 'app', 'telkomsel', 'tulisannya', 'berhasil']</t>
  </si>
  <si>
    <t>['nama', 'telkomsel', 'jaringan', 'ditempat', 'tinggal', 'parah', 'abis', 'bray', 'tingkatkan', 'jaringan', 'datanya', 'beli', 'gratisan', 'dapet', 'jelek', 'nge', 'lag', 'main', 'mobile', 'legend', 'parah', 'service', 'kepuasan', 'pelanggan', 'jaringan', 'data', 'kalah', 'jaringan', 'tree', 'bagus', 'saingan', 'bagus', 'parah', 'telkomsel', 'pelanggan', 'telkomsel', 'dikenal', 'luas', '']</t>
  </si>
  <si>
    <t>['telkomsel', 'meresahkan', 'beli', 'paket', 'gb', 'pembayaran', 'melalu', 'shopee', 'pay', 'notifikasi', 'shopee', 'berhasil', 'saldo', 'dipotong', 'paket', 'internet', 'aktif', 'plis', 'kali', 'isi', 'pulsa', 'link', 'masuk', 'komplain', 'nominal', 'dikit', 'kesini', 'gini', 'tolong', 'kembalikan', 'saldo', 'shopee', '']</t>
  </si>
  <si>
    <t>['isi', 'pulsa', 'beli', 'paket', 'dri', 'tdi', 'pagi', 'samle', 'skrng', 'malam', 'blm', 'isi', 'tdi', 'siang', 'pulsa', 'krna', 'dimakan', 'trus', 'dpt', 'sms', 'tdak', 'beli', 'paket', 'krna', 'pulsa', 'isi', 'ulang', 'tpi', 'hasil', 'nihil', 'gada', 'paket', 'skali', 'pulsa', 'berkurang', 'mohon', 'perbaharuhi', 'gini', 'mending', 'pindah', 'kartu', '']</t>
  </si>
  <si>
    <t>['capek', 'isi', 'kuotanya', 'mahal', 'jaringannya', 'ngk', 'sebagus', 'dlu', 'tolong', 'perbaiki', 'sistem', 'jaringannya', 'jaringan', 'ngk', 'bergerak', 'pdhl', 'isi', 'kuota', 'ganti', 'operator', 'malas', 'karna', 'uda', 'berlangganan', 'telkomsel', '']</t>
  </si>
  <si>
    <t>['aplikasinya', 'jelek', 'fungsi', 'kuotanya', 'berjalan', 'normal', 'beli', 'paket', 'belajar', 'kuota', 'utama', 'kesedot', 'kuota', 'belajarnya', 'berkurang', '']</t>
  </si>
  <si>
    <t>['', 'bintangnya', 'tar', 'udah', 'pelayanan', 'pls', 'lock', 'kaya', 'tetangga', 'sebelah', 'paket', 'data', 'habis', 'pls', 'aman', 'sedot', 'kasih', 'trimakasih', 'telkomsel']</t>
  </si>
  <si>
    <t>['aplikasi', 'telkomsel', 'pilihan', 'pergunakan', 'alasan', 'bertahan', 'memudahkan', 'cek', 'kuota', 'data', 'internet', 'telepon', 'sms', 'pulsa', 'lengkap', 'rincian', 'informasi', 'batas', 'pemakaian', 'transaksi', 'pulsa', 'membrikan', 'hadiah', 'teman', 'sayang', 'klaim', 'hadiahnya', 'chek', 'gagal', 'apalah', 'memuaskan', 'hati', 'mengecek', 'beli', 'pulsa', 'data']</t>
  </si>
  <si>
    <t>['harga', 'paket', 'data', 'tsel', 'harganya', 'kualitas', 'jaringannya', 'hancur', 'gimana', 'nhe', 'tsel', 'jaringan', 'data', 'ancur', 'udah', 'beli', 'kuota', 'makenya', 'kaya', 'pedalaman', 'jaringan', 'hilang', 'muncul', '']</t>
  </si>
  <si>
    <t>['ngawur', 'tsel', 'udah', 'paket', 'mahal', 'pulsa', 'kesedot', 'provider', 'laen', 'lock', 'pulsa', 'beli', 'paket', 'detik', 'habis', 'gila', 'bener', 'perbaiki', 'plngganmu', 'kabur', '']</t>
  </si>
  <si>
    <t>['pendaftaran', 'paket', 'fair', 'adil', 'daftar', 'paket', 'februari', 'jatahnya', 'maret', 'batas', 'paketan', 'tgl', 'fair', 'diberlakukan', 'paketan', 'sebulan', 'februari', 'genapin', 'hr', 'tgl', 'maret', 'kecewa', '']</t>
  </si>
  <si>
    <t>['sbnrnya', 'pakai', 'telkomsel', 'kesini', 'lemot', 'menjelang', 'sore', 'malam', 'tertarik', 'lirik', 'provider', 'telkomsel', 'terkenal', 'sedot', 'pulsa', 'data', 'kejam', '']</t>
  </si>
  <si>
    <t>['heran', 'dehh', 'sya', 'isi', 'pulsa', 'trus', 'beli', 'paket', 'data', 'jaringannya', 'jdi', 'jelek', 'beli', 'kouta', 'mahal', 'susah', 'terpakainya', 'solusi', '']</t>
  </si>
  <si>
    <t>['wilayah', 'kota', 'cimahi', 'jawa', 'barat', 'jaringan', 'tolong', 'perbaiki', 'memperbaiki', 'harap', 'harga', 'susaikan', 'koneksi', '']</t>
  </si>
  <si>
    <t>['udah', 'kayak', 'sedot', 'telkomsel', 'sisa', 'pulsa', 'amblas', 'paket', 'internet', 'aktif', 'bener', 'rupiah', 'sisa', 'pulsa', 'aman', 'beres', 'provider', 'suruh', 'complain', 'twitter', 'apalah', 'udah', 'rating', 'ulas', 'berbenahlah', '']</t>
  </si>
  <si>
    <t>['beli', 'kuota', 'giga', 'ribu', 'duit', 'jaringannya', 'ampunn', 'lelet', 'loading', 'pinter', 'banget', 'promo', 'jaringan', 'lelett', 'pindah', 'haluan', '']</t>
  </si>
  <si>
    <t>['aplikasi', 'jelek', 'bonus', 'pulsa', 'cma', 'dipake', 'buka', 'aplikasi', 'mytelkomselnya', 'udah', 'gtu', 'paket', 'berlangganan', 'pembohongan', 'namanya', '']</t>
  </si>
  <si>
    <t>['genting', 'banget', 'beli', 'paket', 'data', 'error', 'app', 'gini', 'telkomsel', 'setara', 'smartfren', 'cuman', 'beda', 'harganya', 'wkwkwk', 'jancooookkk', 'harga', 'selangit', 'kualitas', 'dikit']</t>
  </si>
  <si>
    <t>['pembaruan', 'errornya', 'beli', 'paketan', 'dicoba', 'berulang', 'kali', 'kasih', 'bintang', 'error', 'udah', 'gabisa', 'transaksi', 'kecewa', 'telkomsel', 'udah', 'disaranin', 'udah', 'dicoba', 'twitter', 'direspon', 'mengecewakan', '']</t>
  </si>
  <si>
    <t>['jaringan', 'buruk', 'harinya', 'beli', 'paket', 'nyari', 'jaringan', 'stabil', 'cepet', 'dapetnya', 'menurun', 'banget', 'telkomsel', 'kecewa', 'berat']</t>
  </si>
  <si>
    <t>['paket', 'kouta', 'internet', 'pulsa', 'sedot', 'isi', 'kesedot', 'aza', 'kena', 'solusinya', 'sya', 'setia', 'pakai', 'telkomsel', 'trims']</t>
  </si>
  <si>
    <t>['aplikasi', 'penipu', 'tdi', 'siang', 'beli', 'paket', 'internet', 'pulsaku', 'terpotong', 'tpi', 'paketnya', 'sial', 'pantes', 'telkomsel', 'buruk', '']</t>
  </si>
  <si>
    <t>['aplikasi', 'daily', 'check', 'gagal', 'mencairkan', 'stamp', 'hadiah', 'gb', 'jatah', 'hilang', 'kontak', 'via', 'phone', 'apps', 'hasil', 'mengecewakan', '']</t>
  </si>
  <si>
    <t>['beli', 'pulsa', 'ribu', 'niatnya', 'beli', 'paket', 'data', 'app', 'telkomsel', 'menit', 'pulsa', 'langsung', 'berkurang', 'drastis', 'tinggal', 'ribu', 'kritik', 'hai', 'kak', 'maaf', 'buatgk', 'nyaman', 'blla', 'bla', 'bla', 'ujung', 'suruh', 'cat', 'twitter', 'hungi', 'app', 'telkomsel', 'repot', 'langsung', 'perbaiki', 'aplikasinya', 'habis', 'kirim', 'jawabannya', 'cari', 'untung', 'mohon', 'merugikan', 'orang', 'kak', '']</t>
  </si>
  <si>
    <t>['aplikasinya', 'rugi', 'beli', 'unlimited', 'max', 'kuota', 'lokal', 'abis', 'udah', 'kuota', 'sisanya', 'nganggur', 'lemot', 'kayak', 'kuota', 'gratisan', 'kayaknya', 'telkomsel', 'gulung', 'tikar', 'sampek', 'kaya', 'gitu', 'nipu', 'halus', 'orang', '']</t>
  </si>
  <si>
    <t>['min', 'beli', 'paket', 'special', 'for', 'you', 'transaksinya', 'berhasil', 'paketnya', 'kunjung', 'masuk', 'kemarin', 'tdak', 'telkomsel', '']</t>
  </si>
  <si>
    <t>['telkomsel', 'mohon', 'diperhatikan', 'kuota', 'utama', 'terkuras', 'gmeet', 'kuota', 'belajarnya', 'utuh', 'tolong', 'diperhatikan', 'karna', 'merugikan', '']</t>
  </si>
  <si>
    <t>['maaf', 'komplen', 'disuruh', 'bayar', 'hutang', 'prnah', 'ngutang', 'isi', 'pulsa', 'disedot', 'bayar', 'hutang', 'nomer']</t>
  </si>
  <si>
    <t>['alhamdulillah', 'pke', 'telkom', 'gengsi', 'ajah', 'karna', 'mahal', 'jaringan', 'internet', 'tlp', 'sarankan', 'mending', 'there', 'axis', 'indosat', 'join', 'anak', 'buah', 'perusaha', '']</t>
  </si>
  <si>
    <t>['jelek', 'banget', 'app', 'boong', 'hayuk', '']</t>
  </si>
  <si>
    <t>['aplikasi', 'mytelkomsel', 'mudah', 'harga', 'promo', 'seputar', 'telkomsel', 'leluasa', 'memilih', 'cocok', 'pas', 'transaksi', 'pokoknya', 'aplikasi', 'mytelkomsel', 'kendala', 'teratasi', 'pulsa', 'paket', 'data', 'intinya', 'puas', 'layanan', 'mytelkomsel']</t>
  </si>
  <si>
    <t>['suka', 'program', 'daily', 'check', 'lumayan', 'pas', 'habis', 'kuota', 'tambahan', 'mksh', 'tsel', 'pelanggan', 'tsel', 'kartu', 'tsel', 'keluarga', 'tsel', 'aplg', 'skrg', 'gratis', 'kuotanya', 'bnyk', 'like', '']</t>
  </si>
  <si>
    <t>['gile', 'provider', 'nambah', 'parah', 'signal', 'komplain', 'susah', 'komplain', 'menang', 'komplain', 'perubahan', 'kuota', 'mahal', 'signal', 'parah', 'gsm', 'only', 'signal', 'cuman', 'batang', 'rekomended', '']</t>
  </si>
  <si>
    <t>['aneh', 'isi', 'ulang', 'pulsa', 'terkurang', 'bayar', 'hutang', 'paket', 'darurat', 'pdhal', 'aktifin', 'beli', 'paket', 'paket', 'habis', '']</t>
  </si>
  <si>
    <t>['telkomsel', 'enak', 'ajah', 'emg', 'harganya', 'mahal', 'hny', 'pengen', 'maksud', 'kuota', 'unlimited', 'yaa']</t>
  </si>
  <si>
    <t>['pelayanan', 'telkomsel', 'aplikasinya', 'bagus', 'telkomsel', 'kuota', 'gratis', 'kali', 'daily', 'cek', 'terimakasih', 'harga', 'kuota', 'telkomsel', 'mahal', 'mohon', 'dipermudah', 'membeli', 'kuota', 'harga', 'terjangkau', 'telkomsel']</t>
  </si>
  <si>
    <t>['terima', 'kasih', 'telkomsel', 'paket', 'internet', 'gratis', 'cek', 'semoga', 'telkomsel', 'reward', 'pengguna', 'setia', 'telkomsel']</t>
  </si>
  <si>
    <t>['tampilan', 'oke', 'fitur', 'bahasa', 'mudah', 'dipahami', 'konfirmasi', 'login', 'pelanggan', 'memiliki', 'perangkat', 'berbeda', 'link', 'kode', 'memudahkan', 'terima', 'kasih', '']</t>
  </si>
  <si>
    <t>['pemakaian', 'buruk', 'program', 'keterangan', 'paket', 'internet', 'disediakan', 'profesional', 'merugikan', 'konsumen', 'dibohongi', 'provider', 'peningkatan', 'programnya']</t>
  </si>
  <si>
    <t>['kasih', 'mode', 'pulsa', 'safe', 'min', 'pulsa', 'tekor', 'melulu', 'suka', 'aplikasi', 'mytelkomsel', 'berguna', 'bonus', 'hadiah', 'bulannya', 'rugi', 'instal', 'aplikasi', '']</t>
  </si>
  <si>
    <t>['telkomsel', 'mahalnya', 'biaya', 'jaringan', 'terpuruk', 'operator', 'servicenya', 'operator', 'mohon', 'maaf', 'lokasi', 'pengaturan', 'cek', 'ristrat', 'ulang', 'matikan', 'menit', 'hidupkan', 'bantu', 'dasar', 'eror', 'permasalahkan', 'terselesaikan', 'lokasi', 'hasilnya', 'turuti', 'pengaturan', 'hasilnya', '']</t>
  </si>
  <si>
    <t>['hai', 'telkomsel', 'pengguna', 'telkomsel', 'semenjak', 'thn', 'nomor', 'ganti', 'sngt', 'sesalkan', 'bln', 'blkgan', 'jaringannya', 'lemah', 'pjj', 'upload', 'tugas', 'gcr', 'lamaaaanya', 'ampun', 'buka', 'aplk', 'youtube', 'saking', 'lemahnya', 'mengharuskan', 'memiliki', 'jaringan', 'indosat', 'cadangan', 'knpa', 'mkin', 'lbh', 'telkomsel', 'slalu', 'skrg', 'kebalikannya', 'mohon', 'perbaiki', 'tingkatkan', 'kmbli', 'kwalitas', 'jaringannya', 'terima', 'kasih']</t>
  </si>
  <si>
    <t>['dapet', 'notif', 'extra', 'combo', 'murah', 'nyobain', 'blm', 'dapet', 'sehari', 'game', 'lemot', 'banget', 'mahal', 'iya', 'enak', 'kecewa', '']</t>
  </si>
  <si>
    <t>['enak', 'lihat', 'gampang', 'pengaturan', 'tambahan', 'kak', 'tolong', 'pengguna', 'halo', 'telat', 'bayar', 'blokir', 'nomor', 'hanguskan', 'total', 'tagihan', 'terpakai', 'tambahkan', 'telat', 'pemakaian', 'sblm', 'telat', 'blm', 'pemakaian', 'bayar', '']</t>
  </si>
  <si>
    <t>['aplikasi', 'sinyal', 'daerah', 'susah', 'lancar', 'seminggu', 'sinyal', 'jelek', 'gangguan', 'pengguna', 'telkomsel', 'daerah', 'mengalami', 'membuka', 'aplikasi', 'google', 'play', 'store', 'crome', 'whatsapp', 'lambat', 'meeting', 'instagram', 'facebook', 'game', 'dll', 'sulit', 'buka', 'sinyal', 'lemot', '']</t>
  </si>
  <si>
    <t>['gimana', 'tsel', 'mohon', 'bantuan', 'kali', 'klaim', 'paket', 'daily', 'check', 'trus', 'pulsa', 'berkrg', 'kali', 'uda', 'gmna', 'arahan', 'sistem', 'daily', 'check', 'dpt', 'paket', 'pulsa', 'berkrg', 'mending', 'uda', 'restart', 'pulsa', 'ttap', 'berkrg', 'sampe', 'sisa', '']</t>
  </si>
  <si>
    <t>['beli', 'paket', 'data', 'telkomsel', 'pembayaran', 'link', 'nomor', 'pembayaran', 'berhasil', 'paket', 'data', 'masuk', '']</t>
  </si>
  <si>
    <t>['mikir', 'mikir', 'deh', 'skrg', 'pakai', 'telkomsel', 'jaringan', 'ancur', 'complain', 'berkali', 'kali', 'tindak', 'lanjuti', 'cma', 'kash', 'complain', 'hasil']</t>
  </si>
  <si>
    <t>['paket', 'beli', 'sii', 'paket', 'unlimited', 'paket', 'booster', 'langanan', 'sia', 'sia', 'isi', 'pulsa', 'beli', 'paket', '']</t>
  </si>
  <si>
    <t>['', 'mohon', 'perbaiki', 'sistem', 'login', 'ulang', 'udah', 'nyoba', 'kali', 'login', 'tetep', 'bacaan', 'link', 'invalid', 'expired', 'clear', 'cache', 'clear', 'data', 'tetep', 'bacaan', 'link', 'invalid', 'expired', 'login']</t>
  </si>
  <si>
    <t>['perbaiki', 'donk', 'kualitas', 'jaringannya', 'cmn', 'uodate', 'paket', 'internetnya', 'bahasanya', 'unlimited', 'buktinya', 'buka', 'aplikasi', 'cmn', 'loadiiiiiiiiiing', 'buruk', 'kualitas', 'jaringannya', 'atambua', 'ntt', 'payah', '']</t>
  </si>
  <si>
    <t>['daily', 'check', 'ngg', 'klaim', 'tolong', 'diperbaiki', 'bug', 'bug', 'udh', 'fix', 'bintang', 'naikin', 'kali', 'kasih', 'bintangnya', 'terimakasih']</t>
  </si>
  <si>
    <t>['telkomse', 'tolong', 'memperbaiki', 'jaringan', 'stabil', 'lemot', 'lodingnya', 'sunguh', 'kecewa', 'telkomsel', 'mengecewakan', 'kedepanya', 'tolong', 'tindak', 'lanjuti', 'jaringan', 'depanya', 'terimakasih']</t>
  </si>
  <si>
    <t>['assalamu', 'alaikum', 'izin', 'telkomsel', 'dibuka', 'koneksi', 'stabil', 'silahkan', 'ulangi', 'berminggu', 'minggu', 'ulang', 'mohon', 'konfirmasinya', 'kak', 'terimakasih']</t>
  </si>
  <si>
    <t>['memudahkan', 'mengakses', 'jaringan', 'lokasi', 'semoga', 'telkomsel', 'kemudahan', 'masyarakat', 'anak', 'sekolah', 'pandemi', 'proses', 'belajar', 'daring', 'online', 'sukses', 'telkomsel', 'disamping', 'telkomsel', 'bosan', 'promo', 'costumer', 'pelanggan', 'pengguna', 'jaringan', 'telkomsel', 'pengguna', 'telkomsel', 'menggunkan', 'jaringan', 'telkomsel', 'penggunatelkomsel', 'merasakannya']</t>
  </si>
  <si>
    <t>['mohon', 'maaf', 'kasih', 'bintang', 'apk', 'bagus', 'promo', 'pas', 'beli', 'paket', 'promo', 'kadaluarsa', 'paketnya', 'beli', 'tolong', 'admin', 'perbaiki', 'paket', 'promonya', 'beli', 'terima', 'kasih', '']</t>
  </si>
  <si>
    <t>['pengisian', 'apapun', 'aplikasi', 'error', 'saldo', 'masuk', 'transaksi', 'sukses', 'wallet', 'terekam', 'aplikasi']</t>
  </si>
  <si>
    <t>['barusan', 'isi', 'pulsa', 'rb', 'beli', 'paket', 'combo', 'rb', 'saldo', 'sisa', 'rb', 'rb', 'sisa', 'pulsa', 'seblm', 'blm', 'gini', 'info', 'admin', 'kecewa']</t>
  </si>
  <si>
    <t>['pulsa', 'ribu', 'lapak', 'sebelah', 'udah', 'dapet', 'kuota', 'kuota', 'utama', 'beda', 'ama', 'ribu', 'kuota', 'utama', 'kuota', 'lokal', 'kota', 'kuota', 'lokal', 'pakai', '']</t>
  </si>
  <si>
    <t>['balasan', 'email', 'facebook', 'twiter', 'yabg', 'bot', '']</t>
  </si>
  <si>
    <t>['sinyal', 'payah', 'maen', 'game', 'online', 'dijamin', 'kalah', 'coba', 'pakai', 'provider', 'daaan', 'bagus', 'stabil', 'telkomsel', 'kontaknya', 'coba', 'harga', 'masuk', 'akal', 'bagus', '']</t>
  </si>
  <si>
    <t>['kecewa', 'aplikasi', 'bug', 'aplikasi', 'terkadang', 'membuka', 'aplikasi', 'kinerja', 'keras', 'panas', 'aplikasi', 'not', 'responding', 'stuck', 'mendadak', 'puncak', 'mendadak', 'panas', 'mati', 'stelah', 'hidup', 'rusak', 'layar', 'meninggalkan', 'bekas', 'shadow', 'burn', 'samsung', 'galaxy', 'catatan', 'dipakai', 'bermain', 'game', 'sosmed', 'thanks', '']</t>
  </si>
  <si>
    <t>['paket', 'unlimited', 'game', 'lemod', 'banget', 'payah', 'ngga', 'main', 'tolonglah', 'perbaiki', 'kecewa', '']</t>
  </si>
  <si>
    <t>['kecewa', 'bet', 'sumpah', 'nomor', 'mati', 'minggu', 'isi', 'pulsa', 'perpanjangan', 'kartu', 'udh', 'apk', 'telkomsel', 'error', 'gabisa', 'dibuka', 'tulisan', 'jaringan', 'emg', 'ngentd']</t>
  </si>
  <si>
    <t>['beli', 'paket', 'mb', 'sehari', 'udah', 'dipake', 'masuk', 'sehari', 'jam', 'sehari', 'jam', 'kuota', 'kepake', 'mb', 'sebel']</t>
  </si>
  <si>
    <t>['jaringan', 'buruk', 'claim', 'kepihak', 'telkomsel', 'via', 'apk', 'disuruh', 'macem', 'macem', 'kaga', 'ujungnya', 'jaringan', 'tetep', 'buruk', 'beli', 'kuota', 'internet', 'apk', 'langsung', 'ujungnya', 'pulsa', 'langsung', 'berkurang', 'nomer', 'langsung', 'gua', 'ganti', 'report', 'telkom', 'balikin', 'jaringan', '']</t>
  </si>
  <si>
    <t>['beli', 'paket', 'internet', 'minggu', 'ribu', 'dapet', 'promonya', 'suruh', 'beli', 'telkomsel', 'pas', 'udah', 'selesai', 'bayar', 'dapet', 'pesan', 'notifikasi', 'suruh', 'nunggu', 'menit', 'dicoba', 'menit', 'suruh', 'nunggu', 'tolong', 'banget', 'belajar', 'persiapan', 'ujian', 'kayak', 'gini', 'menghambat', 'merugikan', 'udah', 'isi', 'pulsa', 'langsung', 'nggak', 'suruh', 'cek', 'email', 'lahh', 'lahh', 'ujung', 'ujungnya', 'respon', '']</t>
  </si>
  <si>
    <t>['game', 'jelek', 'boong']</t>
  </si>
  <si>
    <t>['jaringan', 'telkomsel', 'kesini', 'menjamin', 'kelancaran', 'internet', 'penggunaan', 'memiliki', 'keluhan', 'masuk', 'akun', 'nomor', 'masuk', 'akun', 'telkomsel', 'kesini', 'susah', 'mempermudah', 'terbaik', 'pertahanan']</t>
  </si>
  <si>
    <t>['menjebak', 'pelanggan', 'beli', 'paket', 'corporate', 'kuota', 'lokal', 'dipakai', 'berlaku', 'paket', 'emang', 'daerah', 'elu', 'promosiin', 'gue', '']</t>
  </si>
  <si>
    <t>['membeli', 'kouta', 'situ', 'tertulis', 'proses', 'notifkasi', 'kouta', 'masuk', 'tolong', 'perbaiki', 'jaringan', 'lemot']</t>
  </si>
  <si>
    <t>['kecewa', 'beli', 'paketan', 'malam', 'koneksinya', 'stabil', 'dlu', 'lancar', 'jaya', 'tolong', 'dimengerti', 'download', 'game', 'puluhan', 'jdi', 'cancel', 'gara', 'download', 'cuaca', 'stabil', 'gangguan', 'koneksinya', 'lambat', 'sia', 'beli', 'paket', 'malam', 'kecewa', '']</t>
  </si>
  <si>
    <t>['sebenernya', 'telkomsel', 'niat', 'kasih', 'bonusan', 'kasih', 'bonusan', 'sign', 'engga', 'gunanya', 'internet', 'lemot', 'update', 'apk', 'ngabisin', 'jam', 'benerin', 'kuota', 'paketan', 'habis', 'acara', 'sedot', 'sedot', 'pulsa', 'tinggal', 'putusin', 'internetnya', 'doang', 'heran', 'kartu', 'aman', 'sedot', 'sedot', 'nomer', 'pemberian', 'ortu', 'udh', 'buang', '']</t>
  </si>
  <si>
    <t>['', 'jaringan', 'kualitas', 'parah', 'abis', 'beli', 'paket', 'apapun', 'pastikan', 'pulsa', 'sisa', 'pulsa', 'tersisa', 'tinggal', 'tunggu', 'wkt', 'telkomsel', 'pelihara', 'tutul', 'khusus', 'curi', 'pulsa', '']</t>
  </si>
  <si>
    <t>['proveider', 'cocok', 'orang', 'kaya', 'doank', 'harga', 'paket', 'internet', 'mahal', 'dapet', 'kuota', 'doank', 'makan', 'pulsa', 'beli', 'paket', 'next', 'time', 'kuota', 'harga', 'promo', 'kuotanya', 'masuk', 'akal', 'banding', 'harganya', 'eeeeh', 'koneksinya', 'kayak', 'siputttt', 'leleeeet', 'pantesnya', 'mah', 'proveider', 'jadul', 'bagus', 'telfon', 'ama', 'sms', 'doank', 'internet', 'mah', 'kalangan', 'doank', 'rakyat', 'mah', 'kagak', '']</t>
  </si>
  <si>
    <t>['kasih', 'bintang', 'ngisi', 'data', 'gb', 'ulimited', 'data', 'udah', 'data', 'ngisi', 'pulsa', 'tolong', 'telkomsel', 'perbaiki']</t>
  </si>
  <si>
    <t>['pembayaran', 'link', 'gimana', 'kali', 'kirim', 'email', 'tanggapan', 'parah']</t>
  </si>
  <si>
    <t>['beli', 'kuota', 'ketengan', 'ribu', 'rupiah', 'habis', 'aktip', 'jam', 'jam', 'habis', 'kuota', 'beli', 'paket', 'kuota', 'ribu', 'telkomsel', 'tgl', 'habis', 'berubah', 'beli', 'ulang', 'paket', 'untung', 'telkomsel', 'beli', 'ulang', 'paket', 'sisa', 'menit', 'jam', 'udah', 'habis', 'tolong', '']</t>
  </si>
  <si>
    <t>['gimana', 'pengen', 'beli', 'paket', 'ceria', 'kemarin', 'beli', 'paket', 'unlimited', 'knpaaaa', 'tolong', 'minnn', 'gini', 'mah', 'sia', 'isi', 'pulsa', 'mending', 'beli', 'kartu', 'dri', 'beli', 'lngsung', 'dri', 'apk', 'nyaa', '']</t>
  </si>
  <si>
    <t>['paket', 'tsel', 'ceria', 'lambat', 'promo', 'murah', 'mending', 'promo', 'menarik', 'pelanggan', 'pelanggan', 'kecewa']</t>
  </si>
  <si>
    <t>['saran', 'poin', 'telkomsel', 'jadikanlah', 'voucher', 'pembelian', 'paket', 'pumbelian', 'paket', 'nominal', 'paketnya', 'dikurangi', 'mahal', 'sampe', 'poin', 'mndapat', 'gb', 'mngumpulkan', 'poin', 'membutuhkan', 'pulsa', 'pastinya', 'mustahil', 'sampe', 'segitu', 'dianggap', 'berguna', 'mending', 'poin', 'dpt', 'mb', 'menunggu', 'poin', 'anggap', 'kuota', 'cadangan', 'proses', 'peembelian', 'paket', 'kmbali', 'thanks']</t>
  </si>
  <si>
    <t>['telkomsel', 'signal', 'hilang', 'pagi', 'ulasan', 'perubahan', 'pengguna', 'telkomsel', 'daerah', 'mengalami', 'maret', 'daerah', 'saribudolok', '']</t>
  </si>
  <si>
    <t>['kali', 'udah', 'kehabisan', 'sabar', 'udah', 'kecewa', 'banget', 'jaringan', 'ngak', 'ngotak', 'tolong', 'perluas', 'jaringan', 'mohon', 'mimin', 'mimin', 'bosan', 'wandenger', 'dapet', 'duit', 'enak', 'habisin', 'duit', 'jaringan', 'jelek', 'mintak', 'ampun', 'kirim', 'video', 'jaringan', 'lelet', 'kirim', 'telkomsel', 'lelet', 'jaringan', 'telkomsel', 'merugikan', 'trima', '']</t>
  </si>
  <si>
    <t>['jaringan', 'telkomsel', 'lag', 'lancar', 'kesini', 'jelek', 'tolong', 'diperbaiki', 'min', 'susah', 'ngirim', 'tugas', 'sekolah', 'sinyal', 'lemot']</t>
  </si>
  <si>
    <t>['selamat', 'ulamg', 'telkomsel', 'semoga', 'pelayanan', 'terbaik', 'indonesia', 'kota', 'pelosok', 'desa', 'amin', '']</t>
  </si>
  <si>
    <t>['pagi', 'beli', 'paket', 'telp', 'kring', 'pulsa', 'berkurang', 'rb', 'paket', 'telp', 'aktif', 'pdhal', 'konfirmasi', 'sukses', 'mhn', 'info', 'komplain', 'brp', 'selamat', 'paket', 'nelpon', 'unlimited', 'tsel', 'mnt', 'allopr', 'aktif', 'berlaku', 'tgl', 'pkl', 'wib', 'dapatkan', 'paket', 'mytelkomsel', '']</t>
  </si>
  <si>
    <t>['telkomsel', 'parah', 'harga', 'mahal', 'kcepatan', 'jaringan', 'buruk', 'ayolah', 'sesuaikan', 'harganya', 'jan', 'mengecewakan', 'pelanggan', 'sperti']</t>
  </si>
  <si>
    <t>['tolong', 'perbaiki', 'sinyal', 'medan', 'semenjak', 'kebakaran', 'kantor', 'riau', 'jaringan', 'hancur', 'telkomsel', 'menyediakan', 'pulsa', 'safe', 'kehabisan', 'paket', 'langsung', 'pulsa', 'kenanya', 'anehnya', 'pulsa', 'ribu', 'habis', 'hitungan', 'menit', 'menit', 'habis', 'pulsanya', 'apresiasi', 'pengguna', 'paket', 'ceria', 'rbaiki', 'tolong', 'harga', 'paket', 'minimalisir']</t>
  </si>
  <si>
    <t>['telkomsel', 'udah', 'kayak', 'sinyalnya', 'nambah', 'buruk', 'beli', 'kuota', 'gb', 'bulqn', 'beli', 'nggak', 'sinyal', 'nyesal', 'gua', 'kalu', 'kartu', 'udah', 'patah', 'bakar', 'kartunya']</t>
  </si>
  <si>
    <t>['jaringan', 'telkomsel', 'bagus', 'buka', 'susah', 'capek', 'gini', 'malas', 'telkomsel', 'becus', 'telkomsel', 'mohon', 'diperbaiki', 'sinyal', 'ngeluh', 'payah', '']</t>
  </si>
  <si>
    <t>['ancur', 'internetnya', 'sinyal', 'doang', 'penuh', 'internet', 'lelet', 'dibawah', 'mbps', 'ujan', 'tinggal', 'dijakarta', 'berasa', 'kyk', 'digunung', 'hubungannya', 'byu', 'udah', 'ganti', 'ganti', 'apn', 'msh']</t>
  </si>
  <si>
    <t>['telkomsel', 'koneksi', 'jelek', 'sinyal', 'full', 'nggak', 'nyambung', 'koneksi', 'banget', 'menit', 'nggak', 'nyambung', 'internet', 'jaringan', 'full', 'tolong', 'diperbaiki', 'pelanggan', 'berpindah', 'kartu']</t>
  </si>
  <si>
    <t>['tolong', 'telkomsel', 'perbaiki', 'kualitas', 'sinyalnya', 'koneksinya', 'masak', 'sinyal', 'batang', 'buka', 'aplikasi', 'ngelag', 'buka', 'browsing', 'ngelagg', 'pelanggan', 'maless', 'make', 'telkomsel', 'mending', 'exsis', 'sinyalnya', 'udah', 'lumayan', 'baguss', 'tolonglahh', 'paket', 'udah', 'mahal', 'sinyal', 'jelekk', 'suka', '']</t>
  </si>
  <si>
    <t>['mahal', 'doang', 'jaringan', 'support', 'tiang', 'listrik', 'rumah', 'pinggir', 'jalan', 'raya', 'coba', '']</t>
  </si>
  <si>
    <t>['parah', 'jaringannya', 'provider', 'sebelah', 'murah', 'wajar', 'murah', 'mahal', 'oke', 'speed', 'amit', 'gimana', 'telkomsel', 'mendengarkan', 'keluhan', '']</t>
  </si>
  <si>
    <t>['paket', 'data', 'mahal', 'jaringan', 'lemot', 'ampun', 'boro', 'beralih', 'pengen', 'banting', 'pakai', 'tsel', 'mending', 'pakai', 'kartu', 'deh', 'kartu', 'buruk', 'kelas', '']</t>
  </si>
  <si>
    <t>['sehubungan', 'telkomsel', 'ulang', 'thn', 'promo', 'cash', 'back', 'tgl', 'maret', 'maret', 'barusan', 'membeli', 'pulsa', 'cash', 'back', 'ituh', '']</t>
  </si>
  <si>
    <t>['jelek', 'keluhan', 'app', 'telkomsel', 'penyelesaian', 'klik', 'link', 'buka', 'browser', 'menyesal']</t>
  </si>
  <si>
    <t>['telkomsel', 'jelek', 'beli', 'paket', 'promo', 'gb', 'say', 'beli', 'ngga', 'beli', 'paketnya', 'cuman', 'bilangnya', 'transaksi', 'berhasil', 'ngga', 'sms', 'transaksi', 'berhasil', 'cuman', 'apk', 'muncul', 'tolong', 'perbaiki', '']</t>
  </si>
  <si>
    <t>['assalamualaikum', 'topup', 'pulsa', 'konter', 'daerah', 'cek', 'aplikasi', 'telkomsel', 'masuk', 'pulsanya', 'aplikasi', 'pesan', 'bawaan', 'pulsanya', 'diterima', 'konternya', 'udah', 'masuk', 'pulsa', 'bertambah', 'topup', 'gimana', '']</t>
  </si>
  <si>
    <t>['membeli', 'paket', 'data', 'laporannya', 'terkirim', 'kartunya', 'tenggang', 'keterangan', 'sms', 'lakukan', 'isi', 'ulang', 'isi', 'paket', 'data', 'aktif', 'cek', 'kuota', 'memiliki', 'kuota', 'paket', 'data', 'hangus', '']</t>
  </si>
  <si>
    <t>['cash', 'back', 'ultah', 'telkomsel', 'pembelian', 'via', 'gopay', 'blm', 'cash', 'back', 'gmna', 'penipuan', 'gmna', 'pelanggan', 'setia', 'telkomsel', 'jaringan', 'berkurang', 'main', 'game', 'pakai', 'allnet', 'jaringan', 'berlaku', 'allnet', 'telkomsel', 'pindah', '']</t>
  </si>
  <si>
    <t>['paket', 'ribu', 'masuk', 'pdhal', 'udh', 'isi', 'pulsa', 'tpi', 'masuk', 'paket', 'udah', 'seminggu', 'coba', 'mohon', 'saran', 'telkomsel', 'gini', 'rugi']</t>
  </si>
  <si>
    <t>['pembelian', 'paket', 'data', 'daerah', 'kog', 'beda', 'beda', 'telkomsel', 'masak', 'rumah', 'telkomsel', 'pembelian', 'paket', 'data', 'kog', 'beda', '']</t>
  </si>
  <si>
    <t>['sadar', 'isi', 'pulsa', 'tpi', 'dapet', 'poin', 'salah', 'nomer', 'ato', 'aplikasi', 'bermasalah', 'udh', 'banget', 'telkomsel', 'semoga', 'kedepanya', '']</t>
  </si>
  <si>
    <t>['nelfon', 'susah', 'jaringan', 'susah', 'paket', 'mahal', 'berbulan', 'orang', 'mengeluhkan', 'layanan', 'telkomsel', '']</t>
  </si>
  <si>
    <t>['jaringan', 'bagus', 'jaringan', 'internet', 'lambaaaaaaaat', 'paraaah', 'kaga', 'recommended', 'wat', 'internet', 'mending', 'kartu']</t>
  </si>
  <si>
    <t>['', 'sekian', 'ulasan', 'knp', 'balasan', 'telkomsel', 'langs', 'bls', 'ulasan', 'masyarakat', 'awam', 'repotkan', 'menggunkan', 'aplikasi', 'byk', 'keluhan', 'saran', 'terima', 'kasih']</t>
  </si>
  <si>
    <t>['combo', 'sakti', 'unlimited', 'hilang', 'gini', 'udah', 'peminat', 'keuntungan', 'gandaaa']</t>
  </si>
  <si>
    <t>['telkomsel', 'bukanya', 'buruk', 'udah', 'tarif', 'muahal', 'sinyal', 'susah', 'perbaiki', 'mending', 'ganti', 'kartu', 'kali', '']</t>
  </si>
  <si>
    <t>['aplikasi', 'bagus', 'paksa', 'ulasan', 'ulasan', 'menurur', 'aplikasi', 'kaya', 'ngentd', 'gitu']</t>
  </si>
  <si>
    <t>['pengguna', 'setia', 'telkomsel', 'kecewa', 'kartu', 'promo', 'pedahal', 'membeli', 'paket', 'data', 'promo', 'murah', 'berharap', 'telkomsel', 'memperhatikan', 'keluh', 'kesah', 'pengguna', 'telkomsel', 'terimakasih']</t>
  </si>
  <si>
    <t>['pelanggan', 'setia', 'telkomsel', 'knapa', 'sinyal', 'susah', 'banget', 'tolong', 'perbaiki', 'daerah', 'kabupaten', 'banyumas', 'kalibagor', 'terimakasih']</t>
  </si>
  <si>
    <t>['jaringan', 'telkomsel', 'daerah', 'sumut', 'parah', 'terkadang', 'lelet', 'parahnya', 'udah', 'listrik', 'padam', 'sinyal', 'telkomsel', 'padam', 'kecewa', 'pengguna', 'telkomnya']</t>
  </si>
  <si>
    <t>['jaringan', 'drop', 'parah', 'pengen', 'pindah', 'operator', 'tolong', 'perbaiki', 'jaringannya', 'pelanggan', 'setiamu', 'kecewa', 'berpindah', 'operator', 'terimakasih']</t>
  </si>
  <si>
    <t>['telkomsel', 'jaringan', 'internet', 'hancur', 'kasih', 'masukan', 'tolong', 'bagusin', 'kota', 'medan', 'hancur', 'internet', 'pleasss']</t>
  </si>
  <si>
    <t>['', 'muji', 'apl', 'telkomsel', 'paket', 'dipake', 'udah', 'tawarkan', 'paket', 'paket', 'brpaling', 'kartu', 'mohon', 'perbaikannya', '']</t>
  </si>
  <si>
    <t>['suka', 'telkomsel', 'paketan', 'internet', 'pulsa', 'tersedot', 'app', 'telkomsel', 'aplikasi', 'dibuka', 'mohon', 'bantuannya']</t>
  </si>
  <si>
    <t>['simpati', 'opsi', 'menghentikan', 'paket', 'terlanjur', 'beli', 'salah', 'membeli', 'paket', 'menerimanya', 'sampe', 'berlaku', 'diganti', 'ditengah', 'jalan', 'spt', 'sungguh', 'merugikan', 'konsumen', 'bintang', '']</t>
  </si>
  <si>
    <t>['kecewa', 'telkomsel', 'faktornya', 'jaringan', 'lag', 'pulsa', 'hilang', 'kuota', 'bnyk', 'promo', 'bohongin', 'pengguna', 'bnyk', 'terusan', 'pengguna', 'telkomsel', 'pindah', 'kartu', 'kartu', 'stabil', 'meningkat', 'peformanya', 'mohon', 'cari', 'jalan', 'keluarnya', 'telkomsel', 'berkurang', 'penggunanya']</t>
  </si>
  <si>
    <t>['', 'memenuhi', 'kriteria', 'paket', 'darurat', 'meminjam', 'paket', 'darurat', 'memakai', 'paket', 'kepentingan', 'takut', 'dilunasin', 'gitu', 'karna', 'tolong', 'memakai', 'paket', 'disaat', 'darurat', '']</t>
  </si>
  <si>
    <t>['jaringan', 'telkomsel', 'buruk', 'dimana', 'kayak', 'gini', 'kesel', 'deh', 'tercepat', 'terluas', 'lawak']</t>
  </si>
  <si>
    <t>['jaringan', 'gajelas', 'ajg', 'main', 'game', 'ngelag', 'mulu', 'beli', 'mahal', 'sanggup', 'jaringan', 'cepat', 'gausah', 'mahal', 'ajg', 'komen', 'mohon', 'maaf', 'diperbaiki', 'gimana', 'kecewa', 'telkomsel', 'ngtd']</t>
  </si>
  <si>
    <t>['gila', 'apk', 'paket', 'gratis', 'kapasitas', 'mb', 'isi', 'pls', 'lgsg', 'potong', 'menyesal', 'sekaliiii', 'paket', 'mahal', 'apk', 'sampahhh', 'apk', 'merugikan', 'pelanggan', '']</t>
  </si>
  <si>
    <t>['pulsa', 'say', 'beli', 'paket', 'internetomg', 'giga', 'seharga', 'transaksi', 'gagal', 'pulsa', 'kepotong', 'maksutnya', 'beli', 'paket', 'transaksi', 'gagal', 'pulsa', 'tetep', 'kepotong', 'buruk', 'telkomsel', 'komplain', 'masi', 'proses', 'proses', 'buruk', 'telkomsel', '']</t>
  </si>
  <si>
    <t>['telkomsel', 'apk', 'error', 'berhenti', 'mengganggu', 'apk', 'panas', 'ikutan', 'error', 'dihapus', 'normal', 'download', 'ulang', 'error', 'apk', 'promo', 'paket', 'dibeli', 'apk', 'ajukan', 'keluhan', 'blm', 'perbaikan', 'alasan', 'knp', 'paket', 'promo', 'dibeli', 'promo', 'pagi', 'dpt', 'promo']</t>
  </si>
  <si>
    <t>['isi', 'paket', 'gb', 'langsung', 'abis', 'pemakaian', 'standart', 'buang', 'kartu', 'simpati', '']</t>
  </si>
  <si>
    <t>['kasi', 'bintang', 'jaringan', 'lambat', 'loadingnya', 'terkadang', 'hilang', 'cuaca', 'membuka', 'aplikasi', 'webtoon', 'game', 'drakor', 'dll', 'lambat', 'loadingnya', 'jaringan', 'cepat', 'tolong', 'tingkatkan', 'pelangan', 'puas', 'keluhan', 'pelanggan', 'terimakasih']</t>
  </si>
  <si>
    <t>['sinyal', 'buruk', 'paketan', 'mahal', 'game', 'sinyal', 'hilang', 'malas', 'telkomsel', 'mending', 'beralih', 'operator', '']</t>
  </si>
  <si>
    <t>['nanya', 'stiap', 'beli', 'pulsa', 'pulsa', 'hilang', 'tolong', 'hentikan', 'hiburan', 'game', 'aplikasi', 'jujur', 'mengikuti', 'tolong', 'hentika', '']</t>
  </si>
  <si>
    <t>['harga', 'paket', 'paketnya', 'harga', 'promo', 'muncul', 'udah', 'beli', 'paket', 'lucu', 'tolonglah', 'kasi', 'riward', 'pelanggan', 'setia', 'thanks']</t>
  </si>
  <si>
    <t>['sinyal', 'telkomsel', 'down', 'pelanggan', 'setia', 'telkomsel', 'simpati', 'mohon', 'tindak', 'lanjuti', 'terima', 'kasih']</t>
  </si>
  <si>
    <t>['telkomsel', 'udah', 'dipercaya', 'jaringan', 'lelet', 'sms', 'promo', 'sesuai', 'isi', 'promo', 'sms', 'masuk', 'telkomsel', 'sehari', 'masuk', 'isinya', 'komplen', 'bot', 'nyesal', 'pakai', 'telkomsel', '']</t>
  </si>
  <si>
    <t>['isi', 'pulsa', 'beli', 'paket', 'unlimited', 'bsa', 'udah', 'coba', 'berkali', 'kali', 'paket', 'darurat', 'gercep', 'tolong', 'min', 'kayak', 'diphpin', 'produk', 'pengen', 'beli', 'bsa', 'ngeluh', 'balasan', 'twiter', 'gmail', 'com', 'udh', 'nge', 'min', 'hasil', 'zonk', 'tolong', 'dipersulit', '']</t>
  </si>
  <si>
    <t>['sms', 'masuk', 'poin', 'isi', 'pulsa', 'rbu', 'membeli', 'pulsa', 'kejadian', 'tolong']</t>
  </si>
  <si>
    <t>['veronika', 'customer', 'service', 'namanya', 'atma', 'membantu', 'mengatasi', 'kendala', 'hadapi', 'ramah', 'sabar', 'membantu', 'duh', 'maaf', 'min', 'karna', 'lemot', 'menangkap', 'informasi', 'terima', 'kasih', '']</t>
  </si>
  <si>
    <t>['aplikasi', 'belanja', 'pilihan', 'paket', 'internet', 'pilihan', 'paket', 'conferece', 'report', 'facebook', 'ikuti', 'anjuran', 'huft', 'jarang', 'kecewa', 'telkomsel', '']</t>
  </si>
  <si>
    <t>['bug', 'metode', 'pembayaran', 'pemutusan', 'akun', 'terhubung', 'proses', 'mohon', 'perbaiki', '']</t>
  </si>
  <si>
    <t>['', 'telkomsel', 'gabisa', 'aktivasi', 'paket', 'notifikasi', 'dapet', 'paket', 'internet', 'kemaren', 'membeli', 'paket', 'promo', '']</t>
  </si>
  <si>
    <t>['app', 'jelek', 'banget', 'suka', 'tbtb', 'lag', 'heh', 'paket', 'app', 'gue', 'download', 'app', 'pls', 'update', 'pls', 'gue', 'medium', 'ram', 'gb', 'app', 'berat', 'gue', '']</t>
  </si>
  <si>
    <t>['tampilan', 'fungsi', 'aplikasi', 'ukuran', 'apk', 'ringan', 'loading', 'edit', 'terlambat', 'beli', 'pulsa', 'apk', 'bayar', 'pakai', 'saldo', 'linkaja', 'terkurang', 'pulsa', 'masuk', 'lamaaaaaa', 'bete', 'bangetd']</t>
  </si>
  <si>
    <t>['', 'ceria', 'gb', 'promo', 'terapi', 'beli', 'telkomsel', 'pemberi', 'harapan', 'palsu', 'ganti', 'provider', 'sebelah', '']</t>
  </si>
  <si>
    <t>['pelanggan', 'telkomsel', 'telkomsel', 'trgolong', 'elit', 'mahal', 'kelasnya', 'julukan', 'provider', 'sultan', 'tpi', 'knpa', 'internetnya', 'lemot', 'skali', 'kota', 'daerah', 'trpencil', 'tolong', 'benahi', 'sblum', 'planggan', 'pindah', '']</t>
  </si>
  <si>
    <t>['tolong', 'gangguan', 'mohon', 'kejalasannnya', 'pembelian', 'paket', 'ditahan', 'paket', 'beli', 'menerima', 'keluhan', 'konsumen', 'tolonglah', 'kejelasannya', 'permain', 'konsumen', 'kuy', 'ganti', 'providerbya', 'bangkrut', 'telkomsel', 'csnya', 'memperjelas', 'menanggapi', 'keluhan', 'konsumen', 'dioper', 'disuruh', 'tunggu', 'nggak', 'kejelasannya']</t>
  </si>
  <si>
    <t>['', 'your', 'session', 'has', 'expired', 'please', 'login', 'again', 'sebulan', 'mah', 'kali', 'manajemen', 'cookienya', 'payah', 'sistem', 'keamanan', 'lebay', '']</t>
  </si>
  <si>
    <t>['ditingkatkan', 'riwayat', 'pemakaian', 'pulsa', 'diusahakan', 'detail', 'pelanggan', 'alur', 'pengeluaran', 'pulsa', 'dirinci', 'paket', 'berlangganan', 'memotong', 'pulsa', 'pelanggan', 'menonaktikannya', 'mudah', '']</t>
  </si>
  <si>
    <t>['maaf', 'aplikasi', 'bagus', 'udah', 'beli', 'kuota', 'ketengan', 'unlimited', 'youtube', 'pakai', 'youtube', 'pulsa', 'kesedot', 'tersisa', 'woiiii', 'telkomsel', '']</t>
  </si>
  <si>
    <t>['jaringan', 'terburuk', 'indonesia', 'sinyal', 'parah', 'full', 'paket', 'sinyal', 'lelet', 'lambat', 'laun', 'sepi', 'penggunaan', 'telkomsel']</t>
  </si>
  <si>
    <t>['sorry', 'bnget', 'pkek', 'app', 'ibi', 'bggakan', 'pas', 'kartu', 'ponselku', 'lihat', 'data', 'but', 'skarang', 'knapa', 'stiap', 'klik', 'slalu', 'ngulangi', 'ulang', 'pdaftaran', 'smpai', 'jengkel', 'langsung', 'ketik', 'kibortnya', 'braturan', 'knapa', 'pdhal', 'saran', 'mudahnya', 'nanya', 'data', 'pulsa', 'mytelkomsel', 'app', 'mgkin', 'app', 'hoax', 'kgaklagi', 'suka', 'ama', 'app', 'trim', 'maaf', 'kbodohan', 'app', '']</t>
  </si>
  <si>
    <t>['paket', 'mahal', 'kecepatan', 'dibawah', 'kb', 'ratusan', 'mb', 'hitungan', 'detik', 'lokasi', 'kendal', 'kota', 'perbaiki', 'th', 'pkai', 'telkomsel', 'perbaikan', 'komplain', 'bagus', 'sehari', 'habis', 'down']</t>
  </si>
  <si>
    <t>['aplikasi', 'promo', 'lelet', 'tampilan', 'jelek', 'melenceng', 'fungsi', 'utamanya', 'nyaman', 'iklan', 'error', 'semoga', 'kedepannya', 'lambat', 'lelet', 'peningkatan', 'maret', 'menyenangkan', 'lelet', 'errornya', 'operatornya', 'tolol', 'woi']</t>
  </si>
  <si>
    <t>['aneh', 'bin', 'ajaib', 'beli', 'pulsa', 'udah', 'kepotong', 'rb', 'skian', 'dipake', 'data', 'seluler', 'udah', 'dimatikan', 'isi', 'pulsa', 'trus', 'wifi', 'pulsa', 'tetep', 'kpotong', 'wifi', 'pulsa', 'rb', 'skian', 'kmana', 'larinya', 'mohon', 'penjelasannya', '']</t>
  </si>
  <si>
    <t>['tolonglah', 'paket', 'cerianya', 'jngn', 'dihalangin', 'paket', 'bermanfaat', 'pelajar', 'kek', 'jdi', 'hemat', 'pengeluaran', 'pandemi', 'kek', 'gini', 'ngeluarin', 'dana', 'semoga', 'direspon', 'telkomsel', '']</t>
  </si>
  <si>
    <t>['stamp', 'sya', 'udh', 'tukar', 'kuota', 'gb', 'harinya', 'ambil', 'poin', 'telkomsel', 'aplikasi', 'roli', 'kuota', 'sya', 'klaim', '']</t>
  </si>
  <si>
    <t>['kecewa', 'download', 'playstore', 'kecepatan', 'email', 'respon', 'alangkah', 'baiknya', 'berfikir', 'povider', 'kecewa', 'rugikan', '']</t>
  </si>
  <si>
    <t>['beli', 'paket', 'telkomsel', 'ulang', 'berkali', 'kali', 'pembelian', 'berhasil', 'cek', 'terbeli', 'pulsa', 'ilang', 'tolong', 'tangani']</t>
  </si>
  <si>
    <t>['telkomsel', 'beda', 'telkomsel', 'sinyal', 'kuat', 'dimana', 'daerah', 'kabupaten', 'pekalongan', 'buruk', 'sinyalny', 'lumayan', 'bagus', 'sinyal', 'dikota', 'aplikasi', 'mytelkomsel', 'belibet', 'sayang', '']</t>
  </si>
  <si>
    <t>['nyaman', 'sistem', 'telkomsel', 'aplikasi', 'karenakan', 'kuota', 'mati', 'off', 'otomatis', 'habis', 'pulsa', 'reguler', 'makan', 'dilema', 'isi', 'pulsa', 'regulernya', 'pulsa', 'reguler', 'berguna', 'tlp', 'nomer', 'kuota', 'aktif', 'pulsa', 'reguler', 'berkurang', 'kuota', 'aktif', 'inipun', 'tanda', 'kemana', 'pulsa', 'hilang', 'tolong', 'perhatikan', 'admin']</t>
  </si>
  <si>
    <t>['', 'kecewa', 'telkomsel', 'daerah', 'jakarta', 'kekuatan', 'sinyal', 'kaya', 'plosok', 'pakai', 'paket', 'gb', 'sebulan', 'kekuatan', 'sinyal', 'kaya', 'tolong', 'kembalikan', 'jaringan', 'pindah', 'operator', 'spt', 'trmksh']</t>
  </si>
  <si>
    <t>['beli', 'paket', 'dial', 'internet', 'lanjar', 'pas', 'aplikasu', 'pembelian', 'paket', 'paket', 'khusunya', 'paket', 'game', 'badahal', 'paketan', 'penuh', 'kuotanya', 'jaringan', 'main', 'mobile', 'legands', 'pubg', 'coc', '']</t>
  </si>
  <si>
    <t>['simapti', 'kesini', 'buruk', 'jaringan', 'pelanggan', 'simpati', 'lbih', 'dri', 'thn', 'skrg', 'koneksinya', 'buruk', 'ganti', 'kartu', 'cepat', 'bagus', 'jaringan', 'internet']</t>
  </si>
  <si>
    <t>['jaringan', 'benerin', 'bos', 'jaringan', 'sumatra', 'kek', 'benang', 'kusut', 'beli', 'kouta', 'rbu', 'butuhin', 'gerimis', 'dikit', 'jaringan', 'hilang', 'ampun', 'makai', 'telkomsel', 'mengerti', 'sampe', '']</t>
  </si>
  <si>
    <t>['promo', 'selamat', 'paket', 'internet', 'omg', 'aktif', 'berlaku', 'tgl', 'pkl', 'wib', 'cek', 'status', 'berhenti', 'berlangganan', 'telkomsel', 'apps', 'hub', 'info', 'pas', 'dipakai', 'datanya', 'diaktifin', 'mengakses', 'internet', 'tarif', 'non', 'paket', 'info', 'tsel', 'data', 'tarif', 'hemat', 'beli', 'paket', 'internet', 'tsel', 'pulsaku', 'kepotong', 'tambahin', 'paket', 'unlimited', 'pulsa', 'reguler', 'kepotong', '']</t>
  </si>
  <si>
    <t>['beli', 'paketan', 'internet', 'telkomsel', 'ato', 'isi', 'ulang', 'kuota', 'internet', 'pastikan', 'pulsa', 'paketan', 'isi', 'ulang', 'kuota', 'aktif', 'telkomsel', 'ahli', 'makan', 'pulsa', 'habis', 'paketan', 'isi', 'ulang', 'kuota', 'dijamin', 'pulsa', 'cepat', 'habis', 'telkomsel', '']</t>
  </si>
  <si>
    <t>['sadar', 'ajalah', 'telkomnya', 'komplinan', 'ulasan', 'masyarakat', 'pengguna', 'telkomsel', 'itupun', 'menanggapinya', 'memiliki', 'alasannya', 'kecewa', '']</t>
  </si>
  <si>
    <t>['jelek', 'parah', 'sialan', 'bis', 'beraktivitas', 'rapat', 'sinyal', 'lag', 'kena', 'marah', 'kecewa', 'parah', 'telkomsel', 'jelek', 'perkotaan', 'untungkan', 'desa', 'pelosok', 'biarkan', 'harga', 'kuota', 'internet', 'mahal', 'udah', 'kecewa', 'telkomsel', 'bagus', 'udah', 'jelek', 'banget', 'koneksi', 'tergangu', 'aktivitas', 'telkomsel', 'memperbaiki', 'sinyal', 'pemakai', 'pelosok']</t>
  </si>
  <si>
    <t>['kuota', 'ceria', 'telkomsel', 'masuk', 'kuotanya', 'pdhl', 'pulsa', 'coba', 'kali', 'masuk', 'kuotanya', 'harap', 'diperbaiki', 'min', 'terima', 'kasih']</t>
  </si>
  <si>
    <t>['kecewa', 'telkomsel', 'mati', 'lampu', 'hujan', 'deras', 'angin', 'namanya', 'gangguan', 'gangguan', 'nggak', 'hujan', 'mati', 'lampu', 'kecepatan', 'sinyal', 'down', 'mengecewakan', 'tinggal', 'tower', 'telkomsel', 'sinyal', 'mengecewakan', '']</t>
  </si>
  <si>
    <t>['tolong', 'telkomsel', 'cintaku', 'kartu', 'mahal', 'beli', 'yutub', 'allah', 'lag', 'teruss', 'maen', 'kuning', 'ms', 'tolong', 'perbaiki', 'cuman', 'harga', 'dinaikin', 'kualitas', 'org', 'ngebangga', 'bangga', 'telkomsel', 'kartu', 'mahal', 'sinyal', 'murah', 'lag', 'mulu', '']</t>
  </si>
  <si>
    <t>['coba', 'jaringan', 'perbaikin', 'grimis', 'dikit', 'gangguan', 'angin', 'dikit', 'gangguan', 'ake', 'telkomsel', 'nggak', 'nyaman', '']</t>
  </si>
  <si>
    <t>['telkomsel', 'taikk', 'paket', 'mahal', 'jaringan', 'susah', 'wilayah', 'banda', 'aceh', 'semenjak', 'kemarin', 'jaringan', 'stabil', 'hilang', 'tolong', 'perbaiki', 'kualitas', 'harga', 'paket', 'mahal', 'kualitas', 'telkomsel', '']</t>
  </si>
  <si>
    <t>['provider', 'buruk', 'indonesia', 'sumpah', 'nyesel', 'beli', 'kartunya', 'jaringan', 'lemot', 'paket', 'mahal', 'perusahan', 'mentingin', 'keuntungan', 'dri', 'kenyamanan', 'pelanggan', '']</t>
  </si>
  <si>
    <t>['provider', 'terbaik', 'sinyal', 'sempati', 'parah', 'buruk', 'lemot', 'harga', 'paketan', 'mahal', 'sinyal', 'jelek', 'bangeeeet', 'woy', 'perbaiki', 'sinyal', 'khusus', 'wilayah', 'durikosambi', '']</t>
  </si>
  <si>
    <t>['kecepatan', 'internet', 'kecuali', 'kendala', 'mati', 'listrik', 'angin', 'kencang', 'kadang', 'kadang', 'sinyalnya', 'susah', 'senang', 'telkomsel', 'kecepatan', 'internet', '']</t>
  </si>
  <si>
    <t>['ngeselin', 'telkomsel', 'akun', 'mobile', 'legend', 'ban', 'gara', 'gara', 'sinyal', 'telkomsel', 'buruk', 'seburuknya', 'sinyal', 'gimana', 'hancur', 'emosi', 'mending', 'jaringan', 'telkomsel', 'sakit', 'hati', 'main', 'game', 'search', 'pekerjaan', 'bye', 'telkomsel', 'bintang', 'telkomsel', 'layak', '']</t>
  </si>
  <si>
    <t>['mantap', 'yach', 'tebus', 'promo', 'kali', 'pemberitahuan', 'jaringan', 'sibuk', 'mhn', 'permudah', 'konter', 'aoutlet', 'dirumah', 'tks']</t>
  </si>
  <si>
    <t>['super', 'mahal', 'jaringan', 'super', 'buruk', 'sesuai', 'jaringan', 'luas', 'kayak', 'tolong', 'bnerin', 'desa', 'jolotundo', 'kec', 'jetis', 'kab', 'mojokerto', 'jaringan', 'muter']</t>
  </si>
  <si>
    <t>['bab', 'asw', 'mahalnya', 'doang', 'semoga', 'bangkrut', 'kali', 'yak', 'kota', 'signalnya', 'ilang', 'pedesaaan', 'streeez', 'jamannya', 'internet', 'masuk', 'stabil', 'gblok']</t>
  </si>
  <si>
    <t>['tolong', 'telkomsem', 'ditempat', 'jaringanya', 'bagus', 'udah', 'gitu', 'mahal', 'bngt', 'sesuai', 'kualitas', 'relefan', 'tolong', 'diperbaiki', 'jngn', 'maunya', 'dibayar', 'mahal', 'jaringanya', 'buruk']</t>
  </si>
  <si>
    <t>['mahal', 'doang', 'sinyal', 'mah', 'jelek', 'edit', 'twitter', 'mohon', 'tanggapan', 'secepatnya', 'ganti', 'layanan', 'kartu', '']</t>
  </si>
  <si>
    <t>['kartu', 'kayak', 'taikkkkk', 'kartu', 'signal', 'kayak', 'dihutan', 'harga', 'mahal', 'kuota', 'susah', 'dipakek', 'buka', 'aplikasi', 'bis', 'move', 'kartu', 'lbh', 'bagus', 'serasa', 'irit', 'skrng', 'pakai', 'opr', '']</t>
  </si>
  <si>
    <t>['maret', 'membeli', 'paket', 'combo', 'gb', 'masuk', 'paketnya', 'pulsa', 'terpotong', 'ribu', 'mohon', 'dii', 'konfirmasi', 'secepatnya', 'min', 'terimakasih']</t>
  </si>
  <si>
    <t>['paket', 'sesuai', 'jamnya', 'janji', 'berlaku', 'sampa', 'setting', 'sesuai', 'jam', 'sekelas', 'telkomsel', 'gampang', 'makan', 'pulsa', 'paket', 'habis']</t>
  </si>
  <si>
    <t>['jaringan', 'buruk', 'buka', 'mytelkomsel', 'berkeluh', 'mytelkomsel', 'maaf', 'kak', 'silahkan', 'hubungi', 'mimin', 'emil', 'mytelkomsel', '']</t>
  </si>
  <si>
    <t>['sinyal', 'turun', 'recommended', 'nge', 'geme', 'full', 'turun', 'sinyal', 'coba', 'berulang', 'bener', 'jaringan', 'ter', 'luas', 'turun', 'cobakk', 'harga', 'sesuai', 'kualitas', 'gtapi', 'loding', 'gimana', 'serasa', 'sinyal', 'pengguna', 'hmmm', 'developer', '']</t>
  </si>
  <si>
    <t>['terimakasih', 'telkomsel', 'bantuannya', 'mengedepankan', 'pelayanan', 'kepuasan', 'konsumen', 'semoga', 'sukses', 'berjaya', 'tanding', 'terbaik', 'pastinya', 'salam', '']</t>
  </si>
  <si>
    <t>['hebat', 'kecepatan', 'jaringan', 'sayangkan', 'aplikasi', 'menandingi', 'kecepatan', 'internet', 'tsb', 'aplikasi', 'lelet', 'buka', 'ajak', 'menekan', 'tombol', 'reloaded', 'ktnya', 'konrksi', '']</t>
  </si>
  <si>
    <t>['tolonglah', 'perbaiki', 'jaringanya', 'paket', 'udh', 'mahal', 'jaringannya', 'mengecewakan', 'ngomong', 'kasar', 'takut', 'dosa', 'tolong', 'perbaiki', 'customer', 'beli', 'kecewa', 'paket', 'murah', 'kyk', 'lancar', 'telkomsel', 'mahal', 'jaringan', 'kyk', 'gini']</t>
  </si>
  <si>
    <t>['jaringan', 'telkomsel', 'bagusnya', 'ngelag', 'lambat', 'suka', 'ilang', 'ilang', 'telkomsel', 'telkomsel', 'beda', 'banget', 'bagusnya', 'sumpah', 'kesel', 'banget', 'main', 'game', 'bagusnya', 'lag', 'parah', 'buka', 'game', 'byka', 'youtube', 'lambat', 'jujur', 'pengguna', 'telkomsel', 'kecewa', 'banget', 'telkomsel', 'beda', 'banget', 'kualitas', 'anggap', 'menurun', 'kualitas', 'telkomsel', 'ratingnya', 'turunin']</t>
  </si>
  <si>
    <t>['terimakasih', 'menukarkan', 'poin', 'paket', 'data', 'gb', 'tiiinngggg', 'mohon', 'maaf', 'sistem', 'sibuk', 'silahkan', 'coba', 'poin', 'kembalikan', 'coba', 'tiinggggg', 'mohon', 'maaf', 'saldo', 'mencukupi', 'pembelian', 'data', 'nuker', 'poin', 'udah', 'ribuan', 'nyoba', 'paket', 'gratis', 'disuruh', 'bayar', 'gunanya', 'poin', 'tel', 'gue', 'make', 'provider', 'udah', 'thn', 'nyoba', 'nuker', 'poin', 'kali', 'kaya', 'gini', '']</t>
  </si>
  <si>
    <t>['perangkat', 'pakai', 'oppo', 'android', 'versi', 'keterangannya', 'optimalkan', 'perangkat']</t>
  </si>
  <si>
    <t>['aplikasi', 'sampah', 'download', 'buka', 'app', 'makan', 'kuota', 'hajar', 'telkomsel', 'menipu', 'yaaa', 'download', 'saranku', 'mending', 'download', 'lupa', 'tutup', 'aplikasinya', 'pas', 'udah', 'selesai', 'kuota', 'klian', 'disedot', 'asli', 'buka', 'aplikasi', 'serasa', 'kayak', 'download', 'app', 'make', 'kuotanya']</t>
  </si>
  <si>
    <t>['kasih', 'bintang', 'permohonan', 'maaf', 'mengeluh', 'jaringan', 'buruk', 'tpi', 'lancar', 'bagus', 'terima', 'kasih', 'telkomsel', 'sukses', 'telkomsel']</t>
  </si>
  <si>
    <t>['tolong', 'min', 'jaringan', 'pelosok', 'pedalaman', 'daerah', 'depapre', 'kabupaten', 'jayapura', 'maksimalkan', 'kerja', 'pakai', 'jaringan', 'susah', 'trimakasih']</t>
  </si>
  <si>
    <t>['sia', 'sia', 'dwonload', 'app', 'kenpa', 'karna', 'cumn', 'ngisi', 'kuota', 'mb', 'kuota', 'gb', 'gb', 'omg', 'rb', 'trimalasi', 'tlkomses', 'kuota']</t>
  </si>
  <si>
    <t>['promo', 'nelpon', 'unlimited', 'muncul', 'pas', 'isi', 'pulsa', 'muncul', 'muncul', 'penipuan', 'publik', '']</t>
  </si>
  <si>
    <t>['simpati', 'beda', 'kebanyakn', 'promo', 'sinyal', 'lemah', 'didalam', 'rumah', 'sinyal', 'oke', 'batang', 'udah', 'sinyal', 'kencang', 'jaringan', 'muter', 'udh', 'jaringan', 'manual', 'tetp', 'coba', 'perbaiki', 'nama', 'kualitas', 'jaringn', '']</t>
  </si>
  <si>
    <t>['kuota', 'pendidikan', 'kuota', 'utama', 'platfrom', 'zoom', 'gmeet', 'dll', 'pakai', 'kuota', 'utama', 'menyedihkan', '']</t>
  </si>
  <si>
    <t>['pindah', 'kartu', 'prabayar', 'kartu', 'halo', 'jaringan', 'internet', 'diutamakan', 'cmn', 'heran', 'jaringan', 'kartu', 'halo', 'diteman', 'bagus', 'kartu', 'prabayar', 'lokasi', 'terbaru', 'kayak', 'gini', 'nyesal', 'pindah', 'kartu', 'pascabayar', '']</t>
  </si>
  <si>
    <t>['aplikasinya', 'bagus', 'jaringannya', 'mendung', 'dikit', 'lgsg', 'mati', 'nyala', 'mati', 'nyala', 'harganya', 'mahal', 'gara', 'jaringannya', 'bagus', 'sumpah', 'ngasih', 'bintang', 'ikhlas', 'pengennya', 'gangasih', 'bintang']</t>
  </si>
  <si>
    <t>['kayak', 'jaringan', 'bagus', 'lemah', 'kali', 'jaringannya', 'main', 'game', 'susah', 'mending', 'pindah', 'sim', 'telkomsel', '']</t>
  </si>
  <si>
    <t>['jaringan', 'bagusss', 'bukti', 'kontrakan', 'tangerang', 'selatan', 'kecamatan', 'serpong', 'jaringan', 'terkadang', 'sinyal', 'sinyalnya', 'emosi', 'cuman', 'kouta', 'doang', 'mahal', 'sinyal', 'bagus', 'pas', 'cuaca', 'hujan', '']</t>
  </si>
  <si>
    <t>['kecewa', 'promo', 'ceria', 'beli', 'tulisan', 'terima', 'kasih', 'permintaan', 'diproses', 'suruh', 'tunggu', 'sms', 'tunggu', 'notif', 'sms', 'promo', 'jga', 'aplikasi', 'lakukan', 'transaksi', 'berhasil', 'kouta', 'tetep', 'plsa', 'jga', 'diambil', 'lakukan', 'berulang', 'ulang', 'tetep']</t>
  </si>
  <si>
    <t>['telkomsel', 'gedeg', 'sinyalnya', 'parah', 'bangett', 'kemarin', 'lancar', 'mytelkomsel', 'daftarkan', 'nomor', 'gagal', 'sinyal', 'stabil', 'perbaikan', 'perubahan', 'terpaksa', 'ganti', 'provider', 'pulsa', 'hilang', 'kemana', 'daftar', 'nelfon', 'udah', 'tinggal', 'dikit', 'habis', 'orang', 'bego', 'ditipu', 'cek', 'pulsa', 'semoga', 'berkah', 'kecewa', '']</t>
  </si>
  <si>
    <t>['parah', 'telkomsel', 'jaringan', 'stabil', 'harga', 'paket', 'paket', 'langganan', 'hilang', 'ngandalin', 'paket', 'midnight', 'karna', 'murah', 'karna', 'mlm', 'ehh', 'paket', 'malam', 'terlanjur', 'isi', 'ulang', 'kualitas', 'kecepatan', 'kb', 'jalan', 'njiiir', 'ganti', 'kartu', 'ehh', 'terlanjur', 'registrasi', 'parrraaaah']</t>
  </si>
  <si>
    <t>['telkomsel', 'siang', 'malem', 'beli', 'paket', 'internet', 'murah', 'mahal', 'ajah', 'cuaca', 'buruk', 'cuaca', 'bagus', 'sinyal', 'tetep', 'jelek', 'semoga', 'operator', 'bagus', 'gamau', 'lekas', 'bangkrut', 'dibilang', 'pelayanan', 'buruk', 'bintang', 'gua', 'kasi', 'bintang', 'komen', '']</t>
  </si>
  <si>
    <t>['kecepatan', 'menurun', 'drastis', 'sinyal', 'lelet', 'parahnya', 'sempet', 'beli', 'surprise', 'deal', 'koq', 'lelet', 'lost', 'jaringan', 'emang', 'sinyalnya', 'surprise', 'deal', 'separah', 'ngenet', 'dongkol', 'kali', 'kontak', 'agen', 'veronika', 'solusi', 'penyelesaian', 'gimana', 'nasib', 'kuota', 'hadhehhh', '']</t>
  </si>
  <si>
    <t>['aplikasi', 'lemot', 'banget', 'daily', 'check', 'berat', 'bnget', 'udah', 'jaringannya', 'parah', 'harga', 'tarif', 'sebanding', 'kwalitasnya', 'parah', 'komen', 'ngeluh', 'admin', 'super', 'parah', 'payah', 'banget', 'lihat', 'kedepannya', 'pelanggannya', 'berkurang']</t>
  </si>
  <si>
    <t>['kartu', 'mahal', 'jaringan', 'bnyak', 'susahnya', 'bagus', 'sekalii', 'taiii', 'blm', 'pkek', 'kartu', 'tolong', 'pakek', 'kecewa', 'sumpah', 'maf', 'bukanya', 'ngejelek', 'kin', 'faktanya', 'mending', 'ganti', 'kartu', 'perdana', 'pakek', 'telkomsel', 'mengecewakan', '']</t>
  </si>
  <si>
    <t>['kontak', 'bantuan', 'bahasa', 'inggris', 'gimana', 'kaga', 'pengaturan', 'bahasa', 'indonesia', 'mudah', 'dipahami', 'kontak', 'langusng', 'veronika', 'mohon', 'telkomsel', 'luaskan', 'dijawa', 'terutaman', 'dipegunungan', 'sinyal', 'hilang', '']</t>
  </si>
  <si>
    <t>['jaringan', 'telkomsel', 'memuaskan', 'berhenti', 'mengunakan', 'kartu', 'hallo', 'bagus', 'kartu', 'im', 'jaringan', 'stabil']</t>
  </si>
  <si>
    <t>['min', 'udah', 'beli', 'paket', 'disney', 'hotstar', 'paket', 'combo', 'omg', 'filmnya', 'dibuka', 'min', 'kali', 'beli', 'combo', 'omg', 'disney', 'hotstar', 'buka', 'filmnya', 'pas', 'beli', 'paket', 'combo', 'omg', 'paket', 'combo', 'omg', 'dibuka', 'filmnya', 'ket', 'paket', 'combo', 'omg', 'dibagian', 'berlangganan', 'paket', 'disney', 'hotstar', 'sampe', 'aplikasi', 'disney', 'uninstall', 'trus', 'install', 'tetep', 'filmnya', '']</t>
  </si>
  <si>
    <t>['pulsa', 'ilang', 'tolong', 'donk', 'belajar', 'niatnya', 'beli', 'pulsa', 'paketin', 'kouta', 'ehk', 'hilang', 'pulsanya', 'tolong', 'donk', 'dapet', 'nilai', 'jelek', 'uang', 'pelanggan', 'kembaliin', 'kagak', '']</t>
  </si>
  <si>
    <t>['mohon', 'maaf', 'kak', 'telkomsel', 'dibuka', 'apknya', 'buka', 'update']</t>
  </si>
  <si>
    <t>['kesini', 'kesini', 'main', 'game', 'mobile', 'legend', 'stabil', 'jaringannya', 'browshing', 'oke', 'sosmed', 'oke', 'dijamin', 'buffering', 'kedepannya', 'tolong', 'ditingkatkan', 'jaringannya', 'bermain', 'game']</t>
  </si>
  <si>
    <t>['tolong', 'admin', 'mempersulit', 'costumer', 'kuota', 'habis', 'tenggannya', 'memaket', 'app', 'alasannya', 'koneksi', 'stabil', 'jaringan', 'strip', 'tolong', 'mengecewakan', 'costumer']</t>
  </si>
  <si>
    <t>['suka', 'telkomsel', 'pelanggan', 'setia', 'beli', 'paket', 'combo', 'gratisan', 'disney', 'sebulan', 'bulannya', 'rutin', 'beli', 'paket', 'combo', 'beli', 'combo', 'bingung', 'paket', 'melimpah', 'ruah', 'pakai', 'nsp', 'nelpon', 'akses', 'youtube', 'disney', 'pulsa', 'habis', 'fungsi', 'combo', 'kali', 'kecewa', 'tolong', 'telkomsel', 'penjelasan', 'kali', 'pulsa', 'habis', 'ketahui', 'kemana', 'hilangnya', 'kecewa', 'telkomsel', '']</t>
  </si>
  <si>
    <t>['', 'ngisi', 'pulsa', 'nge', 'cek', 'saldo', 'maaf', 'permintaan', 'proses', 'coba', 'kemarin', 'gitu', 'takut', 'nomor', 'teblokir', 'pdhl', 'nomor', 'masuk', 'aplikasi', 'pemantauan', 'kesehatan', 'desa', 'masuk', 'prov', 'pusat', 'teblokir', 'takutnya', 'data', 'hilang', 'akibat', 'login', 'nomor', 'udzubillah', 'min', 'dzalik', '']</t>
  </si>
  <si>
    <t>['parahhhh', 'jaringan', 'telkomsel', 'pengguna', 'jaman', 'ngerasain', 'jaringan', 'buruk', 'kemang', 'jakarta', 'selatan', 'parahhhh', '']</t>
  </si>
  <si>
    <t>['min', 'jujur', 'jaringan', 'telkomsel', 'jelek', 'gua', 'pakai', 'namanya', 'lancar', 'indonesia', 'tolong', 'minnnn', 'jaringan', 'padang', 'kek', 'gini', 'terusss', 'ampun', '']</t>
  </si>
  <si>
    <t>['jarigan', 'telkomsel', 'lag', 'banget', 'niat', 'tower', 'ush', 'beroperasi', 'minggu', 'jaringan', 'ngelag', 'jarang', 'bagus', 'bangkrut', 'gimana', 'jaringan', 'diperbaiki', 'parah', 'telkomsel']</t>
  </si>
  <si>
    <t>['telkomsel', 'lelet', 'parah', 'kayak', 'jalannya', 'keong', 'muka', 'kaya', 'babi', 'wilayah', 'siak', 'hulu', 'kab', 'kampar', 'riau', 'kasih', 'solusi', 'pindah', 'provider']</t>
  </si>
  <si>
    <t>['mohon', 'developer', 'pengunci', 'pulsa', 'nti', 'pas', 'kuota', 'habis', 'makan', 'pulsa', 'kejadian', 'beli', 'kuota', 'strus', 'pas', 'gada', 'jaringan', 'pulsanya', 'makn', 'trus', 'karna', 'jaringan', 'kluarnya', 'tolong', 'pengunci', 'pulsa', 'kayak', 'apk', 'axisnet', 'mreka', 'pengunci', 'pulsanya', 'penggunanya', 'mengalami', 'kerugian', 'puaskan', 'pelangganmu', 'brand', 'lancar', 'sekian', 'terimakasih', '']</t>
  </si>
  <si>
    <t>['pindah', 'telkomsel', 'harapan', 'koneksi', 'cepet', 'parah', 'sinyal', 'ilang', 'ilangan', 'jam', 'sinyal', 'coba', 'restart', 'pindahin', 'sim', 'tetep', 'ngga', 'sinyal', 'tolong', 'diperbaiki', 'sistemnyaa', '']</t>
  </si>
  <si>
    <t>['gimana', 'sik', 'kuota', 'lokal', 'pakai', 'coba', 'tetep', 'chat', 'akun', 'telkomsel', 'tetep', 'msih', 'mengaktifkan', 'kartu', 'tolong', 'bantuannya', 'rugi', 'gb', 'kek', 'gini', '']</t>
  </si>
  <si>
    <t>['aplikasi', 'jujur', 'bagus', 'mengecewakan', 'pengamanan', 'pulsa', 'fitul', 'dlm', 'apk', 'tolong', 'kasih', 'mengamanan', 'pulsa', 'pas', 'kuota', 'habis', 'kesedot', 'pulsa', 'cuman', 'tinggal', 'menit', 'pelajar', 'pulsa', 'udah', 'batasi', 'perbulan', 'gitu', 'terpaksa', 'pakai', 'uang', 'kayak', 'gini', 'pas', 'kuota', 'habis', 'nomer', 'ngamanin', 'pulsa', 'telkomsel', '']</t>
  </si>
  <si>
    <t>['isi', 'pulsa', 'tlp', 'aneh', 'pulsa', 'terpotong', 'cek', 'aplikasi', 'kuota', 'tlp', 'mnt', 'kuota', 'internet', 'kmn', 'pergi', 'pulsa', 'isi', 'kuota', 'paket', 'data', 'matikan', 'ttp', 'terpotong', 'komplain', 'telkomsel', 'miskin', 'bgmn', 'sampe', 'hrs', 'ambil', 'pulsa', 'pemakai', '']</t>
  </si>
  <si>
    <t>['isi', 'voucher', 'aplikasi', 'oke', 'sayangnya', 'layanannya', 'ngasih', 'bintang', 'kasih', '']</t>
  </si>
  <si>
    <t>['selamat', 'malam', 'kak', 'telkomsel', 'down', 'jaringan', 'area', 'pemalang', 'perbaikan', 'gmn', 'tolong', 'direspon', 'mengganggu', 'berinternet', 'terimakasih']</t>
  </si>
  <si>
    <t>['kaa', 'beli', 'promonya', 'yaa', 'pas', 'udah', 'beli', 'pembelian', 'berhasil', 'kuota', 'masuk', 'pulsa', 'kepotong', 'emang', 'gangguan', 'gimana', 'mohon', 'perbaiki', 'kak']</t>
  </si>
  <si>
    <t>['ranting', 'karna', 'apli', 'kasi', 'membatu', 'memuas', 'banget', 'banget', 'promo', 'promo', 'gila', 'gilan', 'makasih', 'aplikasi', 'aplikasi', 'membantu', 'gampang', 'mengerti', '']</t>
  </si>
  <si>
    <t>['pulsa', 'save', 'hati', 'hati', 'beli', 'paket', 'internet', 'pulsanya', 'nyedot', 'kenceng', 'banget', 'abis', 'rb', 'buka', 'telkomsel', 'doang', 'kotor', '']</t>
  </si>
  <si>
    <t>['telkomsel', 'parah', 'sinyal', 'pamanukan', 'subang', 'sinyal', 'telkomsel', 'telkomsel', 'beres', 'nyesek', '']</t>
  </si>
  <si>
    <t>['kenpa', 'jaringan', 'telkomsel', 'jaringanya', 'buruk', 'pdah', 'tinggal', 'jkrta', 'jaringan', 'stabil', 'ngeleg', 'kuota', 'habis', 'ngleg', 'persaingan', 'kualitas', 'sinyal', 'tingkatkn', '']</t>
  </si>
  <si>
    <t>['isi', 'pulsa', 'rb', 'otomatis', 'langsung', 'daftar', 'paket', 'omg', 'pemberitahuan', 'ati', 'mengecewakan', '']</t>
  </si>
  <si>
    <t>['buruk', 'ngga', 'perbaikanya', 'mahal', 'doang', 'sinyal', 'buruk', 'ngga', 'perbaikan', 'gitu', 'kaya', 'gini', 'trus', 'mah', 'mending', 'ganti', 'kartu', 'cikarang', 'wilayah', 'perkotaan', 'sinyal', 'perdesaan', '']</t>
  </si>
  <si>
    <t>['aneh', 'banget', 'skrg', 'buka', 'apk', 'beli', 'kuota', 'hang', 'restart', 'dll', 'doang', 'salah', 'ayah', '']</t>
  </si>
  <si>
    <t>['trick', 'paketan', 'omg', 'aktif', 'paketan', 'nonton', 'disney', 'hotstar', 'udah', 'disuruh', 'bayar', 'aplikasi', 'gratis', 'nonton', 'disney', '']</t>
  </si>
  <si>
    <t>['', 'karangin', 'bintangnya', 'telkomsel', 'kaya', 'kartu', 'main', 'game', 'clash', 'clan', 'lgi', 'enak', 'nyerang', 'sinyalnya', 'pergi', 'kemana', 'main', 'game', 'brbasis', 'onlein', 'menyesal', 'ama', 'sinyalnya', '']</t>
  </si>
  <si>
    <t>['promo', 'ceria', 'beli', 'kali', 'tersedia', 'apps', 'telkomsel', 'jam', 'tunggu', 'ulang', 'beli', 'masuk', 'niat', 'ngasi', 'promo', 'tolong', 'min']</t>
  </si>
  <si>
    <t>['aplikasi', 'membantu', 'logout', 'logout', 'repot', 'login', 'cepat', 'bagus', 'tsel', '']</t>
  </si>
  <si>
    <t>['mengecewakan', 'pagi', 'membeli', 'paket', 'data', 'telkomsel', 'pembayaran', 'paketnya', 'aplikasi', 'linkaja', 'paket', 'datanya', 'masuk', 'saldo', 'linkaja', 'terpotong', 'mengirimkan', 'keluhan', 'email', 'chat', 'veronika', 'direspon', 'telkomsel', 'kali', 'mengalaminya', 'sungguh', 'mengecewakan', 'kinerjanya', '']</t>
  </si>
  <si>
    <t>['kasih', 'bintang', 'full', 'stars', 'pembelian', 'kuota', 'berhasil', 'kasih', 'puka', 'puji', 'data', 'gb', 'seharga', 'rupiah', 'berhasil', 'diproaes', 'beli', 'pulsa', 'ribu', 'rupiah', 'beli', 'quota', 'promo', 'gb', 'seharga', 'rupiah', 'zonk', 'kali', 'coba', 'zonk', 'zonk', 'zonk', 'sunguh', 'tega', 'makan', 'uang', 'orang', 'semoga', 'dimafkan', 'amiin']</t>
  </si>
  <si>
    <t>['jaringan', 'lambat', 'lag', 'buka', 'aplikasi', 'telkomsel', 'susah', 'signal', 'telkomsel', 'lag', 'coba', 'model', 'jaringan', 'otomatis', 'manual', 'otomatis', 'lgi', 'lag', '']</t>
  </si>
  <si>
    <t>['jelek', 'jaringannya', 'sanggup', 'kasih', 'promo', 'ush', 'kasih', 'promo', 'isi', 'paket', 'jaringan', 'bener', 'hadeuhh', 'kayak', 'gini', 'pindah', 'haluan']</t>
  </si>
  <si>
    <t>['senang', 'telkomsel', 'karna', 'promonya', 'beli', 'ceria', 'kali', 'pengguna', 'telkomsel', 'sabar', 'dapet']</t>
  </si>
  <si>
    <t>['bintang', 'provider', 'rugi', 'abis', 'pemberitahuan', 'terlambat', 'pulsa', 'tersedot', 'online', 'kehabisan', 'voucher', 'gara', 'sinyal', 'lemah', 'online', 'terhambat', 'sinyal', 'lemah', 'muak', 'pakai', 'provider', 'perkembangan', 'mohon', 'maaf', 'merubah', 'pakai', 'mengusulkan', 'sanak', 'sodara', 'hasil', 'mengecewakan', '']</t>
  </si>
  <si>
    <t>['terimakasih', 'sya', 'tertipu', 'beli', 'pket', 'ceria', 'rb', 'udh', 'isi', 'pulsa', 'rb', 'daftar', 'paketnya', 'ceria', 'seharga', 'rb', 'haruskah', 'kounter', 'beli', 'pulsa', 'rb', 'ntar', 'paketnya', 'ilang', 'suruh', 'beli', 'rb', 'gituuuu', '']</t>
  </si>
  <si>
    <t>['telkomsel', 'promo', 'pelanggannya', 'promo', 'menarik', 'menggiurkan', 'pas', 'diikuti', 'maaf', 'program', 'ikuti', 'program', 'ikuti', 'gangguan', 'penuh', 'alasan', 'disadari', 'pulsa', 'tersedot', 'pelanggan', 'telkomsel', 'setia', 'mohon', 'ubahlah', 'kebiasaan', 'buruk', 'merugikan', 'pelanggan', 'reputasimu', 'terimakasih', '']</t>
  </si>
  <si>
    <t>['kecewa', 'telkomsel', 'beli', 'pulsa', 'menu', 'paket', 'telkomsel', 'lengkap', 'isi', 'pulsa', 'mencoba', 'membeli', 'paket', 'aplikasi', 'menu', 'paket', 'hilang', 'memakai', 'kode', 'dial', 'pembelian', 'twitter', 'direspon']</t>
  </si>
  <si>
    <t>['kuota', 'unlimited', 'ribu', 'max', 'hapus', 'berguna', 'orang', 'belajar', 'rumah', 'orang', 'tolong', 'paket', 'kasihan', 'orang', 'tolong', 'kembalikan', 'pliss', 'orang']</t>
  </si>
  <si>
    <t>['penawaran', 'paket', 'aplikasinya', 'telkomsel', 'beli', 'lancar', 'proses', 'aslinya', 'proses', 'gimana', 'min', 'udh', 'beli', 'paket', 'proses', 'proses', 'tolong', 'bantuannya', 'min', '']</t>
  </si>
  <si>
    <t>['mohon', 'penjelasan', 'tim', 'telkomsel', 'sms', 'telkom', 'tersedia', 'mnt', 'nelfon', 'sms', 'harga', 'tpi', 'akses', 'beli', 'paketnya', 'yaa', '']</t>
  </si>
  <si>
    <t>['min', 'tolong', 'paket', 'bida', 'beli', 'kuota', 'gratis', 'nelfon', 'menit', 'nelfon', 'pulsaku', 'berkurang', 'gratis', 'menitnya', 'berguna', 'gitu', 'tolong', 'min', 'bantuannya', 'pulsaku', 'habis', 'gara', 'gara', 'dipotong', 'nepfon']</t>
  </si>
  <si>
    <t>['kagak', 'niat', 'kasih', 'paket', 'murah', 'dikasih', 'kek', 'gini', 'customernya', 'risih', 'pengemis', 'uang', 'respons', 'banget', 'babi', '']</t>
  </si>
  <si>
    <t>['telkomsel', 'payah', 'udah', 'beli', 'paket', 'rb', 'disneyplus', 'hotstar', 'otomatis', 'kesedotlah', 'pulsanya', 'akses', 'aplikasi', 'disneynya', 'gabisa', 'nonton', 'film', 'pdhl', 'udah', 'aktif', 'paketnya', 'telkomsel', 'kebuang', 'sia', 'pulsa', 'rb', 'gimana', 'min', 'tolong', 'kebijakannya', '']</t>
  </si>
  <si>
    <t>['telkomsel', 'kendala', 'signal', 'lemot', 'dimanapun', 'terimakasih', 'provider', 'tercepat', 'terluas', 'iklan', 'doang', 'kenyataannya', 'kecepatannya', 'ditinggal', 'kedip', 'udah', 'selese', 'loadingnya']</t>
  </si>
  <si>
    <t>['beli', 'paket', 'mb', 'habis', 'langsung', 'habis', 'kepake', 'mb', 'minggat', 'telkomsel', 'stonks', '']</t>
  </si>
  <si>
    <t>['telkomsel', 'beli', 'paket', 'unlimited', 'notifnya', 'pas', 'dibeli', 'niat', 'ngasi', 'diskon', 'udah', 'jaringannya', 'lemot', 'kali', 'ngasi', 'diskon', 'paket', 'beli', 'kasi', 'notifikasi', 'emosi', 'pagi', 'pagi', '']</t>
  </si>
  <si>
    <t>['iklannya', 'mudah', 'dimengerti', 'nasabahnya', 'bahasa', 'menjebak', 'konsumennya', 'beli', 'pruduk', 'telkomsel', '']</t>
  </si>
  <si>
    <t>['telkomsel', 'kuota', 'internet', 'adk', 'pulsa', 'disedot', 'sampe', 'nol', 'bnr', 'pelayanan', 'kayak', 'gini', 'hadiah', 'ditawarkan', 'daily', 'check', 'amanah', 'kek', 'gini', 'kecewa', 'berat']</t>
  </si>
  <si>
    <t>['isi', 'paket', 'link', 'notif', 'pembayaran', 'berhasil', 'silahkan', 'mencoba', 'saldo', 'terpotong', 'tolong', 'benerin', 'sistemnya', 'rugi']</t>
  </si>
  <si>
    <t>['apk', 'diakses', 'kuota', 'internet', 'habis', 'alias', 'free', 'lucu', 'klw', 'paket', 'keburu', 'abis', 'lupa', 'ngisi', 'ngisinya', 'contoh', 'gratis', 'tarif', 'udah', 'mahal', 'apk', 'tsel', 'free', 'itung', 'memperbaiki', 'citra', 'kemudahan', 'akses', 'komen', 'harga', 'paket', 'internetnya', 'mahal', 'komen', 'kesitu', 'krna', 'bnyak', 'mewakili', '']</t>
  </si>
  <si>
    <t>['telkomsel', 'menikmati', 'layanan', 'pembelian', 'pulsa', 'paket', 'rumah', 'pandemik', 'kovid', 'rumah']</t>
  </si>
  <si>
    <t>['halo', 'bintang', 'kuota', 'pulsa', 'paket', 'tolong', 'murahkan', 'harga', 'kuotanya', 'mahal', 'banget', 'tolong', 'malasih']</t>
  </si>
  <si>
    <t>['update', 'ribet', 'nomor', 'modem', 'ngga', 'dilogin', 'aplikasi', 'cabut', 'modem', 'pindahin', 'login', 'magic', 'link', 'dikirm', 'sms']</t>
  </si>
  <si>
    <t>['semoga', 'bermanfaat', 'tapia', 'minggu', 'signal', 'telkomsel', 'nggak', 'daerah', 'telkomsel', 'lancar', 'takut', 'nomornya', 'nggak', 'aktif', 'hilang', 'signal', 'diisi', 'pulsa', 'ndak', 'masuk', 'cek', 'pulsa', 'nggak']</t>
  </si>
  <si>
    <t>['', 'tlekomsel', 'paket', 'menawari', 'pinjaman', 'pulsa', 'buka', 'video', 'berita', 'muncul', 'anak', 'buka', 'pencet', 'iya', 'bumn', 'suka', 'cari', 'untung', 'kayak', 'ghitu', 'rakyat', '']</t>
  </si>
  <si>
    <t>['kesini', 'down', 'sinyal', 'kuota', 'sinyal', 'down', 'parah', 'rating', 'ancur', 'udah', 'pelanggan', 'ngeluh', 'nggak', 'perbaikan', 'tanggapan', 'telkomsel', '']</t>
  </si>
  <si>
    <t>['namanya', 'unlimitedmax', 'aktif', 'kuota', 'utama', 'habis', 'bohong', 'kuota', 'utama', 'habis', 'kuota', 'apps', 'cuman', 'please', 'pakai', 'bersamaan', 'kuota', 'utama', 'pakai', 'aplikasi', 'unlimited', 'apps', '']</t>
  </si>
  <si>
    <t>['jaringan', 'bermasah', 'stabil', 'sampe', 'turun', 'ato', 'dibawahnya', 'pulsa', 'sedot', 'jalankan', 'internetnya', 'beli', 'paket', 'unlimited', 'beli', 'paket', 'reguler', 'mendingan', 'beli', 'kartu', 'paketnya', 'jaringan', '']</t>
  </si>
  <si>
    <t>['telkomsel', 'skrg', 'rekomendasikan', 'pulsanya', 'mahal', 'jaringan', 'ancur', 'paraahh', 'perdana', 'lbh', 'laen', 'sinyalnya', 'lemot', 'sarankan', 'telkomsel', '']</t>
  </si>
  <si>
    <t>['sumpah', 'provider', 'ngotak', 'kemaren', 'sinyal', 'ngedown', 'banget', 'trus', 'lancar', 'kendala', 'kuota', 'nyedot', 'ngotak', 'cuman', 'game', 'doang', 'maen', 'game', 'cuman', 'abis', 'mb', 'jam', 'jam', 'udah', 'gb', '']</t>
  </si>
  <si>
    <t>['aplikasi', 'dibuka', 'loading', 'refresh', 'berulang', 'kali', 'uinstal', 'install']</t>
  </si>
  <si>
    <t>['beli', 'pulsa', 'pakai', 'link', 'saldo', 'kepotong', 'pulsa', 'masuk', 'asa', 'keterangan', 'pembayaran', 'berhasil', 'komplain', '']</t>
  </si>
  <si>
    <t>['update', 'terbaru', 'ribet', 'verifikasi', 'usul', 'privasi', 'masuknya', 'sms', 'nomer', 'spam', '']</t>
  </si>
  <si>
    <t>['pulsa', 'apl', 'tsel', 'berkurang', 'ampe', 'udh', 'komplain', 'skitar', 'staun', 'ngasih', 'solusi', 'ampe', 'skrg', 'cape', 'skrg', 'udh', 'males', 'nyetok', 'pulsa', 'apl', 'mytelkomsel', 'habis', 'alesannya', 'sinyal', 'tsel', 'daerah', 'garut', 'udh', 'sebulan', 'stabil', 'banget', 'lemot', 'parah', 'penjual', 'online', 'terganggu', 'gmn', 'neh', '']</t>
  </si>
  <si>
    <t>['jaringan', 'telkomsel', 'buruk', 'berbanding', 'terbalik', 'tarif', 'mahal', 'murah', 'setia', 'kualitas', 'jaringanya', 'bagus', 'mengalami', 'penurunan', 'kualitas']</t>
  </si>
  <si>
    <t>['harga', 'paket', 'telkomsel', 'mahal', 'sesuai', 'kecepatan', 'jaringannya', 'dirasa', 'gada', 'cepet', 'mohon', 'perbaiki', 'makasih', '']</t>
  </si>
  <si>
    <t>['udah', 'bnyak', 'ngeluh', 'telkomsel', 'kesini', 'daftar', 'paket', 'mas', 'proses', 'cape', 'udah', 'nyoba', 'nyampe', 'bye', 'telkomsel']</t>
  </si>
  <si>
    <t>['jaringan', 'burik', 'lemah', 'nyesel', 'makek', 'jaringan', 'telkomsel', 'burik', 'kayak', 'siput', 'lelet', 'parah', 'tutup', 'jaringan', 'pindah', 'kartu', 'telkomsel', 'burik', '']</t>
  </si>
  <si>
    <t>['', 'promo', 'beli', 'proses', 'chat', 'lngsung', 'veronica', 'telkomsel', 'hasilnya', 'gitu', 'jalan', 'apk', 'telkomsel', 'pengguna', 'telkomsel', 'kecewa', '']</t>
  </si>
  <si>
    <t>['mantap', 'strategi', 'marketing', 'yak', 'org', 'konsumen', 'berkembang', 'org', 'memakai', 'jasa', 'layanan', 'hasil', 'layanan', 'buruk', 'operator', 'sekrang', 'ekonomis', 'pelayanan', 'bagus', 'kecewa']</t>
  </si>
  <si>
    <t>['telkomsel', 'sinyalnya', 'memburuk', 'diatas', 'jam', 'malam', 'parah', 'daerah', 'tangerang', 'kota', 'sinyal', 'bagus', 'beli', 'kuota', 'berfungsi', 'optimal', 'jaringannya', 'meeting', 'daring', 'terkendala', 'tolong', 'diperbaiki', 'pelayanannya', 'promonya', 'bagus', 'servicenya', 'jaga', 'kualitasnya', 'semoga', 'lekas', 'teratasi', 'kendala', 'telkomsel', 'dicintai', 'user', 'usernya']</t>
  </si>
  <si>
    <t>['jaringan', 'telkomsel', 'lemot', 'banget', 'min', 'tlg', 'dibenerin', 'jaringanya', 'perasaan', 'tinggal', 'udh', 'dikota', 'koq', 'jaringan', 'ilang', 'timbul', 'paket', '']</t>
  </si>
  <si>
    <t>['main', 'mobile', 'legend', 'sinyal', 'kayak', 'taik', 'turun', 'main', 'ngadat', 'ngadat', 'jaringan', 'nomer', 'kayak', 'gini', 'sinyal', 'stabil', 'mending', 'indosat', '']</t>
  </si>
  <si>
    <t>['bagus', 'providernya', 'enak', 'padam', 'lampu', 'barengan', 'bersainglah', 'sehat', 'pelayanan', 'ayo', 'karyawan', 'telkom', '']</t>
  </si>
  <si>
    <t>['suka', 'telkomsel', 'karna', 'sinyalnya', 'susah', 'jelek', 'nelpon', 'susah', 'sinyalnya', 'membuka', 'game', 'tolong', 'benerin', 'min', 'telkomsel', 'karuan', 'kayak', 'gini']</t>
  </si>
  <si>
    <t>['aplikasi', 'lambat', 'lemot', 'buffering', 'login', 'memilih', 'beli', 'paket', 'membuka', 'aplikasi', 'aplikasi', 'lancar']</t>
  </si>
  <si>
    <t>['parah', 'kuota', 'jaringan', 'susah', 'banget', 'nyesel', 'udah', 'beli', 'kartu', 'telkomsel', 'sinyal', 'nonton', 'youtube', 'lemot', 'tolong', 'lahh', 'dibenerin', 'beli', 'paket', 'mahal', 'mahal', '']</t>
  </si>
  <si>
    <t>['pengguna', 'setia', 'udah', 'telkomsel', 'kuota', 'internet', 'harga', 'murah', 'unlimited', 'download', 'all', 'kartu', 'promo', 'setia', 'pengguna', 'biarin', 'payah', 'telkomsel']</t>
  </si>
  <si>
    <t>['sinyal', 'gajelas', 'gabisa', 'ngapa', 'in', 'lemot', 'gue', 'beli', 'paketan', 'murah', 'tolong', 'diperbaiki', 'tinggal', 'jkt', 'berasa', 'pedalaman', 'gabisa', 'ngapa', 'in', '']</t>
  </si>
  <si>
    <t>['sinyal', 'dibenerin', 'beli', 'paket', 'mahal', 'sinyal', 'kaya', 'hutan', 'tolong', 'pelanggan', 'kecewa', 'nomor', '']</t>
  </si>
  <si>
    <t>['', 'fromo', 'tpi', 'ndak', 'dftar', 'mna', 'jaringan', 'ngelet', 'trus', 'tlong', 'donk', 'telkomsel', 'perbaiki', 'udah', 'fromo', 'pajang', 'tlong', 'perbaiki', 'jaringa', 'telkomsel', 'maksih']</t>
  </si>
  <si>
    <t>['tolong', 'jaringan', 'telkomsel', 'broken', 'sore', 'sampe', 'malem', 'jaringan', 'internet', 'ngeleg', 'main', 'game', 'ngeleg', 'tolong', 'perbaiki', 'jaringan', 'telkomsel', 'daerah', 'gua', 'temen', 'pengguna', 'telkomsel', 'jaringan', 'telkomsel', 'jelek', 'banget', 'kalah', 'jaringan', 'telkomsel', 'jaringan', 'contoh', 'jaringan', 'bagus', 'banget', 'ayo', 'telkomsel', 'jaringan', 'diperbaiki', '']</t>
  </si>
  <si>
    <t>['simpati', 'jaringan', 'internet', 'jelek', 'banget', 'memuaskan', 'tdak', 'jaringan', 'internet', 'pda', 'bgus', 'cba', 'jaringan', 'internet', 'bgus', 'ngg', 'pindah', 'kartu', 'klau', 'pngen', 'telkomsel', 'maju', 'konsumen', 'memuaskan']</t>
  </si>
  <si>
    <t>['sumpah', 'gua', 'saranin', 'telkomsel', 'skrng', 'baca', 'komen', 'gua', 'pengen', 'make', 'kartu', 'telkom', 'gua', 'bilangin', 'jaringan', 'ujan', 'bener', 'bener', 'kya', 'paketan', 'jaringan', 'makan', 'nonton', 'detik', 'loadingnya', 'detik', 'boong', 'gua', 'udh', 'ngerasain', 'mao', 'protes', 'balesnya', 'maaf', 'kak', 'blablabla', 'jaringannya', 'langsung', 'pokoknya', 'jaringan', 'mahal', 'doang', 'ujan', 'parah', 'tri', '']</t>
  </si>
  <si>
    <t>['telkomsel', 'sedot', 'kuota', 'ngotak', 'yaa', 'buka', 'aplikasi', 'berat', 'telkomsel', 'beli', 'paket', 'voucher', 'internet', 'nomor', 'tolong', 'dibenahi', 'telkomsel', 'kritik', 'pelanggan', 'sedot', 'kuota', 'pelanggan', 'wajar', 'pakai', 'berat', 'kasihan', 'pelanggan', 'full', 'sebulan', 'pakai', 'langsung', 'habis', 'telkomsel', 'beda', 'terima', 'kasih']</t>
  </si>
  <si>
    <t>['tolong', 'telkomsel', 'hormat', 'diperbaiki', 'beli', 'nggak', 'pas', 'ngecheck', 'nggak', 'pulsa', 'pas', 'udah', 'pulsa', 'nggak', 'tolong', 'udah', 'berusaha', 'mencari', 'uang', 'sekuat', 'tenaga', 'pas', 'udah', 'isi', 'pulsa', 'nggak', 'kecewa', 'orang', 'udah', 'berjuang', 'nggak', 'orang', 'tua', 'blum', 'cari', 'uang', 'berusaha', 'kecewakan', 'mohon', 'dimengerti', 'perjuangan']</t>
  </si>
  <si>
    <t>['telkomsel', 'ngentod', 'bingung', 'telkomsel', 'beli', 'paket', 'unlimited', 'gb', 'pas', 'cek', 'bener', 'berlakunya', 'truss', 'esokan', 'harinya', 'pas', 'cek', 'berkurang']</t>
  </si>
  <si>
    <t>['login', 'susahnya', 'ampun', 'woy', 'user', 'telkomsel', 'ngari', 'gunain', 'link', 'kirim', 'salah', 'satunya', 'apliksai', 'gampang', 'penggunaannya', 'bias', 'kode', 'kek', 'tautan', 'magic', 'tissue', 'link', 'prett', '']</t>
  </si>
  <si>
    <t>['tsel', 'jaringan', 'down', 'komplain', 'paket', 'data', 'mahal', 'jaringan', 'down', 'kecewa', 'terpaksa', 'ganti', 'operator', 'sebelah']</t>
  </si>
  <si>
    <t>['telkomsel', 'jaringannya', 'buruk', 'sumpah', 'kesel', 'ditambah', 'beli', 'paketan', 'combosakti', 'disana', 'keterangannya', 'telpon', 'sms', 'gratis', 'pas', 'telpon', 'telkomsel', 'pulsa', 'berkurang', 'beli', 'unlimitedmax', 'keterangannya', 'buka', 'sosmed', 'sepuasnya', 'kuota', 'utama', 'habis', 'buka', 'yutub', 'buka', 'instagram', 'loading', 'mulu', 'pas', 'kuota', 'utamanya', 'tetep', 'download', '']</t>
  </si>
  <si>
    <t>['suka', 'telkomsel', 'pulsa', 'kuota', 'pulsa', 'terkuras', 'padalah', 'kecewa', 'telkomsel', 'tolong', 'tangani', 'rugi', 'kartu', 'sim']</t>
  </si>
  <si>
    <t>['telkomsel', 'buruk', 'paket', 'mahal', 'layanan', 'memuaskan', 'sinyal', 'bar', 'error', 'alias', 'edan', '']</t>
  </si>
  <si>
    <t>['telkomsel', 'sinyal', 'bagus', 'indonesia', 'pelosok', 'tinggal', 'cimahi', 'jawabarat', 'daerah', 'rancabentang', 'sinyal', 'full', 'internet', 'jalan', 'jalan', 'wifi', 'perbanyak', 'fikirkan', 'pengguna', 'data', 'seluler', 'kota', 'sinyal', 'alaska', 'sayangat', 'kecewa', 'pengguna', 'telkomsel', 'rb', 'beli', 'pulsa', 'kuota', 'parah', 'akses', 'internet', 'pergi', 'rumah', 'tolong', 'benahi', 'daerah', 'cimahi', 'cibereum', 'rancabentang', '']</t>
  </si>
  <si>
    <t>['bbrapa', 'hati', 'gangguan', 'koneksi', 'berubah', 'stabil', 'sanggat', 'menghambat', 'aktifitas', 'koneksi', 'sya', 'wfh', 'sedari', 'siang', 'skrng', 'masuk', 'masuk', 'dlm', 'hitungan', 'detik', 'stabil', 'tolong', 'propaider', 'perbaikannya', 'terimakasih', 'salam', 'setia']</t>
  </si>
  <si>
    <t>['jaringan', 'buruk', 'harga', 'paket', 'mahal', 'kecewa', 'sugnal', 'telkomsel', 'tpi', 'kesini', 'kualitas', 'jaringan', 'buruk']</t>
  </si>
  <si>
    <t>['kecewa', 'kali', 'pulsa', 'terpake', 'paket', 'internet', 'penggunaan', 'tolong', 'telkomsel', 'gimana']</t>
  </si>
  <si>
    <t>['beli', 'paket', 'ceria', 'ribu', 'aplikasi', 'mytelkomsel', 'paket', 'cerianya', 'nggak', 'akses', 'pulsanya', 'lenyap', 'kecewa', 'tsel', 'rugi', 'ribu', 'nggak', 'niatnya', 'beli', 'paket', 'paketnya', 'nggak', 'pulsa', 'hilang', '']</t>
  </si>
  <si>
    <t>['maaf', 'banget', 'pulsa', 'pas', 'update', 'saldo', 'langsung', 'nol', 'rupiah', 'perbaiki', 'kah', 'pulsa', 'normal', 'tolong', 'kecewa', 'saran', 'kpd', 'update', 'harap', 'perbaiki', '']</t>
  </si>
  <si>
    <t>['yaah', 'beli', 'kuota', 'aplikasi', 'telkomsel', 'via', 'pulsa', 'pencet', 'beli', 'nunggu', 'proses', 'masuk', 'tolong', '']</t>
  </si>
  <si>
    <t>['kurangi', 'bintangnya', 'perubahan', 'udah', 'komplain', 'via', 'email', 'jaringan', 'lelet', 'beli', 'kuota', 'terbuang']</t>
  </si>
  <si>
    <t>['jujur', 'benci', 'banget', 'aplikasi', 'buka', 'log', 'udah', 'log', 'verivikasi', 'udah', 'akun', 'password', 'selesai', 'log', 'out', 'ganti', 'nomor', 'mending', 'sistem', 'cepat', 'verivikasi', 'jam', 'dikirim', 'jam', 'paraahhh', 'banget', '']</t>
  </si>
  <si>
    <t>['puas', 'pelayanannya', 'telkomsel', 'promo', 'mahal', 'mytelkomsel', 'dihp', 'teman', 'promo', 'murah', 'meriah', 'plis', 'kasih', 'promo', 'murah', 'gituu']</t>
  </si>
  <si>
    <t>['kartu', 'taik', 'telkomsel', 'mahal', 'mahal', 'beli', 'paket', 'berharap', 'internet', 'lancar', 'taik', 'kerja', 'butuh', 'internet', 'kencang', 'kek', 'gini', 'pelayanan', 'hancur', 'perusahaan', 'daerah', 'banda', 'aceh', 'tolong', 'perbaikin']</t>
  </si>
  <si>
    <t>['jaringan', 'ampas', 'minggu', 'nge', 'youtube', 'resolusi', 'kuat', 'pindah', 'provider', 'sebelah', 'paket', 'mahal', 'jaringan', 'ampas', 'rip', 'telkom', 'sinyal', 'full', 'ngeyoutube', 'jalan', '']</t>
  </si>
  <si>
    <t>['telkomsel', 'jaringan', 'terparah', 'harga', 'paket', 'kuota', 'termahal', 'pengguna', 'telkomsel', 'mempermasahkan', 'harga', 'paket', 'kuota', 'mahal', 'mahal', 'sebanding', 'kecepatan', 'jaringan', 'gpp', 'kadang', 'jaringan', 'kaya', 'taiiiiiiiiiiiiikkkkkkkkkk']</t>
  </si>
  <si>
    <t>['langganan', 'apapun', 'isi', 'pulsa', 'kesedot', 'pdhl', 'kepake', 'sebel', 'suamiku', 'gitu', 'grapari', 'bilangnya', 'nunggu', 'sms', 'unreg', 'sms', 'berlangganan', '']</t>
  </si>
  <si>
    <t>['beli', 'kuota', 'ekstra', 'unlimited', 'masuk', 'tarif', 'data', 'non', 'paket', 'berlaku', 'paketin', 'kuota', 'ekstra', 'unlimited', 'kemana', 'pulsa', 'hilang', 'paket', 'telkomsel', 'pelangganmu', 'beralih', 'operator', 'nggak', 'tanggung', '']</t>
  </si>
  <si>
    <t>['aplikasi', 'lemot', 'menguras', 'data', 'internet', 'mohon', 'cari', 'petugas', 'handal', 'tambahin', 'pakai', 'paket', 'tlp', 'pstn', 'telkomsel', 'paket', 'tlp', 'motong', 'pulsa', 'utama', 'regristasi', 'paket', 'dimy', 'telkomsel', 'tercantum', 'paketnya', 'mksdnya', 'kena', 'jebakan', 'pulsa', 'utama', 'tergerus', 'malesssss', 'pakai', 'telkomsel', '']</t>
  </si>
  <si>
    <t>['sinyal', 'jelek', 'kota', 'bogor', 'pengguna', 'speed', 'lelet', 'youtube', 'buffer', 'beli', 'paket', 'tolonglah', 'bandwitdht', 'ditingkatkan', 'sekelas', 'telkomsel', 'perbaikan', 'kualitas', '']</t>
  </si>
  <si>
    <t>['pelanggan', 'komentar', 'respon', 'komen', 'karna', 'jaringan', 'telkomsel', 'buruk', 'kerja', 'nangani', 'tolong', '']</t>
  </si>
  <si>
    <t>['kasih', 'bintang', 'deh', 'aplikasi', 'udah', 'bagus', 'alankah', 'baiknya', 'pembelian', 'kuota', 'app', 'telkomsel', 'murah', 'cek', 'ngga', 'aplikasi', 'cek', 'harganya', 'banyakin', 'bonus', 'pelanggan', 'perbesar', 'hadiah', 'daily', 'check', 'pokonya', 'terbaik', 'update', 'damai', '']</t>
  </si>
  <si>
    <t>['telkomsel', 'loading', 'sinyal', 'jelek', 'banget', 'udah', 'bertahun', 'pakai', 'telkomsel', 'mytelkomsel', 'loading', 'parah', 'dikit', 'jaringan', 'dikit', 'jaringan', '']</t>
  </si>
  <si>
    <t>['jaringannya', 'ngeleg', 'kurasa', 'beli', 'paket', 'internet', 'udh', 'dicoba', 'mahal', 'tetep', 'jaringan', 'buruk', 'ganti', 'kartu', 'perdana', '']</t>
  </si>
  <si>
    <t>['metode', 'pembayaran', 'dana', 'lakukan', 'berkali', 'dklik', 'metode', 'pembayaran', 'kluar', 'nanya', 'nanyakemana', 'bosku']</t>
  </si>
  <si>
    <t>['heh', 'lgi', 'yee', 'coba', 'perbaiki', 'lgi', 'jaringanny', 'gtu', 'ngk', 'ngk', 'knp', 'kartu', 'udh', 'disabarin', 'gtu', 'sinyal', 'bagus', 'sinyalny', 'bagus', 'gtu', 'tpi', 'knp', 'lgsg', 'turun', 'pas', 'masuk', 'apk', 'salah', 'knp', 'gtu', 'kek', 'gtu', 'perbaikan', 'gmn', 'gtu', 'suruh', 'mantengin', 'loading', 'udh', 'kasih', 'pesan', 'email', 'gtu', 'udh', 'lho', 'udh', 'tpi', 'knp', 'hrs', 'ngk', 'enak', 'gtu', '']</t>
  </si>
  <si>
    <t>['senang', 'aplikasi', 'tolong', 'update', 'tambahin', 'fitur', 'lock', 'pulsa', 'leluasa', 'beli', 'paket', 'aplikasi', 'mytelkomselnya', 'kuota', 'bagus', 'senang', 'menikmati', 'paket', 'internet']</t>
  </si>
  <si>
    <t>['aplikasinya', 'dibuka', 'loading', 'mulu', 'udah', 'login', 'beranda', 'membaca', 'nyusah', 'orang', 'beli', 'paket', 'susah', 'kayak', 'provider', 'sebelah', '']</t>
  </si>
  <si>
    <t>['keluhan', 'harga', 'kuota', 'telkomsel', 'sesuai', 'kualitas', 'jaringannya', 'mohon', 'telkomsel', 'perbaiki', 'jaringan', 'sesuai', 'harga', 'konsumen', 'beli']</t>
  </si>
  <si>
    <t>['sialan', 'telkomsel', 'internet', 'dialihkan', 'pulsa', 'pulsa', 'darinya', 'jadwalin', 'beli', 'kuota', 'full', 'skrng', 'sisa', 'seminggu']</t>
  </si>
  <si>
    <t>['sayakan', 'tukar', 'poin', 'ganti', 'pulsa', 'masuk', 'pulsanya', 'masuk', 'kasih', 'bintang', 'dehhhhhhh', '']</t>
  </si>
  <si>
    <t>['kenpa', 'mytelkom', 'beli', 'kouta', 'dimahali', 'gitu', 'engga', 'kasian', 'orang', 'butuh', 'kouta', 'murah', 'beli', 'paket', 'rbu', 'engga', 'engga', 'terulang', 'paket', 'beli', 'hilang', 'min', 'gini', 'hilang', 'gimana', 'belajar', 'online']</t>
  </si>
  <si>
    <t>['perasaan', 'semenjak', 'subsidi', 'kuota', 'jaringan', 'telkomsel', 'internet', 'kualitasnya', 'buruk', 'kota', '']</t>
  </si>
  <si>
    <t>['udah', 'jaringannya', 'saran', 'aktif', 'kuota', 'perpanjang', 'beli', 'habisin', 'kuota', 'perpanjang', 'aktif', 'kuota', 'ntar', 'kasi', 'bintang']</t>
  </si>
  <si>
    <t>['panitia', 'utama', 'jaringan', 'internet', 'indonesia', 'hasil', 'kerjanya', 'bagus', 'internet', 'lelet', 'alias', 'lambat', 'putus', 'putus', 'aplikasinya', 'ribet', 'loadingnya', 'lambat', 'tinggal', 'kota', 'kebayang', 'orang', 'orang', 'tinggal', 'pinggiran', 'beli', 'pulsa', 'paket', 'pelayanan', 'jaringan', 'berkualitas', 'manusia', 'hebat', 'mengelola', 'telkomsel', 'pelayanan', 'memuaskan', 'bangsa', '']</t>
  </si>
  <si>
    <t>['', 'th', 'anivversary', 'cashback', 'isi', 'pulsa', 'gopay', 'manaa', 'casback', 'cek', 'gopay', 'udah', 'isi', 'kaga', 'cashback', '']</t>
  </si>
  <si>
    <t>['kak', 'telkomsel', 'knp', 'berubah', 'telkomsel', 'sulit', 'ujian', 'seminar', 'skripsi', 'kendala', 'kuota', 'dijual', 'mahal', 'knp', 'berubah', 'telkomsel', 'ayo', 'cerita', 'sinii', 'cari', 'solusi', 'bareng', '']</t>
  </si>
  <si>
    <t>['aplikasi', 'pulsa', 'keambil', 'keterangan', 'apapun', 'udah', 'aktifin', 'paket', 'kuota', 'nggak', 'pulsa', 'keambil', '']</t>
  </si>
  <si>
    <t>['beli', 'paket', 'promo', 'udah', 'isi', 'pulsa', 'giliran', 'cobak', 'transaksi', 'gabisa', 'tolong', 'diperbaiki', 'dongg', '']</t>
  </si>
  <si>
    <t>['sinyal', 'kesini', 'burukk', 'simpati', 'lancar', 'kesini', 'nyaman', 'sinyal', 'ilang', 'ilangan', 'buruk', 'tolong', 'perbaiki', 'trimakasih', '']</t>
  </si>
  <si>
    <t>['membeli', 'paket', 'data', 'telkomsel', 'eror', 'berulangkali', 'coba', 'pulsa', 'kesedot', 'membeli', 'paket', 'data', 'sesuai']</t>
  </si>
  <si>
    <t>['signal', 'internet', 'jelek', 'jelek', 'buka', 'facebook', 'gambar', 'buka', 'email', 'telkomsel', 'andalan', '']</t>
  </si>
  <si>
    <t>['bagus', 'aplikasi', 'operator', 'tri', 'indosat', 'serius', 'ngga', 'pakai', 'lebai', 'meniru', 'bersikap', 'dewasa', 'sprti', 'nokia', 'inovatif', 'ditinggal', 'salam', 'tekno']</t>
  </si>
  <si>
    <t>['tolong', 'perbaiki', 'jaringan', 'kualitas', 'internet', 'nyaa', 'bayar', 'tagihan', 'jaringann', 'internet', 'daerah', 'dikota', 'kuningan', 'mode', 'pesawat', 'menit', 'gimana', 'gada', 'follow', 'kerja', 'ngapain', 'tolong', 'perbaiki', 'jaringannya', '']</t>
  </si>
  <si>
    <t>['pulsa', 'habis', 'data', 'keseringan', 'telkomsel', 'tolong', 'aplikasinya', 'upgrade', 'jaringannya', 'lancar', 'kalah', '']</t>
  </si>
  <si>
    <t>['perusahaan', 'bumn', 'kayak', 'gini', 'fikir', 'daerah', 'lemot', 'daerah', 'indonesia', 'telkomsel', 'kasi', 'solusi', 'ubah', 'jaringan', 'mode', 'salah', 'kartu', 'koneksi', 'telkomsel', 'ancur', 'gini', 'axis', 'koneksi', 'aman', 'telkomsel', 'bayar', 'ubah', 'jaringan', 'jngan', 'lupa', 'refres', 'jaringan', 'jaringan', '']</t>
  </si>
  <si>
    <t>['telkomsel', 'sinyalnya', 'jelek', 'harga', 'mahal', 'kekuatan', 'sinyal', 'parah', 'thethering', 'laptop', 'pakai', 'kuota', 'malam', 'lancar', 'kecepatan', 'sampe', 'mb', 'second', 'boro', 'download', 'kebuka', 'situs', 'bangke', 'nyediain', 'kuota', 'malam', 'kecepatan', 'thetering', 'download', 'lepi', 'dibatasin', 'sesuai', 'jargonnya', 'iklan', 'kecewa']</t>
  </si>
  <si>
    <t>['berlangganan', 'aplikasi', 'bln', 'pilih', 'paket', 'combo', 'ribu', 'gb', 'isi', 'rb', 'transaksi', 'berhasil', 'beda', 'why', 'paket', 'habis', 'beli', 'paket', 'combo', 'hemat', 'ribu', 'gb', 'mengisi', 'pulsa', 'rb', 'pilih', 'option', 'aplikasi', 'dana', 'ulang', 'berkali', 'kali', 'aplikasi', 'dana', 'cek', 'pulsa', 'menit', 'isi', 'pulsa', 'tinggal', 'ribu', '']</t>
  </si>
  <si>
    <t>['kuota', 'lokal', 'aktivasi', 'kota', 'digunain', 'kota', 'gimana', 'buruk', 'performa', 'telkomsel', 'mohon', 'pakek', 'telkomsel', 'orang', 'merasakan', 'mending', 'akubkasih', 'pindah', 'operator', 'tipu', 'tipu']</t>
  </si>
  <si>
    <t>['bagus', 'membantu', 'kegiatan', 'setia', 'memakai', 'jaringan', 'telkomsel', 'trimakasih', 'telkomsel', 'salam', 'semarang', 'jawa']</t>
  </si>
  <si>
    <t>['beli', 'paket', 'sistem', 'gangguan', 'promo', 'minggu', 'rb', 'rupiah', '']</t>
  </si>
  <si>
    <t>['tolong', 'menu', 'kirim', 'hadiahnya', 'perbaiki', 'bug', 'transfer', 'pulsa', 'sediakan', 'nominal', 'pulsa', 'other', 'ribet', 'menu', 'dial', 'telpon', '']</t>
  </si>
  <si>
    <t>['pulsa', 'rb', 'hangus', 'padahl', 'blm', 'dipakai', 'trus', 'gmn', 'klau', 'sekolah', 'online', 'skrng', 'klau', 'pulsanya', 'hangus', 'pdhl', 'beli', 'dipakai', '']</t>
  </si>
  <si>
    <t>['pelanggan', 'setia', 'tsel', 'aplikasi', 'berat', 'spesifikasi', 'standard', 'dibuatkan', 'aplikasi', 'ramah', 'kentang', '']</t>
  </si>
  <si>
    <t>['pulsa', 'terpotong', 'pemakaian', 'bulanan', 'minimal', 'ribu', 'perbulan', 'meminjam', 'paket', 'darurat', 'paket', 'unlimitid', 'bulanan', 'gratis', 'game', 'sosmed', 'bermain', 'game', 'online', 'telkomsel', 'buruk', '']</t>
  </si>
  <si>
    <t>['beli', 'voucer', 'isi', 'notif', 'sistem', 'sibuk', 'ulangi', 'puluhan', 'kali', 'diulang', 'indosat', 'murah', 'jarang', 'gangguan']</t>
  </si>
  <si>
    <t>['nyesel', 'udh', 'nerima', 'tawaran', 'karyawan', 'telkomsel', 'mengubah', 'kartu', 'kartu', 'hallo', 'tagihan', 'bengkak', 'bayar', 'kartu', 'gabisa', 'bayar', 'dana', 'krna', 'tagihan', 'bengkak', 'udh', 'gitu', 'gabisa', 'pindah', 'kartu', 'prabayar', 'lagiii', 'knp', 'pas', 'nawarin', 'info', 'gabisa', 'kartu', 'kaya', 'gini', 'bkin', 'rugi', 'konsumen', 'pengguna', 'rekpon', 'kartu', 'blokir', 'gabisa', 'ambil', 'uang', 'karna', 'kartu', 'gabisa', 'nerima', 'sms', 'masuk', '']</t>
  </si>
  <si>
    <t>['pulsa', 'ribu', 'berkurang', 'ribu', 'membeli', 'kouta', 'apapun', 'kouta', 'tolong', 'merugikan', 'orang']</t>
  </si>
  <si>
    <t>['kecewa', 'udah', 'beli', 'kuota', 'internet', 'kepake', 'gangguan', 'sistem', 'udah', 'lapor', 'call', 'center', 'kali', 'blom', 'clear', 'rugi', 'beli', 'kuota', '']</t>
  </si>
  <si>
    <t>['payah', 'parah', 'bgtbuat', 'defeloper', 'gwedah', 'kartu', 'telkomswl', 'tpi', 'masuk', 'aplikasi', 'mytelkomsel', 'persulit', 'klik', 'langsumg', 'masuk', 'hrus', 'ribet', 'kaya', 'yahudi', 'udah', 'gitu', 'lemot', 'aplikasinya', 'beli', 'paket', 'lelet', 'kalah', 'ama', 'kartu', '']</t>
  </si>
  <si>
    <t>['sinyal', 'telkomsel', 'buruk', 'main', 'game', 'ping', 'tolong', 'perbaiki', 'kenyamaan', 'pengunaannya', 'mahal', 'mahal', 'beli', 'paketannya', 'mengecewakan', 'temen', 'game', 'merasakan', 'bermain', 'game']</t>
  </si>
  <si>
    <t>['jaringan', 'luas', 'perkotaan', 'alami', 'merasakan', 'sinyal', 'palsu', 'akses', 'internet', 'melelahkan', 'kuat', 'sinyal', 'radio', 'telkomsel']</t>
  </si>
  <si>
    <t>['kecewa', 'telkomsel', 'jam', 'dimana', 'kesibukan', 'ber', 'akses', 'internet', 'susah', 'tolong', 'perbaiki', 'jaringan', 'bagus', 'malam', 'disaat', 'orang', 'beristirahat', 'bagus', 'jam', 'sibuk', 'akses', 'internet', 'susah', 'kadang', 'kesel', 'tolong', 'perbaiki', 'berdomisili', 'kota', 'susah', 'terimakasih']</t>
  </si>
  <si>
    <t>['bonus', 'pulsa', 'rb', 'dpake', 'dapet', 'sampe', 'berlaku', 'boonus', 'santuy', 'rb', 'bonusnya', 'aktif', 'bun', '']</t>
  </si>
  <si>
    <t>['sumpahh', 'capekkkkk', 'susah', 'jaringannn', 'maaf', 'tiapp', 'kali', 'ngelaggg', 'mls', 'jdi', 'langganan', 'jaringan', 'lola', 'habis', 'duit', 'bnyak', 'beli', 'kecepatan', 'kurangi', 'blm', 'malam', 'hilang', 'jaringan', 'maunya', 'sihh', 'email', 'ngeluhhhh', 'kejadian', 'benr', 'benr', 'kacauu', 'telkomsel', 'tolong', 'telkomsel', 'ngedown', 'gini', 'jaringanya', 'lelet', '']</t>
  </si>
  <si>
    <t>['tinggal', 'perumahan', 'sidoarjo', 'sinyal', 'penuh', 'jaringan', 'data', 'stabil', 'main', 'game', 'lag', 'kadang', 'diskonek', 'mending', 'operator']</t>
  </si>
  <si>
    <t>['beli', 'paket', 'ceria', 'notif', 'tunggu', 'permintaan', 'diproses', 'paket', 'hubungi', 'tanggapan', 'kali', 'niat', 'ngasih', 'promo', 'gapapa', 'dicantumin', 'app', 'telkomsel', 'kecewa', 'pelanggan', 'telkomsel', 'layanannya', 'buruk']</t>
  </si>
  <si>
    <t>['komplain', 'kuota', 'ketengan', 'mb', 'notifikasi', 'paketan', 'sisa', 'mb', 'langsung', 'habis', 'nyedot', 'pulsa', 'pulak', 'trus', 'pulsa', 'nggk', 'isi', 'ulang', 'kuota', 'ketengan', 'bales', 'kesel', 'gua']</t>
  </si>
  <si>
    <t>['telkomsel', 'dibuka', 'diverifikasi', 'ulang', 'kode', 'verifikasi', 'muncul', 'magic', 'link', 'muncul', 'link', 'valid', 'kadaluwarsa', '']</t>
  </si>
  <si>
    <t>['jaringan', 'busuk', 'paket', 'ilang', 'paket', 'dibeli', 'telkomsel', 'dial', 'tulisan', 'sibuk', 'pulsa', 'slalu', 'kesedot', 'gatau', 'kmna', 'mahalpun', 'beli', 'pelayanannya', 'mengecewakan', 'semoga', 'jaringan', 'telkomsel', 'aamiin']</t>
  </si>
  <si>
    <t>['telkomsel', 'korupsi', 'paketnya', 'mahal', 'tolong', 'paketnya', 'kondisikan', 'kartu', 'telkomsel', 'sudaj', 'paket', 'murah', 'setian', 'isi', 'pulsa', 'naikkan', 'harga', 'paketnya', 'tolong', 'hargai', 'orang', 'perbeban', 'harga', 'paket', 'selangit', 'rugikan', 'telkomsel']</t>
  </si>
  <si>
    <t>['lambat', 'muncul', 'informasinya', 'keseringannya', 'muncul', 'lengkap', 'komplain', 'mbo', 'langsung', 'disuruh', 'hubungin', 'situ']</t>
  </si>
  <si>
    <t>['jaringan', 'jelek', 'kota', 'majalengka', 'modal', 'memperbaiki', 'jarinagn', 'doang', 'kartu', 'laku', 'telkomsel', 'urus', 'jaringn', 'jelek', 'gangguan']</t>
  </si>
  <si>
    <t>['bintang', 'percaya', 'kartu', 'telkomsel', 'disaat', 'apdet', 'apk', 'tukar', 'poin', 'poin', 'tukar', 'poin', 'ditukarkan']</t>
  </si>
  <si>
    <t>['telkomsel', 'skrang', 'telkomsel', 'bknya', 'bagus', 'jaringan', 'sinyal', 'semrawut', 'sdah', 'harga', 'kwota', 'mahal', 'sms', 'tlp', 'kaya', '']</t>
  </si>
  <si>
    <t>['aplikasi', 'provider', 'terberat', 'app', 'kuning', 'lancar', 'jaya', 'fitur', 'kuning', 'jalan', 'normal', 'aplikasi', 'berat', 'ampun', 'ngalahin', 'spek', 'pubg', 'settingan', 'hdr', 'extreme', 'ampun', 'uji', 'coba', 'programernya', 'medium', 'spek', 'sumpah', 'berat', 'banget', '']</t>
  </si>
  <si>
    <t>['daerah', 'pontianak', 'daerah', 'perkotaan', 'jaringan', 'lelet', 'browsing', 'udah', 'bersabar', 'bertahun', 'perbaikan', 'menyarankan', 'pengguna', 'provider', 'telkomsel', 'silahkan', 'ganti', 'provider', 'jaringannya', 'bagus', 'terima', 'kasih', 'telkomsel', 'jaringannya', 'lelet', 'inisiatif', 'perbaikan', 'jaringan', 'bertahun', '']</t>
  </si>
  <si>
    <t>['bertahun', 'telkomsel', 'jarang', 'tawaran', 'paket', 'murah', 'paket', 'murah', 'ceria', 'beli', 'telkomsel', 'proses', 'trs', 'status', 'masuk', 'paket', 'telkomsel', 'gede', 'php', 'pelanggan', 'nich', '']</t>
  </si>
  <si>
    <t>['nyesel', 'migrasi', 'kartu', 'halo', 'internetnya', 'lemot', 'kaya', 'keong', 'parah', 'dipake', 'dipake', 'dibayar', 'telkomsel', 'buruk', '']</t>
  </si>
  <si>
    <t>['kirim', 'email', 'sinyal', 'tsel', 'benerin', 'woyy', 'anjg', 'kau', 'telkom', 'benerin', 'woy', 'orng', 'kirim', 'email', 'lakuin', 'baca', 'doang', 'anjg', 'emang', 'babi', 'kau', 'tsel', '']</t>
  </si>
  <si>
    <t>['didalam', 'app', 'tsel', 'namanya', 'kirim', 'hadiah', 'data', 'internet', 'pulsa', 'nomor', 'pengguna', 'tsel', 'kebijaksanann', 'kenyamanan', 'pelanggan', 'setia', 'tolong', 'donk', 'dibuatkan', 'perlindungan', 'safe', 'pulsa', 'data', 'internet', 'proses', 'pengiriman', 'pulsa', 'data', 'terima', 'kasih', 'perhatiannya', 'ucapkan', 'selamat', 'ulang', 'teruntuk', 'telkomsel', '']</t>
  </si>
  <si>
    <t>['capek', 'deh', 'keunggulan', 'apk', 'download', 'nyesel', 'kasih', 'bintang', 'promo', 'daily', 'cek', 'saldo', 'reedom', 'vocher', 'balas', 'poin', '']</t>
  </si>
  <si>
    <t>['cape', 'kirain', 'jaringan', 'eror', 'udh', 'berhari', 'paket', 'promo', 'update', 'update', 'pdhal', 'promo', 'lwat', 'sms', 'bnyak', 'pas', 'dibuka', 'telkomsel', 'tulisannya', 'menemukan', 'promo', 'kesal']</t>
  </si>
  <si>
    <t>['', 'telkomsel', 'promo', 'gb', 'harga', 'beli', 'respo', 'telkomsel', 'pulsa', 'kuota', 'ketengan', 'telkomsel', '']</t>
  </si>
  <si>
    <t>['kecewa', 'pilihan', 'paket', 'internet', 'beli', 'hilang', 'kemana', 'kmaren', 'barusan', 'niat', 'beli', 'hilanggg', 'telan', 'bumi', 'paket', 'ketengan', 'majuin', 'paket', 'ilanginnn', '']</t>
  </si>
  <si>
    <t>['susah', 'main', 'game', 'online', 'rusak', 'karna', 'banting', 'main', 'bar', 'bar', 'sinyal', 'telkomsel', 'ngilang', 'serius', 'ngga', 'perbaiki', 'kebangetan', 'lancar', 'game', 'masaalloh', '']</t>
  </si>
  <si>
    <t>['hai', 'kasih', 'saran', 'menemukan', 'kotak', 'saran', 'tolong', 'telkomsel', 'kunci', 'pulsa', 'lock', 'button', 'axisnet', 'pengguna', 'senang', 'telkomsel', 'kehabisan', 'pulsa']</t>
  </si>
  <si>
    <t>['', 'daerah', 'cisseng', 'bogor', 'hujan', 'siyal', 'langsung', 'eror', 'tolong', 'perbaiki', 'telkomsel', 'pelanggan', 'setia', 'telokomsel']</t>
  </si>
  <si>
    <t>['quota', 'inti', 'habis', 'susah', 'masuk', 'sekedar', 'cek', 'quota', 'tersisa', 'malang', 'kota', 'jawa', 'timur', 'sekitaran', 'bandung', 'sinyal', 'internet', 'susah', 'titik', 'mohon', 'perhatiannya']</t>
  </si>
  <si>
    <t>['rugi', 'gua', 'kemarin', 'gua', 'beli', 'kuota', 'gb', 'minggu', 'harga', 'senin', 'pulsa', 'gua', 'sisa', 'terhabis', 'kuota', 'masuk', 'sore', 'rabu', 'gua', 'isi', 'pulsa', 'beli', 'kuota', 'gb', 'parahnya', 'pulsa', 'gua', 'habis', 'kuota', 'masuk', 'masuk', 'penipuan', 'kah', 'rugi', 'gua', 'kemarin', 'gua', 'sisa', 'pulsa', 'sisa', 'sekira', 'parahnya', 'sisa', 'lenyap', 'gua', '']</t>
  </si>
  <si>
    <t>['berlangganan', 'pakai', 'kartu', 'krna', 'telkomsel', 'skrg', 'pembohongan', 'masal', 'kasih', 'segimana', 'pembohongan', 'krna', 'pelanggan', 'pengguna', 'jaringan', 'semakih', 'menjijikkan', 'update', 'kualitas', 'bener', 'you', 'good', 'telkomsel', 'need', 'you', 'klu']</t>
  </si>
  <si>
    <t>['kasih', 'bintang', 'klim', 'vocher', 'daily', 'cek', 'kuota', 'diklaim', 'kuota', 'masuk', 'masuk', 'menu', 'cek', 'disuruh', 'klim', 'vocher', 'error', 'kecewa', 'tolong', 'kasih', '']</t>
  </si>
  <si>
    <t>['duluh', 'sinyal', 'kau', 'bagus', 'orang', 'trlalu', 'focus', 'internet', 'zaman', 'udah', 'canggih', 'kebutuhan', 'akses', 'internet', 'sinyal', 'kau', 'jelek', 'telkomsel']</t>
  </si>
  <si>
    <t>['ngasih', 'promo', 'kasih', 'promo', 'harga', 'pulsa', 'isi', 'dipasang', 'paketnya', 'dasar', 'penipu', '']</t>
  </si>
  <si>
    <t>['pengguna', 'pakai', 'sebulan', 'kuota', 'akumulatif', 'sisa', 'gb', 'beli', 'gb', 'total', 'gb', 'besoknya', 'tetep', 'minus', 'kuota', 'gb', 'aplikasi', '']</t>
  </si>
  <si>
    <t>['lelet', 'jaringannya', 'mati', 'lampu', 'hilang', 'jaringanya', 'udah', 'pulsanya', 'mahal', 'lelet', 'mahal', 'lelet', 'mslh', 'mkn', 'mahal', 'mkn', 'ilang', 'jaringannya', 'jls', '']</t>
  </si>
  <si>
    <t>['jaringan', 'jelek', 'banget', 'perbaikan', 'dlu', 'bae', 'telkomsel', 'udah', 'banget', 'kecewa', 'ama', 'jaringan', 'maen', 'game']</t>
  </si>
  <si>
    <t>['log', 'out', 'mulu', 'bangke', 'loadingnya', 'buka', 'log', 'out', 'log', 'link', 'beli', 'paket', 'keburu', 'bete', 'njir']</t>
  </si>
  <si>
    <t>['coba', 'tambahin', 'fitur', 'lock', 'pulsa', 'min', 'kesel', 'kuota', 'internet', 'habis', 'beli', 'paket', 'internet', 'telkomsel', 'menghidupkan', 'data', 'pulsa', 'udh', 'kepotong', 'gajadi', 'beli', 'kuota', 'tolongg', 'tambahin', 'fitur', 'lock', 'pulsa', 'minn', 'terimakasih']</t>
  </si>
  <si>
    <t>['aplikasinya', 'bagus', 'jelek', 'log', 'out', 'sinyalnya', 'banget', 'jelek', 'fyi', 'pelanggan', 'udah', 'banget', 'tinggal', 'kota', 'dikelilingi', 'tower', 'telkomsel', 'bagus', 'sinyalnya', 'tarif', 'mahal', 'meningkatkan', 'mutu', 'lelet', '']</t>
  </si>
  <si>
    <t>['beli', 'pulsa', 'indo', 'maret', 'nomor', 'punyaku', 'jam', 'hpku', 'nggak', 'dipakai', 'pdhal', 'jaringan', 'data', 'seluler', 'dibuka', 'tetep', 'nggak', 'indo', 'maret', 'pengisian', 'pulsa', 'sukses', 'hadeuhh', 'capek', 'deh', '']</t>
  </si>
  <si>
    <t>['kesini', 'telkomsel', 'buruk', 'dri', 'jaringan', 'data', 'jaringan', 'stabil', 'tinggal', 'dikota', 'bndar', 'lampung', 'data', 'membeli', 'harga', 'seharus', 'dipakai', 'sebulan', 'minggu', 'seminggu', 'habis', 'jrang', 'maeini', 'game', 'tolong', 'telkomsel', 'menyelesaikan', 'cepat', 'kedepan', 'konsumen', 'mengeluh', '']</t>
  </si>
  <si>
    <t>['kapok', 'beli', 'paket', 'data', 'telkomsel', 'beli', 'masuknya', 'itupun', 'udah', 'komplain', 'solusi', 'jawabannya', 'standar', 'mohon', 'ditunggu', 'jam', 'wtf', 'dude', 'mengecewakan']</t>
  </si>
  <si>
    <t>['suh', 'susah', 'poll', 'jaringan', 'pengen', 'ganti', 'kartu', 'kartu', 'sultan', 'kartu', 'pelayan', 'alasan', 'kendala', 'kendala', 'terossssss', 'paketan', 'mahal', 'sinyal', 'error', 'mending', 'murah', 'lancar']</t>
  </si>
  <si>
    <t>['puas', 'telkomsel', 'mengalami', 'paket', 'data', 'pulsa', 'reguler', 'berkurang', 'bbrp', 'kali', 'nilainya', 'lumayan', 'bingung', 'gimana', 'pulsa', 'reguler', '']</t>
  </si>
  <si>
    <t>['promo', 'ulang', 'tellomsel', 'pengguna', 'apk', 'pelanggan', 'telkomsel', 'pengguna', 'apk', 'jaringan', 'telkomsel', 'buruk', 'payahhhhh', '']</t>
  </si>
  <si>
    <t>['telkomsel', 'bagus', 'cepat', 'paket', 'minggu', 'ribu', 'membantu', 'pandemi', 'terima', 'kasih', 'telkomsel', '']</t>
  </si>
  <si>
    <t>['undian', 'aplikasi', 'kupon', 'tukar', 'habis', 'nda', 'hoki', 'hoax', 'promosihkan', 'menarik', 'pelanggan', 'hahahahahahaha', 'menarik', 'pelanggan', 'menarik', 'nda', 'nipu', 'aplikasi', 'asuh']</t>
  </si>
  <si>
    <t>['jaringan', 'internet', 'telkomsel', 'buruk', 'main', 'game', 'susah', 'ngeleg', 'ping', 'stabil', 'kawasan', 'perkotaan', 'tolong', 'perbaiki', 'min']</t>
  </si>
  <si>
    <t>['aplikasi', 'mengecewakan', 'knpa', 'skrng', 'pembelian', 'unlimited', 'youtube', 'sdah', 'bayar', 'pulsa', 'bisannya', 'ovo', 'sbgai', 'mengecewakan', '']</t>
  </si>
  <si>
    <t>['kacau', 'telkomsel', 'jaringan', 'internetnya', 'coba', 'menghubungi', 'fitur', 'pusat', 'bantuan', 'aplikasinya', 'bilangnya', 'dikirim', 'link', 'sms', 'klik', 'menit', 'menit', 'link', 'blm', 'masuk', 'gimna', 'tolong', 'solusinya', 'min', 'sekalinya', 'masuk', 'linknya', 'menit']</t>
  </si>
  <si>
    <t>['woi', 'tolong', 'gua', 'bug', 'internet', 'lemot', 'bnget', 'tolong', 'dikasih', 'gimana', 'bagus', 'karna', 'tulisannya', 'internetnya', 'kaya', 'error', 'masuk', 'google', 'tolong', 'baca']</t>
  </si>
  <si>
    <t>['membantu', 'indonesia', 'timur', 'maluku', 'utara', 'wilayah', 'kota', 'tidore', 'kepulauan', 'jaringan', 'memuaskan', 'mytelkomsel', 'terbaik', '']</t>
  </si>
  <si>
    <t>['aplikasi', 'mempersulit', 'pengguna', 'takut', 'karna', 'login', 'memakai', 'link', 'kirim', 'link', 'kirim', 'scam', 'virua', 'password', 'meresahkan']</t>
  </si>
  <si>
    <t>['sumpah', 'jaringan', 'setan', 'ter', 'hir', 'telkomsel', 'males', 'jaringan', 'kaya', 'gini', 'mah', 'paketan', 'mahal', 'jaringan', 'kaya', 'keong', 'harga', 'kecepatan', 'jaringan', 'sesuay', '']</t>
  </si>
  <si>
    <t>['pilih', 'kartu', 'telkomsel', 'isi', 'pulsa', 'telkomsel', 'amt', 'teryata', 'pulsany', 'terserap', 'ngapa', 'beli', 'kartu', 'telkomsel', 'nati', 'nyesel', 'liat', 'liat', 'serius']</t>
  </si>
  <si>
    <t>['kecewa', 'aplikasi', 'melayani', 'penawaran', 'penjualan', 'keluhan', 'konsumen', 'egois', 'perusahaan', 'laku', 'produk', 'peduli', 'keluhan', 'pelangganya']</t>
  </si>
  <si>
    <t>['spam', 'bintang', 'guys', 'kualitas', 'jaringan', 'diperbaiki', 'miminnya', 'emang', 'peduli', 'langganan', 'providernya', 'suruh', 'hubungi', 'solusi', 'bagus', 'min', 'teruskan', 'bakatmu']</t>
  </si>
  <si>
    <t>['sinyal', 'telkomsel', 'jelek', 'lelet', 'banget', 'masak', 'lihat', 'sosmed', 'tolong', 'jaringannya', 'diperbaiki', 'lelet', 'makasi']</t>
  </si>
  <si>
    <t>['', 'bintang', 'bingung', 'upgrade', 'kartu', 'gerai', 'telkomsel', 'jaringan', 'bertahan', 'lgi', 'jaringannya', '']</t>
  </si>
  <si>
    <t>['telkomsel', 'mohon', 'ditingkatkan', 'sinyalnya', 'terimakasih', 'salam', 'telkomsel', 'pelanggan', 'setia', '']</t>
  </si>
  <si>
    <t>['nomor', 'udah', 'cek', 'kali', 'kepala', 'toko', 'laporan', 'komputer', 'sukses', 'pas', 'liat', 'udah', 'diliat', 'liat', 'parah', 'sukses', 'laporan', 'komputer', 'nomor', 'salah', 'pulsa', 'top', 'kmarin', 'abis', 'maaf', 'gua', 'ganti', 'kartu', 'bwt', 'nyusahiib', 'ngeruggiin', 'paketan', 'mahal', 'ilang', 'sekalibisa', 'rb', 'sehari', 'abis', 'padaal', 'ngisi', 'isaku', 'bwt', 'paket', 'gaji', 'sehari']</t>
  </si>
  <si>
    <t>['pakai', 'telkomsel', 'sinyal', 'bagus', 'main', 'game', 'suka', 'turun', 'sinyalnya', 'gimana', 'percaya', 'peforma']</t>
  </si>
  <si>
    <t>['telkomsel', 'ketemu', 'buah', 'simalakama', 'pilihan', 'telkomsel', 'nyekek', 'msih', 'indo', 'kah', 'beda', 'kartu', 'sim', 'beda', 'paketnya', 'super', 'murah', 'sesuai', 'mahalnya', 'kartu', 'udah', 'langganan', 'telkomsel', 'th', 'bukanya', 'murah', 'keselek', 'karna', 'provider', 'trims', 'menjangkau', 'daerah', 'sinyalnya', 'drop', 'paket', 'habis', 'loading', 'mangkanya', 'muuahaal', '']</t>
  </si>
  <si>
    <t>['mengecewakan', 'parah', 'jaringan', 'sebelah', 'ngecek', 'pulsa', 'susah', 'koneksi', 'stabil', 'mulu', 'udh', 'wifi']</t>
  </si>
  <si>
    <t>['sinyal', 'putus', 'nyambung', 'kota', 'jkt', 'tangsel', 'sby', 'berharap', 'telkomsel', 'meningkatkan', 'pelayanan', 'kpd', 'customer', 'customer', 'setia', 'pindah', 'hati']</t>
  </si>
  <si>
    <t>['paket', 'spesial', 'cma', 'pas', 'uda', 'beli', 'emang', 'telkomsel', 'uda', 'kehabisan', 'stok', 'pulsa', 'emang', 'marketingnya', 'huh', '']</t>
  </si>
  <si>
    <t>['kecewa', 'beli', 'paket', 'darurat', 'pas', 'ngisi', 'pulsa', 'tarik', 'kecawa', 'gitu', 'beli', 'paket', 'darurat', 'telkomsel', 'tolong', 'penjelasannya', '']</t>
  </si>
  <si>
    <t>['aplikasi', 'berat', 'lambat', 'ulasan', 'isinya', 'komplain', 'jawabannya', 'maaf', 'kak', 'silakan', 'hubungi', 'twitter', 'facebook', 'telkomsel', 'parah', 'napa', 'langsung', 'sesulit', 'kah', '']</t>
  </si>
  <si>
    <t>['parahhhhh', 'data', 'isi', 'pulsa', 'internetan', 'habis', 'pulsa', 'duluan', 'memperkaya', 'dholim', 'benerin', 'sistem', 'woiii', '']</t>
  </si>
  <si>
    <t>['paket', 'ceria', 'aplikasi', 'mytelkomsel', 'beli', 'dial', 'muncul', 'promo', 'khusus', 'pas', 'beli', 'proses', 'mulu', 'mending', 'hapus', 'promo', 'dibeli', 'php', 'org', 'beli', 'pulsa', 'beli', 'paketan', 'internet', 'beli', 'aneh', 'coba', 'aplikasi', 'telkomsel', 'promo', 'khusus', 'beli', 'fangke', '']</t>
  </si>
  <si>
    <t>['kemarin', 'beli', 'kuota', 'gb', 'rb', 'masuk', 'kuotanya', 'pulsanya', 'tetep', 'pulsa', 'hilang', 'kuota', 'dapet', 'mohon', 'penjelasannya', '']</t>
  </si>
  <si>
    <t>['layanannya', 'kalah', 'ama', 'vendor', 'sebelah', 'fitur', 'pulsa', 'safe', 'apalah', 'pulsa', 'terkuras', 'kuota', 'abis', 'sinyalnya', 'kesini', 'stabil', '']</t>
  </si>
  <si>
    <t>['tolong', 'jaringannya', 'benerin', 'lemot', 'buka', 'sosmed', 'main', 'game', 'jaringannya', 'lelet', 'banget', 'kadang', 'dipake', 'internetan', 'kuota', 'jaringan', '']</t>
  </si>
  <si>
    <t>['download', 'mytelkomsel', 'kali', 'isi', 'paket', 'internet', 'ketengan', 'utama', 'saldo', 'ovo', 'terpotong', 'paket', 'terima', 'kuota', 'habis', 'pulsa', 'korban', 'pemberitahuan', 'notifikasi', 'muncul', 'disaat', 'pulsa', 'berkurang', 'korban', 'korban', 'veronika', 'membantu', 'customer', 'service', 'tekankan', 'download', 'aplikasi', '']</t>
  </si>
  <si>
    <t>['mempermudah', 'cek', 'info', 'kuota', 'pulsa', 'promo', 'peluang', 'mengikuti', 'program', 'program', 'telkomsel', 'aplikasi', 'informatif', 'masuk', 'aplikasi', 'butuh', 'kuota', 'data', 'internet', 'belanja', 'pulsa', 'data', 'aplikasi', 'thanks', '']</t>
  </si>
  <si>
    <t>['aneh', 'pulsa', 'kepotong', 'kuota', 'langganan', 'telpon', 'sms', 'orang', 'sllu', 'kepotong', 'ribu', 'sampe', 'udah', 'rb', 'pulsa', 'ilang', '']</t>
  </si>
  <si>
    <t>['mohon', 'diperbaiki', 'diperkuat', 'sinyalnya', 'paket', 'data', 'beli', 'pakai', 'uang', 'ngemis', 'kebanyakan', 'promo', 'layanan', 'jaringan', 'stabil', 'adil', 'jaringan', 'wifi', 'doang', 'diutamakan', 'udah', 'pakai', 'telkomsel', 'perusahaan', 'gede', 'layanannya', 'mundur', 'maju', 'thanks']</t>
  </si>
  <si>
    <t>['paket', 'data', 'promo', 'aplikasi', 'telkomsel', 'belii', 'pamerin', 'doang', 'kecewa', 'kya', 'php', '']</t>
  </si>
  <si>
    <t>['pulsa', 'hilang', 'tambahkan', 'menu', 'cek', 'history', 'pemakaian', 'pulsa', 'cek', 'pulsa', 'suka', 'hilang', 'berkurang', 'gini', 'doang', 'apk', 'faedah']</t>
  </si>
  <si>
    <t>['gimana', 'admin', 'check', 'kali', 'apk', 'telkomsel', 'kuota', 'mohon', 'penjelasannya', 'min', '']</t>
  </si>
  <si>
    <t>['aplikasinya', 'jaringannya', 'lambat', 'udah', 'beli', 'unlimitid', 'bebas', 'multimedia', 'pakai', 'main', 'game', 'lambat', 'pakai', 'download', 'film', 'telegram', 'jalannya', 'lammmmmmbbbaaatttttt', 'bangt', 'menyebalkan', 'nggk', 'lambat', 'paket', 'data', 'cepat', 'habis', 'lambat', 'jaringan', 'paket', 'datanya', 'berkurang', 'beda', 'sebelah', '']</t>
  </si>
  <si>
    <t>['kecewa', 'kebijakan', 'telkomsel', 'dipaksa', 'ngerubah', 'kartu', 'kartu', 'lop', 'kartu', 'halo', 'nolak', 'sulit', 'pembayaran', 'tagihan', 'paksa', 'mempersulit', 'pelanggan', 'bisanya', 'kecewa', 'dipaksa', '']</t>
  </si>
  <si>
    <t>['teman', 'keluarga', 'pakai', 'telkomsel', 'kesini', 'telkomsel', 'mengecewakan', 'penggunanya', 'beralih', 'provider', 'bye', 'telkomsel', '']</t>
  </si>
  <si>
    <t>['daerah', 'perbatasan', 'merak', 'kab', 'serang', 'minggu', 'jaringannya', 'jelek', 'malu', 'ama', 'provider', 'murah', 'berkualitas', 'tolong', 'check', 'team', 'disana', 'harapannya', 'office', 'team', 'merak', 'leletnya', 'jaringan', 'tel', 'complain', 'email', 'febuari', 'ngga', 'repaly', 'jaringan', 'telkomsel', 'disana', 'lelet', 'ngga', 'sampe', 'maret', 'saran', 'harga', 'kuota', 'turunin', 'min', 'level', 'jaringan', 'leletnya']</t>
  </si>
  <si>
    <t>['bagus', 'membantu', 'aktifitas', 'pandemi', 'covid', 'berikanlah', 'pelayanan', 'masyarakat', 'harga', 'murah', 'terjangkau']</t>
  </si>
  <si>
    <t>['admin', 'pulsa', 'berkurang', 'data', 'seluler', 'aktif', 'tlpon', 'sms', 'pulsa', 'berkurang', 'trus', '']</t>
  </si>
  <si>
    <t>['kecewa', 'pelayanan', 'telkomsel', 'kondisi', 'jaringan', 'sayang', 'parah', 'lemot', 'stabil', 'jaringannya', 'wilayah', 'kendal', 'semarang', 'kecewa', 'penyebaran', 'jaringan', 'merata', 'jaringannya', 'lemot', 'sesuai', 'harga', 'tawarkan', 'developer', 'tolong', 'perbaiki', 'jaringannya', 'daerah', 'kendal', 'semarang', 'jawa', 'semoga', 'cepat', 'respon', 'diperbaiki', 'terimakasih', '']</t>
  </si>
  <si>
    <t>['signalnya', 'payah', 'judulnya', 'doank', 'upgrade', 'pascabayar', 'signalnya', 'kuat', 'pas', 'coba', 'hotspotan', 'prabayar', 'kuat', 'signal', 'prabayar', 'upgrade', 'basis', 'paket', 'kuota', 'kaya', 'korup', 'hadehh', 'payah', 'dahh', 'ksini', 'beda', 'wkt', 'msh', 'prabayar', 'lola', '']</t>
  </si>
  <si>
    <t>['bingung', 'telkomsel', 'poin', 'coba', 'beli', 'pulsa', 'poin', 'poin', 'tuker', 'undian', 'hadiah', 'pengumuman', 'menang', 'berita', 'bener', 'bener', 'valid', 'kalou', 'bagus', 'poin', 'tuker', 'internet', '']</t>
  </si>
  <si>
    <t>['kesall', 'telkomsel', 'udh', 'telkomsel', 'penawaran', 'kartu', 'halo', 'fikir', 'jdi', 'praktis', 'mudahh', 'pascabayar', 'biaya', 'kuota', 'mahal', 'ajja', 'menyusahkan', 'non', 'aktifin', 'kartu', 'halo', 'nomor', 'aktif', '']</t>
  </si>
  <si>
    <t>['provider', 'internet', 'palaing', 'lemot', 'jaringan', 'edge', 'full', 'bar', 'bar', 'kwalitas', 'jaringan', 'provider', 'kuning', 'perbaiki', '']</t>
  </si>
  <si>
    <t>['tolong', 'dibenerin', 'kesedot', 'trus', 'pulsanya', 'pelajar', 'butuh', 'pulsa', 'jadikan', 'data', 'kesedot', 'telkomsel', 'stok', 'pulsa', 'pas', 'buka', 'udah', 'kesedot', '']</t>
  </si>
  <si>
    <t>['telkomsel', 'tolong', 'tolong', 'knapa', 'jaringan', 'ngelag', 'ditambah', 'harga', 'kuota', 'msih', 'segitu', 'tolong', 'perbaiki', 'kmi', 'daring', 'zoom', 'tmbah', 'klw', 'ngirim', 'tugas', 'guru', 'butuh', 'cepat', 'tolong', 'perbaiki', 'terima', 'ksaih']</t>
  </si>
  <si>
    <t>['gsm', 'tergoblok', 'udah', 'jaringan', 'lemot', 'paketnya', 'mahal', 'paket', 'data', 'kesedot', 'pulsa', 'admin', 'kagak', 'tanggep', 'mati', 'makan', 'duit', 'haram', 'pembodohan', 'emang', '']</t>
  </si>
  <si>
    <t>['ngerti', 'belinya', 'telkomsel', 'eror', 'isi', 'kuota', 'eror', 'tolong', 'donk', 'perbaiki', 'sistim', 'internetnya', 'bagus', 'tunggu', '']</t>
  </si>
  <si>
    <t>['tolong', 'dongg', 'minn', 'benerinn', 'beli', 'paket', 'promo', 'disituu', 'emang', 'udah', 'liatin', 'beranda', 'belanja', 'udah', 'isi', 'pulsa', 'malahh', 'kebelii', 'trs', 'kadang', 'jarianganya', 'jelekkk', 'semisall', 'gmn', 'tolong', 'dibenerinnn', 'min', '']</t>
  </si>
  <si>
    <t>['mohon', 'maaf', 'beli', 'paket', 'combo', 'paket', 'kali', 'matikan', 'daya', 'nihil', 'sinyal', 'kartu', 'hangus', 'tenggang', 'banget', 'sampe', 'nanya', 'paketnya', 'nomornya', 'pas', 'telfon', 'nomor', 'aktif', 'sayang', 'banget', 'melayang', 'gitu', '']</t>
  </si>
  <si>
    <t>['sinyal', 'lemot', 'perusahaan', 'negara', 'naungi', 'bumn', 'semoga', 'kabel', 'jaringan', 'telkom', 'curi', 'rugi', 'wifi', 'seluler', 'pelayanan', 'lambat', 'responya', 'makan', 'gaji', 'buta', 'alamat', 'desa', 'teru', 'keamanan', 'simpangkatis', 'kabupaten', 'bangka', 'provinsi', 'bangka', 'belitung']</t>
  </si>
  <si>
    <t>['pengen', 'meluapkan', 'emosi', 'embel', 'embel', 'unlimited', 'sesuai', 'kenyataan', 'alias', 'omong', 'kosong', 'semoga', 'kaya', 'amiin']</t>
  </si>
  <si>
    <t>['telkomsel', 'lemot', 'harga', 'enak', 'nggak', 'lemot', 'udah', 'lemot', 'mahal', 'pindah', 'kartu', 'kalah', 'indosat', 'exist']</t>
  </si>
  <si>
    <t>['admin', 'tolong', 'perbaiki', 'signalnya', 'bagus', 'buruk', 'maen', 'gamenya', 'signalnya', 'youtube', 'browsing', 'mendinganlah', 'game', 'tolong', 'diperbaiki', '']</t>
  </si>
  <si>
    <t>['bintang', 'pantaslah', 'kecewa', 'pelanggan', 'telkomsel', 'puluhan', 'pulsa', 'reguler', 'sedot', 'habis', 'sehari', 'paket', 'internet', 'mengaktifkan', 'internetpun', 'pulsa', 'berkurang', 'pdhl', 'operator', 'spt', 'tolong', 'sistemnya', 'perbaiki', 'males', 'isi', 'pulsa', 'internet', 'berganti', 'operator', 'cafek', '']</t>
  </si>
  <si>
    <t>['jaringan', 'telkomsel', 'buruk', 'lemot', 'stabil', 'lancar', 'buruk']</t>
  </si>
  <si>
    <t>['kecewa', 'pelayanan', 'telkomsel', 'harga', 'kuota', 'mahal', 'kecewa', 'memakai', 'kartu', 'promo', 'terkadang', 'jaringan', 'drop', 'mohon', 'diperbaiki', 'pelayanan', 'telkomsel', 'citra', 'dimata', 'masyarakat', '']</t>
  </si>
  <si>
    <t>['telkomsel', 'jaringanya', 'memuaskan', 'sesuai', 'harganya', 'kualitas', 'telkomsel', 'menurun', 'drastis', 'minggu', 'telkomsel', 'mengambang', 'jaringan', 'edge', 'mohon', 'telkomsel', 'memperbaiki', 'tingkatan', 'jaringan', 'bayar', 'mahal', 'pelayanan', 'setimpal', '']</t>
  </si>
  <si>
    <t>['simpati', 'gimana', 'paket', 'kuota', 'unlimited', 'youtube', 'kepotong', 'abis', 'pulsa', 'adain', 'paket', 'ketengan', 'pulsa', 'kepotong', 'rugi', 'gini', '']</t>
  </si>
  <si>
    <t>['udah', 'pakai', 'telkomsel', 'kecewa', 'dikecewakan', 'paket', 'spesial', 'ceria', 'dipromosikan', 'beli', 'jatuh', 'tempo', 'coba', 'chat', 'veronika', 'app', 'slow', 'respon', 'telkomsel', 'kehilangan', 'orang', 'pelanggan', 'setia', 'yaaa', 'jawabannya', 'maaf', 'kak', 'nanananananana', 'haaaa', 'payaaahh']</t>
  </si>
  <si>
    <t>['pengguna', 'setia', 'telkomsel', 'cuman', 'rada', 'kecewa', 'poin', 'ditukarkan', 'pulsa', 'ikutan', 'kena', 'trus', 'fungsi', 'poin', 'ditukarkan', 'dipotong', 'pulsa', '']</t>
  </si>
  <si>
    <t>['mmbatu', 'sya', 'puas', 'banget', 'dri', 'beli', 'kuota', 'pasang', 'wifi', 'koneksi', 'mendingan', 'paket', 'langsung', 'jalan', 'jangkau', 'dngan', 'wifi', 'hemat', 'terjangkau', 'bgi', 'jualan', 'online', 'membantu', 'banget', 'deh', 'semoga', 'telkomsel', 'jaya', 'trus', '']</t>
  </si>
  <si>
    <t>['beli', 'paket', 'mytelkomsel', 'gb', 'tersisa', 'seminggu', 'sinyal', 'twitrer', 'telkomsel', 'telkomsel', 'care', 'respon', '']</t>
  </si>
  <si>
    <t>['kali', 'kehilangan', 'pulsa', 'kesedot', 'kemana', 'trakhir', 'padal', 'masi', 'kuotanya', 'masi', 'bonus', 'telfonnya', 'pas', 'dipake', 'pulsaku', 'berkurang', 'males', 'nyimpen', 'saldo', 'pulsa', 'mytelkomsel', '']</t>
  </si>
  <si>
    <t>['telkomsel', 'pelayanan', 'buruk', 'maaf', 'disuruh', 'hubungi', 'kemaren', 'bales', 'dibaca', 'tobat', 'telkomsel', 'mending', 'pakai', 'operator', 'mudah', 'ribet', 'nipu']</t>
  </si>
  <si>
    <t>['haloooooo', 'telkomsel', 'jariangan', 'jelek', 'banget', 'dipalembang', 'kerjaan', 'pegawai', 'petantang', 'petenteng', 'pamer', 'gaji', 'jaringan', 'lemot', 'mohon', 'direspon']</t>
  </si>
  <si>
    <t>['dapet', 'pulsa', 'rb', 'udah', 'beli', 'paket', 'isinya', 'telpon', 'menit', 'tsel', 'menit', 'operator', 'paket', 'sms', 'rb', 'pulsa', 'bonus', 'dipake', 'sms', 'udah', 'paketnya', 'telpon', 'udah', 'paketnya', 'sekedar', 'masukkan', 'free', 'pulsa', 'rb', 'kirim', 'link', 'sekian', 'terimakasih', '']</t>
  </si>
  <si>
    <t>['kartu', 'isi', 'paket', 'pulsa', 'gagal', 'mengecek', 'pulsa', 'menerima', 'telpon', 'sms', 'telkomsel', 'akses', 'mohon', 'solusinya', '']</t>
  </si>
  <si>
    <t>['admin', 'update', 'paket', 'combo', 'sakti', 'unlimited', 'hilang', 'beli', 'paket', 'mahal', 'butuh', 'paket', 'belajar', 'krna', 'mahal', 'paket', 'beli', 'muncul', 'susah', '']</t>
  </si>
  <si>
    <t>['kasih', 'telkomsel', 'lemot', 'parah', 'cuk', 'main', 'game', 'stabil', 'kyak', 'temen', 'banya', 'komplain', 'mending', 'pindah', '']</t>
  </si>
  <si>
    <t>['pemakaian', 'non', 'paket', 'dihilangkan', 'karna', 'pelayanannya', 'sungguh', 'mengecewakan', 'detik', 'pulsa', 'amblas', 'karna', 'lupa', 'beli', 'paket', 'fitur', 'connect', 'paket', 'habis', 'operator', 'sungguh', 'mengecewakan', '']</t>
  </si>
  <si>
    <t>['apk', 'bagus', 'mempermudah', 'pengguna', 'kartu', 'telkomsel', 'bahasanya', 'promo', 'promo', 'menarik', 'udah', 'bertahun', 'telkomsel', 'mantap', 'pokoknya', '']</t>
  </si>
  <si>
    <t>['mautukar', 'hadiah', 'ngumpulin', 'stamp', 'lancar', 'rp', 'berkurang', 'pulsa', 'sekrg', 'poin', 'tidk', 'mencukupi', 'hubungannya', 'poin', 'heran', 'udah', 'sinyal', 'lemot', 'udh', 'sebulan', 'harga', 'paket', 'mahal', 'tuker', 'hadiah', 'persulit']</t>
  </si>
  <si>
    <t>['wilayah', 'pemalang', 'jawa', 'jaringan', 'telkomsel', 'jelek', 'banget', 'lemot', 'main', 'game', 'lag', 'data', 'hilang', 'harga', 'paket', 'mahal', 'kualitas', 'jaringan', 'bagus', 'telkomsel', 'jaringan', 'skarang', 'udah', 'beda', 'jlek', 'bnget']</t>
  </si>
  <si>
    <t>['aplikasi', 'pembohong', 'pemborosan', 'masak', 'absen', 'ditukar', 'payah', 'aplikasi', 'log', 'out', 'trus', 'masuk', 'kna', 'potong', 'pulzaku', 'parah']</t>
  </si>
  <si>
    <t>['jaringan', 'telkomsel', 'nonton', 'youtube', 'lancar', 'jaringan', 'anteng', 'giliran', 'main', 'pubg', 'jaringan', 'pindah', 'payah', 'telkampret']</t>
  </si>
  <si>
    <t>['maaf', 'bintangnya', 'kurangi', 'jam', 'claim', 'bonus', 'daily', 'check', 'gb', 'claimnya', 'sukses', 'potongan', 'poin', 'sesuai', 'notifikasinya', 'kuota', 'gb', 'masuk', 'tolong', 'diperhatikan', 'bintangnya', 'habisin', 'uninstal', 'aplikasinya', 'thanks', '']</t>
  </si>
  <si>
    <t>['signal', 'tetep', 'putus', 'gua', 'wifi', 'wifi', 'telkom', 'pas', 'data', 'langsung', 'lancar', 'ngomong', 'duit', 'njeng', 'smpe', 'nyuruh', 'data', 'banget', 'data', 'uga', 'main', 'game', 'skolah', 'tolong', 'perbaiki', 'pengahambatan', 'rating', 'balasan', 'samaa', 'ngomong', 'copy', 'paste', 'gua', 'pemalas', 'napa', 'coba', 'klean', 'kerja', 'lakukan', 'terbaik', '']</t>
  </si>
  <si>
    <t>['beli', 'paket', 'mahal', 'dapet', 'signal', 'jelek', 'telkomsel', 'nyaman', 'pelanggan', 'komplain', 'sebanding', 'pemakai', 'perhatian', 'komplain', 'user', 'telkomsel', 'gangguan', 'seminggu', 'signal', 'hilang', 'browsing', 'signal', 'telpon', 'jelek', 'kota', 'palu', '']</t>
  </si>
  <si>
    <t>['kecewa', 'paket', 'combo', 'sakti', 'unlimited', 'cuman', 'kenai', 'batasan', 'kecepatan', 'mengakses', 'aplikasi', 'kli', 'sengaja', 'beli', 'paketan', 'malam', 'mengakses', 'aplikasi', 'cuman', 'kuota', 'malam', 'kenai', 'batasan', 'kecepatan', 'jdi', 'ikutan', 'lemot', 'kuota', 'malam', 'kenai', 'batasan', 'kecepatan', 'sengaja', 'nunggu', 'ampe', 'jam', 'kecewa', 'mubazir', 'pulsa', 'telkomsel', 'sialan', '']</t>
  </si>
  <si>
    <t>['ngak', 'masuk', 'something', 'wrong', 'something', 'wrong', 'orang', 'kaga', 'masuk', 'kaga', 'knp', 'buruk', 'udah', 'mahal', 'sinyal', 'buruk', 'hilih', '']</t>
  </si>
  <si>
    <t>['', 'telkomsel', 'kesini', 'bagus', 'install', 'pas', 'masuk', 'uninstall', 'gitu', '']</t>
  </si>
  <si>
    <t>['kseluruan', 'akses', 'internet', 'telkomsel', 'suda', 'ragukan', 'harapan', 'perhatikan', 'conto', 'ulasan', 'iternet', 'ulimated', 'kombo', 'sakti', 'lebi', 'mura', 'harganya', 'sie', 'stubanding', 'kartu', 'kartu', 'telkomsel', 'conto', 'brikut', 'kartu', 'telkomsel', 'simpati', 'kombo', 'sakti', 'unlimated', 'harga', 'paket', 'paket', 'paket', 'tlong', 'telkomsel']</t>
  </si>
  <si>
    <t>['beli', 'paket', 'internet', 'rb', 'tap', 'sinyalnya', 'down', 'banget', 'daerah', 'kota', 'pelosok', 'ngegam', 'parah', 'banget', 'sinyalnya', 'cuman', 'harga', 'paket', 'doang', 'mahalin', 'jaringanya', 'benerin', 'ngegam', 'kecewa', 'pelanggan', 'setia', 'fix', 'udah', 'kesekian', 'kalinya', 'pindah', 'operator']</t>
  </si>
  <si>
    <t>['susah', 'ngaktifin', 'paket', 'telkomsel', 'liat', 'paketan', 'nelpon', 'ribu', 'isi', 'pulsa', 'langsung', 'ilang', 'paketan', 'akses', 'kode', 'dial', 'tulisan', 'maaf', 'membeli', 'produk', 'disitu', 'tertera', 'produk', '']</t>
  </si>
  <si>
    <t>['maaf', 'knp', 'beli', 'kuota', 'kuota', 'belajar', 'notifikasi', 'kuota', 'habis', 'gimana', '']</t>
  </si>
  <si>
    <t>['mff', 'jaringan', 'bogor', 'selatan', 'tolong', 'perbaiki', 'jadikan', 'kualitas', 'jaringan', 'bagus', 'lagih', 'harga', 'mahal', 'dri', 'temen', 'kerjaan', 'temen', 'sodara', 'ngeluh', 'karna', 'jaringan', 'telkomsel', 'skrang', 'kaya', 'dlu', 'skarang', 'buruk', 'jaringan', 'kecewa', 'jaringan', 'gini', 'teruss', '']</t>
  </si>
  <si>
    <t>['beli', 'paket', 'suka', 'error', 'reload', 'page', 'mulu', 'daftar', 'paket', 'internet', 'muncul', 'pas', 'beli', 'wifi', 'bagus', 'ngestuck', 'gambar', 'loading', 'pas', 'masuk', 'dll']</t>
  </si>
  <si>
    <t>['cerianya', 'diambil', 'gimana', 'kali', 'diperbaiki', 'alangkah', 'baiknya', 'org', 'dpt', 'cerianya', 'adil', 'nomer', 'doang', '']</t>
  </si>
  <si>
    <t>['sampah', 'koneksi', 'mantap', 'reload', 'pas', 'beli', 'data', 'dibilang', 'internet', 'internet', 'testspeed', 'internet', 'lancar', 'perbaiki', 'deh', 'kesampahannya', '']</t>
  </si>
  <si>
    <t>['tolong', 'baguskan', 'sinyalnya', 'jawa', 'barat', 'batujajar', 'masuk', 'game', 'youtube', 'instagram', 'google', 'loading', 'udah', 'tunggu', 'menit', 'eror', 'ngedownload', 'susah', 'mb', 'sampe', 'jam', 'tolong', 'baguskan', 'sinyalnya', '']</t>
  </si>
  <si>
    <t>['enak', 'enak', 'ngegame', 'jaringannya', 'ilang', 'udah', 'coba', 'restart', 'idupin', 'mode', 'pesawat', 'tetep', 'jaringan', 'sekalinya', 'cuman', 'panggilan', 'darurat', 'ngotak', 'harga', 'paket', 'mahal', 'jaringan', 'sebanding', 'harga', 'paketnya']</t>
  </si>
  <si>
    <t>['sorry', 'min', 'bug', 'gimana', 'paket', 'game', 'max', 'kuota', 'game', 'max', 'bejibun', 'kuota', 'inet', 'habis', 'fine', 'kuota', 'internetnya', 'tolong', 'perbaiki', 'mengganggu']</t>
  </si>
  <si>
    <t>['memuaskan', 'aplikasi', 'beda', 'handphone', 'beda', 'nomor', 'pilihan', 'paketnya', 'beda', 'beda', 'pilihan', 'paket', 'combo', 'sakti', 'unlimited', 'internet', 'omg', '']</t>
  </si>
  <si>
    <t>['min', 'aplikasi', 'telkomsel', 'buka', 'upgrade', 'susah', 'cek', 'sisa', 'kuota', 'dll', 'signal', 'mohon', 'min', 'terimakasih', '']</t>
  </si>
  <si>
    <t>['teburuk', 'pakai', 'kartu', 'pilih', 'tekkomsel', 'ktna', 'jaringanya', 'bagus', 'jaringan', 'buruk', 'telkomsel', '']</t>
  </si>
  <si>
    <t>['woy', 'kartu', 'telkomsel', 'kartu', 'sinyal', 'hilng', 'gua', 'udh', 'nyesel', 'kartu', 'telkomsel', 'kya', 'gini', 'pokok', 'gua', 'nyesel', 'kartu', 'tlkomsel', 'kya', 'gini', 'lbih', 'pindah', 'kartu', '']</t>
  </si>
  <si>
    <t>['knp', 'kecepatan', 'byte', 'combo', 'unlimited', 'udah', 'habis', 'paketan', 'sampe', 'kb', 'max', 'kb', 'pdhl', 'keterangan', 'kec', 'byte', 'max', 'tertera', 'penipu', 'pengguna', 'setia', 'tsel']</t>
  </si>
  <si>
    <t>['maaf', 'senelum', 'nyanya', 'telkomsel', 'kampung', 'bandar', 'lampung', 'sinyal', 'down', 'tolong', 'perbaiki', 'susah', 'semoga', 'cepat', 'perbaiki']</t>
  </si>
  <si>
    <t>['', 'notifikasi', 'sinyalnya', 'buka', 'you', 'tube', 'nggak', 'koneksi', 'internet', 'kuota', 'internet', 'omg', 'maksudnya', '']</t>
  </si>
  <si>
    <t>['kartu', 'halo', 'jaringan', 'prioritas', 'bekasi', 'kab', 'pengguna', 'telkomsel', 'sarankan', 'main', 'mobile', 'legend', 'ganti', 'provider', 'ngeyel', 'jamin', 'lag', 'bintangmu', 'abis', 'kyk', '']</t>
  </si>
  <si>
    <t>['gmna', 'beli', 'paket', 'internet', 'persulit', 'proses', 'tpi', 'hri', 'msih', 'proses', 'mentang', 'beli', 'paket', 'internet', 'promo', 'pelayanannya', 'buruk', 'promo', 'paket', 'internet']</t>
  </si>
  <si>
    <t>['membeli', 'paket', 'data', 'promo', 'gb', 'mytelkomsel', 'transaksi', 'sesuai', 'kuota', 'masuk', 'tolong', 'admin', 'menindak', 'lanjuti', '']</t>
  </si>
  <si>
    <t>['maaf', 'kasih', 'bintang', 'sinya', 'telkomsel', 'jelek', 'bangt', 'buka', 'apk', 'susah', 'parahnya', 'pesan', 'chat', 'kekirim', 'kirain', 'abis', 'pket', 'trus', 'buka', 'apk', 'susah', 'giliran', 'beli', 'paket', 'lacar', 'gangguan', 'min', '']</t>
  </si>
  <si>
    <t>['perbaiki', 'sinyal', 'jaringannya', 'masak', 'udah', 'paketan', 'mahal', 'kualitas', 'sinyal', 'jaringan', 'nggak', 'kota', 'nggak', 'kampung', 'sinyalnya', '']</t>
  </si>
  <si>
    <t>['telkomsel', 'sebagus', 'terkenal', 'sinyal', 'slalu', 'bagus', 'dimanapun', 'lokasi', 'skr', 'gangguan', 'sinyal', 'down', 'pelanggan', 'beralih', 'sinyal', 'bagus', 'karna', 'zaman', 'skr', 'pengguna', 'internet', 'sekolah', 'pribadi', 'usaha']</t>
  </si>
  <si>
    <t>['ayo', 'gais', 'aplikasi', 'membantu', 'ucapkan', 'kpd', 'mytelkomsel', 'terimakasih', 'moga', 'dpt', 'app', 'tambahan', 'terbaik', 'pelit', 'ngasih']</t>
  </si>
  <si>
    <t>['aplikasi', 'kasih', 'pulsa', 'gratis', 'ribu', 'sms', 'telkomsel', 'kirimkan', 'barusan', 'bohong', 'buang', 'kartu', 'telkomsel', '']</t>
  </si>
  <si>
    <t>['permisi', 'pelanggan', 'telkomsel', 'kecewa', 'jaringan', 'jelek', 'solusinya', 'memuaskan', 'email', 'klau', 'nomor', 'sya', 'buang', 'tolonglah', 'sinyal', 'jaringan', 'diperbaiki', 'cuman', 'slogannya', 'jaringan', 'tercepat', 'terluas', 'buktinya', 'nol', '']</t>
  </si>
  <si>
    <t>['astagaaa', 'dataku', 'udah', 'beli', 'paket', 'data', 'mahal', 'jaringan', 'kartu', 'telkomsel', 'jaringan', 'eror', 'kartuku', 'eror', 'nyesel', 'pokoknya', '']</t>
  </si>
  <si>
    <t>['tolong', 'bang', 'nie', 'kartu', 'telkomsel', 'lelet', 'aduh', 'gimana', 'bosen', 'tolong', 'perbaiki', 'bagus', 'terkeluar', 'link', 'kerja', 'aduh', 'bang', 'bang', 'info', 'jaringan', 'kek', 'anjim']</t>
  </si>
  <si>
    <t>['diperbaiki', 'claim', 'hadiah', 'daily', 'check', 'gabisa', 'trus', 'beli', 'pulsa', 'dana', 'error', 'mohon', 'bahasa', 'kasar', 'ajg', 'apk', 'rusak', 'gimana', 'cok', 'error', 'mulu', 'berdosa', 'bicara', 'diperbaiki', '']</t>
  </si>
  <si>
    <t>['kecewa', 'telkomsel', 'berpuluh', 'pakai', 'kartu', 'promo', 'internet', 'murah', 'mahal', 'setia', 'ganti', 'nomor', 'tolong', 'pertimbangkan', 'donk', 'pelanggan', 'service', 'mentang', 'cari', 'perhatian', 'org', 'pakai', 'telkomsel', 'dikasi', 'promo', 'abaikan', '']</t>
  </si>
  <si>
    <t>['min', 'tolong', 'males', 'kali', 'bahas', 'jaringan', 'tolong', 'prioritas', 'pendemi', 'sekolah', 'online', 'berharap', 'make', 'provider', 'jaringan', 'bagus', 'paket', 'mahal', 'jaringan', 'ampas', 'bat', 'kek', 'sampah', 'wilayah', 'kalbar', 'jaringan', 'down', 'sumpah', 'keganggu', 'banget', 'telkomsel', 'udah', 'memprioritaskan', 'pelanggan', '']</t>
  </si>
  <si>
    <t>['hehehe', 'kasih', 'ulasan', 'nggak', 'puas', 'pelayanan', 'telkomsel', 'stlh', 'pikir', 'harga', 'paket', 'internet', 'terkenal', 'mahal', 'sesuai', 'kestabilan', 'sinyalnya', 'maaf', 'yeee', 'telkomsel', 'teman', 'kerja', 'berpindah', 'hati', 'kartu', 'dagh', 'dagh', 'sinyal', 'burik', 'stabil', 'main', 'game', 'paketan', 'mahal', '']</t>
  </si>
  <si>
    <t>['min', 'gmn', 'semenjak', 'pket', 'unlimited', 'ceria', 'pulsa', 'kesedot', 'pemberitahuan', 'sdg', 'mengakses', 'tarif', 'nonton', 'pket', 'paketnya', 'mash', 'buka', 'internet', 'herannya', 'pakai', 'paket', 'ambil', 'rp', 'perhrinya', 'tolong', 'perbaiki', 'thun', 'pakai', 'kinerja', 'telkomsel', 'jelek', 'banget', 'susah', 'msh', 'daring', '']</t>
  </si>
  <si>
    <t>['mohon', 'maaf', 'buka', 'aplikasinya', 'aplikasinya', 'kaya', 'mendownload', 'bar', 'kecepatan', 'kbps', 'langsung', 'mbps']</t>
  </si>
  <si>
    <t>['telkomsel', 'jawa', 'buruk', 'sinyalnya', 'min', 'belajar', 'online', 'ngga', 'ngga', 'absen']</t>
  </si>
  <si>
    <t>['misqin', 'pakai', 'sel', 'jaringannya', 'lancar', 'gakenal', 'gakuat', 'masi', 'tetep', 'misqin', 'nekat', 'sel', 'jaringannya', 'bad', 'main', 'pubg', 'awto', 'afk', 'gimana', '']</t>
  </si>
  <si>
    <t>['maaf', 'min', 'nanya', 'bli', 'paket', 'unlimited', 'kapasitas', 'deskripsi', 'gb', 'sampe', 'jam', 'dpt', 'sms', 'mengakses', 'internet', 'tarif', 'non', 'paket', 'info', 'tsel', 'data', 'tarif', 'hemat', 'beli', 'paket', 'internet', 'tsel', 'cma', 'buka', 'youtub', 'chatingan', 'min', 'habis', 'gb', 'ilang', 'kemana', 'min', 'jaringan', 'turun', 'kota', 'min', '']</t>
  </si>
  <si>
    <t>['beli', 'paket', 'internet', 'promokan', 'gb', 'rb', 'udah', 'coba', 'beli', 'pagi', 'respons', 'paket', 'ditiadakan', 'apalah', 'apalah', 'paket', 'internet', 'habis', 'lupa', 'mengaktifkan', 'internet', 'langsung', 'pulsa', 'ludes', 'kadang', 'pulsa', 'habis', 'merugikan']</t>
  </si>
  <si>
    <t>['jelek', 'apk', 'membantu', 'masuk', 'verivikasi', 'data', 'sinyal', 'lemot', 'masuk', 'telkomsel', 'beli', 'data', 'pulsa', 'tolong', 'developer', 'apk', 'gua', 'kesel', 'teruss']</t>
  </si>
  <si>
    <t>['min', 'app', 'telkomsel', 'promo', 'paket', 'ceria', 'gb', 'rb', 'beli', 'tpi', 'pas', 'beli', 'pulsa', 'sedot', 'rugi', 'pulsa', 'langsung', 'habis', 'uda', 'gitu', 'daftar', 'paket', 'kuota', 'belajar', 'berhasil', 'daftarkan', 'tpi', 'telkomsel', 'multimedianya', 'dpt', 'gb', 'mohon', 'bantuannya', 'min', 'daring', 'hidup', 'uda', 'sulit', 'min', 'persulit', '']</t>
  </si>
  <si>
    <t>['akses', 'data', 'super', 'lemot', 'harga', 'super', 'mahal', 'sisa', 'pulsa', 'colong', 'lengkap', 'sekelas', 'telkomsel', 'main', 'game', 'malu', 'ama']</t>
  </si>
  <si>
    <t>['bintang', 'kualitas', 'jaringan', 'telkomsel', 'buruk', 'area', 'jawa', 'permasalahan', 'min', 'kualitasnya', 'bagus', 'semenjak', 'pandemi', 'covid', 'jaringan', 'telkomsel', 'hancur', 'mohon', 'diperbaiki', 'min', 'mengganggu', 'pekerjaan', 'terimakasih', 'membaca']</t>
  </si>
  <si>
    <t>['ngeselin', 'tlkomsial', 'bru', 'bagus', 'jaringan', 'kawasan', 'tapung', 'berulah', 'kualitas', 'telkomsel', 'mengecewakan', 'paket', 'mahal', 'kualitas', 'hancur', '']</t>
  </si>
  <si>
    <t>['jaringan', 'busuk', 'siang', 'malam', 'paket', 'mahal', 'jaringan', 'busuk', 'pengguna', 'setia', 'kecewa', 'jaringan', 'ngapa', 'anjiiiiiiiiiiiiiiiiiing', '']</t>
  </si>
  <si>
    <t>['penjelasan', 'pulsa', 'ribu', 'ribu', 'membeli', 'beli', 'pemberitahuan', 'penjelasannya', 'memuaskan', 'mengkorupsi', 'pulsa', 'pelanggan', 'pulsanya', 'pakai', 'buka', 'maklumi', 'paket', 'unlimited', 'beli', 'top', 'aplikasi', 'pemberitahuan', 'pesan', 'beli', '']</t>
  </si>
  <si>
    <t>['paket', 'combo', 'sakti', 'unlimited', 'jelek', 'kualitas', 'sinyal', 'loading', 'siput', 'full', 'bar', 'lte', 'rugi', 'pulsa', 'beli', 'paket', 'lokasi', 'yogyakarta', '']</t>
  </si>
  <si>
    <t>['paket', 'unlimited', 'ribu', 'lemot', 'kuota', 'utama', 'buka', 'youtube', 'loadingnya', 'menit', 'kualitas', 'loadingya', 'game', 'mobile', 'legen', 'ping', 'jumping', 'jumping', 'lag', 'detik', 'dianggap', 'game', 'jaringan', 'ilang', 'perbaiki', 'kualitas', 'jaringan', 'unlimited', 'jaringan', 'jelek', 'mahal', 'doang', 'jaringan', 'hilang', 'hilang', '']</t>
  </si>
  <si>
    <t>['kuota', 'internet', 'habis', 'merampok', 'pulsa', 'utama', 'tolong', 'tarif', 'normal', 'hitung', 'hitungannya', 'pulsa', 'ribu', 'hilang', 'gitu', 'gara', 'gara', 'data', 'aktif', 'kuota', 'habis', 'ngasih', 'masukan', 'tlekomsel', 'pulsa', 'utama', 'diotomatiskan', 'pengganti', 'data', 'seluluer', 'merugikan', 'pengguna', 'itung', 'itungan', 'detik', 'pulsa', 'ribu', 'langsung', 'habis', 'rugi', 'cung', 'mengalami', 'nasib', '']</t>
  </si>
  <si>
    <t>['ceritanya', 'berkendara', 'motor', 'telpon', 'masuk', 'menepi', 'angkat', 'telpon', 'terdengar', 'suara', 'operator', 'biaya', 'dibebankan', 'penerima', 'gila', 'fitur', 'nomer', 'dikenal', 'masuk', 'penerima', 'nanggung', 'biaya', 'percakapan', 'tolong', 'deh', 'telkomsel', 'dihilangkan', 'fitur', 'ygsalah', 'gunain']</t>
  </si>
  <si>
    <t>['telkom', 'pengamanan', 'sulit', 'orang', 'kenal', 'kartu', 'produk', 'sebelah', 'ngga', 'kaya', 'gini', 'pindah', 'telkom', 'kena', 'hipnotis', 'orang', 'kenal', 'rb', 'pulsa', 'transfer', 'uang', 'rb', 'keluhan', 'telkom', 'udah', 'ngga', 'nyaman', 'ngga', 'kaya', 'telkom']</t>
  </si>
  <si>
    <t>['gimana', 'beli', 'paket', 'omg', 'aplikasi', 'beli', 'paket', 'paket', 'berkurang', 'pulsanya', 'kuotanya', 'gimana']</t>
  </si>
  <si>
    <t>['paket', 'combo', 'sakti', 'kemaren', 'gimana', 'telkomsel', 'mikirin', 'pelanggan', 'heran', 'jaringan', 'kadang', 'udah', 'pindah', '']</t>
  </si>
  <si>
    <t>['user', 'kartu', 'halo', 'paket', 'gb', 'internet', 'gb', 'entertainment', 'harganya', 'kesini', 'mahal', 'info', 'perubahan', 'skali', 'operator', 'gimana', 'coba', '']</t>
  </si>
  <si>
    <t>['min', 'sblm', 'aplikasi', 'bagus', 'min', 'buka', 'langsung', 'tulis', 'disiru', 'info', 'aplikasi', 'baikin', 'min', 'tulis', 'situ', 'nomor', 'konfirmasi', 'nda', 'ush', 'email', 'min', 'langsung', 'bls', 'tanggapi', 'komententar', 'kolom', 'trimksh']</t>
  </si>
  <si>
    <t>['maaf', 'cuman', 'bintang', 'buka', 'telkomsel', 'musti', 'suruh', 'log', 'buka', 'cek', 'kuota', 'musti', 'log', 'makasih']</t>
  </si>
  <si>
    <t>['buruk', 'telkomsel', 'kayak', 'axis', 'sinyak', 'memburik', 'promo', 'banyakin', 'sinyalnya', 'jaga', 'boss', 'coret', 'bintang', 'coret', 'bintangnya', 'rating', 'buruk', '']</t>
  </si>
  <si>
    <t>['telkomsel', 'singnal', 'jelek', 'bnget', 'lag', 'buka', 'game', 'moba', 'mohon', 'perbaikin', 'signal', 'telkomsel', 'didaerah', 'muara', 'angke', 'kelurahan', 'pluit', 'kecamatan', 'penjaringan', 'jakarta', 'utara', 'mohon', 'maaf', 'ketidak', 'nyamanann', 'assslamualikum', '']</t>
  </si>
  <si>
    <t>['kasih', 'bintang', 'mytelkomsel', 'sesuai', 'info', 'daily', 'check', 'harian', 'kuota', 'internetan', 'total', 'gb', 'kumpulkan', 'point', 'stamp', 'kuota', 'gb', 'coba', 'jaringan', 'stabil', 'tolong', 'perbaiki', 'terimakasih', '']</t>
  </si>
  <si>
    <t>['koneksi', 'internet', 'buruk', 'download', 'gambar', 'vidio', 'whatsapp', 'banget', 'main', 'game', 'tolong', 'kondisikan', 'down', 'nyaman', 'terimakasih']</t>
  </si>
  <si>
    <t>['bagus', 'koneksi', 'internet', 'busuk', 'koneksi', 'internet', 'telkomsel', 'kota', 'lbh', 'bagus', 'mlah', 'kalah', 'provider', 'berkembang', 'mending', 'smartfren', 'lbh', 'lumayan', 'stabil', 'koneksi', 'internet', 'nyesel', 'beli', 'beli', 'paketan', 'gb', 'koneksi', 'internet', 'busuk', 'banget']</t>
  </si>
  <si>
    <t>['kasih', 'bintang', 'jaringannya', 'hilang', 'rumah', 'tower', 'telkomsel', 'lelet', 'jaringan', 'hilang', 'sungguh', 'mengecewakan', 'semoga', '']</t>
  </si>
  <si>
    <t>['promo', 'tersisa', 'days', 'pulsa', 'aktif', 'pertengahan', 'pas', 'belu', 'paket', 'promo', 'harg', 'tulisanys', 'berhasil', 'paket', 'masuk', 'masuk', '']</t>
  </si>
  <si>
    <t>['udh', 'transaksi', 'pembayaran', 'paket', 'aktif', 'promo', 'berahir', 'tpi', 'beli', 'tolong', 'perbaiki', 'transaksi', 'mudah', 'ribet', '']</t>
  </si>
  <si>
    <t>['coba', 'pinjaman', 'online', 'berbentuk', 'pulsa', 'praktis', 'kuota', 'pulsa', 'menipis']</t>
  </si>
  <si>
    <t>['sel', 'telkomsel', 'kemarin', 'call', 'cotumer', 'service', 'operator', 'lgi', 'gangguan', 'sistem', 'kpn', 'normalnya', 'psl', 'kjadiannya', 'sel', 'telkomsel', 'signal', 'panteng', 'paketan', 'unlimitide', 'game', 'melempem', 'krupuk', 'cpt', 'benahi', 'sel', 'telkomsel', 'telkomsel', 'gituc', 'bkn', 'kaleng', 'kaleng', 'kecewa', 'sel', 'telkomsel', '']</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</si>
</sst>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7.0"/>
    <col customWidth="1" min="4" max="27" width="8.71"/>
  </cols>
  <sheetData>
    <row r="1">
      <c r="B1" s="1" t="s">
        <v>0</v>
      </c>
      <c r="C1" s="2" t="s">
        <v>1</v>
      </c>
      <c r="D1" s="1" t="s">
        <v>2</v>
      </c>
    </row>
    <row r="2">
      <c r="A2" s="1">
        <v>0.0</v>
      </c>
      <c r="B2" s="3" t="s">
        <v>3</v>
      </c>
      <c r="C2" s="3" t="str">
        <f>IFERROR(__xludf.DUMMYFUNCTION("GOOGLETRANSLATE(B2,""id"",""en"")"),"['The name', 'slow', 'really', 'Please', 'Check', 'User', 'Telkomsel', 'Always',' Wear ',' Continuous', 'Already', 'Cape', ' Nge ',' YouTube ',' difficult ',' play ',' game ',' signal ',' ugly ',' ampunn ',' Telkomsel ',' please ',' fix ',' agate ',' sati"&amp;"sfied ' , 'Available', 'Thank you', ""]")</f>
        <v>['The name', 'slow', 'really', 'Please', 'Check', 'User', 'Telkomsel', 'Always',' Wear ',' Continuous', 'Already', 'Cape', ' Nge ',' YouTube ',' difficult ',' play ',' game ',' signal ',' ugly ',' ampunn ',' Telkomsel ',' please ',' fix ',' agate ',' satisfied ' , 'Available', 'Thank you', "]</v>
      </c>
      <c r="D2" s="3">
        <v>1.0</v>
      </c>
    </row>
    <row r="3">
      <c r="A3" s="1">
        <v>1.0</v>
      </c>
      <c r="B3" s="3" t="s">
        <v>4</v>
      </c>
      <c r="C3" s="3" t="str">
        <f>IFERROR(__xludf.DUMMYFUNCTION("GOOGLETRANSLATE(B3,""id"",""en"")"),"['signal', 'slow', 'super', 'severe', 'already', 'buy', 'package', 'expensive', 'expensive', 'service', 'satisfying', 'contact', ' No ',' Response ',' No ',' USA ',' Koar ',' Koar ',' Promo ',' Quality ',' Network ',' Bad ',' Maen ',' Game ',' Signal ' , "&amp;"'Jumping', 'Jumping', 'Ngga', 'Nambah', 'Good', 'Nambah', 'Severe']")</f>
        <v>['signal', 'slow', 'super', 'severe', 'already', 'buy', 'package', 'expensive', 'expensive', 'service', 'satisfying', 'contact', ' No ',' Response ',' No ',' USA ',' Koar ',' Koar ',' Promo ',' Quality ',' Network ',' Bad ',' Maen ',' Game ',' Signal ' , 'Jumping', 'Jumping', 'Ngga', 'Nambah', 'Good', 'Nambah', 'Severe']</v>
      </c>
      <c r="D3" s="3">
        <v>1.0</v>
      </c>
    </row>
    <row r="4">
      <c r="A4" s="1">
        <v>2.0</v>
      </c>
      <c r="B4" s="3" t="s">
        <v>5</v>
      </c>
      <c r="C4" s="3" t="str">
        <f>IFERROR(__xludf.DUMMYFUNCTION("GOOGLETRANSLATE(B4,""id"",""en"")"),"['bad', 'network', 'price', 'expensive', 'speed', 'slow', 'admin', 'please', 'bales', 'contact', 'facebook', 'twitter' etc. ',' officer ',' Telkomsel ',' use ',' eat ',' salary ',' blind ']")</f>
        <v>['bad', 'network', 'price', 'expensive', 'speed', 'slow', 'admin', 'please', 'bales', 'contact', 'facebook', 'twitter' etc. ',' officer ',' Telkomsel ',' use ',' eat ',' salary ',' blind ']</v>
      </c>
      <c r="D4" s="3">
        <v>1.0</v>
      </c>
    </row>
    <row r="5">
      <c r="A5" s="1">
        <v>3.0</v>
      </c>
      <c r="B5" s="3" t="s">
        <v>6</v>
      </c>
      <c r="C5" s="3" t="str">
        <f>IFERROR(__xludf.DUMMYFUNCTION("GOOGLETRANSLATE(B5,""id"",""en"")"),"['Network', 'Kayak', 'crackers',' rain ',' like ',' Indosat ',' Smart ',' Fren ',' Telkomsel ',' Bad ',' Network ',' Paketan ',' expensive ',' network ',' bad ',' use ',' buy ',' expensive ',' please ',' fix ',' take ',' luck ']")</f>
        <v>['Network', 'Kayak', 'crackers',' rain ',' like ',' Indosat ',' Smart ',' Fren ',' Telkomsel ',' Bad ',' Network ',' Paketan ',' expensive ',' network ',' bad ',' use ',' buy ',' expensive ',' please ',' fix ',' take ',' luck ']</v>
      </c>
      <c r="D5" s="3">
        <v>1.0</v>
      </c>
    </row>
    <row r="6">
      <c r="A6" s="1">
        <v>4.0</v>
      </c>
      <c r="B6" s="3" t="s">
        <v>7</v>
      </c>
      <c r="C6" s="3" t="str">
        <f>IFERROR(__xludf.DUMMYFUNCTION("GOOGLETRANSLATE(B6,""id"",""en"")"),"['Fix', 'network', 'selogan', 'Telkomsel', 'remote', 'country', 'in the city', 'difficult', 'Telkomsel', 'prime', 'elite', 'price', ' Package ',' Data ',' Cheap ',' ']")</f>
        <v>['Fix', 'network', 'selogan', 'Telkomsel', 'remote', 'country', 'in the city', 'difficult', 'Telkomsel', 'prime', 'elite', 'price', ' Package ',' Data ',' Cheap ',' ']</v>
      </c>
      <c r="D6" s="3">
        <v>1.0</v>
      </c>
    </row>
    <row r="7">
      <c r="A7" s="1">
        <v>5.0</v>
      </c>
      <c r="B7" s="3" t="s">
        <v>8</v>
      </c>
      <c r="C7" s="3" t="str">
        <f>IFERROR(__xludf.DUMMYFUNCTION("GOOGLETRANSLATE(B7,""id"",""en"")"),"['network', 'Telkomsel', 'Severe', 'cave', 'play', 'game', 'Lost', 'connection', 'already', 'really', 'like', 'gini', ' already ',' expensive ',' package ',' please ',' prepared ',' connection ',' network ',' severe ',' really ',' lazy ',' buy ',' think '"&amp;",' times' ]")</f>
        <v>['network', 'Telkomsel', 'Severe', 'cave', 'play', 'game', 'Lost', 'connection', 'already', 'really', 'like', 'gini', ' already ',' expensive ',' package ',' please ',' prepared ',' connection ',' network ',' severe ',' really ',' lazy ',' buy ',' think ',' times' ]</v>
      </c>
      <c r="D7" s="3">
        <v>1.0</v>
      </c>
    </row>
    <row r="8">
      <c r="A8" s="1">
        <v>6.0</v>
      </c>
      <c r="B8" s="3" t="s">
        <v>9</v>
      </c>
      <c r="C8" s="3" t="str">
        <f>IFERROR(__xludf.DUMMYFUNCTION("GOOGLETRANSLATE(B8,""id"",""en"")"),"['buy', 'package', 'buy', 'pulse', 'leftover', 'pulse', 'thousand', 'knp', 'gini', ""]")</f>
        <v>['buy', 'package', 'buy', 'pulse', 'leftover', 'pulse', 'thousand', 'knp', 'gini', "]</v>
      </c>
      <c r="D8" s="3">
        <v>1.0</v>
      </c>
    </row>
    <row r="9">
      <c r="A9" s="1">
        <v>7.0</v>
      </c>
      <c r="B9" s="3" t="s">
        <v>10</v>
      </c>
      <c r="C9" s="3" t="str">
        <f>IFERROR(__xludf.DUMMYFUNCTION("GOOGLETRANSLATE(B9,""id"",""en"")"),"['already', 'complaint', 'signal', 'SIM', 'Card', 'Telkomsel', 'Signal', 'Severe', 'really', 'quota', 'sorry', 'already', ' Respond to ',' signal ',' Ngegame ',' Support ',' NNTN ',' Video ',' Down ',' ']")</f>
        <v>['already', 'complaint', 'signal', 'SIM', 'Card', 'Telkomsel', 'Signal', 'Severe', 'really', 'quota', 'sorry', 'already', ' Respond to ',' signal ',' Ngegame ',' Support ',' NNTN ',' Video ',' Down ',' ']</v>
      </c>
      <c r="D9" s="3">
        <v>1.0</v>
      </c>
    </row>
    <row r="10">
      <c r="A10" s="1">
        <v>8.0</v>
      </c>
      <c r="B10" s="3" t="s">
        <v>11</v>
      </c>
      <c r="C10" s="3" t="str">
        <f>IFERROR(__xludf.DUMMYFUNCTION("GOOGLETRANSLATE(B10,""id"",""en"")"),"['gini', 'Telkomsel', 'play', 'game', 'difficult', 'video', 'difficult', 'here', 'really', 'run out', 'rain', 'behavior', ' It's hard ',' forgiveness', 'cave', 'contents',' package ',' made ',' difficult ',' check ',' credit ',' smooth ',' check ',' quota"&amp;" ',' smooth ' , 'ehh', 'turn', 'fill', 'package', 'difficult', 'forgiveness', 'disappointed', 'bet', 'Telkomsel', ""]")</f>
        <v>['gini', 'Telkomsel', 'play', 'game', 'difficult', 'video', 'difficult', 'here', 'really', 'run out', 'rain', 'behavior', ' It's hard ',' forgiveness', 'cave', 'contents',' package ',' made ',' difficult ',' check ',' credit ',' smooth ',' check ',' quota ',' smooth ' , 'ehh', 'turn', 'fill', 'package', 'difficult', 'forgiveness', 'disappointed', 'bet', 'Telkomsel', "]</v>
      </c>
      <c r="D10" s="3">
        <v>1.0</v>
      </c>
    </row>
    <row r="11">
      <c r="A11" s="1">
        <v>9.0</v>
      </c>
      <c r="B11" s="3" t="s">
        <v>12</v>
      </c>
      <c r="C11" s="3" t="str">
        <f>IFERROR(__xludf.DUMMYFUNCTION("GOOGLETRANSLATE(B11,""id"",""en"")"),"['signal', 'stable', 'telponan', 'sound', 'disconnected', 'broke', 'internet', 'slow', ""]")</f>
        <v>['signal', 'stable', 'telponan', 'sound', 'disconnected', 'broke', 'internet', 'slow', "]</v>
      </c>
      <c r="D11" s="3">
        <v>1.0</v>
      </c>
    </row>
    <row r="12">
      <c r="A12" s="1">
        <v>10.0</v>
      </c>
      <c r="B12" s="3" t="s">
        <v>13</v>
      </c>
      <c r="C12" s="3" t="str">
        <f>IFERROR(__xludf.DUMMYFUNCTION("GOOGLETRANSLATE(B12,""id"",""en"")"),"['please', 'Telkomsel', 'quota', 'lapse', 'quota', 'main', 'parcuma', 'buy', 'package', 'youtube', 'kepake', 'waste', ' pulse ',' package ',' please ',' cheap ',' entry ',' sense ',' Telkomsel ',' sell ',' package ',' upset ',' right ',' active ',' packag"&amp;"e ' , 'Telkomsel', 'pulse', 'truncated', 'open', 'data', 'cellular', 'have', 'please', 'quota', 'love', 'cheap', 'Mayasyakat', ' Please ',' Uklum ']")</f>
        <v>['please', 'Telkomsel', 'quota', 'lapse', 'quota', 'main', 'parcuma', 'buy', 'package', 'youtube', 'kepake', 'waste', ' pulse ',' package ',' please ',' cheap ',' entry ',' sense ',' Telkomsel ',' sell ',' package ',' upset ',' right ',' active ',' package ' , 'Telkomsel', 'pulse', 'truncated', 'open', 'data', 'cellular', 'have', 'please', 'quota', 'love', 'cheap', 'Mayasyakat', ' Please ',' Uklum ']</v>
      </c>
      <c r="D12" s="3">
        <v>3.0</v>
      </c>
    </row>
    <row r="13">
      <c r="A13" s="1">
        <v>11.0</v>
      </c>
      <c r="B13" s="3" t="s">
        <v>14</v>
      </c>
      <c r="C13" s="3" t="str">
        <f>IFERROR(__xludf.DUMMYFUNCTION("GOOGLETRANSLATE(B13,""id"",""en"")"),"['complaints', 'listen', 'money', 'prioritize', 'network', 'yes', 'prove', 'my words', 'false', ""]")</f>
        <v>['complaints', 'listen', 'money', 'prioritize', 'network', 'yes', 'prove', 'my words', 'false', "]</v>
      </c>
      <c r="D13" s="3">
        <v>1.0</v>
      </c>
    </row>
    <row r="14">
      <c r="A14" s="1">
        <v>12.0</v>
      </c>
      <c r="B14" s="3" t="s">
        <v>15</v>
      </c>
      <c r="C14" s="3" t="str">
        <f>IFERROR(__xludf.DUMMYFUNCTION("GOOGLETRANSLATE(B14,""id"",""en"")"),"['Lose', 'competitiveness',' Telkomsel ',' Network ',' Suduk ',' Overcast ',' little ',' network ',' internet ',' Sya ',' Mount ',' Tower ',' Naturally ',' signal ',' ugly ',' in the city ',' network ',' kek ',' snail ',' follow ',' development ',' alread"&amp;"y ',' please ',' chewing ',' repaired ' ]")</f>
        <v>['Lose', 'competitiveness',' Telkomsel ',' Network ',' Suduk ',' Overcast ',' little ',' network ',' internet ',' Sya ',' Mount ',' Tower ',' Naturally ',' signal ',' ugly ',' in the city ',' network ',' kek ',' snail ',' follow ',' development ',' already ',' please ',' chewing ',' repaired ' ]</v>
      </c>
      <c r="D14" s="3">
        <v>1.0</v>
      </c>
    </row>
    <row r="15">
      <c r="A15" s="1">
        <v>13.0</v>
      </c>
      <c r="B15" s="3" t="s">
        <v>16</v>
      </c>
      <c r="C15" s="3" t="str">
        <f>IFERROR(__xludf.DUMMYFUNCTION("GOOGLETRANSLATE(B15,""id"",""en"")"),"['knpa', 'network', 'jdi', 'ugly', 'really', 'week', 'blkngan', 'bkin', 'emotion', 'right', 'moments',' then ',' Network ',' Drop ',' Minutes', 'HRUS', 'Mode', 'Plane', 'then', 'Bru', 'Network', 'Normal', 'TPI', 'Nnti', 'GTU' , 'Drop', '']")</f>
        <v>['knpa', 'network', 'jdi', 'ugly', 'really', 'week', 'blkngan', 'bkin', 'emotion', 'right', 'moments',' then ',' Network ',' Drop ',' Minutes', 'HRUS', 'Mode', 'Plane', 'then', 'Bru', 'Network', 'Normal', 'TPI', 'Nnti', 'GTU' , 'Drop', '']</v>
      </c>
      <c r="D15" s="3">
        <v>1.0</v>
      </c>
    </row>
    <row r="16">
      <c r="A16" s="1">
        <v>14.0</v>
      </c>
      <c r="B16" s="3" t="s">
        <v>17</v>
      </c>
      <c r="C16" s="3" t="str">
        <f>IFERROR(__xludf.DUMMYFUNCTION("GOOGLETRANSLATE(B16,""id"",""en"")"),"['sympathy', 'now', 'network', 'internet', 'slow', 'really', 'severe', 'open', 'youtube', 'loading', 'please', 'fix', ' Package ',' combo ',' lemoooooot ']")</f>
        <v>['sympathy', 'now', 'network', 'internet', 'slow', 'really', 'severe', 'open', 'youtube', 'loading', 'please', 'fix', ' Package ',' combo ',' lemoooooot ']</v>
      </c>
      <c r="D16" s="3">
        <v>1.0</v>
      </c>
    </row>
    <row r="17">
      <c r="A17" s="1">
        <v>15.0</v>
      </c>
      <c r="B17" s="3" t="s">
        <v>18</v>
      </c>
      <c r="C17" s="3" t="str">
        <f>IFERROR(__xludf.DUMMYFUNCTION("GOOGLETRANSLATE(B17,""id"",""en"")"),"['Network', 'ugly', 'disappointed', 'Telkomsel', 'disappointed', 'setbacks',' quality ',' network ',' Telkomsel ',' price ',' expensive ',' quality ',' Network ',' Download ',' Upload ',' Ping ',' Good ',' Provider ',' Price ',' Putuu ',' Price ',' Expens"&amp;"ive ',' Quality ',' Network ',' ugly ' , 'hope', 'Telkomsel', 'provides', 'service', 'customer', 'disappointed', 'Thanks', '']")</f>
        <v>['Network', 'ugly', 'disappointed', 'Telkomsel', 'disappointed', 'setbacks',' quality ',' network ',' Telkomsel ',' price ',' expensive ',' quality ',' Network ',' Download ',' Upload ',' Ping ',' Good ',' Provider ',' Price ',' Putuu ',' Price ',' Expensive ',' Quality ',' Network ',' ugly ' , 'hope', 'Telkomsel', 'provides', 'service', 'customer', 'disappointed', 'Thanks', '']</v>
      </c>
      <c r="D17" s="3">
        <v>1.0</v>
      </c>
    </row>
    <row r="18">
      <c r="A18" s="1">
        <v>16.0</v>
      </c>
      <c r="B18" s="3" t="s">
        <v>19</v>
      </c>
      <c r="C18" s="3" t="str">
        <f>IFERROR(__xludf.DUMMYFUNCTION("GOOGLETRANSLATE(B18,""id"",""en"")"),"['signal', 'slow', 'good', 'signal', 'slow', 'sometimes',' signal ',' learn ',' mimin ',' expends', 'money', 'org', ' Kah ',' MIXIT ',' CUSTOMER ',' HELP ',' Repaired ',' Mimin ',' Lancsr ',' Learning ']")</f>
        <v>['signal', 'slow', 'good', 'signal', 'slow', 'sometimes',' signal ',' learn ',' mimin ',' expends', 'money', 'org', ' Kah ',' MIXIT ',' CUSTOMER ',' HELP ',' Repaired ',' Mimin ',' Lancsr ',' Learning ']</v>
      </c>
      <c r="D18" s="3">
        <v>1.0</v>
      </c>
    </row>
    <row r="19">
      <c r="A19" s="1">
        <v>17.0</v>
      </c>
      <c r="B19" s="3" t="s">
        <v>20</v>
      </c>
      <c r="C19" s="3" t="str">
        <f>IFERROR(__xludf.DUMMYFUNCTION("GOOGLETRANSLATE(B19,""id"",""en"")"),"['Kasi', 'star', 'loss',' buy ',' package ',' network ',' provided ',' bad ',' Please ',' repair ',' quality ',' network ',' ']")</f>
        <v>['Kasi', 'star', 'loss',' buy ',' package ',' network ',' provided ',' bad ',' Please ',' repair ',' quality ',' network ',' ']</v>
      </c>
      <c r="D19" s="3">
        <v>1.0</v>
      </c>
    </row>
    <row r="20">
      <c r="A20" s="1">
        <v>18.0</v>
      </c>
      <c r="B20" s="3" t="s">
        <v>21</v>
      </c>
      <c r="C20" s="3" t="str">
        <f>IFERROR(__xludf.DUMMYFUNCTION("GOOGLETRANSLATE(B20,""id"",""en"")"),"['Many', 'times',' buy ',' package ',' application ',' notif ',' transaction ',' success', 'credit', 'reduced', 'quota', 'increase', ' disappointing', '']")</f>
        <v>['Many', 'times',' buy ',' package ',' application ',' notif ',' transaction ',' success', 'credit', 'reduced', 'quota', 'increase', ' disappointing', '']</v>
      </c>
      <c r="D20" s="3">
        <v>1.0</v>
      </c>
    </row>
    <row r="21" ht="15.75" customHeight="1">
      <c r="A21" s="1">
        <v>19.0</v>
      </c>
      <c r="B21" s="3" t="s">
        <v>22</v>
      </c>
      <c r="C21" s="3" t="str">
        <f>IFERROR(__xludf.DUMMYFUNCTION("GOOGLETRANSLATE(B21,""id"",""en"")"),"['Pakke', 'Package', 'Telkomsel', 'Karna', 'Network', 'Slow', 'Times',' City ',' Medan ',' Switch ',' Package ',' The Network ',' Steady ',' because ',' UDH ',' Pakke ',' Telkomsel ',' Balek ',' Makek ',' Telkomsel ',' SMAA ',' Slow ',' Mistak ',' Forgive"&amp;"ness', 'Open' , 'Telkomsel', 'times',' kek ',' that's', 'already', 'pulse', 'wirs',' cut ',' ntah ',' cut ',' comment ',' pakke ',' hotspots', 'fast', 'times',' network ',' pakke ',' disappointed ',' high school ',' telkom ', ""]")</f>
        <v>['Pakke', 'Package', 'Telkomsel', 'Karna', 'Network', 'Slow', 'Times',' City ',' Medan ',' Switch ',' Package ',' The Network ',' Steady ',' because ',' UDH ',' Pakke ',' Telkomsel ',' Balek ',' Makek ',' Telkomsel ',' SMAA ',' Slow ',' Mistak ',' Forgiveness', 'Open' , 'Telkomsel', 'times',' kek ',' that's', 'already', 'pulse', 'wirs',' cut ',' ntah ',' cut ',' comment ',' pakke ',' hotspots', 'fast', 'times',' network ',' pakke ',' disappointed ',' high school ',' telkom ', "]</v>
      </c>
      <c r="D21" s="3">
        <v>1.0</v>
      </c>
    </row>
    <row r="22" ht="15.75" customHeight="1">
      <c r="A22" s="1">
        <v>20.0</v>
      </c>
      <c r="B22" s="3" t="s">
        <v>23</v>
      </c>
      <c r="C22" s="3" t="str">
        <f>IFERROR(__xludf.DUMMYFUNCTION("GOOGLETRANSLATE(B22,""id"",""en"")"),"['poor', 'application', 'closed', 'crash', 'use', 'update', 'version', 'newest', 'hard', 'entry', 'log', 'shame', ' You ',' Telkomsel ',' ']")</f>
        <v>['poor', 'application', 'closed', 'crash', 'use', 'update', 'version', 'newest', 'hard', 'entry', 'log', 'shame', ' You ',' Telkomsel ',' ']</v>
      </c>
      <c r="D22" s="3">
        <v>1.0</v>
      </c>
    </row>
    <row r="23" ht="15.75" customHeight="1">
      <c r="A23" s="1">
        <v>21.0</v>
      </c>
      <c r="B23" s="3" t="s">
        <v>24</v>
      </c>
      <c r="C23" s="3" t="str">
        <f>IFERROR(__xludf.DUMMYFUNCTION("GOOGLETRANSLATE(B23,""id"",""en"")"),"['', 'THN', 'Switch', 'Tsel', 'BBR', 'Sad', 'Signal', 'Stable', 'PDHL', 'Pandemic', 'Data', 'Needs',' Main ',' a day ',' Concall ',' Vid ',' Call ',' Chat ',' Etc. ',' BGitu ',' Zoom ',' Hadeuuuuuhh ',' Game ',' Disconnect ',' Trusssa ', 'Hopefully', 'Zeh"&amp;"era', 'mbaik', 'Hariga', 'Besahabat', 'Akmtong', 'Uklum', 'Pandemic', 'Gini', 'Mnipis', 'Revenue', ""]")</f>
        <v>['', 'THN', 'Switch', 'Tsel', 'BBR', 'Sad', 'Signal', 'Stable', 'PDHL', 'Pandemic', 'Data', 'Needs',' Main ',' a day ',' Concall ',' Vid ',' Call ',' Chat ',' Etc. ',' BGitu ',' Zoom ',' Hadeuuuuuhh ',' Game ',' Disconnect ',' Trusssa ', 'Hopefully', 'Zehera', 'mbaik', 'Hariga', 'Besahabat', 'Akmtong', 'Uklum', 'Pandemic', 'Gini', 'Mnipis', 'Revenue', "]</v>
      </c>
      <c r="D23" s="3">
        <v>2.0</v>
      </c>
    </row>
    <row r="24" ht="15.75" customHeight="1">
      <c r="A24" s="1">
        <v>22.0</v>
      </c>
      <c r="B24" s="3" t="s">
        <v>25</v>
      </c>
      <c r="C24" s="3" t="str">
        <f>IFERROR(__xludf.DUMMYFUNCTION("GOOGLETRANSLATE(B24,""id"",""en"")"),"['slow', 'severe', 'already', 'help', 'telegram', 'bot', 'solution', 'rich', 'gini', 'name', 'rich', 'operato', ' others', 'want', 'change', 'operator', 'cheap', 'speed']")</f>
        <v>['slow', 'severe', 'already', 'help', 'telegram', 'bot', 'solution', 'rich', 'gini', 'name', 'rich', 'operato', ' others', 'want', 'change', 'operator', 'cheap', 'speed']</v>
      </c>
      <c r="D24" s="3">
        <v>1.0</v>
      </c>
    </row>
    <row r="25" ht="15.75" customHeight="1">
      <c r="A25" s="1">
        <v>23.0</v>
      </c>
      <c r="B25" s="3" t="s">
        <v>26</v>
      </c>
      <c r="C25" s="3" t="str">
        <f>IFERROR(__xludf.DUMMYFUNCTION("GOOGLETRANSLATE(B25,""id"",""en"")"),"['Severe', 'user', 'MyTelkomsel', 'disappointed', 'access',' network ',' Telkomsel ',' bad ',' disorder ',' buy ',' package ',' offered ',' Severe ',' Bener ']")</f>
        <v>['Severe', 'user', 'MyTelkomsel', 'disappointed', 'access',' network ',' Telkomsel ',' bad ',' disorder ',' buy ',' package ',' offered ',' Severe ',' Bener ']</v>
      </c>
      <c r="D25" s="3">
        <v>1.0</v>
      </c>
    </row>
    <row r="26" ht="15.75" customHeight="1">
      <c r="A26" s="1">
        <v>24.0</v>
      </c>
      <c r="B26" s="3" t="s">
        <v>27</v>
      </c>
      <c r="C26" s="3" t="str">
        <f>IFERROR(__xludf.DUMMYFUNCTION("GOOGLETRANSLATE(B26,""id"",""en"")"),"['Telkomsel', 'ugly', 'signal', 'switch', 'card', 'hope', 'complaints',' fix ',' please ',' region ',' kubang ',' village ',' Kubang ',' Kec ',' Sukamulya ',' Kab ',' Tangerang ',' Network ',' Frequency ',' MHz ',' Fix ',' ']")</f>
        <v>['Telkomsel', 'ugly', 'signal', 'switch', 'card', 'hope', 'complaints',' fix ',' please ',' region ',' kubang ',' village ',' Kubang ',' Kec ',' Sukamulya ',' Kab ',' Tangerang ',' Network ',' Frequency ',' MHz ',' Fix ',' ']</v>
      </c>
      <c r="D26" s="3">
        <v>3.0</v>
      </c>
    </row>
    <row r="27" ht="15.75" customHeight="1">
      <c r="A27" s="1">
        <v>25.0</v>
      </c>
      <c r="B27" s="3" t="s">
        <v>28</v>
      </c>
      <c r="C27" s="3" t="str">
        <f>IFERROR(__xludf.DUMMYFUNCTION("GOOGLETRANSLATE(B27,""id"",""en"")"),"['complaints',' signal ',' down ',' according to ',' price ',' expensive ',' ugly ',' quality ',' signal ',' like ',' lost ',' The area ',' City ',' Bekasi ',' chaotic ',' Telkomsel ',' Turning ',' Provider ',' Kenceng ',' Network ',' Sousal ',' Forget ',"&amp;"' Telkomsel ']")</f>
        <v>['complaints',' signal ',' down ',' according to ',' price ',' expensive ',' ugly ',' quality ',' signal ',' like ',' lost ',' The area ',' City ',' Bekasi ',' chaotic ',' Telkomsel ',' Turning ',' Provider ',' Kenceng ',' Network ',' Sousal ',' Forget ',' Telkomsel ']</v>
      </c>
      <c r="D27" s="3">
        <v>1.0</v>
      </c>
    </row>
    <row r="28" ht="15.75" customHeight="1">
      <c r="A28" s="1">
        <v>26.0</v>
      </c>
      <c r="B28" s="3" t="s">
        <v>29</v>
      </c>
      <c r="C28" s="3" t="str">
        <f>IFERROR(__xludf.DUMMYFUNCTION("GOOGLETRANSLATE(B28,""id"",""en"")"),"['user', 'card', 'yr', 'promo', 'expensive', 'severe', 'network', 'drop', 'package', 'data', 'GB', 'mubasir', ' used ',' network ',' slow ',' fix ',' service ']")</f>
        <v>['user', 'card', 'yr', 'promo', 'expensive', 'severe', 'network', 'drop', 'package', 'data', 'GB', 'mubasir', ' used ',' network ',' slow ',' fix ',' service ']</v>
      </c>
      <c r="D28" s="3">
        <v>1.0</v>
      </c>
    </row>
    <row r="29" ht="15.75" customHeight="1">
      <c r="A29" s="1">
        <v>27.0</v>
      </c>
      <c r="B29" s="3" t="s">
        <v>30</v>
      </c>
      <c r="C29" s="3" t="str">
        <f>IFERROR(__xludf.DUMMYFUNCTION("GOOGLETRANSLATE(B29,""id"",""en"")"),"['Provider', 'teach', 'many', 'times',' harmed ',' pulse ',' nominal ',' even ',' sucked ',' charging ',' package ',' data ',' Notifications', 'System', 'Information', 'Slow', 'Information', 'Data', 'Internet', 'Out', 'Automatic', 'Suck', 'Credit', 'Sudi'"&amp;", 'Provider' , 'card', 'Disappointed', 'Telkomsel', 'Becus', 'Provider', 'Ampas', ""]")</f>
        <v>['Provider', 'teach', 'many', 'times',' harmed ',' pulse ',' nominal ',' even ',' sucked ',' charging ',' package ',' data ',' Notifications', 'System', 'Information', 'Slow', 'Information', 'Data', 'Internet', 'Out', 'Automatic', 'Suck', 'Credit', 'Sudi', 'Provider' , 'card', 'Disappointed', 'Telkomsel', 'Becus', 'Provider', 'Ampas', "]</v>
      </c>
      <c r="D29" s="3">
        <v>1.0</v>
      </c>
    </row>
    <row r="30" ht="15.75" customHeight="1">
      <c r="A30" s="1">
        <v>28.0</v>
      </c>
      <c r="B30" s="3" t="s">
        <v>31</v>
      </c>
      <c r="C30" s="3" t="str">
        <f>IFERROR(__xludf.DUMMYFUNCTION("GOOGLETRANSLATE(B30,""id"",""en"")"),"['Wear', 'Telkomsel', 'Package', 'Available', 'Paketan', 'Buy', 'Pulse', 'Packed', 'OMG', 'Opened', 'Access it', 'Morning', ' disorder ',' how ',' need ',' fast ',' launch ',' internet ',' wear ',' code ',' dial ',' comfortable ']")</f>
        <v>['Wear', 'Telkomsel', 'Package', 'Available', 'Paketan', 'Buy', 'Pulse', 'Packed', 'OMG', 'Opened', 'Access it', 'Morning', ' disorder ',' how ',' need ',' fast ',' launch ',' internet ',' wear ',' code ',' dial ',' comfortable ']</v>
      </c>
      <c r="D30" s="3">
        <v>2.0</v>
      </c>
    </row>
    <row r="31" ht="15.75" customHeight="1">
      <c r="A31" s="1">
        <v>29.0</v>
      </c>
      <c r="B31" s="3" t="s">
        <v>32</v>
      </c>
      <c r="C31" s="3" t="str">
        <f>IFERROR(__xludf.DUMMYFUNCTION("GOOGLETRANSLATE(B31,""id"",""en"")"),"['ugly', 'times',' network ',' promo ',' kalia ',' advantage ',' im ',' update ',' telkomsel ',' hotspot ',' im ',' shy ',' Complaints', 'told', 'Talk', 'Veronica', 'Virtual', 'Solution', 'Network', 'Improved', 'Love', 'Clarity', 'Network', 'ugly', 'times"&amp;"' , 'Location', 'Helvetia', 'Medan']")</f>
        <v>['ugly', 'times',' network ',' promo ',' kalia ',' advantage ',' im ',' update ',' telkomsel ',' hotspot ',' im ',' shy ',' Complaints', 'told', 'Talk', 'Veronica', 'Virtual', 'Solution', 'Network', 'Improved', 'Love', 'Clarity', 'Network', 'ugly', 'times' , 'Location', 'Helvetia', 'Medan']</v>
      </c>
      <c r="D31" s="3">
        <v>1.0</v>
      </c>
    </row>
    <row r="32" ht="15.75" customHeight="1">
      <c r="A32" s="1">
        <v>30.0</v>
      </c>
      <c r="B32" s="3" t="s">
        <v>33</v>
      </c>
      <c r="C32" s="3" t="str">
        <f>IFERROR(__xludf.DUMMYFUNCTION("GOOGLETRANSLATE(B32,""id"",""en"")"),"['Quality', 'Network', 'Bad', 'Telkomsel', 'Slumping', 'Network', 'Internet', 'Parahh']")</f>
        <v>['Quality', 'Network', 'Bad', 'Telkomsel', 'Slumping', 'Network', 'Internet', 'Parahh']</v>
      </c>
      <c r="D32" s="3">
        <v>1.0</v>
      </c>
    </row>
    <row r="33" ht="15.75" customHeight="1">
      <c r="A33" s="1">
        <v>31.0</v>
      </c>
      <c r="B33" s="3" t="s">
        <v>34</v>
      </c>
      <c r="C33" s="3" t="str">
        <f>IFERROR(__xludf.DUMMYFUNCTION("GOOGLETRANSLATE(B33,""id"",""en"")"),"['users',' loyal ',' Telkomsel ',' obstacles', 'network', 'experience', 'leg', 'play', 'game', 'price', 'package', 'expensive', ' Constraints', 'main', 'main', '']")</f>
        <v>['users',' loyal ',' Telkomsel ',' obstacles', 'network', 'experience', 'leg', 'play', 'game', 'price', 'package', 'expensive', ' Constraints', 'main', 'main', '']</v>
      </c>
      <c r="D33" s="3">
        <v>4.0</v>
      </c>
    </row>
    <row r="34" ht="15.75" customHeight="1">
      <c r="A34" s="1">
        <v>32.0</v>
      </c>
      <c r="B34" s="3" t="s">
        <v>35</v>
      </c>
      <c r="C34" s="3" t="str">
        <f>IFERROR(__xludf.DUMMYFUNCTION("GOOGLETRANSLATE(B34,""id"",""en"")"),"['Heats',' Gini ',' TLKMSL ',' Move ',' Ntar ',' Sorry ',' Busy ',' Busy ',' Late ',' Gathering ',' Task ',' Gegara ',' fill in ',' PKT ',' Sorry ',' Busy ',' Mulu ',' Think ',' Busy ',' Remember ',' CUMN ',' Read ',' Benerin ',' said ',' ']")</f>
        <v>['Heats',' Gini ',' TLKMSL ',' Move ',' Ntar ',' Sorry ',' Busy ',' Busy ',' Late ',' Gathering ',' Task ',' Gegara ',' fill in ',' PKT ',' Sorry ',' Busy ',' Mulu ',' Think ',' Busy ',' Remember ',' CUMN ',' Read ',' Benerin ',' said ',' ']</v>
      </c>
      <c r="D34" s="3">
        <v>1.0</v>
      </c>
    </row>
    <row r="35" ht="15.75" customHeight="1">
      <c r="A35" s="1">
        <v>33.0</v>
      </c>
      <c r="B35" s="3" t="s">
        <v>36</v>
      </c>
      <c r="C35" s="3" t="str">
        <f>IFERROR(__xludf.DUMMYFUNCTION("GOOGLETRANSLATE(B35,""id"",""en"")"),"['', 'Bales',' Udh ',' That's', 'signal', 'ugly', 'price', 'exorbitant', 'quota', 'pulse', 'Tetep', 'Sumpot', 'hope ',' Captured ',' fast ',' Udh ',' That's', 'Minute', 'Bales',' Disappointed ']")</f>
        <v>['', 'Bales',' Udh ',' That's', 'signal', 'ugly', 'price', 'exorbitant', 'quota', 'pulse', 'Tetep', 'Sumpot', 'hope ',' Captured ',' fast ',' Udh ',' That's', 'Minute', 'Bales',' Disappointed ']</v>
      </c>
      <c r="D35" s="3">
        <v>1.0</v>
      </c>
    </row>
    <row r="36" ht="15.75" customHeight="1">
      <c r="A36" s="1">
        <v>34.0</v>
      </c>
      <c r="B36" s="3" t="s">
        <v>37</v>
      </c>
      <c r="C36" s="3" t="str">
        <f>IFERROR(__xludf.DUMMYFUNCTION("GOOGLETRANSLATE(B36,""id"",""en"")"),"['', 'Admin', 'Sorry', 'Mulu', 'Seriously', 'responding', 'complaints',' Customer ',' loyal ',' Luki ',' Telkomsel ',' Siih ',' IAA ',' Threat ',' Sousal ',' Sorry ',' Min ',' Fast ',' Act ',' Sampe ',' Customer ',' Faithful ',' Telkomsel ',' Moving ',' O"&amp;"perator ', 'Customers', 'loyal', 'Telkomsel', 'hope', 'Telkomsel', 'relied on']")</f>
        <v>['', 'Admin', 'Sorry', 'Mulu', 'Seriously', 'responding', 'complaints',' Customer ',' loyal ',' Luki ',' Telkomsel ',' Siih ',' IAA ',' Threat ',' Sousal ',' Sorry ',' Min ',' Fast ',' Act ',' Sampe ',' Customer ',' Faithful ',' Telkomsel ',' Moving ',' Operator ', 'Customers', 'loyal', 'Telkomsel', 'hope', 'Telkomsel', 'relied on']</v>
      </c>
      <c r="D36" s="3">
        <v>1.0</v>
      </c>
    </row>
    <row r="37" ht="15.75" customHeight="1">
      <c r="A37" s="1">
        <v>35.0</v>
      </c>
      <c r="B37" s="3" t="s">
        <v>38</v>
      </c>
      <c r="C37" s="3" t="str">
        <f>IFERROR(__xludf.DUMMYFUNCTION("GOOGLETRANSLATE(B37,""id"",""en"")"),"['Disappointed', 'DNG', 'Telkomsel', 'stealing', 'quota', 'Telkomsel', 'acknowledging', 'stealing', 'cheating', 'promised', 'repeat it', 'fill', ' Quota ',' Learning ',' Access', 'Application', 'Zoom', 'Sucked', 'Quota', 'Main', 'Quota', 'Main', 'Out', 'Q"&amp;"uota', 'Learn' , 'whole', 'Try', 'Report', 'Solution', 'Leave', 'Telkomsel']")</f>
        <v>['Disappointed', 'DNG', 'Telkomsel', 'stealing', 'quota', 'Telkomsel', 'acknowledging', 'stealing', 'cheating', 'promised', 'repeat it', 'fill', ' Quota ',' Learning ',' Access', 'Application', 'Zoom', 'Sucked', 'Quota', 'Main', 'Quota', 'Main', 'Out', 'Quota', 'Learn' , 'whole', 'Try', 'Report', 'Solution', 'Leave', 'Telkomsel']</v>
      </c>
      <c r="D37" s="3">
        <v>1.0</v>
      </c>
    </row>
    <row r="38" ht="15.75" customHeight="1">
      <c r="A38" s="1">
        <v>36.0</v>
      </c>
      <c r="B38" s="3" t="s">
        <v>39</v>
      </c>
      <c r="C38" s="3" t="str">
        <f>IFERROR(__xludf.DUMMYFUNCTION("GOOGLETRANSLATE(B38,""id"",""en"")"),"['Disappointed', 'DNG', 'Telkomsel', 'stealing', 'quota', 'Telkomsel', 'acknowledging', 'stealing', 'cheating', 'promised', 'repeat it', 'fill', ' quota ',' learning ',' access', 'application', 'zoom', 'sucked', 'quota', 'main', 'ssmpai', 'quota', 'main',"&amp;" 'out', 'contents' , 'quota', 'study', 'whole', 'try', 'report', 'solution']")</f>
        <v>['Disappointed', 'DNG', 'Telkomsel', 'stealing', 'quota', 'Telkomsel', 'acknowledging', 'stealing', 'cheating', 'promised', 'repeat it', 'fill', ' quota ',' learning ',' access', 'application', 'zoom', 'sucked', 'quota', 'main', 'ssmpai', 'quota', 'main', 'out', 'contents' , 'quota', 'study', 'whole', 'try', 'report', 'solution']</v>
      </c>
      <c r="D38" s="3">
        <v>1.0</v>
      </c>
    </row>
    <row r="39" ht="15.75" customHeight="1">
      <c r="A39" s="1">
        <v>37.0</v>
      </c>
      <c r="B39" s="3" t="s">
        <v>40</v>
      </c>
      <c r="C39" s="3" t="str">
        <f>IFERROR(__xludf.DUMMYFUNCTION("GOOGLETRANSLATE(B39,""id"",""en"")"),"['Buy', 'Package', 'Package', 'Out', 'Fill', 'Credit', 'Cut', 'Damn', 'App', 'zero', 'Rupiah', 'Gini', ' Provider ',' biggest ',' disappointed ',' heavy ',' service ']")</f>
        <v>['Buy', 'Package', 'Package', 'Out', 'Fill', 'Credit', 'Cut', 'Damn', 'App', 'zero', 'Rupiah', 'Gini', ' Provider ',' biggest ',' disappointed ',' heavy ',' service ']</v>
      </c>
      <c r="D39" s="3">
        <v>1.0</v>
      </c>
    </row>
    <row r="40" ht="15.75" customHeight="1">
      <c r="A40" s="1">
        <v>38.0</v>
      </c>
      <c r="B40" s="3" t="s">
        <v>41</v>
      </c>
      <c r="C40" s="3" t="str">
        <f>IFERROR(__xludf.DUMMYFUNCTION("GOOGLETRANSLATE(B40,""id"",""en"")"),"['Sorry', 'Telkomsel', 'Disruption', 'Network', 'Stable', 'Maen', 'Gem', 'Lek', 'Network', 'ilang', 'Data', 'cellular', ' Appears', 'network', 'kogini', '']")</f>
        <v>['Sorry', 'Telkomsel', 'Disruption', 'Network', 'Stable', 'Maen', 'Gem', 'Lek', 'Network', 'ilang', 'Data', 'cellular', ' Appears', 'network', 'kogini', '']</v>
      </c>
      <c r="D40" s="3">
        <v>1.0</v>
      </c>
    </row>
    <row r="41" ht="15.75" customHeight="1">
      <c r="A41" s="1">
        <v>39.0</v>
      </c>
      <c r="B41" s="3" t="s">
        <v>42</v>
      </c>
      <c r="C41" s="3" t="str">
        <f>IFERROR(__xludf.DUMMYFUNCTION("GOOGLETRANSLATE(B41,""id"",""en"")"),"['Please', 'Sorry', 'users',' Telkomsel ',' performance ',' reduced ',' network ',' out ',' blackouts', 'electricity', 'comment', 'already', ' read ',' Telkomsel ',' Please ',' repaired ',' told ',' contact ',' Lwat ',' twiter ',' etc. ',' disappointed ',"&amp;"' package ',' already ',' famous' , 'Expensive', 'Performance', 'Reduced', '']")</f>
        <v>['Please', 'Sorry', 'users',' Telkomsel ',' performance ',' reduced ',' network ',' out ',' blackouts', 'electricity', 'comment', 'already', ' read ',' Telkomsel ',' Please ',' repaired ',' told ',' contact ',' Lwat ',' twiter ',' etc. ',' disappointed ',' package ',' already ',' famous' , 'Expensive', 'Performance', 'Reduced', '']</v>
      </c>
      <c r="D41" s="3">
        <v>2.0</v>
      </c>
    </row>
    <row r="42" ht="15.75" customHeight="1">
      <c r="A42" s="1">
        <v>40.0</v>
      </c>
      <c r="B42" s="3" t="s">
        <v>43</v>
      </c>
      <c r="C42" s="3" t="str">
        <f>IFERROR(__xludf.DUMMYFUNCTION("GOOGLETRANSLATE(B42,""id"",""en"")"),"['signal', 'Internet', 'Telkomsel', 'Severe', 'already', 'use', 'Loading', 'Lost', 'Signal', 'Operator', 'Three', 'Price', ' Internet ',' expensive ',' poor ']")</f>
        <v>['signal', 'Internet', 'Telkomsel', 'Severe', 'already', 'use', 'Loading', 'Lost', 'Signal', 'Operator', 'Three', 'Price', ' Internet ',' expensive ',' poor ']</v>
      </c>
      <c r="D42" s="3">
        <v>1.0</v>
      </c>
    </row>
    <row r="43" ht="15.75" customHeight="1">
      <c r="A43" s="1">
        <v>41.0</v>
      </c>
      <c r="B43" s="3" t="s">
        <v>44</v>
      </c>
      <c r="C43" s="3" t="str">
        <f>IFERROR(__xludf.DUMMYFUNCTION("GOOGLETRANSLATE(B43,""id"",""en"")"),"['Telkomsel', 'taik', 'network', 'area', 'rich', 'gini', 'signal', 'ilang', 'friend', 'ku', 'card', 'Telkomsel', ' Lost ',' signal ',' Gnya ',' please ',' fix ']")</f>
        <v>['Telkomsel', 'taik', 'network', 'area', 'rich', 'gini', 'signal', 'ilang', 'friend', 'ku', 'card', 'Telkomsel', ' Lost ',' signal ',' Gnya ',' please ',' fix ']</v>
      </c>
      <c r="D43" s="3">
        <v>1.0</v>
      </c>
    </row>
    <row r="44" ht="15.75" customHeight="1">
      <c r="A44" s="1">
        <v>42.0</v>
      </c>
      <c r="B44" s="3" t="s">
        <v>45</v>
      </c>
      <c r="C44" s="3" t="str">
        <f>IFERROR(__xludf.DUMMYFUNCTION("GOOGLETRANSLATE(B44,""id"",""en"")"),"['Telkomsel', 'top', 'love', 'star', 'unplug', 'star', 'area', 'Bandung', 'South', 'Majalaya', 'connection', 'bad', ' Telkomsel ',' Please ',' explanation ']")</f>
        <v>['Telkomsel', 'top', 'love', 'star', 'unplug', 'star', 'area', 'Bandung', 'South', 'Majalaya', 'connection', 'bad', ' Telkomsel ',' Please ',' explanation ']</v>
      </c>
      <c r="D44" s="3">
        <v>3.0</v>
      </c>
    </row>
    <row r="45" ht="15.75" customHeight="1">
      <c r="A45" s="1">
        <v>43.0</v>
      </c>
      <c r="B45" s="3" t="s">
        <v>46</v>
      </c>
      <c r="C45" s="3" t="str">
        <f>IFERROR(__xludf.DUMMYFUNCTION("GOOGLETRANSLATE(B45,""id"",""en"")"),"['Get', 'notification', 'SMS', 'promo', 'quota', 'GB', 'for', 'buy', 'writing', 'please', 'Wait', 'notification', ' active ',' wait ',' notif ',' sms', 'enter', 'funny thing', 'pulse', 'sumps',' try ',' check ',' quota ',' already ',' entered ' , 'Notific"&amp;"ation', 'results', 'as bad as', 'kah', 'service', 'Telkomsel', ""]")</f>
        <v>['Get', 'notification', 'SMS', 'promo', 'quota', 'GB', 'for', 'buy', 'writing', 'please', 'Wait', 'notification', ' active ',' wait ',' notif ',' sms', 'enter', 'funny thing', 'pulse', 'sumps',' try ',' check ',' quota ',' already ',' entered ' , 'Notification', 'results', 'as bad as', 'kah', 'service', 'Telkomsel', "]</v>
      </c>
      <c r="D45" s="3">
        <v>1.0</v>
      </c>
    </row>
    <row r="46" ht="15.75" customHeight="1">
      <c r="A46" s="1">
        <v>44.0</v>
      </c>
      <c r="B46" s="3" t="s">
        <v>47</v>
      </c>
      <c r="C46" s="3" t="str">
        <f>IFERROR(__xludf.DUMMYFUNCTION("GOOGLETRANSLATE(B46,""id"",""en"")"),"['Please', 'sorry', 'previous',' YTH ',' Telkomsel ',' Network ',' Telkomsel ',' SIM ',' Card ',' Good ',' Network ',' Empingi ',' cards', 'Telkomsel', 'ugly', 'slow', '']")</f>
        <v>['Please', 'sorry', 'previous',' YTH ',' Telkomsel ',' Network ',' Telkomsel ',' SIM ',' Card ',' Good ',' Network ',' Empingi ',' cards', 'Telkomsel', 'ugly', 'slow', '']</v>
      </c>
      <c r="D46" s="3">
        <v>2.0</v>
      </c>
    </row>
    <row r="47" ht="15.75" customHeight="1">
      <c r="A47" s="1">
        <v>45.0</v>
      </c>
      <c r="B47" s="3" t="s">
        <v>48</v>
      </c>
      <c r="C47" s="3" t="str">
        <f>IFERROR(__xludf.DUMMYFUNCTION("GOOGLETRANSLATE(B47,""id"",""en"")"),"['application', 'useful', 'promo', 'package', 'data', 'internet', 'bonus',' daily ',' check ',' complain ',' quality ',' network ',' Reviews', 'application', 'Wrong', 'Woyy', 'operator', 'weird', ""]")</f>
        <v>['application', 'useful', 'promo', 'package', 'data', 'internet', 'bonus',' daily ',' check ',' complain ',' quality ',' network ',' Reviews', 'application', 'Wrong', 'Woyy', 'operator', 'weird', "]</v>
      </c>
      <c r="D47" s="3">
        <v>5.0</v>
      </c>
    </row>
    <row r="48" ht="15.75" customHeight="1">
      <c r="A48" s="1">
        <v>46.0</v>
      </c>
      <c r="B48" s="3" t="s">
        <v>49</v>
      </c>
      <c r="C48" s="3" t="str">
        <f>IFERROR(__xludf.DUMMYFUNCTION("GOOGLETRANSLATE(B48,""id"",""en"")"),"['Hallo', 'ask', 'buy', 'kouta', 'buy', 'kouta', 'kouta', 'suck', 'kouta', 'main', 'kouta', 'beg', ' need explanation', '']")</f>
        <v>['Hallo', 'ask', 'buy', 'kouta', 'buy', 'kouta', 'kouta', 'suck', 'kouta', 'main', 'kouta', 'beg', ' need explanation', '']</v>
      </c>
      <c r="D48" s="3">
        <v>1.0</v>
      </c>
    </row>
    <row r="49" ht="15.75" customHeight="1">
      <c r="A49" s="1">
        <v>47.0</v>
      </c>
      <c r="B49" s="3" t="s">
        <v>50</v>
      </c>
      <c r="C49" s="3" t="str">
        <f>IFERROR(__xludf.DUMMYFUNCTION("GOOGLETRANSLATE(B49,""id"",""en"")"),"['Bug', 'right', 'Open', 'Application', 'Notif', 'Network', 'Stable', 'Enter', 'Home', 'Screen', 'PDHL', 'Network', ' Update ']")</f>
        <v>['Bug', 'right', 'Open', 'Application', 'Notif', 'Network', 'Stable', 'Enter', 'Home', 'Screen', 'PDHL', 'Network', ' Update ']</v>
      </c>
      <c r="D49" s="3">
        <v>4.0</v>
      </c>
    </row>
    <row r="50" ht="15.75" customHeight="1">
      <c r="A50" s="1">
        <v>48.0</v>
      </c>
      <c r="B50" s="3" t="s">
        <v>51</v>
      </c>
      <c r="C50" s="3" t="str">
        <f>IFERROR(__xludf.DUMMYFUNCTION("GOOGLETRANSLATE(B50,""id"",""en"")"),"['Dear', 'Telkomsel', 'Massa', 'apply', 'card', 'increase', 'already', 'contents',' pulse ',' that way ',' mass', 'apply', ' cards', 'Addition', 'Woy', 'Fix', '']")</f>
        <v>['Dear', 'Telkomsel', 'Massa', 'apply', 'card', 'increase', 'already', 'contents',' pulse ',' that way ',' mass', 'apply', ' cards', 'Addition', 'Woy', 'Fix', '']</v>
      </c>
      <c r="D50" s="3">
        <v>2.0</v>
      </c>
    </row>
    <row r="51" ht="15.75" customHeight="1">
      <c r="A51" s="1">
        <v>49.0</v>
      </c>
      <c r="B51" s="3" t="s">
        <v>52</v>
      </c>
      <c r="C51" s="3" t="str">
        <f>IFERROR(__xludf.DUMMYFUNCTION("GOOGLETRANSLATE(B51,""id"",""en"")"),"['hard', 'try', 'buy', 'GB', 'RB', 'active', 'a week', 'ehhh', 'pulse', 'main', 'abis',' stlh ',' Abis', 'powers',' pulse ',' package ',' already ',' so ',' network ',' slow ',' sorry ',' deh ',' star ',' network ',' good ' , 'trs', 'sucked', 'pulse', 'ma"&amp;"in', 'love', 'star', '']")</f>
        <v>['hard', 'try', 'buy', 'GB', 'RB', 'active', 'a week', 'ehhh', 'pulse', 'main', 'abis',' stlh ',' Abis', 'powers',' pulse ',' package ',' already ',' so ',' network ',' slow ',' sorry ',' deh ',' star ',' network ',' good ' , 'trs', 'sucked', 'pulse', 'main', 'love', 'star', '']</v>
      </c>
      <c r="D51" s="3">
        <v>1.0</v>
      </c>
    </row>
    <row r="52" ht="15.75" customHeight="1">
      <c r="A52" s="1">
        <v>50.0</v>
      </c>
      <c r="B52" s="3" t="s">
        <v>53</v>
      </c>
      <c r="C52" s="3" t="str">
        <f>IFERROR(__xludf.DUMMYFUNCTION("GOOGLETRANSLATE(B52,""id"",""en"")"),"['Restore', 'Feature', 'Check', 'Gift', 'Take', 'Gift', 'Wear', 'Gift', 'Quota', 'Voucher', 'Direct', 'Ter', ' Claims', 'Automatic', 'Telkomsel', 'Considered', '']")</f>
        <v>['Restore', 'Feature', 'Check', 'Gift', 'Take', 'Gift', 'Wear', 'Gift', 'Quota', 'Voucher', 'Direct', 'Ter', ' Claims', 'Automatic', 'Telkomsel', 'Considered', '']</v>
      </c>
      <c r="D52" s="3">
        <v>1.0</v>
      </c>
    </row>
    <row r="53" ht="15.75" customHeight="1">
      <c r="A53" s="1">
        <v>51.0</v>
      </c>
      <c r="B53" s="3" t="s">
        <v>54</v>
      </c>
      <c r="C53" s="3" t="str">
        <f>IFERROR(__xludf.DUMMYFUNCTION("GOOGLETRANSLATE(B53,""id"",""en"")"),"['', 'TELKOMSEL', 'YTH', 'GARDED', 'ISI', 'Credit', 'HBS', 'Credit', 'Stealing', 'Bpk', 'Ibuk', 'His Right', 'Taken ',' sin ',' Life ',' keep ',' subscription ',' ber ',' prayer ',' God ',' forgive ',' sin ',' person ',' honest ',' byk ', 'Disight', 'peop"&amp;"le', ""]")</f>
        <v>['', 'TELKOMSEL', 'YTH', 'GARDED', 'ISI', 'Credit', 'HBS', 'Credit', 'Stealing', 'Bpk', 'Ibuk', 'His Right', 'Taken ',' sin ',' Life ',' keep ',' subscription ',' ber ',' prayer ',' God ',' forgive ',' sin ',' person ',' honest ',' byk ', 'Disight', 'people', "]</v>
      </c>
      <c r="D53" s="3">
        <v>1.0</v>
      </c>
    </row>
    <row r="54" ht="15.75" customHeight="1">
      <c r="A54" s="1">
        <v>52.0</v>
      </c>
      <c r="B54" s="3" t="s">
        <v>55</v>
      </c>
      <c r="C54" s="3" t="str">
        <f>IFERROR(__xludf.DUMMYFUNCTION("GOOGLETRANSLATE(B54,""id"",""en"")"),"['pulse', 'I', 'Sumpot', 'right', 'buy', 'quota', 'Anjim', 'really', 'jdi', 'buy', 'times',' bug ',' Please, 'repaired', 'Sometimes', 'Like', 'Error', 'APK', 'then', 'Loss', 'Signal', 'Severe', 'Please', 'repaired', 'Sinyal' , 'officials',' CEO ',' MBA ',"&amp;"' Mas', 'brother', 'Gara', 'signalny', 'ngelag', 'cave', 'AFK', 'swag', 'really', ' loss', 'hand', 'empty', 'brave']")</f>
        <v>['pulse', 'I', 'Sumpot', 'right', 'buy', 'quota', 'Anjim', 'really', 'jdi', 'buy', 'times',' bug ',' Please, 'repaired', 'Sometimes', 'Like', 'Error', 'APK', 'then', 'Loss', 'Signal', 'Severe', 'Please', 'repaired', 'Sinyal' , 'officials',' CEO ',' MBA ',' Mas', 'brother', 'Gara', 'signalny', 'ngelag', 'cave', 'AFK', 'swag', 'really', ' loss', 'hand', 'empty', 'brave']</v>
      </c>
      <c r="D54" s="3">
        <v>1.0</v>
      </c>
    </row>
    <row r="55" ht="15.75" customHeight="1">
      <c r="A55" s="1">
        <v>53.0</v>
      </c>
      <c r="B55" s="3" t="s">
        <v>56</v>
      </c>
      <c r="C55" s="3" t="str">
        <f>IFERROR(__xludf.DUMMYFUNCTION("GOOGLETRANSLATE(B55,""id"",""en"")"),"['Gajelas',' really ',' already ',' contents', 'pulse', 'buy', 'package', 'package', 'gabisa', 'accessible', 'pulses',' already ',' Sumpot ',' run out ',' already ',' Nipples', 'Customer', 'Service', 'Send', 'Email', 'Confirm', 'Response', 'Solution', 'Ya"&amp;"kalo', 'Duakali' , 'already', 'many', 'times', 'angry', 'emotion', 'already', 'replace', 'card', 'next door', '']")</f>
        <v>['Gajelas',' really ',' already ',' contents', 'pulse', 'buy', 'package', 'package', 'gabisa', 'accessible', 'pulses',' already ',' Sumpot ',' run out ',' already ',' Nipples', 'Customer', 'Service', 'Send', 'Email', 'Confirm', 'Response', 'Solution', 'Yakalo', 'Duakali' , 'already', 'many', 'times', 'angry', 'emotion', 'already', 'replace', 'card', 'next door', '']</v>
      </c>
      <c r="D55" s="3">
        <v>1.0</v>
      </c>
    </row>
    <row r="56" ht="15.75" customHeight="1">
      <c r="A56" s="1">
        <v>54.0</v>
      </c>
      <c r="B56" s="3" t="s">
        <v>57</v>
      </c>
      <c r="C56" s="3" t="str">
        <f>IFERROR(__xludf.DUMMYFUNCTION("GOOGLETRANSLATE(B56,""id"",""en"")"),"['Please', 'Telkomsel', 'wise', 'take', 'action', 'Please', 'improvement', 'signal', 'user', 'Indonesia', 'Kalimantan', 'around', ' Users', 'Telkomsel', 'Pro', 'Games',' wise ',' correction ',' Indonesia ',' wise ',' Example ',' Read ',' Review ',' Telkom"&amp;"sel ', ""]")</f>
        <v>['Please', 'Telkomsel', 'wise', 'take', 'action', 'Please', 'improvement', 'signal', 'user', 'Indonesia', 'Kalimantan', 'around', ' Users', 'Telkomsel', 'Pro', 'Games',' wise ',' correction ',' Indonesia ',' wise ',' Example ',' Read ',' Review ',' Telkomsel ', "]</v>
      </c>
      <c r="D56" s="3">
        <v>5.0</v>
      </c>
    </row>
    <row r="57" ht="15.75" customHeight="1">
      <c r="A57" s="1">
        <v>55.0</v>
      </c>
      <c r="B57" s="3" t="s">
        <v>58</v>
      </c>
      <c r="C57" s="3" t="str">
        <f>IFERROR(__xludf.DUMMYFUNCTION("GOOGLETRANSLATE(B57,""id"",""en"")"),"['The network', 'slow', 'severe', 'already', 'that's',' Nambah ',' expensive ',' really ',' already ',' severe ',' how ',' data ',' now ',' kbutuh ',' job ',' etc. ',' JDI ',' Udaalah ',' ']")</f>
        <v>['The network', 'slow', 'severe', 'already', 'that's',' Nambah ',' expensive ',' really ',' already ',' severe ',' how ',' data ',' now ',' kbutuh ',' job ',' etc. ',' JDI ',' Udaalah ',' ']</v>
      </c>
      <c r="D57" s="3">
        <v>1.0</v>
      </c>
    </row>
    <row r="58" ht="15.75" customHeight="1">
      <c r="A58" s="1">
        <v>56.0</v>
      </c>
      <c r="B58" s="3" t="s">
        <v>59</v>
      </c>
      <c r="C58" s="3" t="str">
        <f>IFERROR(__xludf.DUMMYFUNCTION("GOOGLETRANSLATE(B58,""id"",""en"")"),"['signal', 'slow', 'chat', 'mytelkomsel', 'solution', 'told', 'restart', 'mode', 'plane', 'apnnya', 'tried', 'slow', ' blur ',' use ',' Telkomsel ',' ']")</f>
        <v>['signal', 'slow', 'chat', 'mytelkomsel', 'solution', 'told', 'restart', 'mode', 'plane', 'apnnya', 'tried', 'slow', ' blur ',' use ',' Telkomsel ',' ']</v>
      </c>
      <c r="D58" s="3">
        <v>1.0</v>
      </c>
    </row>
    <row r="59" ht="15.75" customHeight="1">
      <c r="A59" s="1">
        <v>57.0</v>
      </c>
      <c r="B59" s="3" t="s">
        <v>60</v>
      </c>
      <c r="C59" s="3" t="str">
        <f>IFERROR(__xludf.DUMMYFUNCTION("GOOGLETRANSLATE(B59,""id"",""en"")"),"['proud', 'likes',' Telkomsel ',' Telkomsel ',' The network ',' bad ',' DRDL ',' use ',' Telkomsel ',' family ',' use ',' Telkomsel ',' KNP ',' Telkomsel ',' Muasin ',' Customer ',' Help ',' Weve ',' Delivery ',' Customer ',' Fixed ',' Repaired ', ""]")</f>
        <v>['proud', 'likes',' Telkomsel ',' Telkomsel ',' The network ',' bad ',' DRDL ',' use ',' Telkomsel ',' family ',' use ',' Telkomsel ',' KNP ',' Telkomsel ',' Muasin ',' Customer ',' Help ',' Weve ',' Delivery ',' Customer ',' Fixed ',' Repaired ', "]</v>
      </c>
      <c r="D59" s="3">
        <v>5.0</v>
      </c>
    </row>
    <row r="60" ht="15.75" customHeight="1">
      <c r="A60" s="1">
        <v>58.0</v>
      </c>
      <c r="B60" s="3" t="s">
        <v>61</v>
      </c>
      <c r="C60" s="3" t="str">
        <f>IFERROR(__xludf.DUMMYFUNCTION("GOOGLETRANSLATE(B60,""id"",""en"")"),"['card', 'expensive', 'network', 'ngeples',' dkevrk ',' hebibuenbujrbbhsvj ',' Know ',' forget ',' The ',' internet ',' and ',' Jordi ',' Alba ',' hope ',' Barca ',' Madrid ',' compete ',' Get ',' midfielder ',' Levante ',' Barcelona ',' Liga ',' Champion"&amp;"s', 'the world', 'Buk' ]")</f>
        <v>['card', 'expensive', 'network', 'ngeples',' dkevrk ',' hebibuenbujrbbhsvj ',' Know ',' forget ',' The ',' internet ',' and ',' Jordi ',' Alba ',' hope ',' Barca ',' Madrid ',' compete ',' Get ',' midfielder ',' Levante ',' Barcelona ',' Liga ',' Champions', 'the world', 'Buk' ]</v>
      </c>
      <c r="D60" s="3">
        <v>5.0</v>
      </c>
    </row>
    <row r="61" ht="15.75" customHeight="1">
      <c r="A61" s="1">
        <v>59.0</v>
      </c>
      <c r="B61" s="3" t="s">
        <v>62</v>
      </c>
      <c r="C61" s="3" t="str">
        <f>IFERROR(__xludf.DUMMYFUNCTION("GOOGLETRANSLATE(B61,""id"",""en"")"),"['In the area', 'nusa', 'southeast', 'east', 'kupang', 'west', 'village', 'lifuleo', 'hamlet', 'panaf', 'water', 'China', ' signal ',' Telkomsel ',' weak ',' ilang ',' aghagi ',' telkomsel ',' price ',' paker ',' internetny ',' expensive ',' really ',' pr"&amp;"ice ',' provider ' , 'Next', 'a month', 'active', 'suggestion', 'please', 'dumped', 'price', 'package', 'internetny', 'left', 'customer', 'customer', ' Move ',' Provider ',' Sorry ',' Move ',' Haluan ',' Provider ',' UNT ',' Package ',' Internet ', ""]")</f>
        <v>['In the area', 'nusa', 'southeast', 'east', 'kupang', 'west', 'village', 'lifuleo', 'hamlet', 'panaf', 'water', 'China', ' signal ',' Telkomsel ',' weak ',' ilang ',' aghagi ',' telkomsel ',' price ',' paker ',' internetny ',' expensive ',' really ',' price ',' provider ' , 'Next', 'a month', 'active', 'suggestion', 'please', 'dumped', 'price', 'package', 'internetny', 'left', 'customer', 'customer', ' Move ',' Provider ',' Sorry ',' Move ',' Haluan ',' Provider ',' UNT ',' Package ',' Internet ', "]</v>
      </c>
      <c r="D61" s="3">
        <v>1.0</v>
      </c>
    </row>
    <row r="62" ht="15.75" customHeight="1">
      <c r="A62" s="1">
        <v>60.0</v>
      </c>
      <c r="B62" s="3" t="s">
        <v>63</v>
      </c>
      <c r="C62" s="3" t="str">
        <f>IFERROR(__xludf.DUMMYFUNCTION("GOOGLETRANSLATE(B62,""id"",""en"")"),"['', 'application', 'cheats',' customer ',' a week ',' open ',' access', 'application', 'log', 'out', 'automatic', 'log', 'send ',' Link ',' Log ',' via ',' SMS ',' CUSTOMER ',' LOVED ',' COST ',' Send ',' SMS ',' said ',' steal ',' pulse ', 'slowly', '']")</f>
        <v>['', 'application', 'cheats',' customer ',' a week ',' open ',' access', 'application', 'log', 'out', 'automatic', 'log', 'send ',' Link ',' Log ',' via ',' SMS ',' CUSTOMER ',' LOVED ',' COST ',' Send ',' SMS ',' said ',' steal ',' pulse ', 'slowly', '']</v>
      </c>
      <c r="D62" s="3">
        <v>1.0</v>
      </c>
    </row>
    <row r="63" ht="15.75" customHeight="1">
      <c r="A63" s="1">
        <v>61.0</v>
      </c>
      <c r="B63" s="3" t="s">
        <v>64</v>
      </c>
      <c r="C63" s="3" t="str">
        <f>IFERROR(__xludf.DUMMYFUNCTION("GOOGLETRANSLATE(B63,""id"",""en"")"),"['Uda', 'a month', 'February', 'Network', 'slow', 'stable', 'repaired', 'needs',' online ',' online ',' shop ',' disturbed ',' Gara ',' Provider ',' Suggest ',' Choosing ',' Provider ',' Disappointed ',' Price ',' Expensive ',' Quality ',' Network ',' Slo"&amp;"w ',' Severe ',' Location ' , 'Kecamatan', 'Medan', 'Tuntungan', 'Kelurahan', 'Sidomulyo']")</f>
        <v>['Uda', 'a month', 'February', 'Network', 'slow', 'stable', 'repaired', 'needs',' online ',' online ',' shop ',' disturbed ',' Gara ',' Provider ',' Suggest ',' Choosing ',' Provider ',' Disappointed ',' Price ',' Expensive ',' Quality ',' Network ',' Slow ',' Severe ',' Location ' , 'Kecamatan', 'Medan', 'Tuntungan', 'Kelurahan', 'Sidomulyo']</v>
      </c>
      <c r="D63" s="3">
        <v>1.0</v>
      </c>
    </row>
    <row r="64" ht="15.75" customHeight="1">
      <c r="A64" s="1">
        <v>62.0</v>
      </c>
      <c r="B64" s="3" t="s">
        <v>65</v>
      </c>
      <c r="C64" s="3" t="str">
        <f>IFERROR(__xludf.DUMMYFUNCTION("GOOGLETRANSLATE(B64,""id"",""en"")"),"['Wonder', 'pulse', 'TPI', 'buy', 'package', 'Dimy', 'Telkomsel', 'last night', 'Ntah', 'ugly', 'times',' disappointed ',' Uninstall ',' last night ',' ']")</f>
        <v>['Wonder', 'pulse', 'TPI', 'buy', 'package', 'Dimy', 'Telkomsel', 'last night', 'Ntah', 'ugly', 'times',' disappointed ',' Uninstall ',' last night ',' ']</v>
      </c>
      <c r="D64" s="3">
        <v>3.0</v>
      </c>
    </row>
    <row r="65" ht="15.75" customHeight="1">
      <c r="A65" s="1">
        <v>63.0</v>
      </c>
      <c r="B65" s="3" t="s">
        <v>66</v>
      </c>
      <c r="C65" s="3" t="str">
        <f>IFERROR(__xludf.DUMMYFUNCTION("GOOGLETRANSLATE(B65,""id"",""en"")"),"['Telkomsel', 'Maling', 'pulse', 'quota', 'check', 'transaction', 'internet', 'get', 'fees', 'then', 'use', 'quota']")</f>
        <v>['Telkomsel', 'Maling', 'pulse', 'quota', 'check', 'transaction', 'internet', 'get', 'fees', 'then', 'use', 'quota']</v>
      </c>
      <c r="D65" s="3">
        <v>1.0</v>
      </c>
    </row>
    <row r="66" ht="15.75" customHeight="1">
      <c r="A66" s="1">
        <v>64.0</v>
      </c>
      <c r="B66" s="3" t="s">
        <v>67</v>
      </c>
      <c r="C66" s="3" t="str">
        <f>IFERROR(__xludf.DUMMYFUNCTION("GOOGLETRANSLATE(B66,""id"",""en"")"),"['', 'Telkomsel', 'application', 'severe', 'for a while', 'can', 'sorry', 'sis',' can ',' contact ',' bla ',' blah ',' blah ',' Comment ',' LBH ',' Switch ',' Provider ']")</f>
        <v>['', 'Telkomsel', 'application', 'severe', 'for a while', 'can', 'sorry', 'sis',' can ',' contact ',' bla ',' blah ',' blah ',' Comment ',' LBH ',' Switch ',' Provider ']</v>
      </c>
      <c r="D66" s="3">
        <v>1.0</v>
      </c>
    </row>
    <row r="67" ht="15.75" customHeight="1">
      <c r="A67" s="1">
        <v>65.0</v>
      </c>
      <c r="B67" s="3" t="s">
        <v>68</v>
      </c>
      <c r="C67" s="3" t="str">
        <f>IFERROR(__xludf.DUMMYFUNCTION("GOOGLETRANSLATE(B67,""id"",""en"")"),"['Disappointed', 'deep', 'stop', 'Langanan', 'card', 'Hello', 'card', 'hello', 'trapping', 'customer', 'promotion', 'offer', ' Stop ',' card ',' used ',' migration ',' card ',' hello ',' should ',' Telkomsel ',' love ',' etty ',' customer ',' crush ',' ca"&amp;"rd ' , 'Hello', 'card', 'number', 'World', 'Tipu', 'Tipu']")</f>
        <v>['Disappointed', 'deep', 'stop', 'Langanan', 'card', 'Hello', 'card', 'hello', 'trapping', 'customer', 'promotion', 'offer', ' Stop ',' card ',' used ',' migration ',' card ',' hello ',' should ',' Telkomsel ',' love ',' etty ',' customer ',' crush ',' card ' , 'Hello', 'card', 'number', 'World', 'Tipu', 'Tipu']</v>
      </c>
      <c r="D67" s="3">
        <v>2.0</v>
      </c>
    </row>
    <row r="68" ht="15.75" customHeight="1">
      <c r="A68" s="1">
        <v>66.0</v>
      </c>
      <c r="B68" s="3" t="s">
        <v>69</v>
      </c>
      <c r="C68" s="3" t="str">
        <f>IFERROR(__xludf.DUMMYFUNCTION("GOOGLETRANSLATE(B68,""id"",""en"")"),"['Disappointed', 'Telkomsel', 'Times',' Contact ',' Agent ',' Veronika ',' Solution ',' Completion ',' Fate ',' Quota ',' Credit ',' Quota ',' pulse ',' truncated ',' times', 'charging', 'reset', 'quota', ""]")</f>
        <v>['Disappointed', 'Telkomsel', 'Times',' Contact ',' Agent ',' Veronika ',' Solution ',' Completion ',' Fate ',' Quota ',' Credit ',' Quota ',' pulse ',' truncated ',' times', 'charging', 'reset', 'quota', "]</v>
      </c>
      <c r="D68" s="3">
        <v>1.0</v>
      </c>
    </row>
    <row r="69" ht="15.75" customHeight="1">
      <c r="A69" s="1">
        <v>67.0</v>
      </c>
      <c r="B69" s="3" t="s">
        <v>70</v>
      </c>
      <c r="C69" s="3" t="str">
        <f>IFERROR(__xludf.DUMMYFUNCTION("GOOGLETRANSLATE(B69,""id"",""en"")"),"['package', 'gamesmax', 'subscribe', 'activation', 'Please', 'info', 'stop', 'subscribe', 'thank', 'love', ""]")</f>
        <v>['package', 'gamesmax', 'subscribe', 'activation', 'Please', 'info', 'stop', 'subscribe', 'thank', 'love', "]</v>
      </c>
      <c r="D69" s="3">
        <v>1.0</v>
      </c>
    </row>
    <row r="70" ht="15.75" customHeight="1">
      <c r="A70" s="1">
        <v>68.0</v>
      </c>
      <c r="B70" s="3" t="s">
        <v>71</v>
      </c>
      <c r="C70" s="3" t="str">
        <f>IFERROR(__xludf.DUMMYFUNCTION("GOOGLETRANSLATE(B70,""id"",""en"")"),"['honesty', 'package', 'data', 'unlimited', 'DiDaan', 'written', 'unlimited', 'clarified', 'application', 'drain', 'quota', ""]")</f>
        <v>['honesty', 'package', 'data', 'unlimited', 'DiDaan', 'written', 'unlimited', 'clarified', 'application', 'drain', 'quota', "]</v>
      </c>
      <c r="D70" s="3">
        <v>1.0</v>
      </c>
    </row>
    <row r="71" ht="15.75" customHeight="1">
      <c r="A71" s="1">
        <v>69.0</v>
      </c>
      <c r="B71" s="3" t="s">
        <v>72</v>
      </c>
      <c r="C71" s="3" t="str">
        <f>IFERROR(__xludf.DUMMYFUNCTION("GOOGLETRANSLATE(B71,""id"",""en"")"),"['quota', 'Ministry of Education and Culture', 'Slow', 'Severe', 'Zoom', 'Disconnect', 'Connect', 'GMANA', 'Learning', 'Where', 'HOLDA', 'The answer', ' Government ',' email ',' Telkom ',' respond ',' thank you ']")</f>
        <v>['quota', 'Ministry of Education and Culture', 'Slow', 'Severe', 'Zoom', 'Disconnect', 'Connect', 'GMANA', 'Learning', 'Where', 'HOLDA', 'The answer', ' Government ',' email ',' Telkom ',' respond ',' thank you ']</v>
      </c>
      <c r="D71" s="3">
        <v>1.0</v>
      </c>
    </row>
    <row r="72" ht="15.75" customHeight="1">
      <c r="A72" s="1">
        <v>70.0</v>
      </c>
      <c r="B72" s="3" t="s">
        <v>73</v>
      </c>
      <c r="C72" s="3" t="str">
        <f>IFERROR(__xludf.DUMMYFUNCTION("GOOGLETRANSLATE(B72,""id"",""en"")"),"['Signal', 'Network', 'Internet', 'Telkomsel', 'Bener', 'Jngan', 'take', 'Fortunately', 'Doang', 'Pay', 'expensive', ' Services', 'quality', 'network', 'bad', 'really', 'business',' sya ',' disturbed ',' hrs', 'like', 'trs',' ']")</f>
        <v>['Signal', 'Network', 'Internet', 'Telkomsel', 'Bener', 'Jngan', 'take', 'Fortunately', 'Doang', 'Pay', 'expensive', ' Services', 'quality', 'network', 'bad', 'really', 'business',' sya ',' disturbed ',' hrs', 'like', 'trs',' ']</v>
      </c>
      <c r="D72" s="3">
        <v>1.0</v>
      </c>
    </row>
    <row r="73" ht="15.75" customHeight="1">
      <c r="A73" s="1">
        <v>71.0</v>
      </c>
      <c r="B73" s="3" t="s">
        <v>74</v>
      </c>
      <c r="C73" s="3" t="str">
        <f>IFERROR(__xludf.DUMMYFUNCTION("GOOGLETRANSLATE(B73,""id"",""en"")"),"['Not bad', 'possibility', 'price', 'package', 'whispered', 'Lower', 'usage', 'internet', 'customer', 'focus',' Telkomsel ',' pandemic ',' Covid ',' Thank you ',' His attention ']")</f>
        <v>['Not bad', 'possibility', 'price', 'package', 'whispered', 'Lower', 'usage', 'internet', 'customer', 'focus',' Telkomsel ',' pandemic ',' Covid ',' Thank you ',' His attention ']</v>
      </c>
      <c r="D73" s="3">
        <v>2.0</v>
      </c>
    </row>
    <row r="74" ht="15.75" customHeight="1">
      <c r="A74" s="1">
        <v>72.0</v>
      </c>
      <c r="B74" s="3" t="s">
        <v>75</v>
      </c>
      <c r="C74" s="3" t="str">
        <f>IFERROR(__xludf.DUMMYFUNCTION("GOOGLETRANSLATE(B74,""id"",""en"")"),"['Please', 'Sorry', 'Sis',' Network ',' Sekates', 'Decreases',' Drastic ',' Sis', 'Ngegame', 'Download', 'Loading', 'Sometimes',' signal ',' missing ',' network ',' kek ',' gini ',' comfortable ',' customers', 'Telkomsel', 'Please', 'Sis',' fix ',' accord"&amp;"ing to ']")</f>
        <v>['Please', 'Sorry', 'Sis',' Network ',' Sekates', 'Decreases',' Drastic ',' Sis', 'Ngegame', 'Download', 'Loading', 'Sometimes',' signal ',' missing ',' network ',' kek ',' gini ',' comfortable ',' customers', 'Telkomsel', 'Please', 'Sis',' fix ',' according to ']</v>
      </c>
      <c r="D74" s="3">
        <v>5.0</v>
      </c>
    </row>
    <row r="75" ht="15.75" customHeight="1">
      <c r="A75" s="1">
        <v>73.0</v>
      </c>
      <c r="B75" s="3" t="s">
        <v>76</v>
      </c>
      <c r="C75" s="3" t="str">
        <f>IFERROR(__xludf.DUMMYFUNCTION("GOOGLETRANSLATE(B75,""id"",""en"")"),"['Tissue', 'Telkomsel', 'ugly', 'how', 'user', 'loyal', 'Telkomsel', 'klk', 'signal', 'ilang', 'buy', 'unlimited', ' KLK ',' use ',' wasteful ',' Telkomsel ']")</f>
        <v>['Tissue', 'Telkomsel', 'ugly', 'how', 'user', 'loyal', 'Telkomsel', 'klk', 'signal', 'ilang', 'buy', 'unlimited', ' KLK ',' use ',' wasteful ',' Telkomsel ']</v>
      </c>
      <c r="D75" s="3">
        <v>1.0</v>
      </c>
    </row>
    <row r="76" ht="15.75" customHeight="1">
      <c r="A76" s="1">
        <v>74.0</v>
      </c>
      <c r="B76" s="3" t="s">
        <v>77</v>
      </c>
      <c r="C76" s="3" t="str">
        <f>IFERROR(__xludf.DUMMYFUNCTION("GOOGLETRANSLATE(B76,""id"",""en"")"),"['Diamond', 'API', 'Free', 'Play', 'Store', 'Credit', 'Free', 'User', 'Random', 'Redeemed', 'Method', 'Player', ' Suggested ',' method ',' illegal ',' diamond ',' free ',' win ',' match ',' destroy ',' experience ',' play ',' game ',' player ',' community"&amp;" ' , 'April', '']")</f>
        <v>['Diamond', 'API', 'Free', 'Play', 'Store', 'Credit', 'Free', 'User', 'Random', 'Redeemed', 'Method', 'Player', ' Suggested ',' method ',' illegal ',' diamond ',' free ',' win ',' match ',' destroy ',' experience ',' play ',' game ',' player ',' community ' , 'April', '']</v>
      </c>
      <c r="D76" s="3">
        <v>5.0</v>
      </c>
    </row>
    <row r="77" ht="15.75" customHeight="1">
      <c r="A77" s="1">
        <v>75.0</v>
      </c>
      <c r="B77" s="3" t="s">
        <v>78</v>
      </c>
      <c r="C77" s="3" t="str">
        <f>IFERROR(__xludf.DUMMYFUNCTION("GOOGLETRANSLATE(B77,""id"",""en"")"),"['pulse', 'lost', 'pulse', 'number', 'then' transferred ',' pulse ',' right ',' enter ',' Telkomsel ',' printed ',' pulses ',' How ',' missing ',' Litu ',' how ',' fair ',' signal ',' slow ',' ilang ',' please ',' repair ']")</f>
        <v>['pulse', 'lost', 'pulse', 'number', 'then' transferred ',' pulse ',' right ',' enter ',' Telkomsel ',' printed ',' pulses ',' How ',' missing ',' Litu ',' how ',' fair ',' signal ',' slow ',' ilang ',' please ',' repair ']</v>
      </c>
      <c r="D77" s="3">
        <v>1.0</v>
      </c>
    </row>
    <row r="78" ht="15.75" customHeight="1">
      <c r="A78" s="1">
        <v>76.0</v>
      </c>
      <c r="B78" s="3" t="s">
        <v>79</v>
      </c>
      <c r="C78" s="3" t="str">
        <f>IFERROR(__xludf.DUMMYFUNCTION("GOOGLETRANSLATE(B78,""id"",""en"")"),"['Please', 'developer', 'user', 'card', 'unlimited', 'max', 'app', 'purchase', 'unlimited', 'max', 'skrng', 'sudh', ' PDHL ',' Wear ',' Krtu ',' Unlimited ',' Max ',' Please ',' Fix ']")</f>
        <v>['Please', 'developer', 'user', 'card', 'unlimited', 'max', 'app', 'purchase', 'unlimited', 'max', 'skrng', 'sudh', ' PDHL ',' Wear ',' Krtu ',' Unlimited ',' Max ',' Please ',' Fix ']</v>
      </c>
      <c r="D78" s="3">
        <v>1.0</v>
      </c>
    </row>
    <row r="79" ht="15.75" customHeight="1">
      <c r="A79" s="1">
        <v>77.0</v>
      </c>
      <c r="B79" s="3" t="s">
        <v>80</v>
      </c>
      <c r="C79" s="3" t="str">
        <f>IFERROR(__xludf.DUMMYFUNCTION("GOOGLETRANSLATE(B79,""id"",""en"")"),"['Like', 'Program', 'Daily', 'Check', 'Claims', 'Gifts', 'Notification', 'Activation', 'Gifts', 'Description', 'Claim']")</f>
        <v>['Like', 'Program', 'Daily', 'Check', 'Claims', 'Gifts', 'Notification', 'Activation', 'Gifts', 'Description', 'Claim']</v>
      </c>
      <c r="D79" s="3">
        <v>2.0</v>
      </c>
    </row>
    <row r="80" ht="15.75" customHeight="1">
      <c r="A80" s="1">
        <v>78.0</v>
      </c>
      <c r="B80" s="3" t="s">
        <v>81</v>
      </c>
      <c r="C80" s="3" t="str">
        <f>IFERROR(__xludf.DUMMYFUNCTION("GOOGLETRANSLATE(B80,""id"",""en"")"),"['satisfying', 'city', 'price', 'expensive', 'has',' heart ',' conscience ',' position ',' covit ',' rich ',' gini ',' no ',' Nmanya ',' decrease ',' price ',' city ',' Perna ',' contents', 'pulse', 'APK', 'enter', 'pulses']")</f>
        <v>['satisfying', 'city', 'price', 'expensive', 'has',' heart ',' conscience ',' position ',' covit ',' rich ',' gini ',' no ',' Nmanya ',' decrease ',' price ',' city ',' Perna ',' contents', 'pulse', 'APK', 'enter', 'pulses']</v>
      </c>
      <c r="D80" s="3">
        <v>3.0</v>
      </c>
    </row>
    <row r="81" ht="15.75" customHeight="1">
      <c r="A81" s="1">
        <v>79.0</v>
      </c>
      <c r="B81" s="3" t="s">
        <v>82</v>
      </c>
      <c r="C81" s="3" t="str">
        <f>IFERROR(__xludf.DUMMYFUNCTION("GOOGLETRANSLATE(B81,""id"",""en"")"),"['quota', 'unlimited', 'dipake', 'cook', 'speed', 'network', 'boro', 'boro', 'youtube', 'login', 'game', 'online' Stuck ',' ']")</f>
        <v>['quota', 'unlimited', 'dipake', 'cook', 'speed', 'network', 'boro', 'boro', 'youtube', 'login', 'game', 'online' Stuck ',' ']</v>
      </c>
      <c r="D81" s="3">
        <v>1.0</v>
      </c>
    </row>
    <row r="82" ht="15.75" customHeight="1">
      <c r="A82" s="1">
        <v>80.0</v>
      </c>
      <c r="B82" s="3" t="s">
        <v>83</v>
      </c>
      <c r="C82" s="3" t="str">
        <f>IFERROR(__xludf.DUMMYFUNCTION("GOOGLETRANSLATE(B82,""id"",""en"")"),"['pulse', 'monetary', 'pulse', 'main', 'used', 'internet', 'pulse', 'main', 'first', 'polite', 'really', 'like', ' Fraudsters', 'Online', '']")</f>
        <v>['pulse', 'monetary', 'pulse', 'main', 'used', 'internet', 'pulse', 'main', 'first', 'polite', 'really', 'like', ' Fraudsters', 'Online', '']</v>
      </c>
      <c r="D82" s="3">
        <v>1.0</v>
      </c>
    </row>
    <row r="83" ht="15.75" customHeight="1">
      <c r="A83" s="1">
        <v>81.0</v>
      </c>
      <c r="B83" s="3" t="s">
        <v>84</v>
      </c>
      <c r="C83" s="3" t="str">
        <f>IFERROR(__xludf.DUMMYFUNCTION("GOOGLETRANSLATE(B83,""id"",""en"")"),"['', 'complaints',' JWB ',' Machine ',' sellu ',' told ',' already ',' CBK ',' send ',' email ',' TPI ',' response ',' Duh ',' Gini ',' JWB ',' Robot ',' Machine ',' Cook ',' Lost ',' Ama ',' Next ',' Direct ',' Tangap ',' SLLu ',' backup ', 'right', 'urg"&amp;"ent', 'comfortable']")</f>
        <v>['', 'complaints',' JWB ',' Machine ',' sellu ',' told ',' already ',' CBK ',' send ',' email ',' TPI ',' response ',' Duh ',' Gini ',' JWB ',' Robot ',' Machine ',' Cook ',' Lost ',' Ama ',' Next ',' Direct ',' Tangap ',' SLLu ',' backup ', 'right', 'urgent', 'comfortable']</v>
      </c>
      <c r="D83" s="3">
        <v>1.0</v>
      </c>
    </row>
    <row r="84" ht="15.75" customHeight="1">
      <c r="A84" s="1">
        <v>82.0</v>
      </c>
      <c r="B84" s="3" t="s">
        <v>85</v>
      </c>
      <c r="C84" s="3" t="str">
        <f>IFERROR(__xludf.DUMMYFUNCTION("GOOGLETRANSLATE(B84,""id"",""en"")"),"['Severe', 'Yesterday', 'thousand', 'thousand', 'brush', 'complaint', 'Where', 'DAK', 'Response', 'Disappointed', 'really', 'Ama', ' Telkomsel ',' already ',' annual ',' operator ',' upset ',' credit ',' missing ',' list ',' anything ',' missing ',' just "&amp;"',' pulses', 'disappear' , 'already', 'umpsecuch', 'times', 'times', 'upset', 'search', 'money', 'difficult', 'era', 'pandemic', 'Hard', ""]")</f>
        <v>['Severe', 'Yesterday', 'thousand', 'thousand', 'brush', 'complaint', 'Where', 'DAK', 'Response', 'Disappointed', 'really', 'Ama', ' Telkomsel ',' already ',' annual ',' operator ',' upset ',' credit ',' missing ',' list ',' anything ',' missing ',' just ',' pulses', 'disappear' , 'already', 'umpsecuch', 'times', 'times', 'upset', 'search', 'money', 'difficult', 'era', 'pandemic', 'Hard', "]</v>
      </c>
      <c r="D84" s="3">
        <v>1.0</v>
      </c>
    </row>
    <row r="85" ht="15.75" customHeight="1">
      <c r="A85" s="1">
        <v>83.0</v>
      </c>
      <c r="B85" s="3" t="s">
        <v>86</v>
      </c>
      <c r="C85" s="3" t="str">
        <f>IFERROR(__xludf.DUMMYFUNCTION("GOOGLETRANSLATE(B85,""id"",""en"")"),"['The officer', 'Amanah', 'yesterday', 'cheated', 'officer', 'Telkom', 'card', 'upgrade', 'Try', 'go', 'counter', 'pingiran', ' Road ',' Alhamdulillah ',' card ',' ugrade ',' office ',' grapari ',' line ',' clock ',' clock ',' noon ',' tip ',' end ',' che"&amp;"ated ' , 'God', 'gini', 'service', 'disappointing', '']")</f>
        <v>['The officer', 'Amanah', 'yesterday', 'cheated', 'officer', 'Telkom', 'card', 'upgrade', 'Try', 'go', 'counter', 'pingiran', ' Road ',' Alhamdulillah ',' card ',' ugrade ',' office ',' grapari ',' line ',' clock ',' clock ',' noon ',' tip ',' end ',' cheated ' , 'God', 'gini', 'service', 'disappointing', '']</v>
      </c>
      <c r="D85" s="3">
        <v>1.0</v>
      </c>
    </row>
    <row r="86" ht="15.75" customHeight="1">
      <c r="A86" s="1">
        <v>84.0</v>
      </c>
      <c r="B86" s="3" t="s">
        <v>87</v>
      </c>
      <c r="C86" s="3" t="str">
        <f>IFERROR(__xludf.DUMMYFUNCTION("GOOGLETRANSLATE(B86,""id"",""en"")"),"['page', 'shopping', 'opened', 'opened', 'appears',' blank ',' page ',' comment ',' ullary ',' cheater ',' me ',' buy ',' Package ',' YouTube ',' unlimited ',' Doang ',' quota ',' already ',' enter ',' open ',' youtube ',' muter ',' doang ',' ajg ',' walk"&amp;" ' , 'Woy', 'intention', 'selling', 'turning back', 'money', 'me', ""]")</f>
        <v>['page', 'shopping', 'opened', 'opened', 'appears',' blank ',' page ',' comment ',' ullary ',' cheater ',' me ',' buy ',' Package ',' YouTube ',' unlimited ',' Doang ',' quota ',' already ',' enter ',' open ',' youtube ',' muter ',' doang ',' ajg ',' walk ' , 'Woy', 'intention', 'selling', 'turning back', 'money', 'me', "]</v>
      </c>
      <c r="D86" s="3">
        <v>1.0</v>
      </c>
    </row>
    <row r="87" ht="15.75" customHeight="1">
      <c r="A87" s="1">
        <v>85.0</v>
      </c>
      <c r="B87" s="3" t="s">
        <v>88</v>
      </c>
      <c r="C87" s="3" t="str">
        <f>IFERROR(__xludf.DUMMYFUNCTION("GOOGLETRANSLATE(B87,""id"",""en"")"),"['pulse', 'missing', 'where', 'kapok', 'Telkomsel', 'miss', 'operator', 'operator', 'lbh', 'comfortable', 'hope', 'bankrupt']")</f>
        <v>['pulse', 'missing', 'where', 'kapok', 'Telkomsel', 'miss', 'operator', 'operator', 'lbh', 'comfortable', 'hope', 'bankrupt']</v>
      </c>
      <c r="D87" s="3">
        <v>1.0</v>
      </c>
    </row>
    <row r="88" ht="15.75" customHeight="1">
      <c r="A88" s="1">
        <v>86.0</v>
      </c>
      <c r="B88" s="3" t="s">
        <v>89</v>
      </c>
      <c r="C88" s="3" t="str">
        <f>IFERROR(__xludf.DUMMYFUNCTION("GOOGLETRANSLATE(B88,""id"",""en"")"),"['Please', 'Help', 'pulse', 'furniture', 'quota', 'telephone', 'application', 'mytelkomsel', 'system', 'busy', 'try', 'buy', ' check ',' leftover ',' pulse ',' check ',' mytelkomsel ',' quota ',' call ',' quota ',' try ',' telkomsel ',' telkomsel ',' seco"&amp;"nd ',' left ' , 'Credit', 'Reduced', 'Please', 'MyTelkomsel', 'Help', 'Meet', 'Fail', 'Different']")</f>
        <v>['Please', 'Help', 'pulse', 'furniture', 'quota', 'telephone', 'application', 'mytelkomsel', 'system', 'busy', 'try', 'buy', ' check ',' leftover ',' pulse ',' check ',' mytelkomsel ',' quota ',' call ',' quota ',' try ',' telkomsel ',' telkomsel ',' second ',' left ' , 'Credit', 'Reduced', 'Please', 'MyTelkomsel', 'Help', 'Meet', 'Fail', 'Different']</v>
      </c>
      <c r="D88" s="3">
        <v>1.0</v>
      </c>
    </row>
    <row r="89" ht="15.75" customHeight="1">
      <c r="A89" s="1">
        <v>87.0</v>
      </c>
      <c r="B89" s="3" t="s">
        <v>90</v>
      </c>
      <c r="C89" s="3" t="str">
        <f>IFERROR(__xludf.DUMMYFUNCTION("GOOGLETRANSLATE(B89,""id"",""en"")"),"['Okay', 'Cave', 'comment', 'Fiberse', 'Tsel', 'Try', 'Bagusin', 'Sinyal', 'Cave', 'Already', 'Download', 'Game', ' Size ',' GB ',' Clock ',' Afternoon ',' Ampe ',' Clock ',' Morning ',' Failed ',' Signal ',' Card ',' ugly ',' really ',' already ' , 'Wait"&amp;"', 'failed', 'already', 'mah', 'ugly', 'expensive', 'cave', 'love', 'star', 'cave', 'need', 'card', ' Hmphhh ',' ']")</f>
        <v>['Okay', 'Cave', 'comment', 'Fiberse', 'Tsel', 'Try', 'Bagusin', 'Sinyal', 'Cave', 'Already', 'Download', 'Game', ' Size ',' GB ',' Clock ',' Afternoon ',' Ampe ',' Clock ',' Morning ',' Failed ',' Signal ',' Card ',' ugly ',' really ',' already ' , 'Wait', 'failed', 'already', 'mah', 'ugly', 'expensive', 'cave', 'love', 'star', 'cave', 'need', 'card', ' Hmphhh ',' ']</v>
      </c>
      <c r="D89" s="3">
        <v>2.0</v>
      </c>
    </row>
    <row r="90" ht="15.75" customHeight="1">
      <c r="A90" s="1">
        <v>88.0</v>
      </c>
      <c r="B90" s="3" t="s">
        <v>91</v>
      </c>
      <c r="C90" s="3" t="str">
        <f>IFERROR(__xludf.DUMMYFUNCTION("GOOGLETRANSLATE(B90,""id"",""en"")"),"['Ngeselin', 'logout', 'login', 'reset', 'plus',' network ',' here ',' sucks', 'please', 'Donk', 'repaired', 'company', ' Kayak ',' Gini ',' Quality ',' Low ',' Quality ',' ']")</f>
        <v>['Ngeselin', 'logout', 'login', 'reset', 'plus',' network ',' here ',' sucks', 'please', 'Donk', 'repaired', 'company', ' Kayak ',' Gini ',' Quality ',' Low ',' Quality ',' ']</v>
      </c>
      <c r="D90" s="3">
        <v>1.0</v>
      </c>
    </row>
    <row r="91" ht="15.75" customHeight="1">
      <c r="A91" s="1">
        <v>89.0</v>
      </c>
      <c r="B91" s="3" t="s">
        <v>92</v>
      </c>
      <c r="C91" s="3" t="str">
        <f>IFERROR(__xludf.DUMMYFUNCTION("GOOGLETRANSLATE(B91,""id"",""en"")"),"['customer', 'loyal', 'Telkomsel', 'disappointed', 'service', 'network', 'area', 'village', 'Cikuda', 'Kampung', 'Garukgak', 'Kec', ' Parung ',' Kab ',' Bogor ']")</f>
        <v>['customer', 'loyal', 'Telkomsel', 'disappointed', 'service', 'network', 'area', 'village', 'Cikuda', 'Kampung', 'Garukgak', 'Kec', ' Parung ',' Kab ',' Bogor ']</v>
      </c>
      <c r="D91" s="3">
        <v>1.0</v>
      </c>
    </row>
    <row r="92" ht="15.75" customHeight="1">
      <c r="A92" s="1">
        <v>90.0</v>
      </c>
      <c r="B92" s="3" t="s">
        <v>93</v>
      </c>
      <c r="C92" s="3" t="str">
        <f>IFERROR(__xludf.DUMMYFUNCTION("GOOGLETRANSLATE(B92,""id"",""en"")"),"['Love', 'star', 'Applikasih', 'lying', 'love', 'star', 'lying', 'Kasi', 'star', ""]")</f>
        <v>['Love', 'star', 'Applikasih', 'lying', 'love', 'star', 'lying', 'Kasi', 'star', "]</v>
      </c>
      <c r="D92" s="3">
        <v>3.0</v>
      </c>
    </row>
    <row r="93" ht="15.75" customHeight="1">
      <c r="A93" s="1">
        <v>91.0</v>
      </c>
      <c r="B93" s="3" t="s">
        <v>94</v>
      </c>
      <c r="C93" s="3" t="str">
        <f>IFERROR(__xludf.DUMMYFUNCTION("GOOGLETRANSLATE(B93,""id"",""en"")"),"['Severe', 'You', 'Telkomsel', 'Fill', 'Credit', 'Rbu', 'Dumped', 'thousand', 'Package', 'quota', 'thousand', 'Rupiah', ' mksud ',' contents', 'pulse', 'you', 'cut', 'thousand', 'activated', 'package', 'kgak', 'because', 'you', 'cut', 'pulses' , 'Alllah',"&amp;" 'emotion']")</f>
        <v>['Severe', 'You', 'Telkomsel', 'Fill', 'Credit', 'Rbu', 'Dumped', 'thousand', 'Package', 'quota', 'thousand', 'Rupiah', ' mksud ',' contents', 'pulse', 'you', 'cut', 'thousand', 'activated', 'package', 'kgak', 'because', 'you', 'cut', 'pulses' , 'Alllah', 'emotion']</v>
      </c>
      <c r="D93" s="3">
        <v>1.0</v>
      </c>
    </row>
    <row r="94" ht="15.75" customHeight="1">
      <c r="A94" s="1">
        <v>92.0</v>
      </c>
      <c r="B94" s="3" t="s">
        <v>95</v>
      </c>
      <c r="C94" s="3" t="str">
        <f>IFERROR(__xludf.DUMMYFUNCTION("GOOGLETRANSLATE(B94,""id"",""en"")"),"['Display', 'Good', 'Promo', 'Package', 'Program', 'Lottery', 'Interesting', 'Please', 'Enhanced', 'Promo', 'Package', 'Internet', ' Cheap ',' Stay ',' County ',' Banyuwangi ',' Region ',' Java ',' East ',' remote ', ""]")</f>
        <v>['Display', 'Good', 'Promo', 'Package', 'Program', 'Lottery', 'Interesting', 'Please', 'Enhanced', 'Promo', 'Package', 'Internet', ' Cheap ',' Stay ',' County ',' Banyuwangi ',' Region ',' Java ',' East ',' remote ', "]</v>
      </c>
      <c r="D94" s="3">
        <v>5.0</v>
      </c>
    </row>
    <row r="95" ht="15.75" customHeight="1">
      <c r="A95" s="1">
        <v>93.0</v>
      </c>
      <c r="B95" s="3" t="s">
        <v>96</v>
      </c>
      <c r="C95" s="3" t="str">
        <f>IFERROR(__xludf.DUMMYFUNCTION("GOOGLETRANSLATE(B95,""id"",""en"")"),"['quota', 'internet', 'Local', 'used', 'pdhal', 'pkenya', 'pketan', 'then', 'activation', 'in place', 'GMANA', 'Telkomsel', ' Sempet ',' complement ',' TPI ',' Blom ',' repairs', '']")</f>
        <v>['quota', 'internet', 'Local', 'used', 'pdhal', 'pkenya', 'pketan', 'then', 'activation', 'in place', 'GMANA', 'Telkomsel', ' Sempet ',' complement ',' TPI ',' Blom ',' repairs', '']</v>
      </c>
      <c r="D95" s="3">
        <v>1.0</v>
      </c>
    </row>
    <row r="96" ht="15.75" customHeight="1">
      <c r="A96" s="1">
        <v>94.0</v>
      </c>
      <c r="B96" s="3" t="s">
        <v>97</v>
      </c>
      <c r="C96" s="3" t="str">
        <f>IFERROR(__xludf.DUMMYFUNCTION("GOOGLETRANSLATE(B96,""id"",""en"")"),"['brother', 'heart', 'please', 'repair', 'Telkomsel', 'entry', 'application', 'Telkomsel', 'NGK', 'network', 'slow', 'promo', ' Telkomsel ',' Price ',' Fraud ',' Disappointed ',' Very ',' Please ',' Fix ',' Thank you ',' Read ',' Review ']")</f>
        <v>['brother', 'heart', 'please', 'repair', 'Telkomsel', 'entry', 'application', 'Telkomsel', 'NGK', 'network', 'slow', 'promo', ' Telkomsel ',' Price ',' Fraud ',' Disappointed ',' Very ',' Please ',' Fix ',' Thank you ',' Read ',' Review ']</v>
      </c>
      <c r="D96" s="3">
        <v>3.0</v>
      </c>
    </row>
    <row r="97" ht="15.75" customHeight="1">
      <c r="A97" s="1">
        <v>95.0</v>
      </c>
      <c r="B97" s="3" t="s">
        <v>98</v>
      </c>
      <c r="C97" s="3" t="str">
        <f>IFERROR(__xludf.DUMMYFUNCTION("GOOGLETRANSLATE(B97,""id"",""en"")"),"['Event', 'strange', 'dialy', 'check', 'checkin', 'aje', 'shampel', 'profider', 'senior', 'program', 'coins',' Pantes', ' Moving ',' Provider ',' Laen ',' Event ',' High School ',' Promotions', 'Enter', 'Word', 'Pouch']")</f>
        <v>['Event', 'strange', 'dialy', 'check', 'checkin', 'aje', 'shampel', 'profider', 'senior', 'program', 'coins',' Pantes', ' Moving ',' Provider ',' Laen ',' Event ',' High School ',' Promotions', 'Enter', 'Word', 'Pouch']</v>
      </c>
      <c r="D97" s="3">
        <v>1.0</v>
      </c>
    </row>
    <row r="98" ht="15.75" customHeight="1">
      <c r="A98" s="1">
        <v>96.0</v>
      </c>
      <c r="B98" s="3" t="s">
        <v>99</v>
      </c>
      <c r="C98" s="3" t="str">
        <f>IFERROR(__xludf.DUMMYFUNCTION("GOOGLETRANSLATE(B98,""id"",""en"")"),"['customers',' Telkomsel ',' times', 'complicated', 'stop', 'subscribe', 'package', 'internet', 'kartuHalo', 'Telkomsel', 'solution', 'solution', ' Stop ',' Sentences', 'Stop', 'Subscribe', 'KartuHalo', 'Disappointed', '']")</f>
        <v>['customers',' Telkomsel ',' times', 'complicated', 'stop', 'subscribe', 'package', 'internet', 'kartuHalo', 'Telkomsel', 'solution', 'solution', ' Stop ',' Sentences', 'Stop', 'Subscribe', 'KartuHalo', 'Disappointed', '']</v>
      </c>
      <c r="D98" s="3">
        <v>1.0</v>
      </c>
    </row>
    <row r="99" ht="15.75" customHeight="1">
      <c r="A99" s="1">
        <v>97.0</v>
      </c>
      <c r="B99" s="3" t="s">
        <v>100</v>
      </c>
      <c r="C99" s="3" t="str">
        <f>IFERROR(__xludf.DUMMYFUNCTION("GOOGLETRANSLATE(B99,""id"",""en"")"),"['Advertising', 'Provider', 'Fastest', 'Network', 'Spacious',' Halah ',' Monk ',' Doang ',' Signal ',' Place ',' Bad ',' Complaint ',' Twitter ',' bln ',' responded ',' told ',' Wait ',' already ',' buy ',' package ',' quota ',' pulse ',' regular ',' chic"&amp;"k ',' told ' , 'checked', 'check', 'emang', 'that's',' provider ',' famous', 'Indonesia', 'service', 'bad', 'already', 'package', 'expensive', ' comparable ',' moved ',' Indosat ',' cheap ',' smooth ']")</f>
        <v>['Advertising', 'Provider', 'Fastest', 'Network', 'Spacious',' Halah ',' Monk ',' Doang ',' Signal ',' Place ',' Bad ',' Complaint ',' Twitter ',' bln ',' responded ',' told ',' Wait ',' already ',' buy ',' package ',' quota ',' pulse ',' regular ',' chick ',' told ' , 'checked', 'check', 'emang', 'that's',' provider ',' famous', 'Indonesia', 'service', 'bad', 'already', 'package', 'expensive', ' comparable ',' moved ',' Indosat ',' cheap ',' smooth ']</v>
      </c>
      <c r="D99" s="3">
        <v>1.0</v>
      </c>
    </row>
    <row r="100" ht="15.75" customHeight="1">
      <c r="A100" s="1">
        <v>98.0</v>
      </c>
      <c r="B100" s="3" t="s">
        <v>101</v>
      </c>
      <c r="C100" s="3" t="str">
        <f>IFERROR(__xludf.DUMMYFUNCTION("GOOGLETRANSLATE(B100,""id"",""en"")"),"['Sorry', 'quota', 'down', 'network', 'comfortable', 'pelangan', 'loyal', 'Telkomsel', 'cheap', 'buy', 'package', 'quality', ' Drop ',' Please ',' Increase ',' Quality ',' Network ',' Thank you ']")</f>
        <v>['Sorry', 'quota', 'down', 'network', 'comfortable', 'pelangan', 'loyal', 'Telkomsel', 'cheap', 'buy', 'package', 'quality', ' Drop ',' Please ',' Increase ',' Quality ',' Network ',' Thank you ']</v>
      </c>
      <c r="D100" s="3">
        <v>1.0</v>
      </c>
    </row>
    <row r="101" ht="15.75" customHeight="1">
      <c r="A101" s="1">
        <v>99.0</v>
      </c>
      <c r="B101" s="3" t="s">
        <v>102</v>
      </c>
      <c r="C101" s="3" t="str">
        <f>IFERROR(__xludf.DUMMYFUNCTION("GOOGLETRANSLATE(B101,""id"",""en"")"),"['Severe', 'signal', 'Telkomsel', 'times',' Drop ',' speed ',' weaker ',' stop ',' here ',' condition ',' service ',' Telkomsel ',' Bad ',' price ',' priced ',' compared to ',' provider ',' do ',' evaluation ',' improvement ',' as early as', 'passenger', "&amp;"'running', 'moved', 'ride' , 'Thanks']")</f>
        <v>['Severe', 'signal', 'Telkomsel', 'times',' Drop ',' speed ',' weaker ',' stop ',' here ',' condition ',' service ',' Telkomsel ',' Bad ',' price ',' priced ',' compared to ',' provider ',' do ',' evaluation ',' improvement ',' as early as', 'passenger', 'running', 'moved', 'ride' , 'Thanks']</v>
      </c>
      <c r="D101" s="3">
        <v>1.0</v>
      </c>
    </row>
    <row r="102" ht="15.75" customHeight="1">
      <c r="A102" s="1">
        <v>100.0</v>
      </c>
      <c r="B102" s="3" t="s">
        <v>103</v>
      </c>
      <c r="C102" s="3" t="str">
        <f>IFERROR(__xludf.DUMMYFUNCTION("GOOGLETRANSLATE(B102,""id"",""en"")"),"['Hay', 'Sis',' please ',' already ',' buy ',' pocer ',' Telkomsel ',' enter ',' code ',' pocer ',' yesterday ',' entered ',' Code ',' pocernya ',' please ',' help ',' solution ',' enter ',' code ',' pocernya ',' thank ',' love ']")</f>
        <v>['Hay', 'Sis',' please ',' already ',' buy ',' pocer ',' Telkomsel ',' enter ',' code ',' pocer ',' yesterday ',' entered ',' Code ',' pocernya ',' please ',' help ',' solution ',' enter ',' code ',' pocernya ',' thank ',' love ']</v>
      </c>
      <c r="D102" s="3">
        <v>5.0</v>
      </c>
    </row>
    <row r="103" ht="15.75" customHeight="1">
      <c r="A103" s="1">
        <v>101.0</v>
      </c>
      <c r="B103" s="3" t="s">
        <v>104</v>
      </c>
      <c r="C103" s="3" t="str">
        <f>IFERROR(__xludf.DUMMYFUNCTION("GOOGLETRANSLATE(B103,""id"",""en"")"),"['', 'Telkomsel', 'error', 'buy', 'package', 'last night', 'no', 'payment', 'process', 'mulu', 'person', 'college', "" ]")</f>
        <v>['', 'Telkomsel', 'error', 'buy', 'package', 'last night', 'no', 'payment', 'process', 'mulu', 'person', 'college', " ]</v>
      </c>
      <c r="D103" s="3">
        <v>1.0</v>
      </c>
    </row>
    <row r="104" ht="15.75" customHeight="1">
      <c r="A104" s="1">
        <v>102.0</v>
      </c>
      <c r="B104" s="3" t="s">
        <v>105</v>
      </c>
      <c r="C104" s="3" t="str">
        <f>IFERROR(__xludf.DUMMYFUNCTION("GOOGLETRANSLATE(B104,""id"",""en"")"),"['min', 'buy', 'quota', 'unlimited', 'Telkomsel', 'right', 'quota', 'main', 'run out', 'quota', 'unlimited', 'slow', ' Really ',' get ',' Mbps', 'Please', 'The network', 'Dragus', ""]")</f>
        <v>['min', 'buy', 'quota', 'unlimited', 'Telkomsel', 'right', 'quota', 'main', 'run out', 'quota', 'unlimited', 'slow', ' Really ',' get ',' Mbps', 'Please', 'The network', 'Dragus', "]</v>
      </c>
      <c r="D104" s="3">
        <v>1.0</v>
      </c>
    </row>
    <row r="105" ht="15.75" customHeight="1">
      <c r="A105" s="1">
        <v>103.0</v>
      </c>
      <c r="B105" s="3" t="s">
        <v>106</v>
      </c>
      <c r="C105" s="3" t="str">
        <f>IFERROR(__xludf.DUMMYFUNCTION("GOOGLETRANSLATE(B105,""id"",""en"")"),"['Come on', 'friend', 'friends',' download ',' application ',' Telkomsel ',' bid ',' quota ',' bid ',' bid ',' interesting ',' user ',' Telkomsel ',' Certain ',' ']")</f>
        <v>['Come on', 'friend', 'friends',' download ',' application ',' Telkomsel ',' bid ',' quota ',' bid ',' bid ',' interesting ',' user ',' Telkomsel ',' Certain ',' ']</v>
      </c>
      <c r="D105" s="3">
        <v>5.0</v>
      </c>
    </row>
    <row r="106" ht="15.75" customHeight="1">
      <c r="A106" s="1">
        <v>104.0</v>
      </c>
      <c r="B106" s="3" t="s">
        <v>107</v>
      </c>
      <c r="C106" s="3" t="str">
        <f>IFERROR(__xludf.DUMMYFUNCTION("GOOGLETRANSLATE(B106,""id"",""en"")"),"['Network', 'Telkomsel', 'Good', 'Application', 'Telkomsel', 'Choice', 'Package', 'Network', 'Jaya', 'Telkomsel', 'Mantap', 'Telkomsel', ' ']")</f>
        <v>['Network', 'Telkomsel', 'Good', 'Application', 'Telkomsel', 'Choice', 'Package', 'Network', 'Jaya', 'Telkomsel', 'Mantap', 'Telkomsel', ' ']</v>
      </c>
      <c r="D106" s="3">
        <v>5.0</v>
      </c>
    </row>
    <row r="107" ht="15.75" customHeight="1">
      <c r="A107" s="1">
        <v>105.0</v>
      </c>
      <c r="B107" s="3" t="s">
        <v>108</v>
      </c>
      <c r="C107" s="3" t="str">
        <f>IFERROR(__xludf.DUMMYFUNCTION("GOOGLETRANSLATE(B107,""id"",""en"")"),"['Telkomsel', 'signal', 'backward', 'slow', 'complain', 'via', 'application', 'Slalu', 'maintenance', 'backward', 'Sia', 'card', ' Hello ',' Pay ',' Network ',' Karuan ',' ']")</f>
        <v>['Telkomsel', 'signal', 'backward', 'slow', 'complain', 'via', 'application', 'Slalu', 'maintenance', 'backward', 'Sia', 'card', ' Hello ',' Pay ',' Network ',' Karuan ',' ']</v>
      </c>
      <c r="D107" s="3">
        <v>1.0</v>
      </c>
    </row>
    <row r="108" ht="15.75" customHeight="1">
      <c r="A108" s="1">
        <v>106.0</v>
      </c>
      <c r="B108" s="3" t="s">
        <v>109</v>
      </c>
      <c r="C108" s="3" t="str">
        <f>IFERROR(__xludf.DUMMYFUNCTION("GOOGLETRANSLATE(B108,""id"",""en"")"),"['Really', 'Sayahan', 'Area', 'Pekalongan', 'Sunday', 'Connection', 'Internet', 'Slow', 'Please', 'Fix', 'Customer', 'Move', ' Provider ',' Telkomsel ']")</f>
        <v>['Really', 'Sayahan', 'Area', 'Pekalongan', 'Sunday', 'Connection', 'Internet', 'Slow', 'Please', 'Fix', 'Customer', 'Move', ' Provider ',' Telkomsel ']</v>
      </c>
      <c r="D108" s="3">
        <v>1.0</v>
      </c>
    </row>
    <row r="109" ht="15.75" customHeight="1">
      <c r="A109" s="1">
        <v>107.0</v>
      </c>
      <c r="B109" s="3" t="s">
        <v>110</v>
      </c>
      <c r="C109" s="3" t="str">
        <f>IFERROR(__xludf.DUMMYFUNCTION("GOOGLETRANSLATE(B109,""id"",""en"")"),"['app', 'weve', 'history', 'income', 'expenditure', 'balance', 'pulse', 'balance', 'reduced', 'TNPA', 'transaction', 'balance', ' thank you', '']")</f>
        <v>['app', 'weve', 'history', 'income', 'expenditure', 'balance', 'pulse', 'balance', 'reduced', 'TNPA', 'transaction', 'balance', ' thank you', '']</v>
      </c>
      <c r="D109" s="3">
        <v>4.0</v>
      </c>
    </row>
    <row r="110" ht="15.75" customHeight="1">
      <c r="A110" s="1">
        <v>108.0</v>
      </c>
      <c r="B110" s="3" t="s">
        <v>111</v>
      </c>
      <c r="C110" s="3" t="str">
        <f>IFERROR(__xludf.DUMMYFUNCTION("GOOGLETRANSLATE(B110,""id"",""en"")"),"['quality', 'network', 'in the area', 'affordable', 'fast', 'stable', 'browser', 'comfortable', 'package', 'data', 'provides',' cheap ',' Affordable ',' community ',' class', '']")</f>
        <v>['quality', 'network', 'in the area', 'affordable', 'fast', 'stable', 'browser', 'comfortable', 'package', 'data', 'provides',' cheap ',' Affordable ',' community ',' class', '']</v>
      </c>
      <c r="D110" s="3">
        <v>5.0</v>
      </c>
    </row>
    <row r="111" ht="15.75" customHeight="1">
      <c r="A111" s="1">
        <v>109.0</v>
      </c>
      <c r="B111" s="3" t="s">
        <v>112</v>
      </c>
      <c r="C111" s="3" t="str">
        <f>IFERROR(__xludf.DUMMYFUNCTION("GOOGLETRANSLATE(B111,""id"",""en"")"),"['network', 'service', 'Blockir', 'notification', 'here', 'ugly', 'Telkomsel', 'card', 'already', 'really', 'gapernah', 'threat', ' Males', 'Telkomsel', '']")</f>
        <v>['network', 'service', 'Blockir', 'notification', 'here', 'ugly', 'Telkomsel', 'card', 'already', 'really', 'gapernah', 'threat', ' Males', 'Telkomsel', '']</v>
      </c>
      <c r="D111" s="3">
        <v>1.0</v>
      </c>
    </row>
    <row r="112" ht="15.75" customHeight="1">
      <c r="A112" s="1">
        <v>110.0</v>
      </c>
      <c r="B112" s="3" t="s">
        <v>113</v>
      </c>
      <c r="C112" s="3" t="str">
        <f>IFERROR(__xludf.DUMMYFUNCTION("GOOGLETRANSLATE(B112,""id"",""en"")"),"['price', 'expensive', 'boss',' quality ',' kek ',' garbage ',' professional ',' already ',' expensive ',' provider ',' kek ',' pig ',' network ',' rating ',' Nipu ',' application ',' good ',' moved ',' provider ',' ']")</f>
        <v>['price', 'expensive', 'boss',' quality ',' kek ',' garbage ',' professional ',' already ',' expensive ',' provider ',' kek ',' pig ',' network ',' rating ',' Nipu ',' application ',' good ',' moved ',' provider ',' ']</v>
      </c>
      <c r="D112" s="3">
        <v>1.0</v>
      </c>
    </row>
    <row r="113" ht="15.75" customHeight="1">
      <c r="A113" s="1">
        <v>111.0</v>
      </c>
      <c r="B113" s="3" t="s">
        <v>114</v>
      </c>
      <c r="C113" s="3" t="str">
        <f>IFERROR(__xludf.DUMMYFUNCTION("GOOGLETRANSLATE(B113,""id"",""en"")"),"['hope', 'useful', 'application', 'hope', 'best', 'makes it easier', 'buy', 'kouta', 'hopefully', 'incoming', 'anything', ' MyTelkomsel ',' your service ',' satisfying ',' Mksih ',' ']")</f>
        <v>['hope', 'useful', 'application', 'hope', 'best', 'makes it easier', 'buy', 'kouta', 'hopefully', 'incoming', 'anything', ' MyTelkomsel ',' your service ',' satisfying ',' Mksih ',' ']</v>
      </c>
      <c r="D113" s="3">
        <v>5.0</v>
      </c>
    </row>
    <row r="114" ht="15.75" customHeight="1">
      <c r="A114" s="1">
        <v>112.0</v>
      </c>
      <c r="B114" s="3" t="s">
        <v>115</v>
      </c>
      <c r="C114" s="3" t="str">
        <f>IFERROR(__xludf.DUMMYFUNCTION("GOOGLETRANSLATE(B114,""id"",""en"")"),"['Please', 'KNP', 'Network', 'problematic', 'buy', 'quota', 'UDH', 'expensive', 'TPI', 'according to', 'smooth', 'network', ' Please, 'repaired', 'as soon as possible', 'disappointed']")</f>
        <v>['Please', 'KNP', 'Network', 'problematic', 'buy', 'quota', 'UDH', 'expensive', 'TPI', 'according to', 'smooth', 'network', ' Please, 'repaired', 'as soon as possible', 'disappointed']</v>
      </c>
      <c r="D114" s="3">
        <v>1.0</v>
      </c>
    </row>
    <row r="115" ht="15.75" customHeight="1">
      <c r="A115" s="1">
        <v>113.0</v>
      </c>
      <c r="B115" s="3" t="s">
        <v>116</v>
      </c>
      <c r="C115" s="3" t="str">
        <f>IFERROR(__xludf.DUMMYFUNCTION("GOOGLETRANSLATE(B115,""id"",""en"")"),"['Charging', 'Voucher', 'Credit', 'Disruption', 'Sorry', 'System', 'Busy', 'Please', 'Try', 'Menu', 'Transfer', 'Credit', ' under']")</f>
        <v>['Charging', 'Voucher', 'Credit', 'Disruption', 'Sorry', 'System', 'Busy', 'Please', 'Try', 'Menu', 'Transfer', 'Credit', ' under']</v>
      </c>
      <c r="D115" s="3">
        <v>1.0</v>
      </c>
    </row>
    <row r="116" ht="15.75" customHeight="1">
      <c r="A116" s="1">
        <v>114.0</v>
      </c>
      <c r="B116" s="3" t="s">
        <v>117</v>
      </c>
      <c r="C116" s="3" t="str">
        <f>IFERROR(__xludf.DUMMYFUNCTION("GOOGLETRANSLATE(B116,""id"",""en"")"),"['Dear', 'Telkomsel', 'Kiduhhh', 'with you', 'BBRPA', 'BGNI', 'KNPA', 'now', 'JDI', 'LEG', 'UDH', 'Package', ' quota ',' 'main', 'main', 'ttp', 'slow', 'with you', 'Telkomselku', 'Countered', ""]")</f>
        <v>['Dear', 'Telkomsel', 'Kiduhhh', 'with you', 'BBRPA', 'BGNI', 'KNPA', 'now', 'JDI', 'LEG', 'UDH', 'Package', ' quota ',' 'main', 'main', 'ttp', 'slow', 'with you', 'Telkomselku', 'Countered', "]</v>
      </c>
      <c r="D116" s="3">
        <v>3.0</v>
      </c>
    </row>
    <row r="117" ht="15.75" customHeight="1">
      <c r="A117" s="1">
        <v>115.0</v>
      </c>
      <c r="B117" s="3" t="s">
        <v>118</v>
      </c>
      <c r="C117" s="3" t="str">
        <f>IFERROR(__xludf.DUMMYFUNCTION("GOOGLETRANSLATE(B117,""id"",""en"")"),"['network', 'range', 'the widest', 'electricity', 'go out', 'network', 'go out', 'already', 'kek', 'provider', 'mending', 'cheap', ' already ',' weakness', 'already', 'buy', 'SIM', 'card', 'expensive', 'kek', 'mesk', 'provider', 'cheap', 'good', 'crew' , "&amp;"'Cheap', 'AIGA', 'SORRY', 'BOS', 'KEK', 'GINI', 'Network', 'here', 'Ambar', '']")</f>
        <v>['network', 'range', 'the widest', 'electricity', 'go out', 'network', 'go out', 'already', 'kek', 'provider', 'mending', 'cheap', ' already ',' weakness', 'already', 'buy', 'SIM', 'card', 'expensive', 'kek', 'mesk', 'provider', 'cheap', 'good', 'crew' , 'Cheap', 'AIGA', 'SORRY', 'BOS', 'KEK', 'GINI', 'Network', 'here', 'Ambar', '']</v>
      </c>
      <c r="D117" s="3">
        <v>1.0</v>
      </c>
    </row>
    <row r="118" ht="15.75" customHeight="1">
      <c r="A118" s="1">
        <v>116.0</v>
      </c>
      <c r="B118" s="3" t="s">
        <v>119</v>
      </c>
      <c r="C118" s="3" t="str">
        <f>IFERROR(__xludf.DUMMYFUNCTION("GOOGLETRANSLATE(B118,""id"",""en"")"),"['Please', 'complain', 'responded', 'serious',' many ',' complain ',' Tel ',' Talk ',' wide ',' confirm ',' data ',' tip ',' Zonk ',' ']")</f>
        <v>['Please', 'complain', 'responded', 'serious',' many ',' complain ',' Tel ',' Talk ',' wide ',' confirm ',' data ',' tip ',' Zonk ',' ']</v>
      </c>
      <c r="D118" s="3">
        <v>1.0</v>
      </c>
    </row>
    <row r="119" ht="15.75" customHeight="1">
      <c r="A119" s="1">
        <v>117.0</v>
      </c>
      <c r="B119" s="3" t="s">
        <v>120</v>
      </c>
      <c r="C119" s="3" t="str">
        <f>IFERROR(__xludf.DUMMYFUNCTION("GOOGLETRANSLATE(B119,""id"",""en"")"),"['', 'complement', 'already', 'Cape', 'TLP', 'waste', 'waste', 'pulse', 'Taon', 'sympathy', 'buy', 'package', 'expensive ',' expensive ',' results', 'feel', 'convenience', 'Mbps',' Bhulshitttt ',' fix ',' stop ',' subscribe ',' sympathy ',' thanks', 'symp"&amp;"athy', 'price', 'expensive', 'quality', 'low', 'you', 'laen', 'suggestion', 'thought', 'mending', 'quota', 'cheap', 'quality', 'expensive ',' Quality ',' Greetings', 'Customer', '']")</f>
        <v>['', 'complement', 'already', 'Cape', 'TLP', 'waste', 'waste', 'pulse', 'Taon', 'sympathy', 'buy', 'package', 'expensive ',' expensive ',' results', 'feel', 'convenience', 'Mbps',' Bhulshitttt ',' fix ',' stop ',' subscribe ',' sympathy ',' thanks', 'sympathy', 'price', 'expensive', 'quality', 'low', 'you', 'laen', 'suggestion', 'thought', 'mending', 'quota', 'cheap', 'quality', 'expensive ',' Quality ',' Greetings', 'Customer', '']</v>
      </c>
      <c r="D119" s="3">
        <v>1.0</v>
      </c>
    </row>
    <row r="120" ht="15.75" customHeight="1">
      <c r="A120" s="1">
        <v>118.0</v>
      </c>
      <c r="B120" s="3" t="s">
        <v>121</v>
      </c>
      <c r="C120" s="3" t="str">
        <f>IFERROR(__xludf.DUMMYFUNCTION("GOOGLETRANSLATE(B120,""id"",""en"")"),"['Star', 'love', 'star', 'min', 'ugly', 'network', 'Telkomsel', 'quality', 'network', 'person', 'interested', 'use', ' Telkomsel ']")</f>
        <v>['Star', 'love', 'star', 'min', 'ugly', 'network', 'Telkomsel', 'quality', 'network', 'person', 'interested', 'use', ' Telkomsel ']</v>
      </c>
      <c r="D120" s="3">
        <v>1.0</v>
      </c>
    </row>
    <row r="121" ht="15.75" customHeight="1">
      <c r="A121" s="1">
        <v>119.0</v>
      </c>
      <c r="B121" s="3" t="s">
        <v>122</v>
      </c>
      <c r="C121" s="3" t="str">
        <f>IFERROR(__xludf.DUMMYFUNCTION("GOOGLETRANSLATE(B121,""id"",""en"")"),"['network', 'Telkomsel', 'ugly', 'really', 'forgiveness',' malem ',' disappointed ',' subscribe ',' use ',' Telkomsel ',' network ',' ugly ',' Video ',' Call ',' Region ',' Cirebon ',' City ',' Signal ',' Difficult ',' Please ',' Expert ',' Thanks']")</f>
        <v>['network', 'Telkomsel', 'ugly', 'really', 'forgiveness',' malem ',' disappointed ',' subscribe ',' use ',' Telkomsel ',' network ',' ugly ',' Video ',' Call ',' Region ',' Cirebon ',' City ',' Signal ',' Difficult ',' Please ',' Expert ',' Thanks']</v>
      </c>
      <c r="D121" s="3">
        <v>1.0</v>
      </c>
    </row>
    <row r="122" ht="15.75" customHeight="1">
      <c r="A122" s="1">
        <v>120.0</v>
      </c>
      <c r="B122" s="3" t="s">
        <v>123</v>
      </c>
      <c r="C122" s="3" t="str">
        <f>IFERROR(__xludf.DUMMYFUNCTION("GOOGLETRANSLATE(B122,""id"",""en"")"),"['', 'Thank you', 'signal', 'improved', 'Please', 'noticed', 'signal', 'subscription', 'card', 'hope', 'success']")</f>
        <v>['', 'Thank you', 'signal', 'improved', 'Please', 'noticed', 'signal', 'subscription', 'card', 'hope', 'success']</v>
      </c>
      <c r="D122" s="3">
        <v>4.0</v>
      </c>
    </row>
    <row r="123" ht="15.75" customHeight="1">
      <c r="A123" s="1">
        <v>121.0</v>
      </c>
      <c r="B123" s="3" t="s">
        <v>124</v>
      </c>
      <c r="C123" s="3" t="str">
        <f>IFERROR(__xludf.DUMMYFUNCTION("GOOGLETRANSLATE(B123,""id"",""en"")"),"['already', 'expensive', 'tetep', 'network', 'game', 'match', 'try', 'fix', 'gini', 'lazy', 'Telkomsel', ""]")</f>
        <v>['already', 'expensive', 'tetep', 'network', 'game', 'match', 'try', 'fix', 'gini', 'lazy', 'Telkomsel', "]</v>
      </c>
      <c r="D123" s="3">
        <v>2.0</v>
      </c>
    </row>
    <row r="124" ht="15.75" customHeight="1">
      <c r="A124" s="1">
        <v>122.0</v>
      </c>
      <c r="B124" s="3" t="s">
        <v>125</v>
      </c>
      <c r="C124" s="3" t="str">
        <f>IFERROR(__xludf.DUMMYFUNCTION("GOOGLETRANSLATE(B124,""id"",""en"")"),"['Help', 'charging', 'pulse', 'NGK', 'bother', 'bother', 'search', 'cellphone', 'merchan', 'other', 'terimksih', 'telkom', ' level ',' features', 'NGK', 'miss',' neighbor ',' next door ']")</f>
        <v>['Help', 'charging', 'pulse', 'NGK', 'bother', 'bother', 'search', 'cellphone', 'merchan', 'other', 'terimksih', 'telkom', ' level ',' features', 'NGK', 'miss',' neighbor ',' next door ']</v>
      </c>
      <c r="D124" s="3">
        <v>5.0</v>
      </c>
    </row>
    <row r="125" ht="15.75" customHeight="1">
      <c r="A125" s="1">
        <v>123.0</v>
      </c>
      <c r="B125" s="3" t="s">
        <v>126</v>
      </c>
      <c r="C125" s="3" t="str">
        <f>IFERROR(__xludf.DUMMYFUNCTION("GOOGLETRANSLATE(B125,""id"",""en"")"),"['open', 'application', 'see', 'pulse', 'package', 'data', 'appears',' really ',' direct ',' open ',' please ',' repair ',' Looks', 'Direct']")</f>
        <v>['open', 'application', 'see', 'pulse', 'package', 'data', 'appears',' really ',' direct ',' open ',' please ',' repair ',' Looks', 'Direct']</v>
      </c>
      <c r="D125" s="3">
        <v>3.0</v>
      </c>
    </row>
    <row r="126" ht="15.75" customHeight="1">
      <c r="A126" s="1">
        <v>124.0</v>
      </c>
      <c r="B126" s="3" t="s">
        <v>127</v>
      </c>
      <c r="C126" s="3" t="str">
        <f>IFERROR(__xludf.DUMMYFUNCTION("GOOGLETRANSLATE(B126,""id"",""en"")"),"['Tens',' Customer ',' Telkomsel ',' Disappointed ',' Performance ',' Application ',' Telkomsel ',' Network ',' Lestgreen ',' Customer ',' Indonesia ',' Darling ',' The application ',' poor ',' ']")</f>
        <v>['Tens',' Customer ',' Telkomsel ',' Disappointed ',' Performance ',' Application ',' Telkomsel ',' Network ',' Lestgreen ',' Customer ',' Indonesia ',' Darling ',' The application ',' poor ',' ']</v>
      </c>
      <c r="D126" s="3">
        <v>2.0</v>
      </c>
    </row>
    <row r="127" ht="15.75" customHeight="1">
      <c r="A127" s="1">
        <v>125.0</v>
      </c>
      <c r="B127" s="3" t="s">
        <v>128</v>
      </c>
      <c r="C127" s="3" t="str">
        <f>IFERROR(__xludf.DUMMYFUNCTION("GOOGLETRANSLATE(B127,""id"",""en"")"),"['', 'slow', 'customers',' loyal ',' Telkom ',' Pay ',' expensive ',' quality ',' good ',' know ',' expensive ',' plus', 'the network ',' no ',' really ',' slow ',' must ',' college ',' online ']")</f>
        <v>['', 'slow', 'customers',' loyal ',' Telkom ',' Pay ',' expensive ',' quality ',' good ',' know ',' expensive ',' plus', 'the network ',' no ',' really ',' slow ',' must ',' college ',' online ']</v>
      </c>
      <c r="D127" s="3">
        <v>1.0</v>
      </c>
    </row>
    <row r="128" ht="15.75" customHeight="1">
      <c r="A128" s="1">
        <v>126.0</v>
      </c>
      <c r="B128" s="3" t="s">
        <v>129</v>
      </c>
      <c r="C128" s="3" t="str">
        <f>IFERROR(__xludf.DUMMYFUNCTION("GOOGLETRANSLATE(B128,""id"",""en"")"),"['signal', 'Telkomsel', 'UDH', 'ugly', 'feels',' play ',' game ',' signal ',' stable ',' regret ',' cave ',' buy ',' Telkomsel ',' Kirain ',' Network ',' Good ',' UDH ',' Kapok ',' Telkomsel ',' Card ',' That's', 'Stable', 'Sinyal', 'Main', 'Game' ]")</f>
        <v>['signal', 'Telkomsel', 'UDH', 'ugly', 'feels',' play ',' game ',' signal ',' stable ',' regret ',' cave ',' buy ',' Telkomsel ',' Kirain ',' Network ',' Good ',' UDH ',' Kapok ',' Telkomsel ',' Card ',' That's', 'Stable', 'Sinyal', 'Main', 'Game' ]</v>
      </c>
      <c r="D128" s="3">
        <v>1.0</v>
      </c>
    </row>
    <row r="129" ht="15.75" customHeight="1">
      <c r="A129" s="1">
        <v>127.0</v>
      </c>
      <c r="B129" s="3" t="s">
        <v>130</v>
      </c>
      <c r="C129" s="3" t="str">
        <f>IFERROR(__xludf.DUMMYFUNCTION("GOOGLETRANSLATE(B129,""id"",""en"")"),"['Thank you', 'Telkomsel', 'signal', 'My place', 'Good', 'Please', 'provided', 'quota', 'cheap', 'Most', 'Student', 'Provider', ' Telkomsel ',' suggestion ',' thank you ', ""]")</f>
        <v>['Thank you', 'Telkomsel', 'signal', 'My place', 'Good', 'Please', 'provided', 'quota', 'cheap', 'Most', 'Student', 'Provider', ' Telkomsel ',' suggestion ',' thank you ', "]</v>
      </c>
      <c r="D129" s="3">
        <v>5.0</v>
      </c>
    </row>
    <row r="130" ht="15.75" customHeight="1">
      <c r="A130" s="1">
        <v>128.0</v>
      </c>
      <c r="B130" s="3" t="s">
        <v>131</v>
      </c>
      <c r="C130" s="3" t="str">
        <f>IFERROR(__xludf.DUMMYFUNCTION("GOOGLETRANSLATE(B130,""id"",""en"")"),"['bad', 'signal', 'user', 'active', 'telkom', 'tissue', 'top', 'markotop', 'bad', 'as bad', 'bad', 'network', ' network ',' provider ',' next door ',' zoom ',' college ',' broke ',' rain ',' ilang ',' electricity ',' dead ',' service ',' come on ',' fix '"&amp;" , 'Customers',' disappointed ',' heavy ',' service ',' Telkomsel ',' price ',' quota ',' expensive ',' quality ',' gini ',' otw ',' replace ',' Providers', 'Disappointed', '']")</f>
        <v>['bad', 'signal', 'user', 'active', 'telkom', 'tissue', 'top', 'markotop', 'bad', 'as bad', 'bad', 'network', ' network ',' provider ',' next door ',' zoom ',' college ',' broke ',' rain ',' ilang ',' electricity ',' dead ',' service ',' come on ',' fix ' , 'Customers',' disappointed ',' heavy ',' service ',' Telkomsel ',' price ',' quota ',' expensive ',' quality ',' gini ',' otw ',' replace ',' Providers', 'Disappointed', '']</v>
      </c>
      <c r="D130" s="3">
        <v>1.0</v>
      </c>
    </row>
    <row r="131" ht="15.75" customHeight="1">
      <c r="A131" s="1">
        <v>129.0</v>
      </c>
      <c r="B131" s="3" t="s">
        <v>132</v>
      </c>
      <c r="C131" s="3" t="str">
        <f>IFERROR(__xludf.DUMMYFUNCTION("GOOGLETRANSLATE(B131,""id"",""en"")"),"['obstacle', 'signal', 'card', 'signal', 'full', 'internet', 'fast', 'card', 'signal', 'full', 'internet', 'slow', ' Okay ',' price ',' expensive ',' then ',' package ',' unlimited ',' special ',' card ',' unlimited ',' buy ',' Telkomsel ',' right ',' buy"&amp;" ' , 'Ribet', 'buy', 'via', 'telephone', 'thank you']")</f>
        <v>['obstacle', 'signal', 'card', 'signal', 'full', 'internet', 'fast', 'card', 'signal', 'full', 'internet', 'slow', ' Okay ',' price ',' expensive ',' then ',' package ',' unlimited ',' special ',' card ',' unlimited ',' buy ',' Telkomsel ',' right ',' buy ' , 'Ribet', 'buy', 'via', 'telephone', 'thank you']</v>
      </c>
      <c r="D131" s="3">
        <v>5.0</v>
      </c>
    </row>
    <row r="132" ht="15.75" customHeight="1">
      <c r="A132" s="1">
        <v>130.0</v>
      </c>
      <c r="B132" s="3" t="s">
        <v>133</v>
      </c>
      <c r="C132" s="3" t="str">
        <f>IFERROR(__xludf.DUMMYFUNCTION("GOOGLETRANSLATE(B132,""id"",""en"")"),"['', 'area', 'exact', 'Binong', 'Permai', 'Block', 'Signal', 'Like', 'Edge', 'Honest', 'Disappointing', 'users',' Telkomsel ',' please ',' review ',' fix ',' quality ',' signal ']")</f>
        <v>['', 'area', 'exact', 'Binong', 'Permai', 'Block', 'Signal', 'Like', 'Edge', 'Honest', 'Disappointing', 'users',' Telkomsel ',' please ',' review ',' fix ',' quality ',' signal ']</v>
      </c>
      <c r="D132" s="3">
        <v>1.0</v>
      </c>
    </row>
    <row r="133" ht="15.75" customHeight="1">
      <c r="A133" s="1">
        <v>131.0</v>
      </c>
      <c r="B133" s="3" t="s">
        <v>134</v>
      </c>
      <c r="C133" s="3" t="str">
        <f>IFERROR(__xludf.DUMMYFUNCTION("GOOGLETRANSLATE(B133,""id"",""en"")"),"['love', 'help', 'please', 'biki', 'network', 'Telkomsel', 'point', 'please', 'prize', 'please', 'won', 'number', ' Lottery ',' Thank you ',' Forward ',' Success', 'Teri', 'Love', ""]")</f>
        <v>['love', 'help', 'please', 'biki', 'network', 'Telkomsel', 'point', 'please', 'prize', 'please', 'won', 'number', ' Lottery ',' Thank you ',' Forward ',' Success', 'Teri', 'Love', "]</v>
      </c>
      <c r="D133" s="3">
        <v>4.0</v>
      </c>
    </row>
    <row r="134" ht="15.75" customHeight="1">
      <c r="A134" s="1">
        <v>132.0</v>
      </c>
      <c r="B134" s="3" t="s">
        <v>135</v>
      </c>
      <c r="C134" s="3" t="str">
        <f>IFERROR(__xludf.DUMMYFUNCTION("GOOGLETRANSLATE(B134,""id"",""en"")"),"['Love', 'Different', 'Different', 'Package', 'Internet', 'friend', 'cheap', 'expensive', 'fair', 'donk', 'pay', 'money']")</f>
        <v>['Love', 'Different', 'Different', 'Package', 'Internet', 'friend', 'cheap', 'expensive', 'fair', 'donk', 'pay', 'money']</v>
      </c>
      <c r="D134" s="3">
        <v>3.0</v>
      </c>
    </row>
    <row r="135" ht="15.75" customHeight="1">
      <c r="A135" s="1">
        <v>133.0</v>
      </c>
      <c r="B135" s="3" t="s">
        <v>136</v>
      </c>
      <c r="C135" s="3" t="str">
        <f>IFERROR(__xludf.DUMMYFUNCTION("GOOGLETRANSLATE(B135,""id"",""en"")"),"['network', 'Telkomsel', 'stable', 'Please', 'Provider', 'fix', 'network', 'friend', 'friend', 'experience', 'disorder', 'good', ' Ride in ',' Star ']")</f>
        <v>['network', 'Telkomsel', 'stable', 'Please', 'Provider', 'fix', 'network', 'friend', 'friend', 'experience', 'disorder', 'good', ' Ride in ',' Star ']</v>
      </c>
      <c r="D135" s="3">
        <v>1.0</v>
      </c>
    </row>
    <row r="136" ht="15.75" customHeight="1">
      <c r="A136" s="1">
        <v>134.0</v>
      </c>
      <c r="B136" s="3" t="s">
        <v>137</v>
      </c>
      <c r="C136" s="3" t="str">
        <f>IFERROR(__xludf.DUMMYFUNCTION("GOOGLETRANSLATE(B136,""id"",""en"")"),"['I', 'fill', 'pulse', 'buy', 'coin', 'webtoon', 'right', 'buy', 'coin', 'minute', 'pulse', 'stay', ' Buy ',' Coin ',' Telkomsel ',' Sampe ',' Until ',' Credit ',' Sumpot ',' Come on ',' Telkomsel ', ""]")</f>
        <v>['I', 'fill', 'pulse', 'buy', 'coin', 'webtoon', 'right', 'buy', 'coin', 'minute', 'pulse', 'stay', ' Buy ',' Coin ',' Telkomsel ',' Sampe ',' Until ',' Credit ',' Sumpot ',' Come on ',' Telkomsel ', "]</v>
      </c>
      <c r="D136" s="3">
        <v>1.0</v>
      </c>
    </row>
    <row r="137" ht="15.75" customHeight="1">
      <c r="A137" s="1">
        <v>135.0</v>
      </c>
      <c r="B137" s="3" t="s">
        <v>138</v>
      </c>
      <c r="C137" s="3" t="str">
        <f>IFERROR(__xludf.DUMMYFUNCTION("GOOGLETRANSLATE(B137,""id"",""en"")"),"['min', 'pulse', 'leftover', 'buy', 'package', 'data', 'rb', 'pulse', 'restart', 'refresh', 'tetep', 'gabisa', ' Min ',' Posts', 'Credit', 'Purchase', 'Package', 'Data', 'Pulse', 'Masi', 'Please', 'Min']")</f>
        <v>['min', 'pulse', 'leftover', 'buy', 'package', 'data', 'rb', 'pulse', 'restart', 'refresh', 'tetep', 'gabisa', ' Min ',' Posts', 'Credit', 'Purchase', 'Package', 'Data', 'Pulse', 'Masi', 'Please', 'Min']</v>
      </c>
      <c r="D137" s="3">
        <v>3.0</v>
      </c>
    </row>
    <row r="138" ht="15.75" customHeight="1">
      <c r="A138" s="1">
        <v>136.0</v>
      </c>
      <c r="B138" s="3" t="s">
        <v>139</v>
      </c>
      <c r="C138" s="3" t="str">
        <f>IFERROR(__xludf.DUMMYFUNCTION("GOOGLETRANSLATE(B138,""id"",""en"")"),"['good', 'right', 'open', 'application', 'stuck', 'logo', 'telkomsel', 'cool', 'already', 'update', 'newest', 'playstore', ' Cool ',' Anyway ']")</f>
        <v>['good', 'right', 'open', 'application', 'stuck', 'logo', 'telkomsel', 'cool', 'already', 'update', 'newest', 'playstore', ' Cool ',' Anyway ']</v>
      </c>
      <c r="D138" s="3">
        <v>1.0</v>
      </c>
    </row>
    <row r="139" ht="15.75" customHeight="1">
      <c r="A139" s="1">
        <v>137.0</v>
      </c>
      <c r="B139" s="3" t="s">
        <v>140</v>
      </c>
      <c r="C139" s="3" t="str">
        <f>IFERROR(__xludf.DUMMYFUNCTION("GOOGLETRANSLATE(B139,""id"",""en"")"),"['mobile', 'card', 'replace', 'number', 'practical', 'choose', 'subscription', 'package', 'data', ""]")</f>
        <v>['mobile', 'card', 'replace', 'number', 'practical', 'choose', 'subscription', 'package', 'data', "]</v>
      </c>
      <c r="D139" s="3">
        <v>5.0</v>
      </c>
    </row>
    <row r="140" ht="15.75" customHeight="1">
      <c r="A140" s="1">
        <v>138.0</v>
      </c>
      <c r="B140" s="3" t="s">
        <v>141</v>
      </c>
      <c r="C140" s="3" t="str">
        <f>IFERROR(__xludf.DUMMYFUNCTION("GOOGLETRANSLATE(B140,""id"",""en"")"),"['pulses',' missing ',' pulse ',' thousand ',' buy ',' vocer ',' game ',' price ',' thousand ',' pulses', 'stay', 'thousand', ' Thousands', 'Where', 'Take', 'Telkomsel', 'Kah', 'Take', 'Think', 'Brain', 'Price', 'Credit', 'Expensive', 'Money', 'right' , '"&amp;"Passan', 'hehh', 'Telkom', 'That's', 'please', 'repair', 'Not bad', 'pulses', 'already', ""]")</f>
        <v>['pulses',' missing ',' pulse ',' thousand ',' buy ',' vocer ',' game ',' price ',' thousand ',' pulses', 'stay', 'thousand', ' Thousands', 'Where', 'Take', 'Telkomsel', 'Kah', 'Take', 'Think', 'Brain', 'Price', 'Credit', 'Expensive', 'Money', 'right' , 'Passan', 'hehh', 'Telkom', 'That's', 'please', 'repair', 'Not bad', 'pulses', 'already', "]</v>
      </c>
      <c r="D140" s="3">
        <v>1.0</v>
      </c>
    </row>
    <row r="141" ht="15.75" customHeight="1">
      <c r="A141" s="1">
        <v>139.0</v>
      </c>
      <c r="B141" s="3" t="s">
        <v>142</v>
      </c>
      <c r="C141" s="3" t="str">
        <f>IFERROR(__xludf.DUMMYFUNCTION("GOOGLETRANSLATE(B141,""id"",""en"")"),"['Disappointed', 'Network', 'Bad', 'Chat', 'Veronika', 'Response', 'Please', 'Fix', 'City', 'Mountains', ""]")</f>
        <v>['Disappointed', 'Network', 'Bad', 'Chat', 'Veronika', 'Response', 'Please', 'Fix', 'City', 'Mountains', "]</v>
      </c>
      <c r="D141" s="3">
        <v>3.0</v>
      </c>
    </row>
    <row r="142" ht="15.75" customHeight="1">
      <c r="A142" s="1">
        <v>140.0</v>
      </c>
      <c r="B142" s="3" t="s">
        <v>143</v>
      </c>
      <c r="C142" s="3" t="str">
        <f>IFERROR(__xludf.DUMMYFUNCTION("GOOGLETRANSLATE(B142,""id"",""en"")"),"['buy', 'package', 'promo', 'GB', 'Sumpot', 'obstacles', 'access', 'MyTelkomsel', 'really', ""]")</f>
        <v>['buy', 'package', 'promo', 'GB', 'Sumpot', 'obstacles', 'access', 'MyTelkomsel', 'really', "]</v>
      </c>
      <c r="D142" s="3">
        <v>1.0</v>
      </c>
    </row>
    <row r="143" ht="15.75" customHeight="1">
      <c r="A143" s="1">
        <v>141.0</v>
      </c>
      <c r="B143" s="3" t="s">
        <v>144</v>
      </c>
      <c r="C143" s="3" t="str">
        <f>IFERROR(__xludf.DUMMYFUNCTION("GOOGLETRANSLATE(B143,""id"",""en"")"),"['Network', 'overnight', 'play', 'online', 'Lost', 'conection', 'provider', 'yesterday', 'network', 'kayak', 'conch', 'unlimite', ' YouTube ',' Buffer ',' USA ',' Bonus', 'Network', 'Internet', 'Telkomsel', 'Masi', 'Kayak', 'Keong', 'Fix', 'Quality', 'Net"&amp;"work' , 'Kasi', 'offer', '']")</f>
        <v>['Network', 'overnight', 'play', 'online', 'Lost', 'conection', 'provider', 'yesterday', 'network', 'kayak', 'conch', 'unlimite', ' YouTube ',' Buffer ',' USA ',' Bonus', 'Network', 'Internet', 'Telkomsel', 'Masi', 'Kayak', 'Keong', 'Fix', 'Quality', 'Network' , 'Kasi', 'offer', '']</v>
      </c>
      <c r="D143" s="3">
        <v>1.0</v>
      </c>
    </row>
    <row r="144" ht="15.75" customHeight="1">
      <c r="A144" s="1">
        <v>142.0</v>
      </c>
      <c r="B144" s="3" t="s">
        <v>145</v>
      </c>
      <c r="C144" s="3" t="str">
        <f>IFERROR(__xludf.DUMMYFUNCTION("GOOGLETRANSLATE(B144,""id"",""en"")"),"['Telkomsel', 'sympathy', 'slow', 'slow', 'many years',' use ',' sympathy ',' years', 'network', 'problematic', 'quality', 'download', ' translucent ',' Mbps', 'Mbps',' amidst ',' night ',' imagine ',' noon ',' sometimes', 'signal', 'Gaswat', 'Telkomsel',"&amp;" 'Nagreg', 'kab' , 'Bandung', 'Jabar', 'Indonesia', ""]")</f>
        <v>['Telkomsel', 'sympathy', 'slow', 'slow', 'many years',' use ',' sympathy ',' years', 'network', 'problematic', 'quality', 'download', ' translucent ',' Mbps', 'Mbps',' amidst ',' night ',' imagine ',' noon ',' sometimes', 'signal', 'Gaswat', 'Telkomsel', 'Nagreg', 'kab' , 'Bandung', 'Jabar', 'Indonesia', "]</v>
      </c>
      <c r="D144" s="3">
        <v>1.0</v>
      </c>
    </row>
    <row r="145" ht="15.75" customHeight="1">
      <c r="A145" s="1">
        <v>143.0</v>
      </c>
      <c r="B145" s="3" t="s">
        <v>146</v>
      </c>
      <c r="C145" s="3" t="str">
        <f>IFERROR(__xludf.DUMMYFUNCTION("GOOGLETRANSLATE(B145,""id"",""en"")"),"['', 'Recommended', 'Maen', 'Game', 'Main', 'Kota', 'Lag', 'Village', 'Tsel', 'Skrg', 'Recommended', 'Game', 'sosmed ',' Leg ',' Please ',' Sorry ',' subscribe ',' Provider ',' next door ',' Jos', 'Game', 'appreciate', 'customer', 'error', 'signal', 'righ"&amp;"t', 'play', 'game', 'Nge', 'Jump', 'GTU', 'Crazy', 'hope', 'developing', 'Telkomsel', 'Customer', 'Change', 'Provider ',' Kiss', 'Anjingggg', 'Game', 'Gada', 'Medicine', 'ugly', 'Swear', 'Bankrupt', 'Provider']")</f>
        <v>['', 'Recommended', 'Maen', 'Game', 'Main', 'Kota', 'Lag', 'Village', 'Tsel', 'Skrg', 'Recommended', 'Game', 'sosmed ',' Leg ',' Please ',' Sorry ',' subscribe ',' Provider ',' next door ',' Jos', 'Game', 'appreciate', 'customer', 'error', 'signal', 'right', 'play', 'game', 'Nge', 'Jump', 'GTU', 'Crazy', 'hope', 'developing', 'Telkomsel', 'Customer', 'Change', 'Provider ',' Kiss', 'Anjingggg', 'Game', 'Gada', 'Medicine', 'ugly', 'Swear', 'Bankrupt', 'Provider']</v>
      </c>
      <c r="D145" s="3">
        <v>1.0</v>
      </c>
    </row>
    <row r="146" ht="15.75" customHeight="1">
      <c r="A146" s="1">
        <v>144.0</v>
      </c>
      <c r="B146" s="3" t="s">
        <v>147</v>
      </c>
      <c r="C146" s="3" t="str">
        <f>IFERROR(__xludf.DUMMYFUNCTION("GOOGLETRANSLATE(B146,""id"",""en"")"),"['thank', 'love', 'service', 'Telkomsel', 'slammed', 'signal', 'mainstay', 'operation', 'network', 'steady', 'continue', 'laugh', ' Puuuaaassss', '']")</f>
        <v>['thank', 'love', 'service', 'Telkomsel', 'slammed', 'signal', 'mainstay', 'operation', 'network', 'steady', 'continue', 'laugh', ' Puuuaaassss', '']</v>
      </c>
      <c r="D146" s="3">
        <v>1.0</v>
      </c>
    </row>
    <row r="147" ht="15.75" customHeight="1">
      <c r="A147" s="1">
        <v>145.0</v>
      </c>
      <c r="B147" s="3" t="s">
        <v>148</v>
      </c>
      <c r="C147" s="3" t="str">
        <f>IFERROR(__xludf.DUMMYFUNCTION("GOOGLETRANSLATE(B147,""id"",""en"")"),"['use', 'APK', 'easy', 'apply', 'edit', 'crazy', 'price', 'promo', 'rare', 'Hadeh', 'yes',' orng ',' medium ',' okay ',' activate ',' package ',' jdi ',' mslah ',' person ',' middle ',' down ',' scream ',' btapa ',' expensive ',' condition ' , 'Pandemic',"&amp;" 'work', 'Hadeh']")</f>
        <v>['use', 'APK', 'easy', 'apply', 'edit', 'crazy', 'price', 'promo', 'rare', 'Hadeh', 'yes',' orng ',' medium ',' okay ',' activate ',' package ',' jdi ',' mslah ',' person ',' middle ',' down ',' scream ',' btapa ',' expensive ',' condition ' , 'Pandemic', 'work', 'Hadeh']</v>
      </c>
      <c r="D147" s="3">
        <v>1.0</v>
      </c>
    </row>
    <row r="148" ht="15.75" customHeight="1">
      <c r="A148" s="1">
        <v>146.0</v>
      </c>
      <c r="B148" s="3" t="s">
        <v>149</v>
      </c>
      <c r="C148" s="3" t="str">
        <f>IFERROR(__xludf.DUMMYFUNCTION("GOOGLETRANSLATE(B148,""id"",""en"")"),"['users',' Telkomsel ',' Low ',' budget ',' quota ',' lap ',' main ',' price ',' rb ',' MB ',' Telkomsel ',' profit ',' run out ',' think ',' KNP ',' price ',' that way ',' until ',' RB ',' Telkomsel ',' your customer ',' people ',' rich ', ""]")</f>
        <v>['users',' Telkomsel ',' Low ',' budget ',' quota ',' lap ',' main ',' price ',' rb ',' MB ',' Telkomsel ',' profit ',' run out ',' think ',' KNP ',' price ',' that way ',' until ',' RB ',' Telkomsel ',' your customer ',' people ',' rich ', "]</v>
      </c>
      <c r="D148" s="3">
        <v>1.0</v>
      </c>
    </row>
    <row r="149" ht="15.75" customHeight="1">
      <c r="A149" s="1">
        <v>147.0</v>
      </c>
      <c r="B149" s="3" t="s">
        <v>150</v>
      </c>
      <c r="C149" s="3" t="str">
        <f>IFERROR(__xludf.DUMMYFUNCTION("GOOGLETRANSLATE(B149,""id"",""en"")"),"['Disappointed', 'Team', 'Telkomsel', 'Knp', 'transaction', 'subscribe', 'appears',' package ',' subscribe ',' check ',' status', 'application', ' mode ',' search ',' income ',' coercion ',' please ',' remove ',' package ',' subscribe ', ""]")</f>
        <v>['Disappointed', 'Team', 'Telkomsel', 'Knp', 'transaction', 'subscribe', 'appears',' package ',' subscribe ',' check ',' status', 'application', ' mode ',' search ',' income ',' coercion ',' please ',' remove ',' package ',' subscribe ', "]</v>
      </c>
      <c r="D149" s="3">
        <v>1.0</v>
      </c>
    </row>
    <row r="150" ht="15.75" customHeight="1">
      <c r="A150" s="1">
        <v>148.0</v>
      </c>
      <c r="B150" s="3" t="s">
        <v>151</v>
      </c>
      <c r="C150" s="3" t="str">
        <f>IFERROR(__xludf.DUMMYFUNCTION("GOOGLETRANSLATE(B150,""id"",""en"")"),"['Gini', 'buy', 'package', 'extra', 'kouta', 'unlimited', 'requirements',' active ',' following ',' kouta ',' monthly ',' have ',' Koutaa ',' omg ',' monthly ',' active ',' buy ',' kouta ',' trimakasih ', ""]")</f>
        <v>['Gini', 'buy', 'package', 'extra', 'kouta', 'unlimited', 'requirements',' active ',' following ',' kouta ',' monthly ',' have ',' Koutaa ',' omg ',' monthly ',' active ',' buy ',' kouta ',' trimakasih ', "]</v>
      </c>
      <c r="D150" s="3">
        <v>5.0</v>
      </c>
    </row>
    <row r="151" ht="15.75" customHeight="1">
      <c r="A151" s="1">
        <v>149.0</v>
      </c>
      <c r="B151" s="3" t="s">
        <v>152</v>
      </c>
      <c r="C151" s="3" t="str">
        <f>IFERROR(__xludf.DUMMYFUNCTION("GOOGLETRANSLATE(B151,""id"",""en"")"),"['Profider', 'Indonesia', 'Network', 'Tangerang', 'City', 'ilang', 'Selaylayg', 'Hold', 'Use', 'Telkomsel', 'Dozens', 'Taste "",' Good ',' Making ']")</f>
        <v>['Profider', 'Indonesia', 'Network', 'Tangerang', 'City', 'ilang', 'Selaylayg', 'Hold', 'Use', 'Telkomsel', 'Dozens', 'Taste ",' Good ',' Making ']</v>
      </c>
      <c r="D151" s="3">
        <v>1.0</v>
      </c>
    </row>
    <row r="152" ht="15.75" customHeight="1">
      <c r="A152" s="1">
        <v>150.0</v>
      </c>
      <c r="B152" s="3" t="s">
        <v>153</v>
      </c>
      <c r="C152" s="3" t="str">
        <f>IFERROR(__xludf.DUMMYFUNCTION("GOOGLETRANSLATE(B152,""id"",""en"")"),"['offer', 'MyTelkomsel', 'apply', 'users',' offer ',' SMS ',' Telkomsel ',' offered ',' offer ',' bought ',' disappointed ',' topup ',' buy ',' package ',' data ',' fyi ',' price ',' quota ',' expensive ',' offer ']")</f>
        <v>['offer', 'MyTelkomsel', 'apply', 'users',' offer ',' SMS ',' Telkomsel ',' offered ',' offer ',' bought ',' disappointed ',' topup ',' buy ',' package ',' data ',' fyi ',' price ',' quota ',' expensive ',' offer ']</v>
      </c>
      <c r="D152" s="3">
        <v>1.0</v>
      </c>
    </row>
    <row r="153" ht="15.75" customHeight="1">
      <c r="A153" s="1">
        <v>151.0</v>
      </c>
      <c r="B153" s="3" t="s">
        <v>154</v>
      </c>
      <c r="C153" s="3" t="str">
        <f>IFERROR(__xludf.DUMMYFUNCTION("GOOGLETRANSLATE(B153,""id"",""en"")"),"['Telkomsel', 'signal', 'gapaham', 'used', 'internet', 'maen', 'game', 'streaming', 'ngelag', 'continued', 'gini', 'yaa', ' Pay ',' expensive ',' quota ',' Telkomsel ',' please ',' love ',' service ',' Costumer ',' repay ',' signal ',' price ',' quota ','"&amp;" doang ' , 'expensive', ""]")</f>
        <v>['Telkomsel', 'signal', 'gapaham', 'used', 'internet', 'maen', 'game', 'streaming', 'ngelag', 'continued', 'gini', 'yaa', ' Pay ',' expensive ',' quota ',' Telkomsel ',' please ',' love ',' service ',' Costumer ',' repay ',' signal ',' price ',' quota ',' doang ' , 'expensive', "]</v>
      </c>
      <c r="D153" s="3">
        <v>1.0</v>
      </c>
    </row>
    <row r="154" ht="15.75" customHeight="1">
      <c r="A154" s="1">
        <v>152.0</v>
      </c>
      <c r="B154" s="3" t="s">
        <v>155</v>
      </c>
      <c r="C154" s="3" t="str">
        <f>IFERROR(__xludf.DUMMYFUNCTION("GOOGLETRANSLATE(B154,""id"",""en"")"),"['Most of', 'Maap', 'Fix', 'Bonus',' Spam ',' Daily ',' Login ',' Quota ',' Free ',' Pay ',' Credit ',' System ',' Telkom ',' emng ',' pay ',' kek ',' operator ',' take ',' bonus', 'free', 'cost']")</f>
        <v>['Most of', 'Maap', 'Fix', 'Bonus',' Spam ',' Daily ',' Login ',' Quota ',' Free ',' Pay ',' Credit ',' System ',' Telkom ',' emng ',' pay ',' kek ',' operator ',' take ',' bonus', 'free', 'cost']</v>
      </c>
      <c r="D154" s="3">
        <v>1.0</v>
      </c>
    </row>
    <row r="155" ht="15.75" customHeight="1">
      <c r="A155" s="1">
        <v>153.0</v>
      </c>
      <c r="B155" s="3" t="s">
        <v>156</v>
      </c>
      <c r="C155" s="3" t="str">
        <f>IFERROR(__xludf.DUMMYFUNCTION("GOOGLETRANSLATE(B155,""id"",""en"")"),"['disappointed', 'slow', 'network', 'user', 'loyal', 'Telkomsel', 'buy', 'package', 'monthly', 'disappointed', 'trimakasih']")</f>
        <v>['disappointed', 'slow', 'network', 'user', 'loyal', 'Telkomsel', 'buy', 'package', 'monthly', 'disappointed', 'trimakasih']</v>
      </c>
      <c r="D155" s="3">
        <v>1.0</v>
      </c>
    </row>
    <row r="156" ht="15.75" customHeight="1">
      <c r="A156" s="1">
        <v>154.0</v>
      </c>
      <c r="B156" s="3" t="s">
        <v>157</v>
      </c>
      <c r="C156" s="3" t="str">
        <f>IFERROR(__xludf.DUMMYFUNCTION("GOOGLETRANSLATE(B156,""id"",""en"")"),"['package', 'internet', 'get', 'promo', 'network', 'fix', 'location', 'district', 'bandung', 'exact', 'kiangroke', 'banjaran', ' Like ',' LUP ',' LEP ',' Network ',' Stable ']")</f>
        <v>['package', 'internet', 'get', 'promo', 'network', 'fix', 'location', 'district', 'bandung', 'exact', 'kiangroke', 'banjaran', ' Like ',' LUP ',' LEP ',' Network ',' Stable ']</v>
      </c>
      <c r="D156" s="3">
        <v>4.0</v>
      </c>
    </row>
    <row r="157" ht="15.75" customHeight="1">
      <c r="A157" s="1">
        <v>155.0</v>
      </c>
      <c r="B157" s="3" t="s">
        <v>158</v>
      </c>
      <c r="C157" s="3" t="str">
        <f>IFERROR(__xludf.DUMMYFUNCTION("GOOGLETRANSLATE(B157,""id"",""en"")"),"['please', 'automatic', 'sucked', 'pulse', 'main', 'severe', 'telkomsel', 'call', 'urgent', 'really', 'data', 'abis',' right ',' check ',' pulse ',' already ',' abis', 'rb', 'original', 'provider', 'worst', 'complicated', 'must', 'activated', 'data' , 'Ab"&amp;"is', 'quota', 'disabled', 'darling', 'can', 'signal', 'udh', 'replace', 'provider', ""]")</f>
        <v>['please', 'automatic', 'sucked', 'pulse', 'main', 'severe', 'telkomsel', 'call', 'urgent', 'really', 'data', 'abis',' right ',' check ',' pulse ',' already ',' abis', 'rb', 'original', 'provider', 'worst', 'complicated', 'must', 'activated', 'data' , 'Abis', 'quota', 'disabled', 'darling', 'can', 'signal', 'udh', 'replace', 'provider', "]</v>
      </c>
      <c r="D157" s="3">
        <v>1.0</v>
      </c>
    </row>
    <row r="158" ht="15.75" customHeight="1">
      <c r="A158" s="1">
        <v>156.0</v>
      </c>
      <c r="B158" s="3" t="s">
        <v>159</v>
      </c>
      <c r="C158" s="3" t="str">
        <f>IFERROR(__xludf.DUMMYFUNCTION("GOOGLETRANSLATE(B158,""id"",""en"")"),"['proud', 'products',' local ',' wear ',' provider ',' internet ',' disappointment ',' force ',' boasts', 'products',' local ',' Allah ',' Welfare ',' evenly ',' my country ',' Aminnnn ']")</f>
        <v>['proud', 'products',' local ',' wear ',' provider ',' internet ',' disappointment ',' force ',' boasts', 'products',' local ',' Allah ',' Welfare ',' evenly ',' my country ',' Aminnnn ']</v>
      </c>
      <c r="D158" s="3">
        <v>1.0</v>
      </c>
    </row>
    <row r="159" ht="15.75" customHeight="1">
      <c r="A159" s="1">
        <v>157.0</v>
      </c>
      <c r="B159" s="3" t="s">
        <v>160</v>
      </c>
      <c r="C159" s="3" t="str">
        <f>IFERROR(__xludf.DUMMYFUNCTION("GOOGLETRANSLATE(B159,""id"",""en"")"),"['already', 'expensive', 'rain', 'dead', 'lights',' direct ',' slow ',' quota ',' udh ',' stay ',' GB ',' down ',' slow ',' naudzubillah ',' fit ',' filled ',' quota ',' smooth ',' gini ',' God ',' severe ',' severe ']")</f>
        <v>['already', 'expensive', 'rain', 'dead', 'lights',' direct ',' slow ',' quota ',' udh ',' stay ',' GB ',' down ',' slow ',' naudzubillah ',' fit ',' filled ',' quota ',' smooth ',' gini ',' God ',' severe ',' severe ']</v>
      </c>
      <c r="D159" s="3">
        <v>1.0</v>
      </c>
    </row>
    <row r="160" ht="15.75" customHeight="1">
      <c r="A160" s="1">
        <v>158.0</v>
      </c>
      <c r="B160" s="3" t="s">
        <v>161</v>
      </c>
      <c r="C160" s="3" t="str">
        <f>IFERROR(__xludf.DUMMYFUNCTION("GOOGLETRANSLATE(B160,""id"",""en"")"),"['already', 'disappointed', 'network', 'network', 'stem', 'nggk', 'stable', 'already', 'kek', 'gini', 'handling', 'see', ' Complaints', 'people', 'neglected', 'great', ""]")</f>
        <v>['already', 'disappointed', 'network', 'network', 'stem', 'nggk', 'stable', 'already', 'kek', 'gini', 'handling', 'see', ' Complaints', 'people', 'neglected', 'great', "]</v>
      </c>
      <c r="D160" s="3">
        <v>1.0</v>
      </c>
    </row>
    <row r="161" ht="15.75" customHeight="1">
      <c r="A161" s="1">
        <v>159.0</v>
      </c>
      <c r="B161" s="3" t="s">
        <v>162</v>
      </c>
      <c r="C161" s="3" t="str">
        <f>IFERROR(__xludf.DUMMYFUNCTION("GOOGLETRANSLATE(B161,""id"",""en"")"),"['Good', 'net', 'cross', 'special', 'area', 'already', 'network', 'problematic', '']")</f>
        <v>['Good', 'net', 'cross', 'special', 'area', 'already', 'network', 'problematic', '']</v>
      </c>
      <c r="D161" s="3">
        <v>3.0</v>
      </c>
    </row>
    <row r="162" ht="15.75" customHeight="1">
      <c r="A162" s="1">
        <v>160.0</v>
      </c>
      <c r="B162" s="3" t="s">
        <v>163</v>
      </c>
      <c r="C162" s="3" t="str">
        <f>IFERROR(__xludf.DUMMYFUNCTION("GOOGLETRANSLATE(B162,""id"",""en"")"),"['Network', 'Telkomsel', 'bad', 'disappointing', 'Wear', 'Telkomsel', 'Karna', 'Famous',' Network ',' Good ',' Stable ',' Severe ',' The network is', 'disappointing', 'hope', 'repaired', 'users',' Telkomsel ',' disappointed ',' ']")</f>
        <v>['Network', 'Telkomsel', 'bad', 'disappointing', 'Wear', 'Telkomsel', 'Karna', 'Famous',' Network ',' Good ',' Stable ',' Severe ',' The network is', 'disappointing', 'hope', 'repaired', 'users',' Telkomsel ',' disappointed ',' ']</v>
      </c>
      <c r="D162" s="3">
        <v>2.0</v>
      </c>
    </row>
    <row r="163" ht="15.75" customHeight="1">
      <c r="A163" s="1">
        <v>161.0</v>
      </c>
      <c r="B163" s="3" t="s">
        <v>164</v>
      </c>
      <c r="C163" s="3" t="str">
        <f>IFERROR(__xludf.DUMMYFUNCTION("GOOGLETRANSLATE(B163,""id"",""en"")"),"['Hello', 'admin', 'Telkomsel', 'disappointed', 'buyer', 'package', 'quota', 'internet', 'unlimited', 'booster', 'for', 'there', ' Written ',' Active ',' buy ',' Package ',' Date ',' March ',' Message ',' Telkomsel ',' Package ',' Expired ',' Expired ',' "&amp;"March ' , 'malem', 'clock', 'check', 'application', 'Telkomsel', 'there', 'written', 'expired', 'Today', 'please', 'clarity']")</f>
        <v>['Hello', 'admin', 'Telkomsel', 'disappointed', 'buyer', 'package', 'quota', 'internet', 'unlimited', 'booster', 'for', 'there', ' Written ',' Active ',' buy ',' Package ',' Date ',' March ',' Message ',' Telkomsel ',' Package ',' Expired ',' Expired ',' March ' , 'malem', 'clock', 'check', 'application', 'Telkomsel', 'there', 'written', 'expired', 'Today', 'please', 'clarity']</v>
      </c>
      <c r="D163" s="3">
        <v>1.0</v>
      </c>
    </row>
    <row r="164" ht="15.75" customHeight="1">
      <c r="A164" s="1">
        <v>162.0</v>
      </c>
      <c r="B164" s="3" t="s">
        <v>165</v>
      </c>
      <c r="C164" s="3" t="str">
        <f>IFERROR(__xludf.DUMMYFUNCTION("GOOGLETRANSLATE(B164,""id"",""en"")"),"['Giman', 'SIH', 'Package', 'Internet', 'Cheap', 'BWT', 'TMEN', 'DPET', 'Package', 'Promo', 'Rb', 'Fill', ' Dupet ',' how ',' SIH ',' Different ',' In ',' Donk ',' Customer ',' Telkomsel ']")</f>
        <v>['Giman', 'SIH', 'Package', 'Internet', 'Cheap', 'BWT', 'TMEN', 'DPET', 'Package', 'Promo', 'Rb', 'Fill', ' Dupet ',' how ',' SIH ',' Different ',' In ',' Donk ',' Customer ',' Telkomsel ']</v>
      </c>
      <c r="D164" s="3">
        <v>1.0</v>
      </c>
    </row>
    <row r="165" ht="15.75" customHeight="1">
      <c r="A165" s="1">
        <v>163.0</v>
      </c>
      <c r="B165" s="3" t="s">
        <v>166</v>
      </c>
      <c r="C165" s="3" t="str">
        <f>IFERROR(__xludf.DUMMYFUNCTION("GOOGLETRANSLATE(B165,""id"",""en"")"),"['user', 'loyal', 'Telkomsel', 'disappointed', 'list', 'package', 'lap', 'a day', 'pulse', 'main', 'sumps',' until ',' Zero ',' Rupiah ',' Notif ',' Package ',' On ',' Register ',' Package ',' Call ',' Clock ',' Onnet ',' Rupiah ',' Pulse ',' Main ' , 'Su"&amp;"mpot', 'leftover', 'notification', 'notification', 'package', 'active', ""]")</f>
        <v>['user', 'loyal', 'Telkomsel', 'disappointed', 'list', 'package', 'lap', 'a day', 'pulse', 'main', 'sumps',' until ',' Zero ',' Rupiah ',' Notif ',' Package ',' On ',' Register ',' Package ',' Call ',' Clock ',' Onnet ',' Rupiah ',' Pulse ',' Main ' , 'Sumpot', 'leftover', 'notification', 'notification', 'package', 'active', "]</v>
      </c>
      <c r="D165" s="3">
        <v>3.0</v>
      </c>
    </row>
    <row r="166" ht="15.75" customHeight="1">
      <c r="A166" s="1">
        <v>164.0</v>
      </c>
      <c r="B166" s="3" t="s">
        <v>167</v>
      </c>
      <c r="C166" s="3" t="str">
        <f>IFERROR(__xludf.DUMMYFUNCTION("GOOGLETRANSLATE(B166,""id"",""en"")"),"['Severe', 'network', 'error', 'connection', 'disconnected', 'woeee', 'bosss', 'customer', 'complaint', 'action', 'boss', ""]")</f>
        <v>['Severe', 'network', 'error', 'connection', 'disconnected', 'woeee', 'bosss', 'customer', 'complaint', 'action', 'boss', "]</v>
      </c>
      <c r="D166" s="3">
        <v>1.0</v>
      </c>
    </row>
    <row r="167" ht="15.75" customHeight="1">
      <c r="A167" s="1">
        <v>165.0</v>
      </c>
      <c r="B167" s="3" t="s">
        <v>168</v>
      </c>
      <c r="C167" s="3" t="str">
        <f>IFERROR(__xludf.DUMMYFUNCTION("GOOGLETRANSLATE(B167,""id"",""en"")"),"['Prepaid', 'Move', 'Paska', 'Pay', 'Quality', 'Signal', 'Bad', 'Rain', 'Signal', 'Price', 'Paketan', 'Paska', ' Pay ',' friendly ',' love ',' service ',' best ',' customer ',' loyal ',' post "", 'pay', 'disappointing', 'complement', 'grapari', 'solution'"&amp;" , 'Stop', 'Paska', 'Pay', 'Change', 'Number']")</f>
        <v>['Prepaid', 'Move', 'Paska', 'Pay', 'Quality', 'Signal', 'Bad', 'Rain', 'Signal', 'Price', 'Paketan', 'Paska', ' Pay ',' friendly ',' love ',' service ',' best ',' customer ',' loyal ',' post ", 'pay', 'disappointing', 'complement', 'grapari', 'solution' , 'Stop', 'Paska', 'Pay', 'Change', 'Number']</v>
      </c>
      <c r="D167" s="3">
        <v>1.0</v>
      </c>
    </row>
    <row r="168" ht="15.75" customHeight="1">
      <c r="A168" s="1">
        <v>166.0</v>
      </c>
      <c r="B168" s="3" t="s">
        <v>169</v>
      </c>
      <c r="C168" s="3" t="str">
        <f>IFERROR(__xludf.DUMMYFUNCTION("GOOGLETRANSLATE(B168,""id"",""en"")"),"['Sorry', 'I', 'buy', 'Credit', 'cheerful', 'GB', 'Rp', 'I', 'already', 'buy', 'success',' pulses', ' success', 'please', 'Telkomsel', 'sorry', 'contents',' pulse ',' sorry ', ""]")</f>
        <v>['Sorry', 'I', 'buy', 'Credit', 'cheerful', 'GB', 'Rp', 'I', 'already', 'buy', 'success',' pulses', ' success', 'please', 'Telkomsel', 'sorry', 'contents',' pulse ',' sorry ', "]</v>
      </c>
      <c r="D168" s="3">
        <v>1.0</v>
      </c>
    </row>
    <row r="169" ht="15.75" customHeight="1">
      <c r="A169" s="1">
        <v>167.0</v>
      </c>
      <c r="B169" s="3" t="s">
        <v>170</v>
      </c>
      <c r="C169" s="3" t="str">
        <f>IFERROR(__xludf.DUMMYFUNCTION("GOOGLETRANSLATE(B169,""id"",""en"")"),"['Contact', 'Veronika', 'Application', 'MyTelkomsel', 'Constraints',' Open ',' Application ',' MyTelkomsel ',' Credit ',' Cutting ',' Application ',' Automatic ',' activate ',' package ',' data ',' wifi ',' detrimental ',' user ',' pulse ',' truncated ','"&amp;" realize ',' check ',' use ',' data ', ""]")</f>
        <v>['Contact', 'Veronika', 'Application', 'MyTelkomsel', 'Constraints',' Open ',' Application ',' MyTelkomsel ',' Credit ',' Cutting ',' Application ',' Automatic ',' activate ',' package ',' data ',' wifi ',' detrimental ',' user ',' pulse ',' truncated ',' realize ',' check ',' use ',' data ', "]</v>
      </c>
      <c r="D169" s="3">
        <v>1.0</v>
      </c>
    </row>
    <row r="170" ht="15.75" customHeight="1">
      <c r="A170" s="1">
        <v>168.0</v>
      </c>
      <c r="B170" s="3" t="s">
        <v>171</v>
      </c>
      <c r="C170" s="3" t="str">
        <f>IFERROR(__xludf.DUMMYFUNCTION("GOOGLETRANSLATE(B170,""id"",""en"")"),"['Telkomsel', 'already', 'master', 'share', 'market', 'Indonesia', 'provider', 'quality', 'hope', 'hopefully', 'in the future', 'provider', ' Indonesia ',' commitment ',' satisfaction ',' customers', 'present', 'competitors',' strong ',' Telkomsel ',' abo"&amp;"ve ',' sky ',' satellite ', ""]")</f>
        <v>['Telkomsel', 'already', 'master', 'share', 'market', 'Indonesia', 'provider', 'quality', 'hope', 'hopefully', 'in the future', 'provider', ' Indonesia ',' commitment ',' satisfaction ',' customers', 'present', 'competitors',' strong ',' Telkomsel ',' above ',' sky ',' satellite ', "]</v>
      </c>
      <c r="D170" s="3">
        <v>1.0</v>
      </c>
    </row>
    <row r="171" ht="15.75" customHeight="1">
      <c r="A171" s="1">
        <v>169.0</v>
      </c>
      <c r="B171" s="3" t="s">
        <v>172</v>
      </c>
      <c r="C171" s="3" t="str">
        <f>IFERROR(__xludf.DUMMYFUNCTION("GOOGLETRANSLATE(B171,""id"",""en"")"),"['right', 'I', 'Fill', 'pulse', 'package', 'expensive', 'I', 'buy', 'package', 'please', 'authorized', 'fix', ' cewa ',' ']")</f>
        <v>['right', 'I', 'Fill', 'pulse', 'package', 'expensive', 'I', 'buy', 'package', 'please', 'authorized', 'fix', ' cewa ',' ']</v>
      </c>
      <c r="D171" s="3">
        <v>2.0</v>
      </c>
    </row>
    <row r="172" ht="15.75" customHeight="1">
      <c r="A172" s="1">
        <v>170.0</v>
      </c>
      <c r="B172" s="3" t="s">
        <v>173</v>
      </c>
      <c r="C172" s="3" t="str">
        <f>IFERROR(__xludf.DUMMYFUNCTION("GOOGLETRANSLATE(B172,""id"",""en"")"),"['Good', 'really', 'feature', 'purchase', 'credit', 'ngak', 'bother', 'counter', 'paid', 'choice', 'thanks',' Telkomsel ',' ']")</f>
        <v>['Good', 'really', 'feature', 'purchase', 'credit', 'ngak', 'bother', 'counter', 'paid', 'choice', 'thanks',' Telkomsel ',' ']</v>
      </c>
      <c r="D172" s="3">
        <v>5.0</v>
      </c>
    </row>
    <row r="173" ht="15.75" customHeight="1">
      <c r="A173" s="1">
        <v>171.0</v>
      </c>
      <c r="B173" s="3" t="s">
        <v>174</v>
      </c>
      <c r="C173" s="3" t="str">
        <f>IFERROR(__xludf.DUMMYFUNCTION("GOOGLETRANSLATE(B173,""id"",""en"")"),"['already', 'bbrpa', 'week', 'network', 'sympathy', 'slow', 'signal', 'likes',' ngilan ',' please ',' fix ',' before ',' Move ',' Service ',' Network ']")</f>
        <v>['already', 'bbrpa', 'week', 'network', 'sympathy', 'slow', 'signal', 'likes',' ngilan ',' please ',' fix ',' before ',' Move ',' Service ',' Network ']</v>
      </c>
      <c r="D173" s="3">
        <v>1.0</v>
      </c>
    </row>
    <row r="174" ht="15.75" customHeight="1">
      <c r="A174" s="1">
        <v>172.0</v>
      </c>
      <c r="B174" s="3" t="s">
        <v>175</v>
      </c>
      <c r="C174" s="3" t="str">
        <f>IFERROR(__xludf.DUMMYFUNCTION("GOOGLETRANSLATE(B174,""id"",""en"")"),"['Jngan', 'sorry', 'Mulu', 'fix', 'price', 'expensive', 'nego', 'kalao', 'loss',' bombed ',' office ',' center ',' Lost ',' kpn ',' ']")</f>
        <v>['Jngan', 'sorry', 'Mulu', 'fix', 'price', 'expensive', 'nego', 'kalao', 'loss',' bombed ',' office ',' center ',' Lost ',' kpn ',' ']</v>
      </c>
      <c r="D174" s="3">
        <v>1.0</v>
      </c>
    </row>
    <row r="175" ht="15.75" customHeight="1">
      <c r="A175" s="1">
        <v>173.0</v>
      </c>
      <c r="B175" s="3" t="s">
        <v>176</v>
      </c>
      <c r="C175" s="3" t="str">
        <f>IFERROR(__xludf.DUMMYFUNCTION("GOOGLETRANSLATE(B175,""id"",""en"")"),"['users',' Telkomsel ',' mandatory ',' download ',' application ',' make it easy ',' contents', 'quota', 'promo', 'interesting', 'inside', 'steady', ' Success', 'Family', 'Telkomsel', 'Indonesia']")</f>
        <v>['users',' Telkomsel ',' mandatory ',' download ',' application ',' make it easy ',' contents', 'quota', 'promo', 'interesting', 'inside', 'steady', ' Success', 'Family', 'Telkomsel', 'Indonesia']</v>
      </c>
      <c r="D175" s="3">
        <v>5.0</v>
      </c>
    </row>
    <row r="176" ht="15.75" customHeight="1">
      <c r="A176" s="1">
        <v>174.0</v>
      </c>
      <c r="B176" s="3" t="s">
        <v>177</v>
      </c>
      <c r="C176" s="3" t="str">
        <f>IFERROR(__xludf.DUMMYFUNCTION("GOOGLETRANSLATE(B176,""id"",""en"")"),"['Mantab', 'informative', 'easy', 'promo', 'application', 'price', 'pieces',' application ',' hope ',' work ',' child ',' proceed', '']")</f>
        <v>['Mantab', 'informative', 'easy', 'promo', 'application', 'price', 'pieces',' application ',' hope ',' work ',' child ',' proceed', '']</v>
      </c>
      <c r="D176" s="3">
        <v>5.0</v>
      </c>
    </row>
    <row r="177" ht="15.75" customHeight="1">
      <c r="A177" s="1">
        <v>175.0</v>
      </c>
      <c r="B177" s="3" t="s">
        <v>178</v>
      </c>
      <c r="C177" s="3" t="str">
        <f>IFERROR(__xludf.DUMMYFUNCTION("GOOGLETRANSLATE(B177,""id"",""en"")"),"['Buy', 'Package', 'Unlimited', 'YouTube', 'Week', 'Silly', 'Kali', 'You', 'Telkomsel', 'BBRP', 'Signal', 'ugly', ' Living ',' City ',' Village ',' Muter ',' Change ',' Muter ',' Muter ',' Mulu ',' Crazy ',' Sampe ',' Restart ',' Mode ',' Plane ' , 'Ahhh'"&amp;", 'Benerin', 'Napa', 'Klu', 'Disorders', 'User', 'given', 'Diem', 'Diem', 'Bae']")</f>
        <v>['Buy', 'Package', 'Unlimited', 'YouTube', 'Week', 'Silly', 'Kali', 'You', 'Telkomsel', 'BBRP', 'Signal', 'ugly', ' Living ',' City ',' Village ',' Muter ',' Change ',' Muter ',' Muter ',' Mulu ',' Crazy ',' Sampe ',' Restart ',' Mode ',' Plane ' , 'Ahhh', 'Benerin', 'Napa', 'Klu', 'Disorders', 'User', 'given', 'Diem', 'Diem', 'Bae']</v>
      </c>
      <c r="D177" s="3">
        <v>1.0</v>
      </c>
    </row>
    <row r="178" ht="15.75" customHeight="1">
      <c r="A178" s="1">
        <v>176.0</v>
      </c>
      <c r="B178" s="3" t="s">
        <v>179</v>
      </c>
      <c r="C178" s="3" t="str">
        <f>IFERROR(__xludf.DUMMYFUNCTION("GOOGLETRANSLATE(B178,""id"",""en"")"),"['Dear', 'developer', 'please', 'network', 'fix', 'gini', 'loss',' buy ',' package ',' unlimited ',' max ',' network ',' ugly ',' game ',' network ',' jumping ',' ijo ',' yellow ',' fix ',' network ',' multiply ',' package ',' gini ',' move ',' card ' ]")</f>
        <v>['Dear', 'developer', 'please', 'network', 'fix', 'gini', 'loss',' buy ',' package ',' unlimited ',' max ',' network ',' ugly ',' game ',' network ',' jumping ',' ijo ',' yellow ',' fix ',' network ',' multiply ',' package ',' gini ',' move ',' card ' ]</v>
      </c>
      <c r="D178" s="3">
        <v>1.0</v>
      </c>
    </row>
    <row r="179" ht="15.75" customHeight="1">
      <c r="A179" s="1">
        <v>177.0</v>
      </c>
      <c r="B179" s="3" t="s">
        <v>180</v>
      </c>
      <c r="C179" s="3" t="str">
        <f>IFERROR(__xludf.DUMMYFUNCTION("GOOGLETRANSLATE(B179,""id"",""en"")"),"['Crazy', 'Sending', 'Telkomsel', 'Leading', 'Network', 'Wrong', 'Thinking', 'Telkomsel', 'Ehhhh', 'Reality', 'Telkomsel', 'The Network', ' ugly ',' price ',' expensive ',' according to ',' really ',' disappointing ',' embarrassing ']")</f>
        <v>['Crazy', 'Sending', 'Telkomsel', 'Leading', 'Network', 'Wrong', 'Thinking', 'Telkomsel', 'Ehhhh', 'Reality', 'Telkomsel', 'The Network', ' ugly ',' price ',' expensive ',' according to ',' really ',' disappointing ',' embarrassing ']</v>
      </c>
      <c r="D179" s="3">
        <v>1.0</v>
      </c>
    </row>
    <row r="180" ht="15.75" customHeight="1">
      <c r="A180" s="1">
        <v>178.0</v>
      </c>
      <c r="B180" s="3" t="s">
        <v>181</v>
      </c>
      <c r="C180" s="3" t="str">
        <f>IFERROR(__xludf.DUMMYFUNCTION("GOOGLETRANSLATE(B180,""id"",""en"")"),"['The application', 'good', 'info', 'package', 'contents', 'bonus', 'coupon', 'placed', 'page', 'user', 'the rest', 'good']")</f>
        <v>['The application', 'good', 'info', 'package', 'contents', 'bonus', 'coupon', 'placed', 'page', 'user', 'the rest', 'good']</v>
      </c>
      <c r="D180" s="3">
        <v>4.0</v>
      </c>
    </row>
    <row r="181" ht="15.75" customHeight="1">
      <c r="A181" s="1">
        <v>179.0</v>
      </c>
      <c r="B181" s="3" t="s">
        <v>182</v>
      </c>
      <c r="C181" s="3" t="str">
        <f>IFERROR(__xludf.DUMMYFUNCTION("GOOGLETRANSLATE(B181,""id"",""en"")"),"['Package', 'unlimited', 'tuk', 'open', 'youtube', 'already', 'free', 'tuk', 'open', 'youtube', 'facebook', 'etc.', ' used ',' Please ',' repaired ']")</f>
        <v>['Package', 'unlimited', 'tuk', 'open', 'youtube', 'already', 'free', 'tuk', 'open', 'youtube', 'facebook', 'etc.', ' used ',' Please ',' repaired ']</v>
      </c>
      <c r="D181" s="3">
        <v>1.0</v>
      </c>
    </row>
    <row r="182" ht="15.75" customHeight="1">
      <c r="A182" s="1">
        <v>180.0</v>
      </c>
      <c r="B182" s="3" t="s">
        <v>183</v>
      </c>
      <c r="C182" s="3" t="str">
        <f>IFERROR(__xludf.DUMMYFUNCTION("GOOGLETRANSLATE(B182,""id"",""en"")"),"['', 'intention', 'card', 'SIM', 'SANGE', 'UDH', 'Indonesia', 'Citizens',' Poor ',' Buy ',' Kouta ',' expensive ',' koq ',' lag ',' unlimited ',' lag ',' udh ',' card ',' expensive ',' kouta ',' expensive ',' network ',' tetep ',' buriq ',' kek ', 'Axis',"&amp;" 'Indosat', 'Tree', 'cheap', 'ngeleg', 'kek', 'gini', 'Jan', 'looks', 'profit', 'citizens', 'difficult']")</f>
        <v>['', 'intention', 'card', 'SIM', 'SANGE', 'UDH', 'Indonesia', 'Citizens',' Poor ',' Buy ',' Kouta ',' expensive ',' koq ',' lag ',' unlimited ',' lag ',' udh ',' card ',' expensive ',' kouta ',' expensive ',' network ',' tetep ',' buriq ',' kek ', 'Axis', 'Indosat', 'Tree', 'cheap', 'ngeleg', 'kek', 'gini', 'Jan', 'looks', 'profit', 'citizens', 'difficult']</v>
      </c>
      <c r="D182" s="3">
        <v>1.0</v>
      </c>
    </row>
    <row r="183" ht="15.75" customHeight="1">
      <c r="A183" s="1">
        <v>181.0</v>
      </c>
      <c r="B183" s="3" t="s">
        <v>184</v>
      </c>
      <c r="C183" s="3" t="str">
        <f>IFERROR(__xludf.DUMMYFUNCTION("GOOGLETRANSLATE(B183,""id"",""en"")"),"['Telkomsel', 'slow', 'lose', 'provider', 'auto', 'moved', 'provider', 'regret', 'survive', 'fix', 'maslh', 'network', ' TamBh ',' Severe ',' Open ',' YouTube ',' Etc. ',' Difficult ',' Very ', ""]")</f>
        <v>['Telkomsel', 'slow', 'lose', 'provider', 'auto', 'moved', 'provider', 'regret', 'survive', 'fix', 'maslh', 'network', ' TamBh ',' Severe ',' Open ',' YouTube ',' Etc. ',' Difficult ',' Very ', "]</v>
      </c>
      <c r="D183" s="3">
        <v>1.0</v>
      </c>
    </row>
    <row r="184" ht="15.75" customHeight="1">
      <c r="A184" s="1">
        <v>182.0</v>
      </c>
      <c r="B184" s="3" t="s">
        <v>185</v>
      </c>
      <c r="C184" s="3" t="str">
        <f>IFERROR(__xludf.DUMMYFUNCTION("GOOGLETRANSLATE(B184,""id"",""en"")"),"['package', 'expensive', 'network', 'bad', 'segini', 'Telkomsel', 'card', 'special', 'person', 'rich', 'because', 'network', ' Good ',' expensive ',' price ',' package ',' expensive ',' signal ',' bad ',' users', 'Telkomsel', 'Bagusan', 'signal', 'Telkoms"&amp;"el', 'down' , 'loss', 'buy', 'package', 'expensive', 'please', 'repair']")</f>
        <v>['package', 'expensive', 'network', 'bad', 'segini', 'Telkomsel', 'card', 'special', 'person', 'rich', 'because', 'network', ' Good ',' expensive ',' price ',' package ',' expensive ',' signal ',' bad ',' users', 'Telkomsel', 'Bagusan', 'signal', 'Telkomsel', 'down' , 'loss', 'buy', 'package', 'expensive', 'please', 'repair']</v>
      </c>
      <c r="D184" s="3">
        <v>1.0</v>
      </c>
    </row>
    <row r="185" ht="15.75" customHeight="1">
      <c r="A185" s="1">
        <v>183.0</v>
      </c>
      <c r="B185" s="3" t="s">
        <v>186</v>
      </c>
      <c r="C185" s="3" t="str">
        <f>IFERROR(__xludf.DUMMYFUNCTION("GOOGLETRANSLATE(B185,""id"",""en"")"),"['Operator', 'Daille', 'Complaints',' Love ',' Rating ',' Response ',' Bot ',' Daong ',' Fix ',' Change ',' Operator ',' MOVER ',' Telkomsel ',' Network ',' Ngeselin ',' Bener ', ""]")</f>
        <v>['Operator', 'Daille', 'Complaints',' Love ',' Rating ',' Response ',' Bot ',' Daong ',' Fix ',' Change ',' Operator ',' MOVER ',' Telkomsel ',' Network ',' Ngeselin ',' Bener ', "]</v>
      </c>
      <c r="D185" s="3">
        <v>1.0</v>
      </c>
    </row>
    <row r="186" ht="15.75" customHeight="1">
      <c r="A186" s="1">
        <v>184.0</v>
      </c>
      <c r="B186" s="3" t="s">
        <v>187</v>
      </c>
      <c r="C186" s="3" t="str">
        <f>IFERROR(__xludf.DUMMYFUNCTION("GOOGLETRANSLATE(B186,""id"",""en"")"),"['assalamu', 'alaikum', 'admin', 'satisfying', 'Telkomsel', 'package', 'cheap', 'complete', 'so', 'thank', 'love', 'hope', ' God ',' Reply ',' kindness', 'Mukin', 'Say', 'Please', 'Forgive', 'Satisfied', 'APK', 'Telkomsel', 'Accept', 'Love', 'Wasalam' , '"&amp;"Alaikum', ""]")</f>
        <v>['assalamu', 'alaikum', 'admin', 'satisfying', 'Telkomsel', 'package', 'cheap', 'complete', 'so', 'thank', 'love', 'hope', ' God ',' Reply ',' kindness', 'Mukin', 'Say', 'Please', 'Forgive', 'Satisfied', 'APK', 'Telkomsel', 'Accept', 'Love', 'Wasalam' , 'Alaikum', "]</v>
      </c>
      <c r="D186" s="3">
        <v>5.0</v>
      </c>
    </row>
    <row r="187" ht="15.75" customHeight="1">
      <c r="A187" s="1">
        <v>185.0</v>
      </c>
      <c r="B187" s="3" t="s">
        <v>188</v>
      </c>
      <c r="C187" s="3" t="str">
        <f>IFERROR(__xludf.DUMMYFUNCTION("GOOGLETRANSLATE(B187,""id"",""en"")"),"['Application', 'Looks',' Heavy ',' Min ',' lane ',' Open ',' Application ',' fast ',' hot ',' Open ',' Application ',' Have ',' Entering ',' Nomer ',' just ',' Sometimes', 'Application', 'Come', 'Increase', 'Quality', 'Application', 'Lost', 'Next Next']")</f>
        <v>['Application', 'Looks',' Heavy ',' Min ',' lane ',' Open ',' Application ',' fast ',' hot ',' Open ',' Application ',' Have ',' Entering ',' Nomer ',' just ',' Sometimes', 'Application', 'Come', 'Increase', 'Quality', 'Application', 'Lost', 'Next Next']</v>
      </c>
      <c r="D187" s="3">
        <v>3.0</v>
      </c>
    </row>
    <row r="188" ht="15.75" customHeight="1">
      <c r="A188" s="1">
        <v>186.0</v>
      </c>
      <c r="B188" s="3" t="s">
        <v>189</v>
      </c>
      <c r="C188" s="3" t="str">
        <f>IFERROR(__xludf.DUMMYFUNCTION("GOOGLETRANSLATE(B188,""id"",""en"")"),"['Mea', 'all', 'users',' Telkomsel ',' Mennyesal ',' Telkomsel ',' signal ',' ugly ',' good ',' ugly ',' please ',' repaired ',' Customers', 'loyal', 'happy', 'signal', 'Telkomsel', 'payaahhhhh', '']")</f>
        <v>['Mea', 'all', 'users',' Telkomsel ',' Mennyesal ',' Telkomsel ',' signal ',' ugly ',' good ',' ugly ',' please ',' repaired ',' Customers', 'loyal', 'happy', 'signal', 'Telkomsel', 'payaahhhhh', '']</v>
      </c>
      <c r="D188" s="3">
        <v>2.0</v>
      </c>
    </row>
    <row r="189" ht="15.75" customHeight="1">
      <c r="A189" s="1">
        <v>187.0</v>
      </c>
      <c r="B189" s="3" t="s">
        <v>190</v>
      </c>
      <c r="C189" s="3" t="str">
        <f>IFERROR(__xludf.DUMMYFUNCTION("GOOGLETRANSLATE(B189,""id"",""en"")"),"['heiii', 'Telkomselll', 'why', 'right', 'play', 'game', 'ngellag', 'turn', 'watch', 'youtube', 'fluent', 'whyaa', ' Please, 'Rank', 'Rank', 'Down', 'Gara', 'Gara', 'Signal', 'Burikkk', 'Kek', 'Chart', 'Thank', 'Kasih', ""]")</f>
        <v>['heiii', 'Telkomselll', 'why', 'right', 'play', 'game', 'ngellag', 'turn', 'watch', 'youtube', 'fluent', 'whyaa', ' Please, 'Rank', 'Rank', 'Down', 'Gara', 'Gara', 'Signal', 'Burikkk', 'Kek', 'Chart', 'Thank', 'Kasih', "]</v>
      </c>
      <c r="D189" s="3">
        <v>1.0</v>
      </c>
    </row>
    <row r="190" ht="15.75" customHeight="1">
      <c r="A190" s="1">
        <v>188.0</v>
      </c>
      <c r="B190" s="3" t="s">
        <v>191</v>
      </c>
      <c r="C190" s="3" t="str">
        <f>IFERROR(__xludf.DUMMYFUNCTION("GOOGLETRANSLATE(B190,""id"",""en"")"),"['package', 'expensive', 'TPI', 'slow', 'abiss',' here ',' bad ',' network ',' gada ',' effort ',' back ',' signal ',' Rich ',' Price ',' Quality ',' ']")</f>
        <v>['package', 'expensive', 'TPI', 'slow', 'abiss',' here ',' bad ',' network ',' gada ',' effort ',' back ',' signal ',' Rich ',' Price ',' Quality ',' ']</v>
      </c>
      <c r="D190" s="3">
        <v>1.0</v>
      </c>
    </row>
    <row r="191" ht="15.75" customHeight="1">
      <c r="A191" s="1">
        <v>189.0</v>
      </c>
      <c r="B191" s="3" t="s">
        <v>192</v>
      </c>
      <c r="C191" s="3" t="str">
        <f>IFERROR(__xludf.DUMMYFUNCTION("GOOGLETRANSLATE(B191,""id"",""en"")"),"[ 'Tolerable', 'tough', 'tough', 'fear', 'Abis', 'hahhahhahahahahahhaahhahahahhahhahahhahahahahahaahhahahhahahahahahhahahhahahahahhhahahahhaahhhahhhahahhhahahahahhhahahahahahaahhahahahahahahhhahahahahahahahahhahahahahahahahhahahahhahahahhahahahhahahahahha"&amp;"hahahhhaaahahhahahhahahahahahahhahahahahhahahahhahahahahahhahahahahhahahahahahhahahahahhahahahahhahbahbahhahahhahahahhahahahhahahahahhahahhahah', 'nyakak', '']")</f>
        <v>[ 'Tolerable', 'tough', 'tough', 'fear', 'Abis', 'hahhahhahahahahahhaahhahahahhahhahahhahahahahahaahhahahhahahahahahhahahhahahahahhhahahahhaahhhahhhahahhhahahahahhhahahahahahaahhahahahahahahhhahahahahahahahahhahahahahahahahhahahahhahahahhahahahhahahahahhahahahhhaaahahhahahhahahahahahahhahahahahhahahahhahahahahahhahahahahhahahahahahhahahahahhahahahahhahbahbahhahahhahahahhahahahhahahahahhahahhahah', 'nyakak', '']</v>
      </c>
      <c r="D191" s="3">
        <v>4.0</v>
      </c>
    </row>
    <row r="192" ht="15.75" customHeight="1">
      <c r="A192" s="1">
        <v>190.0</v>
      </c>
      <c r="B192" s="3" t="s">
        <v>193</v>
      </c>
      <c r="C192" s="3" t="str">
        <f>IFERROR(__xludf.DUMMYFUNCTION("GOOGLETRANSLATE(B192,""id"",""en"")"),"['regret', 'Provider', 'Telkomsel', 'buy', 'package', 'expensive', 'network', 'ugly', 'help', 'mobility', 'a day', 'fail', ' Affairs', 'pokonya', 'kapok', 'Telkomsel', 'Telkomsel', 'account for', 'quality', 'provider', 'suggestion', 'guanakan', 'Telkomsel"&amp;"', 'loss', ""]")</f>
        <v>['regret', 'Provider', 'Telkomsel', 'buy', 'package', 'expensive', 'network', 'ugly', 'help', 'mobility', 'a day', 'fail', ' Affairs', 'pokonya', 'kapok', 'Telkomsel', 'Telkomsel', 'account for', 'quality', 'provider', 'suggestion', 'guanakan', 'Telkomsel', 'loss', "]</v>
      </c>
      <c r="D192" s="3">
        <v>1.0</v>
      </c>
    </row>
    <row r="193" ht="15.75" customHeight="1">
      <c r="A193" s="1">
        <v>191.0</v>
      </c>
      <c r="B193" s="3" t="s">
        <v>194</v>
      </c>
      <c r="C193" s="3" t="str">
        <f>IFERROR(__xludf.DUMMYFUNCTION("GOOGLETRANSLATE(B193,""id"",""en"")"),"['Please', 'Telkomsel', 'network', 'repaired', 'SERBA', 'Slow', 'Different', 'annoying', 'process',' learn ',' please ',' Telkomsel ',' Please ',' his attention ',' seek ',' fix ',' network ',' Telkomsel ']")</f>
        <v>['Please', 'Telkomsel', 'network', 'repaired', 'SERBA', 'Slow', 'Different', 'annoying', 'process',' learn ',' please ',' Telkomsel ',' Please ',' his attention ',' seek ',' fix ',' network ',' Telkomsel ']</v>
      </c>
      <c r="D193" s="3">
        <v>1.0</v>
      </c>
    </row>
    <row r="194" ht="15.75" customHeight="1">
      <c r="A194" s="1">
        <v>192.0</v>
      </c>
      <c r="B194" s="3" t="s">
        <v>195</v>
      </c>
      <c r="C194" s="3" t="str">
        <f>IFERROR(__xludf.DUMMYFUNCTION("GOOGLETRANSLATE(B194,""id"",""en"")"),"['Try', 'Hopefully', 'Current', 'Help', 'Star', 'installed', 'Login', 'Error', 'Hopefully', 'Current', 'star', ""]")</f>
        <v>['Try', 'Hopefully', 'Current', 'Help', 'Star', 'installed', 'Login', 'Error', 'Hopefully', 'Current', 'star', "]</v>
      </c>
      <c r="D194" s="3">
        <v>1.0</v>
      </c>
    </row>
    <row r="195" ht="15.75" customHeight="1">
      <c r="A195" s="1">
        <v>193.0</v>
      </c>
      <c r="B195" s="3" t="s">
        <v>196</v>
      </c>
      <c r="C195" s="3" t="str">
        <f>IFERROR(__xludf.DUMMYFUNCTION("GOOGLETRANSLATE(B195,""id"",""en"")"),"['quota', 'unlimited', 'play', 'game', 'ngelag', 'mulu', 'sometimes',' youtube ',' network ',' ilang ',' intention ',' gave ',' Quota ',' Bagusan ',' Network ',' Three ',' Anjirr ', ""]")</f>
        <v>['quota', 'unlimited', 'play', 'game', 'ngelag', 'mulu', 'sometimes',' youtube ',' network ',' ilang ',' intention ',' gave ',' Quota ',' Bagusan ',' Network ',' Three ',' Anjirr ', "]</v>
      </c>
      <c r="D195" s="3">
        <v>1.0</v>
      </c>
    </row>
    <row r="196" ht="15.75" customHeight="1">
      <c r="A196" s="1">
        <v>194.0</v>
      </c>
      <c r="B196" s="3" t="s">
        <v>197</v>
      </c>
      <c r="C196" s="3" t="str">
        <f>IFERROR(__xludf.DUMMYFUNCTION("GOOGLETRANSLATE(B196,""id"",""en"")"),"['Network', 'Telkomsel', 'NII', 'already', 'expensive', 'network', 'Severe', 'slow', 'please', 'crash', 'min', 'Kasian', ' Already ',' loyal ',' Telkomsel ',' ']")</f>
        <v>['Network', 'Telkomsel', 'NII', 'already', 'expensive', 'network', 'Severe', 'slow', 'please', 'crash', 'min', 'Kasian', ' Already ',' loyal ',' Telkomsel ',' ']</v>
      </c>
      <c r="D196" s="3">
        <v>1.0</v>
      </c>
    </row>
    <row r="197" ht="15.75" customHeight="1">
      <c r="A197" s="1">
        <v>195.0</v>
      </c>
      <c r="B197" s="3" t="s">
        <v>198</v>
      </c>
      <c r="C197" s="3" t="str">
        <f>IFERROR(__xludf.DUMMYFUNCTION("GOOGLETRANSLATE(B197,""id"",""en"")"),"['buy', 'package', 'unlimited', 'statement', 'unlimited', 'games',' youtube ',' boong ',' maen ',' game ',' open ',' youtube ',' Quota ',' Sumpot ',' expensive ',' really ',' price ',' Is this', 'Customer', 'Disappointed', 'Bye', 'Telkomsel', ""]")</f>
        <v>['buy', 'package', 'unlimited', 'statement', 'unlimited', 'games',' youtube ',' boong ',' maen ',' game ',' open ',' youtube ',' Quota ',' Sumpot ',' expensive ',' really ',' price ',' Is this', 'Customer', 'Disappointed', 'Bye', 'Telkomsel', "]</v>
      </c>
      <c r="D197" s="3">
        <v>1.0</v>
      </c>
    </row>
    <row r="198" ht="15.75" customHeight="1">
      <c r="A198" s="1">
        <v>196.0</v>
      </c>
      <c r="B198" s="3" t="s">
        <v>199</v>
      </c>
      <c r="C198" s="3" t="str">
        <f>IFERROR(__xludf.DUMMYFUNCTION("GOOGLETRANSLATE(B198,""id"",""en"")"),"['expensive', 'untk', 'buy', 'kouta', 'internet', 'signal', 'ganguan', 'slow', 'like', 'turtle', 'in', 'bln', ' Use ',' Credit ',' Sometimes', 'Lebilh', 'JT', 'Please', 'Fix', 'Min', 'Engine', 'Costomer', 'Disappointed', ""]")</f>
        <v>['expensive', 'untk', 'buy', 'kouta', 'internet', 'signal', 'ganguan', 'slow', 'like', 'turtle', 'in', 'bln', ' Use ',' Credit ',' Sometimes', 'Lebilh', 'JT', 'Please', 'Fix', 'Min', 'Engine', 'Costomer', 'Disappointed', "]</v>
      </c>
      <c r="D198" s="3">
        <v>1.0</v>
      </c>
    </row>
    <row r="199" ht="15.75" customHeight="1">
      <c r="A199" s="1">
        <v>197.0</v>
      </c>
      <c r="B199" s="3" t="s">
        <v>200</v>
      </c>
      <c r="C199" s="3" t="str">
        <f>IFERROR(__xludf.DUMMYFUNCTION("GOOGLETRANSLATE(B199,""id"",""en"")"),"['Dlm', 'BBR', 'Network', 'Internet', 'Telkomsel', 'Region', 'Banda', 'Aceh', 'Aceh', 'bad', 'alarming', 'BLM', ' Responses', 'anything', 'Telkomsel', 'Please', 'responded', 'thank', 'love']")</f>
        <v>['Dlm', 'BBR', 'Network', 'Internet', 'Telkomsel', 'Region', 'Banda', 'Aceh', 'Aceh', 'bad', 'alarming', 'BLM', ' Responses', 'anything', 'Telkomsel', 'Please', 'responded', 'thank', 'love']</v>
      </c>
      <c r="D199" s="3">
        <v>1.0</v>
      </c>
    </row>
    <row r="200" ht="15.75" customHeight="1">
      <c r="A200" s="1">
        <v>198.0</v>
      </c>
      <c r="B200" s="3" t="s">
        <v>201</v>
      </c>
      <c r="C200" s="3" t="str">
        <f>IFERROR(__xludf.DUMMYFUNCTION("GOOGLETRANSLATE(B200,""id"",""en"")"),"['Complaint', 'Sorry', 'Action', 'Naises',' Region ',' Looks', 'Evenly', 'Telfon', 'Customer', 'Service', 'Please', 'Turn Off', ' Settings', 'APN', 'Solution', 'Fix', 'Quality', 'Network']")</f>
        <v>['Complaint', 'Sorry', 'Action', 'Naises',' Region ',' Looks', 'Evenly', 'Telfon', 'Customer', 'Service', 'Please', 'Turn Off', ' Settings', 'APN', 'Solution', 'Fix', 'Quality', 'Network']</v>
      </c>
      <c r="D200" s="3">
        <v>1.0</v>
      </c>
    </row>
    <row r="201" ht="15.75" customHeight="1">
      <c r="A201" s="1">
        <v>199.0</v>
      </c>
      <c r="B201" s="3" t="s">
        <v>202</v>
      </c>
      <c r="C201" s="3" t="str">
        <f>IFERROR(__xludf.DUMMYFUNCTION("GOOGLETRANSLATE(B201,""id"",""en"")"),"['Telkomsel', 'slow', 'network', 'sinyel', 'full', 'slow', 'no', 'hbis',' think ',' udh ',' telephone ',' operator ',' BLM ',' Solution ',' Discover ',' skrg ',' ']")</f>
        <v>['Telkomsel', 'slow', 'network', 'sinyel', 'full', 'slow', 'no', 'hbis',' think ',' udh ',' telephone ',' operator ',' BLM ',' Solution ',' Discover ',' skrg ',' ']</v>
      </c>
      <c r="D201" s="3">
        <v>1.0</v>
      </c>
    </row>
    <row r="202" ht="15.75" customHeight="1">
      <c r="A202" s="1">
        <v>200.0</v>
      </c>
      <c r="B202" s="3" t="s">
        <v>203</v>
      </c>
      <c r="C202" s="3" t="str">
        <f>IFERROR(__xludf.DUMMYFUNCTION("GOOGLETRANSLATE(B202,""id"",""en"")"),"['thank', 'love', 'application', 'makes it easy', 'search', 'choice', 'kouta', 'package', 'data', 'hope', 'derivative', 'price', ' Buy ',' Package ',' Data ',' ']")</f>
        <v>['thank', 'love', 'application', 'makes it easy', 'search', 'choice', 'kouta', 'package', 'data', 'hope', 'derivative', 'price', ' Buy ',' Package ',' Data ',' ']</v>
      </c>
      <c r="D202" s="3">
        <v>5.0</v>
      </c>
    </row>
    <row r="203" ht="15.75" customHeight="1">
      <c r="A203" s="1">
        <v>201.0</v>
      </c>
      <c r="B203" s="3" t="s">
        <v>204</v>
      </c>
      <c r="C203" s="3" t="str">
        <f>IFERROR(__xludf.DUMMYFUNCTION("GOOGLETRANSLATE(B203,""id"",""en"")"),"['Telkomsel', 'package', 'fast', 'run out', 'usage', 'normal', 'signal', 'Telkomsel', 'tends',' good ',' please ',' fix ',' Providers', 'Indonesia', 'Signal', 'Good', '']")</f>
        <v>['Telkomsel', 'package', 'fast', 'run out', 'usage', 'normal', 'signal', 'Telkomsel', 'tends',' good ',' please ',' fix ',' Providers', 'Indonesia', 'Signal', 'Good', '']</v>
      </c>
      <c r="D203" s="3">
        <v>1.0</v>
      </c>
    </row>
    <row r="204" ht="15.75" customHeight="1">
      <c r="A204" s="1">
        <v>202.0</v>
      </c>
      <c r="B204" s="3" t="s">
        <v>205</v>
      </c>
      <c r="C204" s="3" t="str">
        <f>IFERROR(__xludf.DUMMYFUNCTION("GOOGLETRANSLATE(B204,""id"",""en"")"),"['sympathy', 'loop', 'tissue', 'broken', 'broken', 'lalod', 'network', 'already', 'connection', 'smooth', 'his web', 'sekrang', ' network ',' home ',' package ',' grab ',' thousand ',' sympathy ',' loop ',' GB ',' please ',' check ',' thank you ']")</f>
        <v>['sympathy', 'loop', 'tissue', 'broken', 'broken', 'lalod', 'network', 'already', 'connection', 'smooth', 'his web', 'sekrang', ' network ',' home ',' package ',' grab ',' thousand ',' sympathy ',' loop ',' GB ',' please ',' check ',' thank you ']</v>
      </c>
      <c r="D204" s="3">
        <v>1.0</v>
      </c>
    </row>
    <row r="205" ht="15.75" customHeight="1">
      <c r="A205" s="1">
        <v>203.0</v>
      </c>
      <c r="B205" s="3" t="s">
        <v>206</v>
      </c>
      <c r="C205" s="3" t="str">
        <f>IFERROR(__xludf.DUMMYFUNCTION("GOOGLETRANSLATE(B205,""id"",""en"")"),"['Severe', 'really', 'Telkomsel', 'Kayak', 'network', 'Telkomsel', 'stable', 'customers',' Telkomsel ',' already ',' disappointed ',' win ',' expensive ',' doang ',' according to ',' performance ',' network ',' thank you ',' ']")</f>
        <v>['Severe', 'really', 'Telkomsel', 'Kayak', 'network', 'Telkomsel', 'stable', 'customers',' Telkomsel ',' already ',' disappointed ',' win ',' expensive ',' doang ',' according to ',' performance ',' network ',' thank you ',' ']</v>
      </c>
      <c r="D205" s="3">
        <v>1.0</v>
      </c>
    </row>
    <row r="206" ht="15.75" customHeight="1">
      <c r="A206" s="1">
        <v>204.0</v>
      </c>
      <c r="B206" s="3" t="s">
        <v>207</v>
      </c>
      <c r="C206" s="3" t="str">
        <f>IFERROR(__xludf.DUMMYFUNCTION("GOOGLETRANSLATE(B206,""id"",""en"")"),"['morning', 'buy', 'package', 'phone', 'clock', 'run out', 'not', 'clock', 'afternoon', 'phone', 'balance', 'pulse', ' Steal ',' please ',' Telkomsel ',' Tipu ',' That's', 'Times',' ']")</f>
        <v>['morning', 'buy', 'package', 'phone', 'clock', 'run out', 'not', 'clock', 'afternoon', 'phone', 'balance', 'pulse', ' Steal ',' please ',' Telkomsel ',' Tipu ',' That's', 'Times',' ']</v>
      </c>
      <c r="D206" s="3">
        <v>1.0</v>
      </c>
    </row>
    <row r="207" ht="15.75" customHeight="1">
      <c r="A207" s="1">
        <v>205.0</v>
      </c>
      <c r="B207" s="3" t="s">
        <v>208</v>
      </c>
      <c r="C207" s="3" t="str">
        <f>IFERROR(__xludf.DUMMYFUNCTION("GOOGLETRANSLATE(B207,""id"",""en"")"),"['Please', 'Assisted', 'Fix', 'Network', 'Telkomsel', 'Sunday', 'Bad', 'Disappointed', 'Increasing', 'Quota', 'Expensive', 'Good', ' The opposite is', '']")</f>
        <v>['Please', 'Assisted', 'Fix', 'Network', 'Telkomsel', 'Sunday', 'Bad', 'Disappointed', 'Increasing', 'Quota', 'Expensive', 'Good', ' The opposite is', '']</v>
      </c>
      <c r="D207" s="3">
        <v>1.0</v>
      </c>
    </row>
    <row r="208" ht="15.75" customHeight="1">
      <c r="A208" s="1">
        <v>206.0</v>
      </c>
      <c r="B208" s="3" t="s">
        <v>209</v>
      </c>
      <c r="C208" s="3" t="str">
        <f>IFERROR(__xludf.DUMMYFUNCTION("GOOGLETRANSLATE(B208,""id"",""en"")"),"['Hello', 'Inggin', 'Talk', 'Telkomsel', 'signal', 'missing', 'quota', 'mumbazir', 'please', 'right', 'implicitly', ' Tasting ',' Thanks', '']")</f>
        <v>['Hello', 'Inggin', 'Talk', 'Telkomsel', 'signal', 'missing', 'quota', 'mumbazir', 'please', 'right', 'implicitly', ' Tasting ',' Thanks', '']</v>
      </c>
      <c r="D208" s="3">
        <v>1.0</v>
      </c>
    </row>
    <row r="209" ht="15.75" customHeight="1">
      <c r="A209" s="1">
        <v>207.0</v>
      </c>
      <c r="B209" s="3" t="s">
        <v>210</v>
      </c>
      <c r="C209" s="3" t="str">
        <f>IFERROR(__xludf.DUMMYFUNCTION("GOOGLETRANSLATE(B209,""id"",""en"")"),"['please', 'love', 'mission', 'easy', 'quota', 'free', 'MB', 'already', 'want', 'no', 'waste', 'buy', ' quota ',' please ',' free ',' apdate ',' agree ',' no ', ""]")</f>
        <v>['please', 'love', 'mission', 'easy', 'quota', 'free', 'MB', 'already', 'want', 'no', 'waste', 'buy', ' quota ',' please ',' free ',' apdate ',' agree ',' no ', "]</v>
      </c>
      <c r="D209" s="3">
        <v>5.0</v>
      </c>
    </row>
    <row r="210" ht="15.75" customHeight="1">
      <c r="A210" s="1">
        <v>208.0</v>
      </c>
      <c r="B210" s="3" t="s">
        <v>211</v>
      </c>
      <c r="C210" s="3" t="str">
        <f>IFERROR(__xludf.DUMMYFUNCTION("GOOGLETRANSLATE(B210,""id"",""en"")"),"['', 'Package', 'Game', 'Max', 'Use', 'Min', 'Please', 'Min', 'Package', 'Regular', 'Out', 'Remnant', 'Package ',' gamemax ',' connection ',' game ',' right ',' use ',' min ']")</f>
        <v>['', 'Package', 'Game', 'Max', 'Use', 'Min', 'Please', 'Min', 'Package', 'Regular', 'Out', 'Remnant', 'Package ',' gamemax ',' connection ',' game ',' right ',' use ',' min ']</v>
      </c>
      <c r="D210" s="3">
        <v>4.0</v>
      </c>
    </row>
    <row r="211" ht="15.75" customHeight="1">
      <c r="A211" s="1">
        <v>209.0</v>
      </c>
      <c r="B211" s="3" t="s">
        <v>212</v>
      </c>
      <c r="C211" s="3" t="str">
        <f>IFERROR(__xludf.DUMMYFUNCTION("GOOGLETRANSLATE(B211,""id"",""en"")"),"['embarrassing', 'admit', 'signal', 'signal', 'ilang', 'November', 'mulu', 'slow', 'forgiveness',' until ',' hrs', 'install', ' Application ',' additional ',' signal ',' stable ',' ngefek ',' emang ',' signal ',' ilang ',' mulu ',' work ',' disappointing "&amp;"',' ']")</f>
        <v>['embarrassing', 'admit', 'signal', 'signal', 'ilang', 'November', 'mulu', 'slow', 'forgiveness',' until ',' hrs', 'install', ' Application ',' additional ',' signal ',' stable ',' ngefek ',' emang ',' signal ',' ilang ',' mulu ',' work ',' disappointing ',' ']</v>
      </c>
      <c r="D211" s="3">
        <v>1.0</v>
      </c>
    </row>
    <row r="212" ht="15.75" customHeight="1">
      <c r="A212" s="1">
        <v>210.0</v>
      </c>
      <c r="B212" s="3" t="s">
        <v>213</v>
      </c>
      <c r="C212" s="3" t="str">
        <f>IFERROR(__xludf.DUMMYFUNCTION("GOOGLETRANSLATE(B212,""id"",""en"")"),"['Sangaaatt', 'Sangaaaattt', 'Choke out', 'quota', 'unlimited', 'RB', 'GB', 'unlimited', 'buy', 'ngeleg', 'Maen', 'mobile', ' Legend ',' paraaahhhh ',' fix ',' replace ',' card ',' disappointing ',' users', 'Telkomsel', 'many years',' baribbb ',' ']")</f>
        <v>['Sangaaatt', 'Sangaaaattt', 'Choke out', 'quota', 'unlimited', 'RB', 'GB', 'unlimited', 'buy', 'ngeleg', 'Maen', 'mobile', ' Legend ',' paraaahhhh ',' fix ',' replace ',' card ',' disappointing ',' users', 'Telkomsel', 'many years',' baribbb ',' ']</v>
      </c>
      <c r="D212" s="3">
        <v>1.0</v>
      </c>
    </row>
    <row r="213" ht="15.75" customHeight="1">
      <c r="A213" s="1">
        <v>211.0</v>
      </c>
      <c r="B213" s="3" t="s">
        <v>214</v>
      </c>
      <c r="C213" s="3" t="str">
        <f>IFERROR(__xludf.DUMMYFUNCTION("GOOGLETRANSLATE(B213,""id"",""en"")"),"['no', 'understand', 'Telkomsel', 'repeat', 'times',' buy ',' package ',' data ',' notification ',' success', 'quota', 'enter', ' Come ',' signal ',' bad ',' Please ',' Attention ',' admin ',' Telkomsel ']")</f>
        <v>['no', 'understand', 'Telkomsel', 'repeat', 'times',' buy ',' package ',' data ',' notification ',' success', 'quota', 'enter', ' Come ',' signal ',' bad ',' Please ',' Attention ',' admin ',' Telkomsel ']</v>
      </c>
      <c r="D213" s="3">
        <v>1.0</v>
      </c>
    </row>
    <row r="214" ht="15.75" customHeight="1">
      <c r="A214" s="1">
        <v>212.0</v>
      </c>
      <c r="B214" s="3" t="s">
        <v>215</v>
      </c>
      <c r="C214" s="3" t="str">
        <f>IFERROR(__xludf.DUMMYFUNCTION("GOOGLETRANSLATE(B214,""id"",""en"")"),"['quota', 'unlimited', 'written', 'chat', 'Music', 'games', 'sosmed', 'youtube', 'sosmed', 'thx']")</f>
        <v>['quota', 'unlimited', 'written', 'chat', 'Music', 'games', 'sosmed', 'youtube', 'sosmed', 'thx']</v>
      </c>
      <c r="D214" s="3">
        <v>4.0</v>
      </c>
    </row>
    <row r="215" ht="15.75" customHeight="1">
      <c r="A215" s="1">
        <v>213.0</v>
      </c>
      <c r="B215" s="3" t="s">
        <v>216</v>
      </c>
      <c r="C215" s="3" t="str">
        <f>IFERROR(__xludf.DUMMYFUNCTION("GOOGLETRANSLATE(B215,""id"",""en"")"),"['error', 'how', 'buy', 'package', 'promo', 'obstacle', '']")</f>
        <v>['error', 'how', 'buy', 'package', 'promo', 'obstacle', '']</v>
      </c>
      <c r="D215" s="3">
        <v>3.0</v>
      </c>
    </row>
    <row r="216" ht="15.75" customHeight="1">
      <c r="A216" s="1">
        <v>214.0</v>
      </c>
      <c r="B216" s="3" t="s">
        <v>217</v>
      </c>
      <c r="C216" s="3" t="str">
        <f>IFERROR(__xludf.DUMMYFUNCTION("GOOGLETRANSLATE(B216,""id"",""en"")"),"['The application', 'heavy', 'open', 'menu', 'menu', 'slow', 'play', 'game', 'smooth', 'smooth', 'the application', 'slow', ' Application ',' Check ',' Quota ',' Lemot ',' ']")</f>
        <v>['The application', 'heavy', 'open', 'menu', 'menu', 'slow', 'play', 'game', 'smooth', 'smooth', 'the application', 'slow', ' Application ',' Check ',' Quota ',' Lemot ',' ']</v>
      </c>
      <c r="D216" s="3">
        <v>1.0</v>
      </c>
    </row>
    <row r="217" ht="15.75" customHeight="1">
      <c r="A217" s="1">
        <v>215.0</v>
      </c>
      <c r="B217" s="3" t="s">
        <v>218</v>
      </c>
      <c r="C217" s="3" t="str">
        <f>IFERROR(__xludf.DUMMYFUNCTION("GOOGLETRANSLATE(B217,""id"",""en"")"),"['The application', 'error', 'buy', 'package', 'internet', 'process',' then ',' direct ',' notif ',' sms', 'direct', 'gini', ' cards', 'already', 'Taunan', 'Dipake', 'here', '']")</f>
        <v>['The application', 'error', 'buy', 'package', 'internet', 'process',' then ',' direct ',' notif ',' sms', 'direct', 'gini', ' cards', 'already', 'Taunan', 'Dipake', 'here', '']</v>
      </c>
      <c r="D217" s="3">
        <v>1.0</v>
      </c>
    </row>
    <row r="218" ht="15.75" customHeight="1">
      <c r="A218" s="1">
        <v>216.0</v>
      </c>
      <c r="B218" s="3" t="s">
        <v>219</v>
      </c>
      <c r="C218" s="3" t="str">
        <f>IFERROR(__xludf.DUMMYFUNCTION("GOOGLETRANSLATE(B218,""id"",""en"")"),"['', 'buy', 'package', 'unlimited', 'printed', 'package', 'main', 'first', 'run out', 'trs',' bgtu ',' package ',' main ',' out ',' get ',' unlimited ',' turn ',' package ',' unlimited ',' sync ',' signal ',' ugly ',' open ',' sosmed ',' difficult ', 'goo"&amp;"d', 'how', 'emang', 'unlimited', 'choice', 'package', 'GTU', 'disappointed', ""]")</f>
        <v>['', 'buy', 'package', 'unlimited', 'printed', 'package', 'main', 'first', 'run out', 'trs',' bgtu ',' package ',' main ',' out ',' get ',' unlimited ',' turn ',' package ',' unlimited ',' sync ',' signal ',' ugly ',' open ',' sosmed ',' difficult ', 'good', 'how', 'emang', 'unlimited', 'choice', 'package', 'GTU', 'disappointed', "]</v>
      </c>
      <c r="D218" s="3">
        <v>1.0</v>
      </c>
    </row>
    <row r="219" ht="15.75" customHeight="1">
      <c r="A219" s="1">
        <v>217.0</v>
      </c>
      <c r="B219" s="3" t="s">
        <v>220</v>
      </c>
      <c r="C219" s="3" t="str">
        <f>IFERROR(__xludf.DUMMYFUNCTION("GOOGLETRANSLATE(B219,""id"",""en"")"),"['Package', 'data', 'open', 'package', 'data', 'run', 'application', 'stop', 'background', 'consume', 'package', 'data', ' Fix ',' please ']")</f>
        <v>['Package', 'data', 'open', 'package', 'data', 'run', 'application', 'stop', 'background', 'consume', 'package', 'data', ' Fix ',' please ']</v>
      </c>
      <c r="D219" s="3">
        <v>1.0</v>
      </c>
    </row>
    <row r="220" ht="15.75" customHeight="1">
      <c r="A220" s="1">
        <v>218.0</v>
      </c>
      <c r="B220" s="3" t="s">
        <v>221</v>
      </c>
      <c r="C220" s="3" t="str">
        <f>IFERROR(__xludf.DUMMYFUNCTION("GOOGLETRANSLATE(B220,""id"",""en"")"),"['love', 'star', 'connection', 'internet', 'slow', 'clock', 'hour', 'buy', 'quota', 'full', 'service', 'division', ' quota', '']")</f>
        <v>['love', 'star', 'connection', 'internet', 'slow', 'clock', 'hour', 'buy', 'quota', 'full', 'service', 'division', ' quota', '']</v>
      </c>
      <c r="D220" s="3">
        <v>2.0</v>
      </c>
    </row>
    <row r="221" ht="15.75" customHeight="1">
      <c r="A221" s="1">
        <v>219.0</v>
      </c>
      <c r="B221" s="3" t="s">
        <v>222</v>
      </c>
      <c r="C221" s="3" t="str">
        <f>IFERROR(__xludf.DUMMYFUNCTION("GOOGLETRANSLATE(B221,""id"",""en"")"),"['application', 'Indonesia', 'Negri', 'right', 'enter', 'Language', 'English', 'apk', 'indo', 'language', 'indo', 'apk', ' Negri ',' MSLH ',' Badkkkkkkkk ',' oath ',' Raying ']")</f>
        <v>['application', 'Indonesia', 'Negri', 'right', 'enter', 'Language', 'English', 'apk', 'indo', 'language', 'indo', 'apk', ' Negri ',' MSLH ',' Badkkkkkkkk ',' oath ',' Raying ']</v>
      </c>
      <c r="D221" s="3">
        <v>1.0</v>
      </c>
    </row>
    <row r="222" ht="15.75" customHeight="1">
      <c r="A222" s="1">
        <v>220.0</v>
      </c>
      <c r="B222" s="3" t="s">
        <v>223</v>
      </c>
      <c r="C222" s="3" t="str">
        <f>IFERROR(__xludf.DUMMYFUNCTION("GOOGLETRANSLATE(B222,""id"",""en"")"),"['Weekly', 'Weekly', 'Driver', 'Time', 'Thinking', 'Pandemic', 'Difficult', 'Look', 'Money', 'Driver', 'Online', 'Disappointed', ' ']")</f>
        <v>['Weekly', 'Weekly', 'Driver', 'Time', 'Thinking', 'Pandemic', 'Difficult', 'Look', 'Money', 'Driver', 'Online', 'Disappointed', ' ']</v>
      </c>
      <c r="D222" s="3">
        <v>1.0</v>
      </c>
    </row>
    <row r="223" ht="15.75" customHeight="1">
      <c r="A223" s="1">
        <v>221.0</v>
      </c>
      <c r="B223" s="3" t="s">
        <v>224</v>
      </c>
      <c r="C223" s="3" t="str">
        <f>IFERROR(__xludf.DUMMYFUNCTION("GOOGLETRANSLATE(B223,""id"",""en"")"),"['no', 'intention', 'fix', 'speed', 'internet', 'area', 'min', 'no', 'yaudah', 'replace', 'provider', 'thank you', ' Emotions', 'speed', 'internet', 'according to', 'expect']")</f>
        <v>['no', 'intention', 'fix', 'speed', 'internet', 'area', 'min', 'no', 'yaudah', 'replace', 'provider', 'thank you', ' Emotions', 'speed', 'internet', 'according to', 'expect']</v>
      </c>
      <c r="D223" s="3">
        <v>1.0</v>
      </c>
    </row>
    <row r="224" ht="15.75" customHeight="1">
      <c r="A224" s="1">
        <v>222.0</v>
      </c>
      <c r="B224" s="3" t="s">
        <v>225</v>
      </c>
      <c r="C224" s="3" t="str">
        <f>IFERROR(__xludf.DUMMYFUNCTION("GOOGLETRANSLATE(B224,""id"",""en"")"),"['application', 'annoying', 'application', 'Gopartner', 'apk', 'Gopartner', 'off', 'repeat', 'reset', 'signal', 'internet', 'ugly', ' ']")</f>
        <v>['application', 'annoying', 'application', 'Gopartner', 'apk', 'Gopartner', 'off', 'repeat', 'reset', 'signal', 'internet', 'ugly', ' ']</v>
      </c>
      <c r="D224" s="3">
        <v>1.0</v>
      </c>
    </row>
    <row r="225" ht="15.75" customHeight="1">
      <c r="A225" s="1">
        <v>223.0</v>
      </c>
      <c r="B225" s="3" t="s">
        <v>226</v>
      </c>
      <c r="C225" s="3" t="str">
        <f>IFERROR(__xludf.DUMMYFUNCTION("GOOGLETRANSLATE(B225,""id"",""en"")"),"['type', 'card', 'Telkomsel', 'price', 'package', 'internet', 'Different', 'package', 'internet', 'card', 'Telkomsel', 'expensive', ' Compared to ',' card ',' Telkomsel ',' type ',' card ']")</f>
        <v>['type', 'card', 'Telkomsel', 'price', 'package', 'internet', 'Different', 'package', 'internet', 'card', 'Telkomsel', 'expensive', ' Compared to ',' card ',' Telkomsel ',' type ',' card ']</v>
      </c>
      <c r="D225" s="3">
        <v>1.0</v>
      </c>
    </row>
    <row r="226" ht="15.75" customHeight="1">
      <c r="A226" s="1">
        <v>224.0</v>
      </c>
      <c r="B226" s="3" t="s">
        <v>227</v>
      </c>
      <c r="C226" s="3" t="str">
        <f>IFERROR(__xludf.DUMMYFUNCTION("GOOGLETRANSLATE(B226,""id"",""en"")"),"['Like', 'application', 'upload', 'fast', 'cheap', 'festive', 'please', 'price', 'rb', 'friend', 'buy', 'GB', ' cmn ',' cheap ',' love ',' twigs', 'star', 'like', 'application', '']")</f>
        <v>['Like', 'application', 'upload', 'fast', 'cheap', 'festive', 'please', 'price', 'rb', 'friend', 'buy', 'GB', ' cmn ',' cheap ',' love ',' twigs', 'star', 'like', 'application', '']</v>
      </c>
      <c r="D226" s="3">
        <v>5.0</v>
      </c>
    </row>
    <row r="227" ht="15.75" customHeight="1">
      <c r="A227" s="1">
        <v>225.0</v>
      </c>
      <c r="B227" s="3" t="s">
        <v>228</v>
      </c>
      <c r="C227" s="3" t="str">
        <f>IFERROR(__xludf.DUMMYFUNCTION("GOOGLETRANSLATE(B227,""id"",""en"")"),"['Disappointed', 'Telkomsel', 'Credit', 'Reduced', 'Quota', 'Internet', 'Credit', 'Cutting', 'Loss', ""]")</f>
        <v>['Disappointed', 'Telkomsel', 'Credit', 'Reduced', 'Quota', 'Internet', 'Credit', 'Cutting', 'Loss', "]</v>
      </c>
      <c r="D227" s="3">
        <v>1.0</v>
      </c>
    </row>
    <row r="228" ht="15.75" customHeight="1">
      <c r="A228" s="1">
        <v>226.0</v>
      </c>
      <c r="B228" s="3" t="s">
        <v>229</v>
      </c>
      <c r="C228" s="3" t="str">
        <f>IFERROR(__xludf.DUMMYFUNCTION("GOOGLETRANSLATE(B228,""id"",""en"")"),"['good', 'good', 'easy', 'operate', 'disappointed', 'package', 'internet', 'omitted', 'price', 'raised', 'example', 'GB', ' unlimited ',' missing ',' price ',' package ',' internet ',' buy ',' tmbah ',' expensive ',' ']")</f>
        <v>['good', 'good', 'easy', 'operate', 'disappointed', 'package', 'internet', 'omitted', 'price', 'raised', 'example', 'GB', ' unlimited ',' missing ',' price ',' package ',' internet ',' buy ',' tmbah ',' expensive ',' ']</v>
      </c>
      <c r="D228" s="3">
        <v>3.0</v>
      </c>
    </row>
    <row r="229" ht="15.75" customHeight="1">
      <c r="A229" s="1">
        <v>227.0</v>
      </c>
      <c r="B229" s="3" t="s">
        <v>230</v>
      </c>
      <c r="C229" s="3" t="str">
        <f>IFERROR(__xludf.DUMMYFUNCTION("GOOGLETRANSLATE(B229,""id"",""en"")"),"['Network', 'Telkomsel', 'bad', 'initiative', 'kah', 'fix', 'network', 'person', 'wear', 'Telkomsel', 'region', 'rural', ' Expand ',' Network ',' Wear ',' Internet ',' Over ',' Hopefully ',' Helpful ',' Telkmsel ', ""]")</f>
        <v>['Network', 'Telkomsel', 'bad', 'initiative', 'kah', 'fix', 'network', 'person', 'wear', 'Telkomsel', 'region', 'rural', ' Expand ',' Network ',' Wear ',' Internet ',' Over ',' Hopefully ',' Helpful ',' Telkmsel ', "]</v>
      </c>
      <c r="D229" s="3">
        <v>1.0</v>
      </c>
    </row>
    <row r="230" ht="15.75" customHeight="1">
      <c r="A230" s="1">
        <v>228.0</v>
      </c>
      <c r="B230" s="3" t="s">
        <v>231</v>
      </c>
      <c r="C230" s="3" t="str">
        <f>IFERROR(__xludf.DUMMYFUNCTION("GOOGLETRANSLATE(B230,""id"",""en"")"),"['Please', 'Add', 'Button', 'Change', 'Package', 'Package', 'Unlimited', 'Download', 'Queuse', 'Unlimited', 'Jadiiii', 'Please', ' button ',' switch ',' package ',' UDH ',' expensive ',' satisfying ']")</f>
        <v>['Please', 'Add', 'Button', 'Change', 'Package', 'Package', 'Unlimited', 'Download', 'Queuse', 'Unlimited', 'Jadiiii', 'Please', ' button ',' switch ',' package ',' UDH ',' expensive ',' satisfying ']</v>
      </c>
      <c r="D230" s="3">
        <v>1.0</v>
      </c>
    </row>
    <row r="231" ht="15.75" customHeight="1">
      <c r="A231" s="1">
        <v>229.0</v>
      </c>
      <c r="B231" s="3" t="s">
        <v>232</v>
      </c>
      <c r="C231" s="3" t="str">
        <f>IFERROR(__xludf.DUMMYFUNCTION("GOOGLETRANSLATE(B231,""id"",""en"")"),"['Love', 'Bintang', 'The network', 'repaired', 'network', 'Diberinin', 'promotion', 'Mulu', 'MINTAIN', 'User', 'TLKMSL', 'Need', ' network ',' good ',' promotion ',' good ',' wanted ',' talking ',' rough ',' kaga ',' heard ',' only ',' sek ',' gini ',' gi"&amp;"ni ',' love ' , 'star', '']")</f>
        <v>['Love', 'Bintang', 'The network', 'repaired', 'network', 'Diberinin', 'promotion', 'Mulu', 'MINTAIN', 'User', 'TLKMSL', 'Need', ' network ',' good ',' promotion ',' good ',' wanted ',' talking ',' rough ',' kaga ',' heard ',' only ',' sek ',' gini ',' gini ',' love ' , 'star', '']</v>
      </c>
      <c r="D231" s="3">
        <v>1.0</v>
      </c>
    </row>
    <row r="232" ht="15.75" customHeight="1">
      <c r="A232" s="1">
        <v>230.0</v>
      </c>
      <c r="B232" s="3" t="s">
        <v>233</v>
      </c>
      <c r="C232" s="3" t="str">
        <f>IFERROR(__xludf.DUMMYFUNCTION("GOOGLETRANSLATE(B232,""id"",""en"")"),"['Alhamdulillah', 'Network', 'Telkomsel', 'TKP', 'Kenceng', 'Thank you', 'Application', 'Telkomsel', 'Application', 'Purchase', 'Credit', 'Quota', ' Easy ',' practical ',' ']")</f>
        <v>['Alhamdulillah', 'Network', 'Telkomsel', 'TKP', 'Kenceng', 'Thank you', 'Application', 'Telkomsel', 'Application', 'Purchase', 'Credit', 'Quota', ' Easy ',' practical ',' ']</v>
      </c>
      <c r="D232" s="3">
        <v>5.0</v>
      </c>
    </row>
    <row r="233" ht="15.75" customHeight="1">
      <c r="A233" s="1">
        <v>231.0</v>
      </c>
      <c r="B233" s="3" t="s">
        <v>234</v>
      </c>
      <c r="C233" s="3" t="str">
        <f>IFERROR(__xludf.DUMMYFUNCTION("GOOGLETRANSLATE(B233,""id"",""en"")"),"['asuuuu', 'bad', 'signal', 'expensive', 'doang', 'good', 'kyk', '']")</f>
        <v>['asuuuu', 'bad', 'signal', 'expensive', 'doang', 'good', 'kyk', '']</v>
      </c>
      <c r="D233" s="3">
        <v>1.0</v>
      </c>
    </row>
    <row r="234" ht="15.75" customHeight="1">
      <c r="A234" s="1">
        <v>232.0</v>
      </c>
      <c r="B234" s="3" t="s">
        <v>235</v>
      </c>
      <c r="C234" s="3" t="str">
        <f>IFERROR(__xludf.DUMMYFUNCTION("GOOGLETRANSLATE(B234,""id"",""en"")"),"['Telkomsel', 'Keapasih', 'Difficult', 'Transfer', 'Pulse', 'Operator', 'Dimytelkomsel', 'Choice', 'Pas',' Try ',' Failed ',' Please ',' Mimin ',' repaired ',' again ', ""]")</f>
        <v>['Telkomsel', 'Keapasih', 'Difficult', 'Transfer', 'Pulse', 'Operator', 'Dimytelkomsel', 'Choice', 'Pas',' Try ',' Failed ',' Please ',' Mimin ',' repaired ',' again ', "]</v>
      </c>
      <c r="D234" s="3">
        <v>1.0</v>
      </c>
    </row>
    <row r="235" ht="15.75" customHeight="1">
      <c r="A235" s="1">
        <v>233.0</v>
      </c>
      <c r="B235" s="3" t="s">
        <v>236</v>
      </c>
      <c r="C235" s="3" t="str">
        <f>IFERROR(__xludf.DUMMYFUNCTION("GOOGLETRANSLATE(B235,""id"",""en"")"),"['signal', 'Telkomsel', 'jalin', 'relationship', 'bad', 'signal', 'comparable', 'effort', 'me', 'buy', 'package', 'blur', ' I ',' Rich ',' Gini ',' Signal ',' Season ',' Season ',' Already ',' Mending ',' Ngahahan ', ""]")</f>
        <v>['signal', 'Telkomsel', 'jalin', 'relationship', 'bad', 'signal', 'comparable', 'effort', 'me', 'buy', 'package', 'blur', ' I ',' Rich ',' Gini ',' Signal ',' Season ',' Season ',' Already ',' Mending ',' Ngahahan ', "]</v>
      </c>
      <c r="D235" s="3">
        <v>1.0</v>
      </c>
    </row>
    <row r="236" ht="15.75" customHeight="1">
      <c r="A236" s="1">
        <v>234.0</v>
      </c>
      <c r="B236" s="3" t="s">
        <v>237</v>
      </c>
      <c r="C236" s="3" t="str">
        <f>IFERROR(__xludf.DUMMYFUNCTION("GOOGLETRANSLATE(B236,""id"",""en"")"),"['Help', 'Bangat', 'bother', 'bother', 'nge', 'check', 'pulse', 'quota', 'stay', 'open', 'apk', 'direct', ' Information ',' Package ',' Phone ',' SMS ',' Internet ',' Remnant ',' Credit ',' Register ',' Package ',' Cuman ',' Price ',' Package ',' Expensiv"&amp;"e ' , 'Bat', '']")</f>
        <v>['Help', 'Bangat', 'bother', 'bother', 'nge', 'check', 'pulse', 'quota', 'stay', 'open', 'apk', 'direct', ' Information ',' Package ',' Phone ',' SMS ',' Internet ',' Remnant ',' Credit ',' Register ',' Package ',' Cuman ',' Price ',' Package ',' Expensive ' , 'Bat', '']</v>
      </c>
      <c r="D236" s="3">
        <v>5.0</v>
      </c>
    </row>
    <row r="237" ht="15.75" customHeight="1">
      <c r="A237" s="1">
        <v>235.0</v>
      </c>
      <c r="B237" s="3" t="s">
        <v>238</v>
      </c>
      <c r="C237" s="3" t="str">
        <f>IFERROR(__xludf.DUMMYFUNCTION("GOOGLETRANSLATE(B237,""id"",""en"")"),"['Sousiny', 'rotten', 'really', 'mbok', 'update', 'improvement', 'network', 'love', 'my area', 'smooth', 'Bae', 'lazy', ' slow ',' gini ']")</f>
        <v>['Sousiny', 'rotten', 'really', 'mbok', 'update', 'improvement', 'network', 'love', 'my area', 'smooth', 'Bae', 'lazy', ' slow ',' gini ']</v>
      </c>
      <c r="D237" s="3">
        <v>3.0</v>
      </c>
    </row>
    <row r="238" ht="15.75" customHeight="1">
      <c r="A238" s="1">
        <v>236.0</v>
      </c>
      <c r="B238" s="3" t="s">
        <v>239</v>
      </c>
      <c r="C238" s="3" t="str">
        <f>IFERROR(__xludf.DUMMYFUNCTION("GOOGLETRANSLATE(B238,""id"",""en"")"),"['times',' chek ',' buy ',' package ',' pulse ',' already ',' chick ',' automatic ',' buy ',' pulse ',' turn ',' already ',' buy ',' package ',' leftover ',' pulse ',' sumps', 'wants',' Telkomsel ',' eyes', 'pulsaan', ""]")</f>
        <v>['times',' chek ',' buy ',' package ',' pulse ',' already ',' chick ',' automatic ',' buy ',' pulse ',' turn ',' already ',' buy ',' package ',' leftover ',' pulse ',' sumps', 'wants',' Telkomsel ',' eyes', 'pulsaan', "]</v>
      </c>
      <c r="D238" s="3">
        <v>1.0</v>
      </c>
    </row>
    <row r="239" ht="15.75" customHeight="1">
      <c r="A239" s="1">
        <v>237.0</v>
      </c>
      <c r="B239" s="3" t="s">
        <v>240</v>
      </c>
      <c r="C239" s="3" t="str">
        <f>IFERROR(__xludf.DUMMYFUNCTION("GOOGLETRANSLATE(B239,""id"",""en"")"),"['contents',' pulses', 'buy', 'package', 'offered', 'finished', 'filled', 'pulse', 'package', 'inet', 'omg', 'buy', ' Access', 'Choice', 'Combosakti', 'nominal', 'top', 'buy', 'extra', 'pulse', ""]")</f>
        <v>['contents',' pulses', 'buy', 'package', 'offered', 'finished', 'filled', 'pulse', 'package', 'inet', 'omg', 'buy', ' Access', 'Choice', 'Combosakti', 'nominal', 'top', 'buy', 'extra', 'pulse', "]</v>
      </c>
      <c r="D239" s="3">
        <v>3.0</v>
      </c>
    </row>
    <row r="240" ht="15.75" customHeight="1">
      <c r="A240" s="1">
        <v>238.0</v>
      </c>
      <c r="B240" s="3" t="s">
        <v>241</v>
      </c>
      <c r="C240" s="3" t="str">
        <f>IFERROR(__xludf.DUMMYFUNCTION("GOOGLETRANSLATE(B240,""id"",""en"")"),"['', 'Bandung', 'West', 'signal', 'Telkomsel', 'bad', 'good', 'clock', 'night', 'until', 'morning', 'signal', 'advertising ',' signal ',' strong ',' mah ',' no ',' ']")</f>
        <v>['', 'Bandung', 'West', 'signal', 'Telkomsel', 'bad', 'good', 'clock', 'night', 'until', 'morning', 'signal', 'advertising ',' signal ',' strong ',' mah ',' no ',' ']</v>
      </c>
      <c r="D240" s="3">
        <v>1.0</v>
      </c>
    </row>
    <row r="241" ht="15.75" customHeight="1">
      <c r="A241" s="1">
        <v>239.0</v>
      </c>
      <c r="B241" s="3" t="s">
        <v>242</v>
      </c>
      <c r="C241" s="3" t="str">
        <f>IFERROR(__xludf.DUMMYFUNCTION("GOOGLETRANSLATE(B241,""id"",""en"")"),"['promo', 'Package', 'Call', 'Customer', 'Like', 'Use', 'Data', 'Telkomsel', 'wasteful', 'Market', 'As',' Giving ',' Promo ']")</f>
        <v>['promo', 'Package', 'Call', 'Customer', 'Like', 'Use', 'Data', 'Telkomsel', 'wasteful', 'Market', 'As',' Giving ',' Promo ']</v>
      </c>
      <c r="D241" s="3">
        <v>4.0</v>
      </c>
    </row>
    <row r="242" ht="15.75" customHeight="1">
      <c r="A242" s="1">
        <v>240.0</v>
      </c>
      <c r="B242" s="3" t="s">
        <v>243</v>
      </c>
      <c r="C242" s="3" t="str">
        <f>IFERROR(__xludf.DUMMYFUNCTION("GOOGLETRANSLATE(B242,""id"",""en"")"),"['fix', 'replace', 'provider', 'guarantee', 'buy', 'quota', 'special', 'game', 'contact', 'telegram', 'messenger', 'email', ' Robot ',' Solution ',' Pantes', 'Rating', 'Down', 'Price', 'Buy', 'Disappointing', 'Consumer', 'Customer', ""]")</f>
        <v>['fix', 'replace', 'provider', 'guarantee', 'buy', 'quota', 'special', 'game', 'contact', 'telegram', 'messenger', 'email', ' Robot ',' Solution ',' Pantes', 'Rating', 'Down', 'Price', 'Buy', 'Disappointing', 'Consumer', 'Customer', "]</v>
      </c>
      <c r="D242" s="3">
        <v>1.0</v>
      </c>
    </row>
    <row r="243" ht="15.75" customHeight="1">
      <c r="A243" s="1">
        <v>241.0</v>
      </c>
      <c r="B243" s="3" t="s">
        <v>244</v>
      </c>
      <c r="C243" s="3" t="str">
        <f>IFERROR(__xludf.DUMMYFUNCTION("GOOGLETRANSLATE(B243,""id"",""en"")"),"['Heart', 'Heart', 'User', 'Card', 'SIM', 'Telkomsel', 'Filling', 'Credit', 'Wait', 'Active', 'Remnant', 'Sunday', ' fill out ',' pulse ',' broke ',' card ',' SIM ',' viral ',' theft ',' credit ',' customer ',' leftover ',' zero ',' the theft ',' theft ' "&amp;", 'God willing', 'Allah', 'Culprit', 'Read', 'Review', '']")</f>
        <v>['Heart', 'Heart', 'User', 'Card', 'SIM', 'Telkomsel', 'Filling', 'Credit', 'Wait', 'Active', 'Remnant', 'Sunday', ' fill out ',' pulse ',' broke ',' card ',' SIM ',' viral ',' theft ',' credit ',' customer ',' leftover ',' zero ',' the theft ',' theft ' , 'God willing', 'Allah', 'Culprit', 'Read', 'Review', '']</v>
      </c>
      <c r="D243" s="3">
        <v>1.0</v>
      </c>
    </row>
    <row r="244" ht="15.75" customHeight="1">
      <c r="A244" s="1">
        <v>242.0</v>
      </c>
      <c r="B244" s="3" t="s">
        <v>245</v>
      </c>
      <c r="C244" s="3" t="str">
        <f>IFERROR(__xludf.DUMMYFUNCTION("GOOGLETRANSLATE(B244,""id"",""en"")"),"['Telkomsel', 'Dear', 'let', 'Customer', 'complain', 'quality', 'network', 'Sangay', 'slow', 'slow', 'then', 'action', ' Customer ',' Leave ',' Switch ',' SIM ',' Card ',' Loss', 'Customer', 'Wear', 'Products',' Please ',' Thinking ',' Fix ',' Thank you '"&amp;" , 'Telkomsel', 'Dear', '']")</f>
        <v>['Telkomsel', 'Dear', 'let', 'Customer', 'complain', 'quality', 'network', 'Sangay', 'slow', 'slow', 'then', 'action', ' Customer ',' Leave ',' Switch ',' SIM ',' Card ',' Loss', 'Customer', 'Wear', 'Products',' Please ',' Thinking ',' Fix ',' Thank you ' , 'Telkomsel', 'Dear', '']</v>
      </c>
      <c r="D244" s="3">
        <v>1.0</v>
      </c>
    </row>
    <row r="245" ht="15.75" customHeight="1">
      <c r="A245" s="1">
        <v>243.0</v>
      </c>
      <c r="B245" s="3" t="s">
        <v>246</v>
      </c>
      <c r="C245" s="3" t="str">
        <f>IFERROR(__xludf.DUMMYFUNCTION("GOOGLETRANSLATE(B245,""id"",""en"")"),"['network', 'here', 'severe', 'pdhal', 'signal', 'strip', 'doang', 'TPI', 'bwt', 'play', 'game', 'mah', ' PTAH ',' Disappointed ',' Heavy ',' Sya ',' DRI ',' DLU ',' users', 'Telkomsel', 'TPI', 'BGNI', 'then', 'I've moved' , 'KRTU', 'prime', 'expensive', "&amp;"'TPI', 'satisfying', 'bwt', ""]")</f>
        <v>['network', 'here', 'severe', 'pdhal', 'signal', 'strip', 'doang', 'TPI', 'bwt', 'play', 'game', 'mah', ' PTAH ',' Disappointed ',' Heavy ',' Sya ',' DRI ',' DLU ',' users', 'Telkomsel', 'TPI', 'BGNI', 'then', 'I've moved' , 'KRTU', 'prime', 'expensive', 'TPI', 'satisfying', 'bwt', "]</v>
      </c>
      <c r="D245" s="3">
        <v>1.0</v>
      </c>
    </row>
    <row r="246" ht="15.75" customHeight="1">
      <c r="A246" s="1">
        <v>244.0</v>
      </c>
      <c r="B246" s="3" t="s">
        <v>247</v>
      </c>
      <c r="C246" s="3" t="str">
        <f>IFERROR(__xludf.DUMMYFUNCTION("GOOGLETRANSLATE(B246,""id"",""en"")"),"['', 'card', 'Telkomsel', 'rotten', 'signal', 'life', 'in the city', 'Jogja', 'taste', 'forest', 'Telkomsel', 'times',' problematic ',' thought ',' gini ',' repaired ',' card ',' waste ',' neighbor ',' next door ',' Sat ',' listen ',' network ',' good ']")</f>
        <v>['', 'card', 'Telkomsel', 'rotten', 'signal', 'life', 'in the city', 'Jogja', 'taste', 'forest', 'Telkomsel', 'times',' problematic ',' thought ',' gini ',' repaired ',' card ',' waste ',' neighbor ',' next door ',' Sat ',' listen ',' network ',' good ']</v>
      </c>
      <c r="D246" s="3">
        <v>1.0</v>
      </c>
    </row>
    <row r="247" ht="15.75" customHeight="1">
      <c r="A247" s="1">
        <v>245.0</v>
      </c>
      <c r="B247" s="3" t="s">
        <v>248</v>
      </c>
      <c r="C247" s="3" t="str">
        <f>IFERROR(__xludf.DUMMYFUNCTION("GOOGLETRANSLATE(B247,""id"",""en"")"),"['Card', 'Telkomsel', 'Connect', 'Internet', 'Try', 'Connect', 'Please', 'Help', 'Disappointed', 'Heavy']")</f>
        <v>['Card', 'Telkomsel', 'Connect', 'Internet', 'Try', 'Connect', 'Please', 'Help', 'Disappointed', 'Heavy']</v>
      </c>
      <c r="D247" s="3">
        <v>1.0</v>
      </c>
    </row>
    <row r="248" ht="15.75" customHeight="1">
      <c r="A248" s="1">
        <v>246.0</v>
      </c>
      <c r="B248" s="3" t="s">
        <v>249</v>
      </c>
      <c r="C248" s="3" t="str">
        <f>IFERROR(__xludf.DUMMYFUNCTION("GOOGLETRANSLATE(B248,""id"",""en"")"),"['Telkomsel', 'Dear', 'Disappointed', 'Credit', 'Reduced', 'Use', 'Whatever', 'Steal']")</f>
        <v>['Telkomsel', 'Dear', 'Disappointed', 'Credit', 'Reduced', 'Use', 'Whatever', 'Steal']</v>
      </c>
      <c r="D248" s="3">
        <v>1.0</v>
      </c>
    </row>
    <row r="249" ht="15.75" customHeight="1">
      <c r="A249" s="1">
        <v>247.0</v>
      </c>
      <c r="B249" s="3" t="s">
        <v>250</v>
      </c>
      <c r="C249" s="3" t="str">
        <f>IFERROR(__xludf.DUMMYFUNCTION("GOOGLETRANSLATE(B249,""id"",""en"")"),"['credit', 'Napa', 'reduced', 'times',' minutes', 'seconds',' disappointed ',' Telkomsel ',' plus', 'the network', 'strange', 'sometimes',' Sometimes', 'please', 'help', 'disappointed', '']")</f>
        <v>['credit', 'Napa', 'reduced', 'times',' minutes', 'seconds',' disappointed ',' Telkomsel ',' plus', 'the network', 'strange', 'sometimes',' Sometimes', 'please', 'help', 'disappointed', '']</v>
      </c>
      <c r="D249" s="3">
        <v>1.0</v>
      </c>
    </row>
    <row r="250" ht="15.75" customHeight="1">
      <c r="A250" s="1">
        <v>248.0</v>
      </c>
      <c r="B250" s="3" t="s">
        <v>251</v>
      </c>
      <c r="C250" s="3" t="str">
        <f>IFERROR(__xludf.DUMMYFUNCTION("GOOGLETRANSLATE(B250,""id"",""en"")"),"['Telkomsel', 'please', 'fix', 'network', 'because' disturbing ',' activity ',' online ',' network ',' already ',' reviews ',' ugly ',' ignore', '']")</f>
        <v>['Telkomsel', 'please', 'fix', 'network', 'because' disturbing ',' activity ',' online ',' network ',' already ',' reviews ',' ugly ',' ignore', '']</v>
      </c>
      <c r="D250" s="3">
        <v>1.0</v>
      </c>
    </row>
    <row r="251" ht="15.75" customHeight="1">
      <c r="A251" s="1">
        <v>249.0</v>
      </c>
      <c r="B251" s="3" t="s">
        <v>252</v>
      </c>
      <c r="C251" s="3" t="str">
        <f>IFERROR(__xludf.DUMMYFUNCTION("GOOGLETRANSLATE(B251,""id"",""en"")"),"['Good', 'Paketan', 'Cheerful', 'GB', 'Extended', 'Sis',' Details', 'GB', 'GB', 'All', 'Price', 'Active', ' quota ',' tsb ',' help ',' in the past ',' pandemic ',' income ',' down ',' drastic ',' trims', 'kak', ""]")</f>
        <v>['Good', 'Paketan', 'Cheerful', 'GB', 'Extended', 'Sis',' Details', 'GB', 'GB', 'All', 'Price', 'Active', ' quota ',' tsb ',' help ',' in the past ',' pandemic ',' income ',' down ',' drastic ',' trims', 'kak', "]</v>
      </c>
      <c r="D251" s="3">
        <v>5.0</v>
      </c>
    </row>
    <row r="252" ht="15.75" customHeight="1">
      <c r="A252" s="1">
        <v>250.0</v>
      </c>
      <c r="B252" s="3" t="s">
        <v>253</v>
      </c>
      <c r="C252" s="3" t="str">
        <f>IFERROR(__xludf.DUMMYFUNCTION("GOOGLETRANSLATE(B252,""id"",""en"")"),"['tnya', 'pulse', 'reduced', 'intention', 'buy', 'kouta', 'data', 'pulse', 'reduced', 'eat', 'thousand', 'thousand', ' Calculate ',' pulses', 'thousand', 'reduced', 'thousand', 'buy', 'subscribe', 'reduced', 'hope', 'pulse', 'buy', 'use', 'money' , 'use',"&amp;" 'leaves', 'hope', 'understand', 'so', '']")</f>
        <v>['tnya', 'pulse', 'reduced', 'intention', 'buy', 'kouta', 'data', 'pulse', 'reduced', 'eat', 'thousand', 'thousand', ' Calculate ',' pulses', 'thousand', 'reduced', 'thousand', 'buy', 'subscribe', 'reduced', 'hope', 'pulse', 'buy', 'use', 'money' , 'use', 'leaves', 'hope', 'understand', 'so', '']</v>
      </c>
      <c r="D252" s="3">
        <v>1.0</v>
      </c>
    </row>
    <row r="253" ht="15.75" customHeight="1">
      <c r="A253" s="1">
        <v>251.0</v>
      </c>
      <c r="B253" s="3" t="s">
        <v>254</v>
      </c>
      <c r="C253" s="3" t="str">
        <f>IFERROR(__xludf.DUMMYFUNCTION("GOOGLETRANSLATE(B253,""id"",""en"")"),"['expensive', 'doang', 'network', 'threat', 'network', 'widest', 'nervous',' me ',' Addin ',' Review ',' signal ',' Klemar ',' Klemer ',' Rich ',' Sempak ',' Wet ',' Crazy ',' Segini ',' I ',' Life ',' City ',' News', 'Region', 'Ngilak', ""]")</f>
        <v>['expensive', 'doang', 'network', 'threat', 'network', 'widest', 'nervous',' me ',' Addin ',' Review ',' signal ',' Klemar ',' Klemer ',' Rich ',' Sempak ',' Wet ',' Crazy ',' Segini ',' I ',' Life ',' City ',' News', 'Region', 'Ngilak', "]</v>
      </c>
      <c r="D253" s="3">
        <v>1.0</v>
      </c>
    </row>
    <row r="254" ht="15.75" customHeight="1">
      <c r="A254" s="1">
        <v>252.0</v>
      </c>
      <c r="B254" s="3" t="s">
        <v>255</v>
      </c>
      <c r="C254" s="3" t="str">
        <f>IFERROR(__xludf.DUMMYFUNCTION("GOOGLETRANSLATE(B254,""id"",""en"")"),"['bad', 'handling', 'slow', 'date', 'reported', 'wrong', 'number', 'member', 'Hello', 'Family', 'Benefit', 'free', ' Phone ',' Member ',' Date ',' Finish ',' Move ',' Number ',' Member ',' TGL ',' Report ',' Operator ',' Report ',' Signed ',' Related ' , "&amp;"'NMR', 'TSB', 'date', 'Fix', 'Benefit', 'Report', 'Wait', 'Clock', 'date', 'BLM', 'finish', 'report', ' Wait ',' Hello ',' Hello ',' ']")</f>
        <v>['bad', 'handling', 'slow', 'date', 'reported', 'wrong', 'number', 'member', 'Hello', 'Family', 'Benefit', 'free', ' Phone ',' Member ',' Date ',' Finish ',' Move ',' Number ',' Member ',' TGL ',' Report ',' Operator ',' Report ',' Signed ',' Related ' , 'NMR', 'TSB', 'date', 'Fix', 'Benefit', 'Report', 'Wait', 'Clock', 'date', 'BLM', 'finish', 'report', ' Wait ',' Hello ',' Hello ',' ']</v>
      </c>
      <c r="D254" s="3">
        <v>1.0</v>
      </c>
    </row>
    <row r="255" ht="15.75" customHeight="1">
      <c r="A255" s="1">
        <v>253.0</v>
      </c>
      <c r="B255" s="3" t="s">
        <v>256</v>
      </c>
      <c r="C255" s="3" t="str">
        <f>IFERROR(__xludf.DUMMYFUNCTION("GOOGLETRANSLATE(B255,""id"",""en"")"),"['Thank you', 'Telkomsel', 'Karna', 'Network', 'Squad', 'Lost', 'Master', 'MCL', 'FAITH', 'Telkomsel', 'Network', 'colleague', ' ""Squad ',' experience ',' moved ',' Provider ',' Karna ',' Network ',' Telkomsel ',' Seburuk ',' enthusiasm ',' Telkom ',""]")</f>
        <v>['Thank you', 'Telkomsel', 'Karna', 'Network', 'Squad', 'Lost', 'Master', 'MCL', 'FAITH', 'Telkomsel', 'Network', 'colleague', ' "Squad ',' experience ',' moved ',' Provider ',' Karna ',' Network ',' Telkomsel ',' Seburuk ',' enthusiasm ',' Telkom ',"]</v>
      </c>
      <c r="D255" s="3">
        <v>1.0</v>
      </c>
    </row>
    <row r="256" ht="15.75" customHeight="1">
      <c r="A256" s="1">
        <v>254.0</v>
      </c>
      <c r="B256" s="3" t="s">
        <v>257</v>
      </c>
      <c r="C256" s="3" t="str">
        <f>IFERROR(__xludf.DUMMYFUNCTION("GOOGLETRANSLATE(B256,""id"",""en"")"),"['Disappointed', 'Karna', 'Network', 'disappears',' credit ',' reduced ',' pdhl ',' please ',' fix ',' telskomsel ',' because ',' card ',' inexpensive']")</f>
        <v>['Disappointed', 'Karna', 'Network', 'disappears',' credit ',' reduced ',' pdhl ',' please ',' fix ',' telskomsel ',' because ',' card ',' inexpensive']</v>
      </c>
      <c r="D256" s="3">
        <v>1.0</v>
      </c>
    </row>
    <row r="257" ht="15.75" customHeight="1">
      <c r="A257" s="1">
        <v>255.0</v>
      </c>
      <c r="B257" s="3" t="s">
        <v>258</v>
      </c>
      <c r="C257" s="3" t="str">
        <f>IFERROR(__xludf.DUMMYFUNCTION("GOOGLETRANSLATE(B257,""id"",""en"")"),"['kah', 'the application', 'open', 'ads',' makes it easier ',' users', 'Telkomsel', 'check', 'quota', 'etc.', 'make it difficult', ' Not bad ',' Disappointed ']")</f>
        <v>['kah', 'the application', 'open', 'ads',' makes it easier ',' users', 'Telkomsel', 'check', 'quota', 'etc.', 'make it difficult', ' Not bad ',' Disappointed ']</v>
      </c>
      <c r="D257" s="3">
        <v>1.0</v>
      </c>
    </row>
    <row r="258" ht="15.75" customHeight="1">
      <c r="A258" s="1">
        <v>256.0</v>
      </c>
      <c r="B258" s="3" t="s">
        <v>259</v>
      </c>
      <c r="C258" s="3" t="str">
        <f>IFERROR(__xludf.DUMMYFUNCTION("GOOGLETRANSLATE(B258,""id"",""en"")"),"['slow', 'night', 'severe', 'expensive', 'bad', 'use', 'provider', 'Telkomsel', 'replace', 'provider', 'telkomnyet', ""]")</f>
        <v>['slow', 'night', 'severe', 'expensive', 'bad', 'use', 'provider', 'Telkomsel', 'replace', 'provider', 'telkomnyet', "]</v>
      </c>
      <c r="D258" s="3">
        <v>1.0</v>
      </c>
    </row>
    <row r="259" ht="15.75" customHeight="1">
      <c r="A259" s="1">
        <v>257.0</v>
      </c>
      <c r="B259" s="3" t="s">
        <v>260</v>
      </c>
      <c r="C259" s="3" t="str">
        <f>IFERROR(__xludf.DUMMYFUNCTION("GOOGLETRANSLATE(B259,""id"",""en"")"),"['Please', 'APK', 'Dikasi', 'Lock', 'Credit', 'drained', 'at the time', 'Package', 'Internet', 'Out', 'Internet', 'right', ' quota ',' run out ',' directly ',' pulse ',' sumps', 'please', 'love', 'lock', 'pulse', 'missing', 'sia', ""]")</f>
        <v>['Please', 'APK', 'Dikasi', 'Lock', 'Credit', 'drained', 'at the time', 'Package', 'Internet', 'Out', 'Internet', 'right', ' quota ',' run out ',' directly ',' pulse ',' sumps', 'please', 'love', 'lock', 'pulse', 'missing', 'sia', "]</v>
      </c>
      <c r="D259" s="3">
        <v>1.0</v>
      </c>
    </row>
    <row r="260" ht="15.75" customHeight="1">
      <c r="A260" s="1">
        <v>258.0</v>
      </c>
      <c r="B260" s="3" t="s">
        <v>261</v>
      </c>
      <c r="C260" s="3" t="str">
        <f>IFERROR(__xludf.DUMMYFUNCTION("GOOGLETRANSLATE(B260,""id"",""en"")"),"['use', 'card', 'loop', 'distinguish', 'dengen', 'sympathy', 'card', 'package', 'dengen', 'card', 'sympathy', 'package', ' unlimited ',' card ',' sympathy ',' thank ',' love ',' card ',' loop ',' many years', 'fair', 'Telkomsel', 'Hadeh']")</f>
        <v>['use', 'card', 'loop', 'distinguish', 'dengen', 'sympathy', 'card', 'package', 'dengen', 'card', 'sympathy', 'package', ' unlimited ',' card ',' sympathy ',' thank ',' love ',' card ',' loop ',' many years', 'fair', 'Telkomsel', 'Hadeh']</v>
      </c>
      <c r="D260" s="3">
        <v>1.0</v>
      </c>
    </row>
    <row r="261" ht="15.75" customHeight="1">
      <c r="A261" s="1">
        <v>259.0</v>
      </c>
      <c r="B261" s="3" t="s">
        <v>262</v>
      </c>
      <c r="C261" s="3" t="str">
        <f>IFERROR(__xludf.DUMMYFUNCTION("GOOGLETRANSLATE(B261,""id"",""en"")"),"['Done', 'Developer', 'Telkomsel', 'Please', 'Repaired', 'Constraints',' Application ',' Experiencing ',' Bug ',' Impertness', 'Choice', 'Quota', ' The internet ',' disappears', 'consumer', 'repaired', 'buy', 'quota', 'favorite', ""]")</f>
        <v>['Done', 'Developer', 'Telkomsel', 'Please', 'Repaired', 'Constraints',' Application ',' Experiencing ',' Bug ',' Impertness', 'Choice', 'Quota', ' The internet ',' disappears', 'consumer', 'repaired', 'buy', 'quota', 'favorite', "]</v>
      </c>
      <c r="D261" s="3">
        <v>1.0</v>
      </c>
    </row>
    <row r="262" ht="15.75" customHeight="1">
      <c r="A262" s="1">
        <v>260.0</v>
      </c>
      <c r="B262" s="3" t="s">
        <v>263</v>
      </c>
      <c r="C262" s="3" t="str">
        <f>IFERROR(__xludf.DUMMYFUNCTION("GOOGLETRANSLATE(B262,""id"",""en"")"),"['APK', 'This is', 'ugly', 'boong', 'hayu']")</f>
        <v>['APK', 'This is', 'ugly', 'boong', 'hayu']</v>
      </c>
      <c r="D262" s="3">
        <v>5.0</v>
      </c>
    </row>
    <row r="263" ht="15.75" customHeight="1">
      <c r="A263" s="1">
        <v>261.0</v>
      </c>
      <c r="B263" s="3" t="s">
        <v>264</v>
      </c>
      <c r="C263" s="3" t="str">
        <f>IFERROR(__xludf.DUMMYFUNCTION("GOOGLETRANSLATE(B263,""id"",""en"")"),"['Please', 'signal', 'Telkomsel', 'fix', 'ugly', 'times',' signal ',' slow ',' pulak ',' already ',' decline ',' quality ',' Kayak ',' signal ',' fast ',' slow ',' kayak ',' snail ',' ']")</f>
        <v>['Please', 'signal', 'Telkomsel', 'fix', 'ugly', 'times',' signal ',' slow ',' pulak ',' already ',' decline ',' quality ',' Kayak ',' signal ',' fast ',' slow ',' kayak ',' snail ',' ']</v>
      </c>
      <c r="D263" s="3">
        <v>1.0</v>
      </c>
    </row>
    <row r="264" ht="15.75" customHeight="1">
      <c r="A264" s="1">
        <v>262.0</v>
      </c>
      <c r="B264" s="3" t="s">
        <v>265</v>
      </c>
      <c r="C264" s="3" t="str">
        <f>IFERROR(__xludf.DUMMYFUNCTION("GOOGLETRANSLATE(B264,""id"",""en"")"),"['Buy', 'Package', 'Thinking', 'YouTube', 'Unlimited', 'Accessible', 'Youtubenya', 'Jdi', 'Loss',' Pulses', 'Please', 'Mept', ' Removed ',' Package ',' Disight ',' Customer ',' ']")</f>
        <v>['Buy', 'Package', 'Thinking', 'YouTube', 'Unlimited', 'Accessible', 'Youtubenya', 'Jdi', 'Loss',' Pulses', 'Please', 'Mept', ' Removed ',' Package ',' Disight ',' Customer ',' ']</v>
      </c>
      <c r="D264" s="3">
        <v>1.0</v>
      </c>
    </row>
    <row r="265" ht="15.75" customHeight="1">
      <c r="A265" s="1">
        <v>263.0</v>
      </c>
      <c r="B265" s="3" t="s">
        <v>266</v>
      </c>
      <c r="C265" s="3" t="str">
        <f>IFERROR(__xludf.DUMMYFUNCTION("GOOGLETRANSLATE(B265,""id"",""en"")"),"['Severe', 'network', 'tsel', 'disappointed', 'really', 'missing', 'arising', 'ping', 'gapernah', 'stable', 'disappointed', 'good', ' Gini ']")</f>
        <v>['Severe', 'network', 'tsel', 'disappointed', 'really', 'missing', 'arising', 'ping', 'gapernah', 'stable', 'disappointed', 'good', ' Gini ']</v>
      </c>
      <c r="D265" s="3">
        <v>1.0</v>
      </c>
    </row>
    <row r="266" ht="15.75" customHeight="1">
      <c r="A266" s="1">
        <v>264.0</v>
      </c>
      <c r="B266" s="3" t="s">
        <v>267</v>
      </c>
      <c r="C266" s="3" t="str">
        <f>IFERROR(__xludf.DUMMYFUNCTION("GOOGLETRANSLATE(B266,""id"",""en"")"),"['strange', 'application', 'open', 'ngegulating', 'application', 'apk', 'default', 'Samsung', 'Positions', 'Playstore', 'stop', 'due to' Open ',' apk ',' Telkomsel ',' forced ',' uninstall ',' virus', 'application', 'ojol']")</f>
        <v>['strange', 'application', 'open', 'ngegulating', 'application', 'apk', 'default', 'Samsung', 'Positions', 'Playstore', 'stop', 'due to' Open ',' apk ',' Telkomsel ',' forced ',' uninstall ',' virus', 'application', 'ojol']</v>
      </c>
      <c r="D266" s="3">
        <v>1.0</v>
      </c>
    </row>
    <row r="267" ht="15.75" customHeight="1">
      <c r="A267" s="1">
        <v>265.0</v>
      </c>
      <c r="B267" s="3" t="s">
        <v>268</v>
      </c>
      <c r="C267" s="3" t="str">
        <f>IFERROR(__xludf.DUMMYFUNCTION("GOOGLETRANSLATE(B267,""id"",""en"")"),"['ugly', 'network', 'quota', 'expensive', 'please', 'repair', 'Telkomsel', 'super', 'ugly', 'network', 'game', 'lose', ' Cards', 'cheap', '']")</f>
        <v>['ugly', 'network', 'quota', 'expensive', 'please', 'repair', 'Telkomsel', 'super', 'ugly', 'network', 'game', 'lose', ' Cards', 'cheap', '']</v>
      </c>
      <c r="D267" s="3">
        <v>1.0</v>
      </c>
    </row>
    <row r="268" ht="15.75" customHeight="1">
      <c r="A268" s="1">
        <v>266.0</v>
      </c>
      <c r="B268" s="3" t="s">
        <v>269</v>
      </c>
      <c r="C268" s="3" t="str">
        <f>IFERROR(__xludf.DUMMYFUNCTION("GOOGLETRANSLATE(B268,""id"",""en"")"),"['Telkomsel', 'slow', 'really', 'signal', 'full', 'slow', 'disappointing', 'cook', 'access',' internet ',' wait ',' hours', ' MLM ',' access', 'internet', 'please', 'fix', 'network', 'internet']")</f>
        <v>['Telkomsel', 'slow', 'really', 'signal', 'full', 'slow', 'disappointing', 'cook', 'access',' internet ',' wait ',' hours', ' MLM ',' access', 'internet', 'please', 'fix', 'network', 'internet']</v>
      </c>
      <c r="D268" s="3">
        <v>1.0</v>
      </c>
    </row>
    <row r="269" ht="15.75" customHeight="1">
      <c r="A269" s="1">
        <v>267.0</v>
      </c>
      <c r="B269" s="3" t="s">
        <v>270</v>
      </c>
      <c r="C269" s="3" t="str">
        <f>IFERROR(__xludf.DUMMYFUNCTION("GOOGLETRANSLATE(B269,""id"",""en"")"),"['Telkomsel', 'in my opinion', 'moral', 'times',' complains', 'customer', 'village', 'Pujon', 'Kec (Kapuas',' Kab ',' Kapuas', ' Sousal ',' YTube ',' Game ',' Online ',' sticky ',' TPI ',' replication ',' satisfying ',' number ',' check ',' center ',' act"&amp;"ive ',' online ' , 'sellllll', 'cell', 'yes',' active ',' sticky ',' buy ',' package ',' expensive ',' buy ',' expensive ',' add ',' little ',' Buy ',' Mubajir ',' Pujon ',' Joop ',' Telkomsel ',' Disappointing ']")</f>
        <v>['Telkomsel', 'in my opinion', 'moral', 'times',' complains', 'customer', 'village', 'Pujon', 'Kec (Kapuas',' Kab ',' Kapuas', ' Sousal ',' YTube ',' Game ',' Online ',' sticky ',' TPI ',' replication ',' satisfying ',' number ',' check ',' center ',' active ',' online ' , 'sellllll', 'cell', 'yes',' active ',' sticky ',' buy ',' package ',' expensive ',' buy ',' expensive ',' add ',' little ',' Buy ',' Mubajir ',' Pujon ',' Joop ',' Telkomsel ',' Disappointing ']</v>
      </c>
      <c r="D269" s="3">
        <v>1.0</v>
      </c>
    </row>
    <row r="270" ht="15.75" customHeight="1">
      <c r="A270" s="1">
        <v>268.0</v>
      </c>
      <c r="B270" s="3" t="s">
        <v>271</v>
      </c>
      <c r="C270" s="3" t="str">
        <f>IFERROR(__xludf.DUMMYFUNCTION("GOOGLETRANSLATE(B270,""id"",""en"")"),"['Mhon', 'knpa', 'smpai', 'sya', 'buy', 'pket', 'twarkn', 'traski', 'always',' ggal ',' notpasi ',' pulse ',' tdak ',' ckup ',' pdhal ',' sya ',' buy ',' pulse ',' dri ',' pda ',' ckup ', ""]")</f>
        <v>['Mhon', 'knpa', 'smpai', 'sya', 'buy', 'pket', 'twarkn', 'traski', 'always',' ggal ',' notpasi ',' pulse ',' tdak ',' ckup ',' pdhal ',' sya ',' buy ',' pulse ',' dri ',' pda ',' ckup ', "]</v>
      </c>
      <c r="D270" s="3">
        <v>1.0</v>
      </c>
    </row>
    <row r="271" ht="15.75" customHeight="1">
      <c r="A271" s="1">
        <v>269.0</v>
      </c>
      <c r="B271" s="3" t="s">
        <v>272</v>
      </c>
      <c r="C271" s="3" t="str">
        <f>IFERROR(__xludf.DUMMYFUNCTION("GOOGLETRANSLATE(B271,""id"",""en"")"),"['Network', 'slow', 'quota', 'expensive', 'as bad as',' kah ',' service ',' telkomsel ',' come ',' man ',' provider ',' number ',' network ',' slow ',' term ',' week ',' network ',' muantep ',' slow ',' malem ',' please ',' followed up ',' prove ',' telko"&amp;"msel ',' relied on ' , 'Sorry', 'sorry', 'sorry', 'so']")</f>
        <v>['Network', 'slow', 'quota', 'expensive', 'as bad as',' kah ',' service ',' telkomsel ',' come ',' man ',' provider ',' number ',' network ',' slow ',' term ',' week ',' network ',' muantep ',' slow ',' malem ',' please ',' followed up ',' prove ',' telkomsel ',' relied on ' , 'Sorry', 'sorry', 'sorry', 'so']</v>
      </c>
      <c r="D271" s="3">
        <v>2.0</v>
      </c>
    </row>
    <row r="272" ht="15.75" customHeight="1">
      <c r="A272" s="1">
        <v>270.0</v>
      </c>
      <c r="B272" s="3" t="s">
        <v>273</v>
      </c>
      <c r="C272" s="3" t="str">
        <f>IFERROR(__xludf.DUMMYFUNCTION("GOOGLETRANSLATE(B272,""id"",""en"")"),"['application', 'Telkomsel', 'update', 'skrg', 'opened', 'ngelag', 'function', 'default', 'stop', 'bug', 'attack', 'system', ' Please ',' Enhanced ',' Quality ',' Application ',' Update ',' Heavy ',' ']")</f>
        <v>['application', 'Telkomsel', 'update', 'skrg', 'opened', 'ngelag', 'function', 'default', 'stop', 'bug', 'attack', 'system', ' Please ',' Enhanced ',' Quality ',' Application ',' Update ',' Heavy ',' ']</v>
      </c>
      <c r="D272" s="3">
        <v>1.0</v>
      </c>
    </row>
    <row r="273" ht="15.75" customHeight="1">
      <c r="A273" s="1">
        <v>271.0</v>
      </c>
      <c r="B273" s="3" t="s">
        <v>274</v>
      </c>
      <c r="C273" s="3" t="str">
        <f>IFERROR(__xludf.DUMMYFUNCTION("GOOGLETRANSLATE(B273,""id"",""en"")"),"['UDH', 'buy', 'expensive', 'signal', 'kek', 'taik', 'how', 'difficult', 'GBLK', 'buy', 'unlimited', 'ngelag', ' AJG ',' fast ',' fix ',' signal ',' signal ',' error ',' ajg ',' quota ',' unlimited ',' quota ',' garbage ',' hah ', ""]")</f>
        <v>['UDH', 'buy', 'expensive', 'signal', 'kek', 'taik', 'how', 'difficult', 'GBLK', 'buy', 'unlimited', 'ngelag', ' AJG ',' fast ',' fix ',' signal ',' signal ',' error ',' ajg ',' quota ',' unlimited ',' quota ',' garbage ',' hah ', "]</v>
      </c>
      <c r="D273" s="3">
        <v>1.0</v>
      </c>
    </row>
    <row r="274" ht="15.75" customHeight="1">
      <c r="A274" s="1">
        <v>272.0</v>
      </c>
      <c r="B274" s="3" t="s">
        <v>275</v>
      </c>
      <c r="C274" s="3" t="str">
        <f>IFERROR(__xludf.DUMMYFUNCTION("GOOGLETRANSLATE(B274,""id"",""en"")"),"['bug', 'on', 'menu', 'payment', 'looping', 'until', 'hot', 'close', 'application', 'bug', 'add', 'shy', ' Shame ',' bet ',' yes']")</f>
        <v>['bug', 'on', 'menu', 'payment', 'looping', 'until', 'hot', 'close', 'application', 'bug', 'add', 'shy', ' Shame ',' bet ',' yes']</v>
      </c>
      <c r="D274" s="3">
        <v>4.0</v>
      </c>
    </row>
    <row r="275" ht="15.75" customHeight="1">
      <c r="A275" s="1">
        <v>273.0</v>
      </c>
      <c r="B275" s="3" t="s">
        <v>276</v>
      </c>
      <c r="C275" s="3" t="str">
        <f>IFERROR(__xludf.DUMMYFUNCTION("GOOGLETRANSLATE(B275,""id"",""en"")"),"['Disappointed', 'Telkomsel', 'DIKARENA', 'Buy', 'Package', 'Call', 'Unlimited', 'Card', 'Loop', 'Difference', 'Location', 'Package', ' facilitate ',' business', 'user', 'card', 'loyal', 'Telkomsel', 'gini', 'moved', 'provaider', '']")</f>
        <v>['Disappointed', 'Telkomsel', 'DIKARENA', 'Buy', 'Package', 'Call', 'Unlimited', 'Card', 'Loop', 'Difference', 'Location', 'Package', ' facilitate ',' business', 'user', 'card', 'loyal', 'Telkomsel', 'gini', 'moved', 'provaider', '']</v>
      </c>
      <c r="D275" s="3">
        <v>1.0</v>
      </c>
    </row>
    <row r="276" ht="15.75" customHeight="1">
      <c r="A276" s="1">
        <v>274.0</v>
      </c>
      <c r="B276" s="3" t="s">
        <v>277</v>
      </c>
      <c r="C276" s="3" t="str">
        <f>IFERROR(__xludf.DUMMYFUNCTION("GOOGLETRANSLATE(B276,""id"",""en"")"),"['', 'Network', 'already', 'village', 'custody', 'kab', 'upstream', 'river', 'prov', 'kalimantan', 'south', 'down', 'dtik ',' Max ',' KB ',' Dik ',' dated ',' Saturday ',' March ',' Place ',' friend ', ""]")</f>
        <v>['', 'Network', 'already', 'village', 'custody', 'kab', 'upstream', 'river', 'prov', 'kalimantan', 'south', 'down', 'dtik ',' Max ',' KB ',' Dik ',' dated ',' Saturday ',' March ',' Place ',' friend ', "]</v>
      </c>
      <c r="D276" s="3">
        <v>1.0</v>
      </c>
    </row>
    <row r="277" ht="15.75" customHeight="1">
      <c r="A277" s="1">
        <v>275.0</v>
      </c>
      <c r="B277" s="3" t="s">
        <v>278</v>
      </c>
      <c r="C277" s="3" t="str">
        <f>IFERROR(__xludf.DUMMYFUNCTION("GOOGLETRANSLATE(B277,""id"",""en"")"),"['bad', 'LEG', 'Network', 'Telkomsel', 'Different', 'Telkomsel', 'Beach', 'Mount', 'Signal', 'Liat', 'Muter', 'Please', ' Fix ',' Karna ',' Price ',' Not bad ',' Cook ',' As 'according to', 'Thank you']")</f>
        <v>['bad', 'LEG', 'Network', 'Telkomsel', 'Different', 'Telkomsel', 'Beach', 'Mount', 'Signal', 'Liat', 'Muter', 'Please', ' Fix ',' Karna ',' Price ',' Not bad ',' Cook ',' As 'according to', 'Thank you']</v>
      </c>
      <c r="D277" s="3">
        <v>1.0</v>
      </c>
    </row>
    <row r="278" ht="15.75" customHeight="1">
      <c r="A278" s="1">
        <v>276.0</v>
      </c>
      <c r="B278" s="3" t="s">
        <v>279</v>
      </c>
      <c r="C278" s="3" t="str">
        <f>IFERROR(__xludf.DUMMYFUNCTION("GOOGLETRANSLATE(B278,""id"",""en"")"),"['bad', 'severe', 'signal', 'ugly', 'region', 'ejip', 'signal', 'severe', 'really', 'buy', 'expensive', 'quota', ' a month ',' Abis', 'BSA', 'Sampe', 'thousand', 'TPI', 'Network', 'Trash', 'Dipake', 'Game', 'Severe', 'MS', 'Crazy' , 'play', 'game', 'signa"&amp;"l', 'that's', '']")</f>
        <v>['bad', 'severe', 'signal', 'ugly', 'region', 'ejip', 'signal', 'severe', 'really', 'buy', 'expensive', 'quota', ' a month ',' Abis', 'BSA', 'Sampe', 'thousand', 'TPI', 'Network', 'Trash', 'Dipake', 'Game', 'Severe', 'MS', 'Crazy' , 'play', 'game', 'signal', 'that's', '']</v>
      </c>
      <c r="D278" s="3">
        <v>1.0</v>
      </c>
    </row>
    <row r="279" ht="15.75" customHeight="1">
      <c r="A279" s="1">
        <v>277.0</v>
      </c>
      <c r="B279" s="3" t="s">
        <v>280</v>
      </c>
      <c r="C279" s="3" t="str">
        <f>IFERROR(__xludf.DUMMYFUNCTION("GOOGLETRANSLATE(B279,""id"",""en"")"),"['', 'Ngerti', 'Telkomsel', 'UDH', 'Packagein', 'Special', 'YouTube', 'Gabisa', 'Gunain', 'Koutaa', 'sosmed', 'GBSA', 'yesterday ',' Yesterday ',' Packagein ',' Game ',' Already ',' Kapok ',' Begoin ',' Credit ',' Out ',' Severe ',' How ',' Change ',' Los"&amp;"s', '']")</f>
        <v>['', 'Ngerti', 'Telkomsel', 'UDH', 'Packagein', 'Special', 'YouTube', 'Gabisa', 'Gunain', 'Koutaa', 'sosmed', 'GBSA', 'yesterday ',' Yesterday ',' Packagein ',' Game ',' Already ',' Kapok ',' Begoin ',' Credit ',' Out ',' Severe ',' How ',' Change ',' Loss', '']</v>
      </c>
      <c r="D279" s="3">
        <v>1.0</v>
      </c>
    </row>
    <row r="280" ht="15.75" customHeight="1">
      <c r="A280" s="1">
        <v>278.0</v>
      </c>
      <c r="B280" s="3" t="s">
        <v>281</v>
      </c>
      <c r="C280" s="3" t="str">
        <f>IFERROR(__xludf.DUMMYFUNCTION("GOOGLETRANSLATE(B280,""id"",""en"")"),"['Telkomsel', 'Severe', 'really', 'already', 'buy', 'quota', 'youtube', 'right', 'open', 'youtube', 'muter', 'then', ' Rich ',' Connection ',' Internet ',' Telkomsel ',' Quota ',' YouTube ',' Please ',' Fix ',' Kepuanan ',' Customer ']")</f>
        <v>['Telkomsel', 'Severe', 'really', 'already', 'buy', 'quota', 'youtube', 'right', 'open', 'youtube', 'muter', 'then', ' Rich ',' Connection ',' Internet ',' Telkomsel ',' Quota ',' YouTube ',' Please ',' Fix ',' Kepuanan ',' Customer ']</v>
      </c>
      <c r="D280" s="3">
        <v>1.0</v>
      </c>
    </row>
    <row r="281" ht="15.75" customHeight="1">
      <c r="A281" s="1">
        <v>279.0</v>
      </c>
      <c r="B281" s="3" t="s">
        <v>282</v>
      </c>
      <c r="C281" s="3" t="str">
        <f>IFERROR(__xludf.DUMMYFUNCTION("GOOGLETRANSLATE(B281,""id"",""en"")"),"['signal', 'Bray', 'Pret', 'Region', 'Capital', 'Country', 'Consideration', 'Capital', 'Negera', 'City', 'Amenities',' Fix ',' Bade ',' quota ',' pay ',' pulse ']")</f>
        <v>['signal', 'Bray', 'Pret', 'Region', 'Capital', 'Country', 'Consideration', 'Capital', 'Negera', 'City', 'Amenities',' Fix ',' Bade ',' quota ',' pay ',' pulse ']</v>
      </c>
      <c r="D281" s="3">
        <v>1.0</v>
      </c>
    </row>
    <row r="282" ht="15.75" customHeight="1">
      <c r="A282" s="1">
        <v>280.0</v>
      </c>
      <c r="B282" s="3" t="s">
        <v>283</v>
      </c>
      <c r="C282" s="3" t="str">
        <f>IFERROR(__xludf.DUMMYFUNCTION("GOOGLETRANSLATE(B282,""id"",""en"")"),"['Please', 'repaired', 'network', 'network', 'Nge', 'down', 'then', 'open', 'sosmed', 'then', 'work', 'super', ' patient ',' please ',' disappointing ',' customer ',' mu ',' thank ',' love ', ""]")</f>
        <v>['Please', 'repaired', 'network', 'network', 'Nge', 'down', 'then', 'open', 'sosmed', 'then', 'work', 'super', ' patient ',' please ',' disappointing ',' customer ',' mu ',' thank ',' love ', "]</v>
      </c>
      <c r="D282" s="3">
        <v>2.0</v>
      </c>
    </row>
    <row r="283" ht="15.75" customHeight="1">
      <c r="A283" s="1">
        <v>281.0</v>
      </c>
      <c r="B283" s="3" t="s">
        <v>284</v>
      </c>
      <c r="C283" s="3" t="str">
        <f>IFERROR(__xludf.DUMMYFUNCTION("GOOGLETRANSLATE(B283,""id"",""en"")"),"['Signal', 'slow', 'bekasi', 'wrong', 'buy', 'package', 'email', 'answer', 'apn', 'please', 'sorry', 'plan', ' Change ',' Provider ',' ']")</f>
        <v>['Signal', 'slow', 'bekasi', 'wrong', 'buy', 'package', 'email', 'answer', 'apn', 'please', 'sorry', 'plan', ' Change ',' Provider ',' ']</v>
      </c>
      <c r="D283" s="3">
        <v>1.0</v>
      </c>
    </row>
    <row r="284" ht="15.75" customHeight="1">
      <c r="A284" s="1">
        <v>282.0</v>
      </c>
      <c r="B284" s="3" t="s">
        <v>285</v>
      </c>
      <c r="C284" s="3" t="str">
        <f>IFERROR(__xludf.DUMMYFUNCTION("GOOGLETRANSLATE(B284,""id"",""en"")"),"['already', 'contents',' pulse ',' buy ',' package ',' internet ',' choice ',' understand ',' provider ',' essence ',' card ',' patch ',' Differentiate ',' Customer ',' Fuck ',' ']")</f>
        <v>['already', 'contents',' pulse ',' buy ',' package ',' internet ',' choice ',' understand ',' provider ',' essence ',' card ',' patch ',' Differentiate ',' Customer ',' Fuck ',' ']</v>
      </c>
      <c r="D284" s="3">
        <v>1.0</v>
      </c>
    </row>
    <row r="285" ht="15.75" customHeight="1">
      <c r="A285" s="1">
        <v>283.0</v>
      </c>
      <c r="B285" s="3" t="s">
        <v>286</v>
      </c>
      <c r="C285" s="3" t="str">
        <f>IFERROR(__xludf.DUMMYFUNCTION("GOOGLETRANSLATE(B285,""id"",""en"")"),"['already', 'signal', 'SERES', 'SKRG', 'quota', 'missing', 'application', 'knp', 'application', 'wish', 'Telkomsel', 'thinking', ' wealth ',' then ',' thought ',' Jga ',' consumer ',' already ',' cave ',' contact ',' response ',' ']")</f>
        <v>['already', 'signal', 'SERES', 'SKRG', 'quota', 'missing', 'application', 'knp', 'application', 'wish', 'Telkomsel', 'thinking', ' wealth ',' then ',' thought ',' Jga ',' consumer ',' already ',' cave ',' contact ',' response ',' ']</v>
      </c>
      <c r="D285" s="3">
        <v>1.0</v>
      </c>
    </row>
    <row r="286" ht="15.75" customHeight="1">
      <c r="A286" s="1">
        <v>284.0</v>
      </c>
      <c r="B286" s="3" t="s">
        <v>287</v>
      </c>
      <c r="C286" s="3" t="str">
        <f>IFERROR(__xludf.DUMMYFUNCTION("GOOGLETRANSLATE(B286,""id"",""en"")"),"['buy', 'pulse', 'direct', 'scorched', 'for a while', 'no', 'quota', ""]")</f>
        <v>['buy', 'pulse', 'direct', 'scorched', 'for a while', 'no', 'quota', "]</v>
      </c>
      <c r="D286" s="3">
        <v>2.0</v>
      </c>
    </row>
    <row r="287" ht="15.75" customHeight="1">
      <c r="A287" s="1">
        <v>285.0</v>
      </c>
      <c r="B287" s="3" t="s">
        <v>288</v>
      </c>
      <c r="C287" s="3" t="str">
        <f>IFERROR(__xludf.DUMMYFUNCTION("GOOGLETRANSLATE(B287,""id"",""en"")"),"['Application', 'Equipped', 'Prevention', 'Credit', 'Used', 'Due to', 'Internet', 'Package', 'Out', 'Credit', 'Insacted', 'Internet', ' Axis']")</f>
        <v>['Application', 'Equipped', 'Prevention', 'Credit', 'Used', 'Due to', 'Internet', 'Package', 'Out', 'Credit', 'Insacted', 'Internet', ' Axis']</v>
      </c>
      <c r="D287" s="3">
        <v>4.0</v>
      </c>
    </row>
    <row r="288" ht="15.75" customHeight="1">
      <c r="A288" s="1">
        <v>286.0</v>
      </c>
      <c r="B288" s="3" t="s">
        <v>289</v>
      </c>
      <c r="C288" s="3" t="str">
        <f>IFERROR(__xludf.DUMMYFUNCTION("GOOGLETRANSLATE(B288,""id"",""en"")"),"['Cave', 'Kasi', 'star', 'because', 'APK', 'Uda', 'Mejareala', 'cave', 'uda', 'buy', 'quota', 'applied', ' succeeded ',' notif ',' quota ',' entered ',' kagak ',' cave ',' uda ',' right ',' right ',' keeleli ',' cave ',' apk ',' open ' , 'Instagram', 'Tet"&amp;"ep', 'right', 'cave', 'entered', 'the application', 'mala', 'pulse', 'cave', 'abis',' bangse ',' apk ',' Formerly ',' Good ',' Uda ',' ugly ']")</f>
        <v>['Cave', 'Kasi', 'star', 'because', 'APK', 'Uda', 'Mejareala', 'cave', 'uda', 'buy', 'quota', 'applied', ' succeeded ',' notif ',' quota ',' entered ',' kagak ',' cave ',' uda ',' right ',' right ',' keeleli ',' cave ',' apk ',' open ' , 'Instagram', 'Tetep', 'right', 'cave', 'entered', 'the application', 'mala', 'pulse', 'cave', 'abis',' bangse ',' apk ',' Formerly ',' Good ',' Uda ',' ugly ']</v>
      </c>
      <c r="D288" s="3">
        <v>1.0</v>
      </c>
    </row>
    <row r="289" ht="15.75" customHeight="1">
      <c r="A289" s="1">
        <v>287.0</v>
      </c>
      <c r="B289" s="3" t="s">
        <v>290</v>
      </c>
      <c r="C289" s="3" t="str">
        <f>IFERROR(__xludf.DUMMYFUNCTION("GOOGLETRANSLATE(B289,""id"",""en"")"),"['signal', 'Telkomsel', 'here', 'ugly', 'good', 'gini', 'lose', 'provider', 'fast', 'internet', ""]")</f>
        <v>['signal', 'Telkomsel', 'here', 'ugly', 'good', 'gini', 'lose', 'provider', 'fast', 'internet', "]</v>
      </c>
      <c r="D289" s="3">
        <v>1.0</v>
      </c>
    </row>
    <row r="290" ht="15.75" customHeight="1">
      <c r="A290" s="1">
        <v>288.0</v>
      </c>
      <c r="B290" s="3" t="s">
        <v>291</v>
      </c>
      <c r="C290" s="3" t="str">
        <f>IFERROR(__xludf.DUMMYFUNCTION("GOOGLETRANSLATE(B290,""id"",""en"")"),"['Notified', 'Migration', 'Card', 'Hello', 'Prepaid', 'Iming', 'Bonus',' Program ',' Customer ',' Telkomsel ',' Change ',' Card ',' The operator ',' Telkomsel ',' DPT ',' Framed ',' ']")</f>
        <v>['Notified', 'Migration', 'Card', 'Hello', 'Prepaid', 'Iming', 'Bonus',' Program ',' Customer ',' Telkomsel ',' Change ',' Card ',' The operator ',' Telkomsel ',' DPT ',' Framed ',' ']</v>
      </c>
      <c r="D290" s="3">
        <v>1.0</v>
      </c>
    </row>
    <row r="291" ht="15.75" customHeight="1">
      <c r="A291" s="1">
        <v>289.0</v>
      </c>
      <c r="B291" s="3" t="s">
        <v>292</v>
      </c>
      <c r="C291" s="3" t="str">
        <f>IFERROR(__xludf.DUMMYFUNCTION("GOOGLETRANSLATE(B291,""id"",""en"")"),"['admin', 'YTH', 'Why', 'his net', 'slow', 'Min', 'Please', 'Fix', 'Min', 'already', 'Telkomsel', 'the card', ' free ',' slow ',' Please ',' repaired ',' ']")</f>
        <v>['admin', 'YTH', 'Why', 'his net', 'slow', 'Min', 'Please', 'Fix', 'Min', 'already', 'Telkomsel', 'the card', ' free ',' slow ',' Please ',' repaired ',' ']</v>
      </c>
      <c r="D291" s="3">
        <v>1.0</v>
      </c>
    </row>
    <row r="292" ht="15.75" customHeight="1">
      <c r="A292" s="1">
        <v>290.0</v>
      </c>
      <c r="B292" s="3" t="s">
        <v>293</v>
      </c>
      <c r="C292" s="3" t="str">
        <f>IFERROR(__xludf.DUMMYFUNCTION("GOOGLETRANSLATE(B292,""id"",""en"")"),"['daily', 'City', 'SBY', 'Pasuruan', 'Disappointed', 'Side', 'Signal', 'Bad', 'Kouta', 'CPT', 'Out', 'Side', ' Exchange ',' point ',' exchanged ',' product ',' merchant ',' often ',' reasons', 'voucher', 'apply', 'trust', 'customer', 'credibility', 'credi"&amp;"bility' , 'Telkomsel', 'yrs', 'improved', 'hope', 'criticism', 'can', 'Telkomsel', 'lbh', ""]")</f>
        <v>['daily', 'City', 'SBY', 'Pasuruan', 'Disappointed', 'Side', 'Signal', 'Bad', 'Kouta', 'CPT', 'Out', 'Side', ' Exchange ',' point ',' exchanged ',' product ',' merchant ',' often ',' reasons', 'voucher', 'apply', 'trust', 'customer', 'credibility', 'credibility' , 'Telkomsel', 'yrs', 'improved', 'hope', 'criticism', 'can', 'Telkomsel', 'lbh', "]</v>
      </c>
      <c r="D292" s="3">
        <v>2.0</v>
      </c>
    </row>
    <row r="293" ht="15.75" customHeight="1">
      <c r="A293" s="1">
        <v>291.0</v>
      </c>
      <c r="B293" s="3" t="s">
        <v>294</v>
      </c>
      <c r="C293" s="3" t="str">
        <f>IFERROR(__xludf.DUMMYFUNCTION("GOOGLETRANSLATE(B293,""id"",""en"")"),"['application', 'slow', 'severe', 'buffering', 'application', 'oprator', 'josss',' telkomsel ',' error ',' connection ',' bad ',' network ',' The data ',' quota ',' above ',' Signal ',' Tower ',' Full ',' Bright ',' partner ',' customers', 'loyal', 'Telko"&amp;"msel', 'disappointed', 'heavy' , 'Telkomsel', '']")</f>
        <v>['application', 'slow', 'severe', 'buffering', 'application', 'oprator', 'josss',' telkomsel ',' error ',' connection ',' bad ',' network ',' The data ',' quota ',' above ',' Signal ',' Tower ',' Full ',' Bright ',' partner ',' customers', 'loyal', 'Telkomsel', 'disappointed', 'heavy' , 'Telkomsel', '']</v>
      </c>
      <c r="D293" s="3">
        <v>1.0</v>
      </c>
    </row>
    <row r="294" ht="15.75" customHeight="1">
      <c r="A294" s="1">
        <v>292.0</v>
      </c>
      <c r="B294" s="3" t="s">
        <v>295</v>
      </c>
      <c r="C294" s="3" t="str">
        <f>IFERROR(__xludf.DUMMYFUNCTION("GOOGLETRANSLATE(B294,""id"",""en"")"),"['Telkomsel', 'Jago', 'promo', 'doang', 'package', 'expensive', 'network', 'slow', 'disappointed', 'customer', 'mending', 'switch', ' Operator ',' Kekrini ']")</f>
        <v>['Telkomsel', 'Jago', 'promo', 'doang', 'package', 'expensive', 'network', 'slow', 'disappointed', 'customer', 'mending', 'switch', ' Operator ',' Kekrini ']</v>
      </c>
      <c r="D294" s="3">
        <v>1.0</v>
      </c>
    </row>
    <row r="295" ht="15.75" customHeight="1">
      <c r="A295" s="1">
        <v>293.0</v>
      </c>
      <c r="B295" s="3" t="s">
        <v>296</v>
      </c>
      <c r="C295" s="3" t="str">
        <f>IFERROR(__xludf.DUMMYFUNCTION("GOOGLETRANSLATE(B295,""id"",""en"")"),"['buffring', 'then', 'severe', 'Telkomsel', 'Try', 'resolution', 'picture', 'Lower', 'YanV', 'need', 'speed', 'look', ' Users', 'Uncomfortable', 'Open', 'App', 'Loading', 'Signal', 'Good']")</f>
        <v>['buffring', 'then', 'severe', 'Telkomsel', 'Try', 'resolution', 'picture', 'Lower', 'YanV', 'need', 'speed', 'look', ' Users', 'Uncomfortable', 'Open', 'App', 'Loading', 'Signal', 'Good']</v>
      </c>
      <c r="D295" s="3">
        <v>2.0</v>
      </c>
    </row>
    <row r="296" ht="15.75" customHeight="1">
      <c r="A296" s="1">
        <v>294.0</v>
      </c>
      <c r="B296" s="3" t="s">
        <v>297</v>
      </c>
      <c r="C296" s="3" t="str">
        <f>IFERROR(__xludf.DUMMYFUNCTION("GOOGLETRANSLATE(B296,""id"",""en"")"),"['already', 'rich', 'taik', 'pig', 'telcomsel', 'network', 'broke', 'then', 'network', 'hanging', 'lights',' then ',' dead ',' lag ',' lag ',' forgiveness', 'please', 'fix', 'perk', 'Aceh', 'disappointing', 'customer', 'Jaya', 'change', 'tempo' , 'Yng', '"&amp;"users', 'Telkomsel', 'PERLAK', 'Aceh', 'waste', 'products', 'Telkomsel', ""]")</f>
        <v>['already', 'rich', 'taik', 'pig', 'telcomsel', 'network', 'broke', 'then', 'network', 'hanging', 'lights',' then ',' dead ',' lag ',' lag ',' forgiveness', 'please', 'fix', 'perk', 'Aceh', 'disappointing', 'customer', 'Jaya', 'change', 'tempo' , 'Yng', 'users', 'Telkomsel', 'PERLAK', 'Aceh', 'waste', 'products', 'Telkomsel', "]</v>
      </c>
      <c r="D296" s="3">
        <v>1.0</v>
      </c>
    </row>
    <row r="297" ht="15.75" customHeight="1">
      <c r="A297" s="1">
        <v>295.0</v>
      </c>
      <c r="B297" s="3" t="s">
        <v>298</v>
      </c>
      <c r="C297" s="3" t="str">
        <f>IFERROR(__xludf.DUMMYFUNCTION("GOOGLETRANSLATE(B297,""id"",""en"")"),"['network', 'slow', 'Telkomsel', 'network', 'indonesia', 'hadeh', 'bad', 'network', 'game', 'ngelag', 'center', 'urban', ' Watch ',' YTUB ',' VIDIO ',' LEGAR ',' VAUTION ',' GINI ',' TRUS ',' Change ',' Proveder ',' Others', 'Dahh']")</f>
        <v>['network', 'slow', 'Telkomsel', 'network', 'indonesia', 'hadeh', 'bad', 'network', 'game', 'ngelag', 'center', 'urban', ' Watch ',' YTUB ',' VIDIO ',' LEGAR ',' VAUTION ',' GINI ',' TRUS ',' Change ',' Proveder ',' Others', 'Dahh']</v>
      </c>
      <c r="D297" s="3">
        <v>2.0</v>
      </c>
    </row>
    <row r="298" ht="15.75" customHeight="1">
      <c r="A298" s="1">
        <v>296.0</v>
      </c>
      <c r="B298" s="3" t="s">
        <v>299</v>
      </c>
      <c r="C298" s="3" t="str">
        <f>IFERROR(__xludf.DUMMYFUNCTION("GOOGLETRANSLATE(B298,""id"",""en"")"),"['Telkomsel', 'unlimited', 'open', 'sosmed', 'slow', 'sometimes',' network ',' karuan ',' buy ',' package ',' unlimited ',' GB ',' run out ',' quota ',' GB ',' open ',' open ',' sosmed ',' limited ',' muter ',' doang ',' fraud ',' name ']")</f>
        <v>['Telkomsel', 'unlimited', 'open', 'sosmed', 'slow', 'sometimes',' network ',' karuan ',' buy ',' package ',' unlimited ',' GB ',' run out ',' quota ',' GB ',' open ',' open ',' sosmed ',' limited ',' muter ',' doang ',' fraud ',' name ']</v>
      </c>
      <c r="D298" s="3">
        <v>1.0</v>
      </c>
    </row>
    <row r="299" ht="15.75" customHeight="1">
      <c r="A299" s="1">
        <v>297.0</v>
      </c>
      <c r="B299" s="3" t="s">
        <v>300</v>
      </c>
      <c r="C299" s="3" t="str">
        <f>IFERROR(__xludf.DUMMYFUNCTION("GOOGLETRANSLATE(B299,""id"",""en"")"),"['Sorry', 'Forced', 'Region', 'Nares',' Rotten ',' Good ',' Bad ',' Severe ',' Sinyal ',' Signal ',' Batang ',' Data ',' Enter ',' near ',' wrong ',' campus', 'country', 'open', 'photo', 'muter', 'maen', 'game', 'online', 'ping', 'trs' , 'Try', 'setting',"&amp;" 'manual', 'SMP', 'automatic', 'TTP', 'rotten', 'network', 'drizzle', 'rain', 'Severe', 'destroyed']")</f>
        <v>['Sorry', 'Forced', 'Region', 'Nares',' Rotten ',' Good ',' Bad ',' Severe ',' Sinyal ',' Signal ',' Batang ',' Data ',' Enter ',' near ',' wrong ',' campus', 'country', 'open', 'photo', 'muter', 'maen', 'game', 'online', 'ping', 'trs' , 'Try', 'setting', 'manual', 'SMP', 'automatic', 'TTP', 'rotten', 'network', 'drizzle', 'rain', 'Severe', 'destroyed']</v>
      </c>
      <c r="D299" s="3">
        <v>1.0</v>
      </c>
    </row>
    <row r="300" ht="15.75" customHeight="1">
      <c r="A300" s="1">
        <v>298.0</v>
      </c>
      <c r="B300" s="3" t="s">
        <v>301</v>
      </c>
      <c r="C300" s="3" t="str">
        <f>IFERROR(__xludf.DUMMYFUNCTION("GOOGLETRANSLATE(B300,""id"",""en"")"),"['PAS', 'Open', 'APK', 'MyTelkomsel', 'Network', 'Good', 'Range', 'Open', 'APK', 'Network', 'Not bad', 'ugly', ' Buy ',' Package ',' Expensive ',' Open ',' Application ',' Doang ',' Sis', 'Learning', 'Online', 'Sis',' Download ',' Photo ',' KB ' , 'Out', "&amp;"'Minutes', 'Sis', 'Please', 'Noted', 'The Network', 'Sis', ""]")</f>
        <v>['PAS', 'Open', 'APK', 'MyTelkomsel', 'Network', 'Good', 'Range', 'Open', 'APK', 'Network', 'Not bad', 'ugly', ' Buy ',' Package ',' Expensive ',' Open ',' Application ',' Doang ',' Sis', 'Learning', 'Online', 'Sis',' Download ',' Photo ',' KB ' , 'Out', 'Minutes', 'Sis', 'Please', 'Noted', 'The Network', 'Sis', "]</v>
      </c>
      <c r="D300" s="3">
        <v>1.0</v>
      </c>
    </row>
    <row r="301" ht="15.75" customHeight="1">
      <c r="A301" s="1">
        <v>299.0</v>
      </c>
      <c r="B301" s="3" t="s">
        <v>302</v>
      </c>
      <c r="C301" s="3" t="str">
        <f>IFERROR(__xludf.DUMMYFUNCTION("GOOGLETRANSLATE(B301,""id"",""en"")"),"['Severe', 'Buy', 'Package', 'Family', 'Package', 'Combo', 'Gede', 'Loss',' Loss', 'Krna', 'The Network', 'Super', ' slow ',' mna ',' network ',' the fastest ',' slow ',' kyk ',' dlu ',' slow ',' severe ']")</f>
        <v>['Severe', 'Buy', 'Package', 'Family', 'Package', 'Combo', 'Gede', 'Loss',' Loss', 'Krna', 'The Network', 'Super', ' slow ',' mna ',' network ',' the fastest ',' slow ',' kyk ',' dlu ',' slow ',' severe ']</v>
      </c>
      <c r="D301" s="3">
        <v>1.0</v>
      </c>
    </row>
    <row r="302" ht="15.75" customHeight="1">
      <c r="A302" s="1">
        <v>300.0</v>
      </c>
      <c r="B302" s="3" t="s">
        <v>303</v>
      </c>
      <c r="C302" s="3" t="str">
        <f>IFERROR(__xludf.DUMMYFUNCTION("GOOGLETRANSLATE(B302,""id"",""en"")"),"['love', 'star', 'here', 'network', 'already', 'disorder', 'fence', 'sampe', 'all day', 'full', 'sprti', 'please', ' Respond to ',' Area ',' Purwakarta ',' Ojol ',' SPRTI ',' Have ',' Very ',' Thank ',' Love ', ""]")</f>
        <v>['love', 'star', 'here', 'network', 'already', 'disorder', 'fence', 'sampe', 'all day', 'full', 'sprti', 'please', ' Respond to ',' Area ',' Purwakarta ',' Ojol ',' SPRTI ',' Have ',' Very ',' Thank ',' Love ', "]</v>
      </c>
      <c r="D302" s="3">
        <v>1.0</v>
      </c>
    </row>
    <row r="303" ht="15.75" customHeight="1">
      <c r="A303" s="1">
        <v>301.0</v>
      </c>
      <c r="B303" s="3" t="s">
        <v>304</v>
      </c>
      <c r="C303" s="3" t="str">
        <f>IFERROR(__xludf.DUMMYFUNCTION("GOOGLETRANSLATE(B303,""id"",""en"")"),"['Posts',' promo ',' TPI ',' buy ',' package ',' bought ',' package ',' internet ',' sisin ',' promo ',' slow ',' response ',' ']")</f>
        <v>['Posts',' promo ',' TPI ',' buy ',' package ',' bought ',' package ',' internet ',' sisin ',' promo ',' slow ',' response ',' ']</v>
      </c>
      <c r="D303" s="3">
        <v>1.0</v>
      </c>
    </row>
    <row r="304" ht="15.75" customHeight="1">
      <c r="A304" s="1">
        <v>302.0</v>
      </c>
      <c r="B304" s="3" t="s">
        <v>305</v>
      </c>
      <c r="C304" s="3" t="str">
        <f>IFERROR(__xludf.DUMMYFUNCTION("GOOGLETRANSLATE(B304,""id"",""en"")"),"['slow', 'signal', 'Telkom', 'dlu', 'dlu', 'telkom', 'dream', 'right', 'name', 'slow', 'ugly', 'yes',' Lose ',' Signal ',' Operator ',' IM ',' Center ',' City ',' Tangerang ',' Yes', 'Leet', 'already', 'buy', 'package', 'expensive' , 'Disappointed', 'stap"&amp;"le']")</f>
        <v>['slow', 'signal', 'Telkom', 'dlu', 'dlu', 'telkom', 'dream', 'right', 'name', 'slow', 'ugly', 'yes',' Lose ',' Signal ',' Operator ',' IM ',' Center ',' City ',' Tangerang ',' Yes', 'Leet', 'already', 'buy', 'package', 'expensive' , 'Disappointed', 'staple']</v>
      </c>
      <c r="D304" s="3">
        <v>1.0</v>
      </c>
    </row>
    <row r="305" ht="15.75" customHeight="1">
      <c r="A305" s="1">
        <v>303.0</v>
      </c>
      <c r="B305" s="3" t="s">
        <v>306</v>
      </c>
      <c r="C305" s="3" t="str">
        <f>IFERROR(__xludf.DUMMYFUNCTION("GOOGLETRANSLATE(B305,""id"",""en"")"),"['woii', 'pulse', 'like', 'ilang', 'money', 'steal', 'contents', 'pulse', 'quota', 'ilang', 'explained', '']")</f>
        <v>['woii', 'pulse', 'like', 'ilang', 'money', 'steal', 'contents', 'pulse', 'quota', 'ilang', 'explained', '']</v>
      </c>
      <c r="D305" s="3">
        <v>1.0</v>
      </c>
    </row>
    <row r="306" ht="15.75" customHeight="1">
      <c r="A306" s="1">
        <v>304.0</v>
      </c>
      <c r="B306" s="3" t="s">
        <v>307</v>
      </c>
      <c r="C306" s="3" t="str">
        <f>IFERROR(__xludf.DUMMYFUNCTION("GOOGLETRANSLATE(B306,""id"",""en"")"),"['Ngejakelin', 'oath', 'buy', 'yes',' special ',' run ',' just ',' briefly ',' sucking ',' pulse ',' notification ',' turn it off ',' kah ',' Genesis', 'deterred', 'gave', 'pulse', 'tip', 'end', 'run out', 'eyes',' focus', 'side', 'corner', 'left' , 'scre"&amp;"en', 'check', ""]")</f>
        <v>['Ngejakelin', 'oath', 'buy', 'yes',' special ',' run ',' just ',' briefly ',' sucking ',' pulse ',' notification ',' turn it off ',' kah ',' Genesis', 'deterred', 'gave', 'pulse', 'tip', 'end', 'run out', 'eyes',' focus', 'side', 'corner', 'left' , 'screen', 'check', "]</v>
      </c>
      <c r="D306" s="3">
        <v>2.0</v>
      </c>
    </row>
    <row r="307" ht="15.75" customHeight="1">
      <c r="A307" s="1">
        <v>305.0</v>
      </c>
      <c r="B307" s="3" t="s">
        <v>308</v>
      </c>
      <c r="C307" s="3" t="str">
        <f>IFERROR(__xludf.DUMMYFUNCTION("GOOGLETRANSLATE(B307,""id"",""en"")"),"['application', 'Help', 'bother', 'bother', 'home', 'buy', 'pulses',' easy ',' price ',' all ',' affordable ',' thank ',' Love ',' Telkomsel ',' ']")</f>
        <v>['application', 'Help', 'bother', 'bother', 'home', 'buy', 'pulses',' easy ',' price ',' all ',' affordable ',' thank ',' Love ',' Telkomsel ',' ']</v>
      </c>
      <c r="D307" s="3">
        <v>5.0</v>
      </c>
    </row>
    <row r="308" ht="15.75" customHeight="1">
      <c r="A308" s="1">
        <v>306.0</v>
      </c>
      <c r="B308" s="3" t="s">
        <v>309</v>
      </c>
      <c r="C308" s="3" t="str">
        <f>IFERROR(__xludf.DUMMYFUNCTION("GOOGLETRANSLATE(B308,""id"",""en"")"),"['Telkomsel', 'signal', 'bad', 'dlu', 'signal', 'good', 'Telkomsel', 'bring', 'area', 'Java', 'pemalang', 'ngendep', ' Bagusan ',' Signal ',' Three ',' Please ',' Signal ',' Fix ',' Pangaan ',' Telkomsel ',' Perusing ',' Signal ', ""]")</f>
        <v>['Telkomsel', 'signal', 'bad', 'dlu', 'signal', 'good', 'Telkomsel', 'bring', 'area', 'Java', 'pemalang', 'ngendep', ' Bagusan ',' Signal ',' Three ',' Please ',' Signal ',' Fix ',' Pangaan ',' Telkomsel ',' Perusing ',' Signal ', "]</v>
      </c>
      <c r="D308" s="3">
        <v>1.0</v>
      </c>
    </row>
    <row r="309" ht="15.75" customHeight="1">
      <c r="A309" s="1">
        <v>307.0</v>
      </c>
      <c r="B309" s="3" t="s">
        <v>310</v>
      </c>
      <c r="C309" s="3" t="str">
        <f>IFERROR(__xludf.DUMMYFUNCTION("GOOGLETRANSLATE(B309,""id"",""en"")"),"['region', 'brass',' south ',' signal ',' Telkomsel ',' ugly ',' good ',' severe ',' really ',' got ',' difficult ',' really ',' Lose ',' traits', 'forced', 'card', 'Indosat', 'replace', 'number', 'darling', 'card', 'already', ""]")</f>
        <v>['region', 'brass',' south ',' signal ',' Telkomsel ',' ugly ',' good ',' severe ',' really ',' got ',' difficult ',' really ',' Lose ',' traits', 'forced', 'card', 'Indosat', 'replace', 'number', 'darling', 'card', 'already', "]</v>
      </c>
      <c r="D309" s="3">
        <v>1.0</v>
      </c>
    </row>
    <row r="310" ht="15.75" customHeight="1">
      <c r="A310" s="1">
        <v>308.0</v>
      </c>
      <c r="B310" s="3" t="s">
        <v>311</v>
      </c>
      <c r="C310" s="3" t="str">
        <f>IFERROR(__xludf.DUMMYFUNCTION("GOOGLETRANSLATE(B310,""id"",""en"")"),"['good', 'bagu', 'baguuuss',' good ',' Telkomsel ',' fast ',' quota ',' open ',' telkomsel ',' already ',' stay ',' quota ',' Friends', 'Download', 'please', 'Download', '']")</f>
        <v>['good', 'bagu', 'baguuuss',' good ',' Telkomsel ',' fast ',' quota ',' open ',' telkomsel ',' already ',' stay ',' quota ',' Friends', 'Download', 'please', 'Download', '']</v>
      </c>
      <c r="D310" s="3">
        <v>5.0</v>
      </c>
    </row>
    <row r="311" ht="15.75" customHeight="1">
      <c r="A311" s="1">
        <v>309.0</v>
      </c>
      <c r="B311" s="3" t="s">
        <v>312</v>
      </c>
      <c r="C311" s="3" t="str">
        <f>IFERROR(__xludf.DUMMYFUNCTION("GOOGLETRANSLATE(B311,""id"",""en"")"),"['already', 'many', 'times',' loss', 'many times',' times', 'buy', 'package', 'balance', 'already', 'cheek', 'package', ' No "", 'visits', 'goes', 'Severe', 'weve', 'pulses', 'Cut', 'no', 'What's', 'Rich', 'Ginikah', 'Telkomsel', 'Take' , 'Benefit', 'Plea"&amp;"se', 'Fix', 'The Application', '']")</f>
        <v>['already', 'many', 'times',' loss', 'many times',' times', 'buy', 'package', 'balance', 'already', 'cheek', 'package', ' No ", 'visits', 'goes', 'Severe', 'weve', 'pulses', 'Cut', 'no', 'What's', 'Rich', 'Ginikah', 'Telkomsel', 'Take' , 'Benefit', 'Please', 'Fix', 'The Application', '']</v>
      </c>
      <c r="D311" s="3">
        <v>1.0</v>
      </c>
    </row>
    <row r="312" ht="15.75" customHeight="1">
      <c r="A312" s="1">
        <v>310.0</v>
      </c>
      <c r="B312" s="3" t="s">
        <v>313</v>
      </c>
      <c r="C312" s="3" t="str">
        <f>IFERROR(__xludf.DUMMYFUNCTION("GOOGLETRANSLATE(B312,""id"",""en"")"),"['Package', 'Internet', 'Cheap', 'Program', 'Beres',' Disreation ',' Squeezer ',' People ',' at the same time ',' Pandemic ',' Covid ',' Telkomsel ',' wrong ',' company ',' benefit ',' detrimental ',' people ', ""]")</f>
        <v>['Package', 'Internet', 'Cheap', 'Program', 'Beres',' Disreation ',' Squeezer ',' People ',' at the same time ',' Pandemic ',' Covid ',' Telkomsel ',' wrong ',' company ',' benefit ',' detrimental ',' people ', "]</v>
      </c>
      <c r="D312" s="3">
        <v>1.0</v>
      </c>
    </row>
    <row r="313" ht="15.75" customHeight="1">
      <c r="A313" s="1">
        <v>311.0</v>
      </c>
      <c r="B313" s="3" t="s">
        <v>314</v>
      </c>
      <c r="C313" s="3" t="str">
        <f>IFERROR(__xludf.DUMMYFUNCTION("GOOGLETRANSLATE(B313,""id"",""en"")"),"['please', 'Telkomsel', 'buy', 'package', 'already', 'contents',' pulse ',' already ',' click ',' buy ',' pulse ',' buy ',' package ',' payment ',' notification ',' enter ',' sms', 'network', 'masalh', 'bought', 'package', 'pulse', 'that way', 'already', "&amp;"'try' , 'Time', 'Tetep', 'Please', 'Condition', 'Application', 'AGR', 'Customer', 'TDAK', 'Disappointed', 'Please', 'Response', ""]")</f>
        <v>['please', 'Telkomsel', 'buy', 'package', 'already', 'contents',' pulse ',' already ',' click ',' buy ',' pulse ',' buy ',' package ',' payment ',' notification ',' enter ',' sms', 'network', 'masalh', 'bought', 'package', 'pulse', 'that way', 'already', 'try' , 'Time', 'Tetep', 'Please', 'Condition', 'Application', 'AGR', 'Customer', 'TDAK', 'Disappointed', 'Please', 'Response', "]</v>
      </c>
      <c r="D313" s="3">
        <v>2.0</v>
      </c>
    </row>
    <row r="314" ht="15.75" customHeight="1">
      <c r="A314" s="1">
        <v>312.0</v>
      </c>
      <c r="B314" s="3" t="s">
        <v>315</v>
      </c>
      <c r="C314" s="3" t="str">
        <f>IFERROR(__xludf.DUMMYFUNCTION("GOOGLETRANSLATE(B314,""id"",""en"")"),"['Nipu', 'You', 'person', 'Stamp', 'already', 'gift', 'down', 'The next', 'distamp', 'menu', 'Chekin', ' Daily ',' Dichat ',' opinions', 'reasons',' active ',' already ',' loss', 'gtu', 'easy', 'cave', 'uninstall', 'you', 'move' , 'Server', 'IM', '']")</f>
        <v>['Nipu', 'You', 'person', 'Stamp', 'already', 'gift', 'down', 'The next', 'distamp', 'menu', 'Chekin', ' Daily ',' Dichat ',' opinions', 'reasons',' active ',' already ',' loss', 'gtu', 'easy', 'cave', 'uninstall', 'you', 'move' , 'Server', 'IM', '']</v>
      </c>
      <c r="D314" s="3">
        <v>1.0</v>
      </c>
    </row>
    <row r="315" ht="15.75" customHeight="1">
      <c r="A315" s="1">
        <v>313.0</v>
      </c>
      <c r="B315" s="3" t="s">
        <v>316</v>
      </c>
      <c r="C315" s="3" t="str">
        <f>IFERROR(__xludf.DUMMYFUNCTION("GOOGLETRANSLATE(B315,""id"",""en"")"),"['Yesterday', 'contents',' quota ',' apk ',' Telkomsel ',' payment ',' gopay ',' quota ',' enter ',' enter ',' balance ',' gopay ',' Cutting ',' harmed ', ""]")</f>
        <v>['Yesterday', 'contents',' quota ',' apk ',' Telkomsel ',' payment ',' gopay ',' quota ',' enter ',' enter ',' balance ',' gopay ',' Cutting ',' harmed ', "]</v>
      </c>
      <c r="D315" s="3">
        <v>1.0</v>
      </c>
    </row>
    <row r="316" ht="15.75" customHeight="1">
      <c r="A316" s="1">
        <v>314.0</v>
      </c>
      <c r="B316" s="3" t="s">
        <v>317</v>
      </c>
      <c r="C316" s="3" t="str">
        <f>IFERROR(__xludf.DUMMYFUNCTION("GOOGLETRANSLATE(B316,""id"",""en"")"),"['Buy', 'Pack', 'GB', 'Notification', 'Process',' Already ',' Try ',' Many ',' Time ',' Tetep ',' Buy ',' Buy ',' disms ',' told ',' situ ',' disappointed ',' reel), 'provider', 'brand', 'poor', 'process', 'purchase', 'trimakasih']")</f>
        <v>['Buy', 'Pack', 'GB', 'Notification', 'Process',' Already ',' Try ',' Many ',' Time ',' Tetep ',' Buy ',' Buy ',' disms ',' told ',' situ ',' disappointed ',' reel), 'provider', 'brand', 'poor', 'process', 'purchase', 'trimakasih']</v>
      </c>
      <c r="D316" s="3">
        <v>1.0</v>
      </c>
    </row>
    <row r="317" ht="15.75" customHeight="1">
      <c r="A317" s="1">
        <v>315.0</v>
      </c>
      <c r="B317" s="3" t="s">
        <v>318</v>
      </c>
      <c r="C317" s="3" t="str">
        <f>IFERROR(__xludf.DUMMYFUNCTION("GOOGLETRANSLATE(B317,""id"",""en"")"),"['Min', 'area', 'Sousal', 'ugly', 'really', 'signal', 'kenceng', 'step', 'improvement', 'how', 'so', '']")</f>
        <v>['Min', 'area', 'Sousal', 'ugly', 'really', 'signal', 'kenceng', 'step', 'improvement', 'how', 'so', '']</v>
      </c>
      <c r="D317" s="3">
        <v>2.0</v>
      </c>
    </row>
    <row r="318" ht="15.75" customHeight="1">
      <c r="A318" s="1">
        <v>316.0</v>
      </c>
      <c r="B318" s="3" t="s">
        <v>319</v>
      </c>
      <c r="C318" s="3" t="str">
        <f>IFERROR(__xludf.DUMMYFUNCTION("GOOGLETRANSLATE(B318,""id"",""en"")"),"['Disappointed', 'really', 'skrg', 'tsel', 'years',' TPI ',' service ',' satisfying ',' signal ',' ugly ',' skrg ',' package ',' OMG ',' deleted ',' choice ',' buy ',' package ',' Krna ',' package ',' quota ',' seentrit ',' price ',' exorbitant ',' please"&amp;" ',' delete ' , 'quota', 'omg', 'krna', 'decent', 'cheap', 'beg', 'consider', 'delete', 'package', 'quota', 'internet', ""]")</f>
        <v>['Disappointed', 'really', 'skrg', 'tsel', 'years',' TPI ',' service ',' satisfying ',' signal ',' ugly ',' skrg ',' package ',' OMG ',' deleted ',' choice ',' buy ',' package ',' Krna ',' package ',' quota ',' seentrit ',' price ',' exorbitant ',' please ',' delete ' , 'quota', 'omg', 'krna', 'decent', 'cheap', 'beg', 'consider', 'delete', 'package', 'quota', 'internet', "]</v>
      </c>
      <c r="D318" s="3">
        <v>1.0</v>
      </c>
    </row>
    <row r="319" ht="15.75" customHeight="1">
      <c r="A319" s="1">
        <v>317.0</v>
      </c>
      <c r="B319" s="3" t="s">
        <v>320</v>
      </c>
      <c r="C319" s="3" t="str">
        <f>IFERROR(__xludf.DUMMYFUNCTION("GOOGLETRANSLATE(B319,""id"",""en"")"),"['buy', 'Telkomsel', 'expensive', 'expensive', 'play', 'game', 'ngellag', 'ngelag', 'card', 'Allah', 'many years',' Telkomsel ',' smoothly ',' smooth ',' Allah ',' please ',' his actions', 'Sis',' read ',' Allaah ',' Stress', 'Sis', ""]")</f>
        <v>['buy', 'Telkomsel', 'expensive', 'expensive', 'play', 'game', 'ngellag', 'ngelag', 'card', 'Allah', 'many years',' Telkomsel ',' smoothly ',' smooth ',' Allah ',' please ',' his actions', 'Sis',' read ',' Allaah ',' Stress', 'Sis', "]</v>
      </c>
      <c r="D319" s="3">
        <v>2.0</v>
      </c>
    </row>
    <row r="320" ht="15.75" customHeight="1">
      <c r="A320" s="1">
        <v>318.0</v>
      </c>
      <c r="B320" s="3" t="s">
        <v>321</v>
      </c>
      <c r="C320" s="3" t="str">
        <f>IFERROR(__xludf.DUMMYFUNCTION("GOOGLETRANSLATE(B320,""id"",""en"")"),"['yeah', 'skrng', 'gini', 'buy', 'package', 'unlimited', 'city', 'semarang', 'use', 'use', 'madura', 'kayak', ' Gini ',' Moho ',' direction ',' cook ',' buy ']")</f>
        <v>['yeah', 'skrng', 'gini', 'buy', 'package', 'unlimited', 'city', 'semarang', 'use', 'use', 'madura', 'kayak', ' Gini ',' Moho ',' direction ',' cook ',' buy ']</v>
      </c>
      <c r="D320" s="3">
        <v>1.0</v>
      </c>
    </row>
    <row r="321" ht="15.75" customHeight="1">
      <c r="A321" s="1">
        <v>319.0</v>
      </c>
      <c r="B321" s="3" t="s">
        <v>322</v>
      </c>
      <c r="C321" s="3" t="str">
        <f>IFERROR(__xludf.DUMMYFUNCTION("GOOGLETRANSLATE(B321,""id"",""en"")"),"['mimin', 'org', 'subscribe', 'rare', 'really', 'promo', 'cheap', 'tmnku', 'rare', 'buy', 'pulse', 'he can', ' rb ',' GB ',' RB ',' GB ',' min ',' justice ',' user ',' subscribe ',' subscribe ',' price ',' yahh ',' match ',' pocket ' , 'Student', 'AAAA', "&amp;"'Min', 'pliiiiissss', '']")</f>
        <v>['mimin', 'org', 'subscribe', 'rare', 'really', 'promo', 'cheap', 'tmnku', 'rare', 'buy', 'pulse', 'he can', ' rb ',' GB ',' RB ',' GB ',' min ',' justice ',' user ',' subscribe ',' subscribe ',' price ',' yahh ',' match ',' pocket ' , 'Student', 'AAAA', 'Min', 'pliiiiissss', '']</v>
      </c>
      <c r="D321" s="3">
        <v>1.0</v>
      </c>
    </row>
    <row r="322" ht="15.75" customHeight="1">
      <c r="A322" s="1">
        <v>320.0</v>
      </c>
      <c r="B322" s="3" t="s">
        <v>323</v>
      </c>
      <c r="C322" s="3" t="str">
        <f>IFERROR(__xludf.DUMMYFUNCTION("GOOGLETRANSLATE(B322,""id"",""en"")"),"['thank', 'love', 'Telkomsel', 'makes it easy', 'choice', 'access',' internet ',' Telkomsel ',' network ',' wide ',' LIKE ',' Telkomsel ',' Success', 'Telkomsel', '']")</f>
        <v>['thank', 'love', 'Telkomsel', 'makes it easy', 'choice', 'access',' internet ',' Telkomsel ',' network ',' wide ',' LIKE ',' Telkomsel ',' Success', 'Telkomsel', '']</v>
      </c>
      <c r="D322" s="3">
        <v>5.0</v>
      </c>
    </row>
    <row r="323" ht="15.75" customHeight="1">
      <c r="A323" s="1">
        <v>321.0</v>
      </c>
      <c r="B323" s="3" t="s">
        <v>324</v>
      </c>
      <c r="C323" s="3" t="str">
        <f>IFERROR(__xludf.DUMMYFUNCTION("GOOGLETRANSLATE(B323,""id"",""en"")"),"['buy', 'package', 'quota', 'unlimitedmax', 'telkomsel', 'payment', 'shopee', 'pay', 'package', 'enter', 'email', 'blom', ' Balesan ',' Reviews', 'no', 'Change', 'Package', 'Enter', 'Thank you']")</f>
        <v>['buy', 'package', 'quota', 'unlimitedmax', 'telkomsel', 'payment', 'shopee', 'pay', 'package', 'enter', 'email', 'blom', ' Balesan ',' Reviews', 'no', 'Change', 'Package', 'Enter', 'Thank you']</v>
      </c>
      <c r="D323" s="3">
        <v>1.0</v>
      </c>
    </row>
    <row r="324" ht="15.75" customHeight="1">
      <c r="A324" s="1">
        <v>322.0</v>
      </c>
      <c r="B324" s="3" t="s">
        <v>325</v>
      </c>
      <c r="C324" s="3" t="str">
        <f>IFERROR(__xludf.DUMMYFUNCTION("GOOGLETRANSLATE(B324,""id"",""en"")"),"['ilang', 'signal', 'improvement', 'kasi', 'notification', 'kek', 'already', 'nggk', 'service', 'mending', 'replace', 'provider', ' expensive ',' signal ',' ilang ',' silly ',' severe ']")</f>
        <v>['ilang', 'signal', 'improvement', 'kasi', 'notification', 'kek', 'already', 'nggk', 'service', 'mending', 'replace', 'provider', ' expensive ',' signal ',' ilang ',' silly ',' severe ']</v>
      </c>
      <c r="D324" s="3">
        <v>1.0</v>
      </c>
    </row>
    <row r="325" ht="15.75" customHeight="1">
      <c r="A325" s="1">
        <v>323.0</v>
      </c>
      <c r="B325" s="3" t="s">
        <v>326</v>
      </c>
      <c r="C325" s="3" t="str">
        <f>IFERROR(__xludf.DUMMYFUNCTION("GOOGLETRANSLATE(B325,""id"",""en"")"),"['Recommend', 'expensive', 'quality', 'ugly', 'cook', 'pulse', 'reduced', 'little', 'sometimes',' reduced ',' silver ',' silver ',' ',' ']")</f>
        <v>['Recommend', 'expensive', 'quality', 'ugly', 'cook', 'pulse', 'reduced', 'little', 'sometimes',' reduced ',' silver ',' silver ',' ',' ']</v>
      </c>
      <c r="D325" s="3">
        <v>1.0</v>
      </c>
    </row>
    <row r="326" ht="15.75" customHeight="1">
      <c r="A326" s="1">
        <v>324.0</v>
      </c>
      <c r="B326" s="3" t="s">
        <v>327</v>
      </c>
      <c r="C326" s="3" t="str">
        <f>IFERROR(__xludf.DUMMYFUNCTION("GOOGLETRANSLATE(B326,""id"",""en"")"),"['Severe', 'Disruption', 'Severe', 'GMNA', 'Complaints',' Customer ',' Telkomsel ',' Signal ',' Expensive ',' Class', 'Low', 'Busy', ' Mulu ',' pulse ',' Doank ',' emang ',' work ',' person ',' doank ',' office ',' jangam ',' clock ',' segini ',' sleep ',"&amp;"' he said ' , 'Clock', 'Serve', 'Severe', '']")</f>
        <v>['Severe', 'Disruption', 'Severe', 'GMNA', 'Complaints',' Customer ',' Telkomsel ',' Signal ',' Expensive ',' Class', 'Low', 'Busy', ' Mulu ',' pulse ',' Doank ',' emang ',' work ',' person ',' doank ',' office ',' jangam ',' clock ',' segini ',' sleep ',' he said ' , 'Clock', 'Serve', 'Severe', '']</v>
      </c>
      <c r="D326" s="3">
        <v>1.0</v>
      </c>
    </row>
    <row r="327" ht="15.75" customHeight="1">
      <c r="A327" s="1">
        <v>325.0</v>
      </c>
      <c r="B327" s="3" t="s">
        <v>328</v>
      </c>
      <c r="C327" s="3" t="str">
        <f>IFERROR(__xludf.DUMMYFUNCTION("GOOGLETRANSLATE(B327,""id"",""en"")"),"['friend', 'friend', 'sorry', 'survive', 'wear', 'Telkomsel', 'here', 'here', 'network', 'bad', 'internet', 'smooth', ' Maen ',' Game ',' Disight ',' City ',' Bandung ',' Plosok ',' Network ',' Difficult ',' Emotion ',' Play ',' Game ',' Provider ',' Conn"&amp;"ection ' , 'The network', 'Lose', 'Axis', 'IM', 'Smartfren', 'Lost', 'Good', 'Friend', 'Friend', 'Disappointed', ""]")</f>
        <v>['friend', 'friend', 'sorry', 'survive', 'wear', 'Telkomsel', 'here', 'here', 'network', 'bad', 'internet', 'smooth', ' Maen ',' Game ',' Disight ',' City ',' Bandung ',' Plosok ',' Network ',' Difficult ',' Emotion ',' Play ',' Game ',' Provider ',' Connection ' , 'The network', 'Lose', 'Axis', 'IM', 'Smartfren', 'Lost', 'Good', 'Friend', 'Friend', 'Disappointed', "]</v>
      </c>
      <c r="D327" s="3">
        <v>1.0</v>
      </c>
    </row>
    <row r="328" ht="15.75" customHeight="1">
      <c r="A328" s="1">
        <v>326.0</v>
      </c>
      <c r="B328" s="3" t="s">
        <v>329</v>
      </c>
      <c r="C328" s="3" t="str">
        <f>IFERROR(__xludf.DUMMYFUNCTION("GOOGLETRANSLATE(B328,""id"",""en"")"),"['Please', 'Increase', 'Network', 'Play', 'Game', 'Online', 'Network', 'Stable', 'Player', 'Game', 'Online', 'Disappointed', ' That is all and thank you', '']")</f>
        <v>['Please', 'Increase', 'Network', 'Play', 'Game', 'Online', 'Network', 'Stable', 'Player', 'Game', 'Online', 'Disappointed', ' That is all and thank you', '']</v>
      </c>
      <c r="D328" s="3">
        <v>3.0</v>
      </c>
    </row>
    <row r="329" ht="15.75" customHeight="1">
      <c r="A329" s="1">
        <v>327.0</v>
      </c>
      <c r="B329" s="3" t="s">
        <v>330</v>
      </c>
      <c r="C329" s="3" t="str">
        <f>IFERROR(__xludf.DUMMYFUNCTION("GOOGLETRANSLATE(B329,""id"",""en"")"),"['Hay', 'users',' Telkomsel ',' cards', 'enter', 'happy', 'Karna', 'Telkomsel', 'prizes',' quota ',' pretty ',' cheap ',' Affordable ',' Price ',' Thank ',' Love ',' Ngeluh ',' About ',' Application ',' Disruption ',' Times', 'Enter', 'Number', 'Log', 'AP"&amp;"L' , 'system', 'problematic', 'renewal', '']")</f>
        <v>['Hay', 'users',' Telkomsel ',' cards', 'enter', 'happy', 'Karna', 'Telkomsel', 'prizes',' quota ',' pretty ',' cheap ',' Affordable ',' Price ',' Thank ',' Love ',' Ngeluh ',' About ',' Application ',' Disruption ',' Times', 'Enter', 'Number', 'Log', 'APL' , 'system', 'problematic', 'renewal', '']</v>
      </c>
      <c r="D329" s="3">
        <v>2.0</v>
      </c>
    </row>
    <row r="330" ht="15.75" customHeight="1">
      <c r="A330" s="1">
        <v>328.0</v>
      </c>
      <c r="B330" s="3" t="s">
        <v>331</v>
      </c>
      <c r="C330" s="3" t="str">
        <f>IFERROR(__xludf.DUMMYFUNCTION("GOOGLETRANSLATE(B330,""id"",""en"")"),"['curious',' deh ',' IM ',' signal ',' strong ',' smooth ',' thank you ',' Telkomsel ',' quota ',' chek ',' quota ',' move ',' pulses', 'likes',' broken ',' like ',' Telkomsel ',' moved ',' im ',' tasty ',' really ',' comfortable ',' appeal ',' Telkomsel "&amp;"',' ']")</f>
        <v>['curious',' deh ',' IM ',' signal ',' strong ',' smooth ',' thank you ',' Telkomsel ',' quota ',' chek ',' quota ',' move ',' pulses', 'likes',' broken ',' like ',' Telkomsel ',' moved ',' im ',' tasty ',' really ',' comfortable ',' appeal ',' Telkomsel ',' ']</v>
      </c>
      <c r="D330" s="3">
        <v>1.0</v>
      </c>
    </row>
    <row r="331" ht="15.75" customHeight="1">
      <c r="A331" s="1">
        <v>329.0</v>
      </c>
      <c r="B331" s="3" t="s">
        <v>332</v>
      </c>
      <c r="C331" s="3" t="str">
        <f>IFERROR(__xludf.DUMMYFUNCTION("GOOGLETRANSLATE(B331,""id"",""en"")"),"['signal', 'down', 'gajelas',' stay ',' Jakarta ',' already ',' rich ',' stay ',' diploma ',' area ',' price ',' quality ',' signal ',' connection ',' internet ',' down ',' gara ',' signal ',' Telkomsel ',' rich ',' gini ',' activity ',' disturbed ',' wor"&amp;"k ',' please ' , 'Murah', 'people', 'think', 'moved', 'operator', 'already', 'Telkomsel', 'improvement', 'aspect', 'signal', 'connection', 'ride', ' price', '']")</f>
        <v>['signal', 'down', 'gajelas',' stay ',' Jakarta ',' already ',' rich ',' stay ',' diploma ',' area ',' price ',' quality ',' signal ',' connection ',' internet ',' down ',' gara ',' signal ',' Telkomsel ',' rich ',' gini ',' activity ',' disturbed ',' work ',' please ' , 'Murah', 'people', 'think', 'moved', 'operator', 'already', 'Telkomsel', 'improvement', 'aspect', 'signal', 'connection', 'ride', ' price', '']</v>
      </c>
      <c r="D331" s="3">
        <v>1.0</v>
      </c>
    </row>
    <row r="332" ht="15.75" customHeight="1">
      <c r="A332" s="1">
        <v>330.0</v>
      </c>
      <c r="B332" s="3" t="s">
        <v>333</v>
      </c>
      <c r="C332" s="3" t="str">
        <f>IFERROR(__xludf.DUMMYFUNCTION("GOOGLETRANSLATE(B332,""id"",""en"")"),"['knpa', 'signal', 'Telkomsel', 'ugly', 'in', 'bbrpa', 'week', 'package', 'slow', 'please', 'repair', 'satisfaction', ' Open ',' shipments', 'Video', 'Ajj', 'Sampe', 'Wait', 'Loading', '']")</f>
        <v>['knpa', 'signal', 'Telkomsel', 'ugly', 'in', 'bbrpa', 'week', 'package', 'slow', 'please', 'repair', 'satisfaction', ' Open ',' shipments', 'Video', 'Ajj', 'Sampe', 'Wait', 'Loading', '']</v>
      </c>
      <c r="D332" s="3">
        <v>1.0</v>
      </c>
    </row>
    <row r="333" ht="15.75" customHeight="1">
      <c r="A333" s="1">
        <v>331.0</v>
      </c>
      <c r="B333" s="3" t="s">
        <v>334</v>
      </c>
      <c r="C333" s="3" t="str">
        <f>IFERROR(__xludf.DUMMYFUNCTION("GOOGLETRANSLATE(B333,""id"",""en"")"),"['price', 'package', 'expensive', 'play', 'clock', 'night', 'lift', 'comparable', 'price', 'package', 'soar', 'please', ' Fix ',' stability ',' network ',' stable ',' mending ',' collapsed ',' price ',' package ',' skyrocketing ',' expensive ',' comparabl"&amp;"e ',' its network ']")</f>
        <v>['price', 'package', 'expensive', 'play', 'clock', 'night', 'lift', 'comparable', 'price', 'package', 'soar', 'please', ' Fix ',' stability ',' network ',' stable ',' mending ',' collapsed ',' price ',' package ',' skyrocketing ',' expensive ',' comparable ',' its network ']</v>
      </c>
      <c r="D333" s="3">
        <v>1.0</v>
      </c>
    </row>
    <row r="334" ht="15.75" customHeight="1">
      <c r="A334" s="1">
        <v>332.0</v>
      </c>
      <c r="B334" s="3" t="s">
        <v>335</v>
      </c>
      <c r="C334" s="3" t="str">
        <f>IFERROR(__xludf.DUMMYFUNCTION("GOOGLETRANSLATE(B334,""id"",""en"")"),"['already', 'good', 'quota', 'lap', 'main', 'MB', 'right', 'internet', 'Males',' I ',' Nyari ',' money ',' school ',' just ',' internet ',' return ',' right ',' woi ',' already ',' pakek ',' Telkomsel ',' disappointed ',' already ',' yrs', 'already' , 'Pu"&amp;"ng', 'released']")</f>
        <v>['already', 'good', 'quota', 'lap', 'main', 'MB', 'right', 'internet', 'Males',' I ',' Nyari ',' money ',' school ',' just ',' internet ',' return ',' right ',' woi ',' already ',' pakek ',' Telkomsel ',' disappointed ',' already ',' yrs', 'already' , 'Pung', 'released']</v>
      </c>
      <c r="D334" s="3">
        <v>5.0</v>
      </c>
    </row>
    <row r="335" ht="15.75" customHeight="1">
      <c r="A335" s="1">
        <v>333.0</v>
      </c>
      <c r="B335" s="3" t="s">
        <v>336</v>
      </c>
      <c r="C335" s="3" t="str">
        <f>IFERROR(__xludf.DUMMYFUNCTION("GOOGLETRANSLATE(B335,""id"",""en"")"),"['please', 'Telkomsel', 'response', 'complaints',' signal ',' ugly ',' really ',' users', 'Telkomsel', 'Thun', 'disappointed', 'emang', ' repairs', 'given', 'notip', 'message', 'please', 'fix', 'no', 'move', 'network', '']")</f>
        <v>['please', 'Telkomsel', 'response', 'complaints',' signal ',' ugly ',' really ',' users', 'Telkomsel', 'Thun', 'disappointed', 'emang', ' repairs', 'given', 'notip', 'message', 'please', 'fix', 'no', 'move', 'network', '']</v>
      </c>
      <c r="D335" s="3">
        <v>1.0</v>
      </c>
    </row>
    <row r="336" ht="15.75" customHeight="1">
      <c r="A336" s="1">
        <v>334.0</v>
      </c>
      <c r="B336" s="3" t="s">
        <v>337</v>
      </c>
      <c r="C336" s="3" t="str">
        <f>IFERROR(__xludf.DUMMYFUNCTION("GOOGLETRANSLATE(B336,""id"",""en"")"),"['Really', 'good', 'emang', 'good', 'please', 'good']")</f>
        <v>['Really', 'good', 'emang', 'good', 'please', 'good']</v>
      </c>
      <c r="D336" s="3">
        <v>1.0</v>
      </c>
    </row>
    <row r="337" ht="15.75" customHeight="1">
      <c r="A337" s="1">
        <v>335.0</v>
      </c>
      <c r="B337" s="3" t="s">
        <v>338</v>
      </c>
      <c r="C337" s="3" t="str">
        <f>IFERROR(__xludf.DUMMYFUNCTION("GOOGLETRANSLATE(B337,""id"",""en"")"),"['signal', 'KEK', 'UDH', 'MAKE', 'THN', 'BURIK', 'PACKAGE', 'Expensive', 'Signal', 'Poor', 'Please', 'Fix', ' Communicate ',' family ',' ']")</f>
        <v>['signal', 'KEK', 'UDH', 'MAKE', 'THN', 'BURIK', 'PACKAGE', 'Expensive', 'Signal', 'Poor', 'Please', 'Fix', ' Communicate ',' family ',' ']</v>
      </c>
      <c r="D337" s="3">
        <v>1.0</v>
      </c>
    </row>
    <row r="338" ht="15.75" customHeight="1">
      <c r="A338" s="1">
        <v>336.0</v>
      </c>
      <c r="B338" s="3" t="s">
        <v>339</v>
      </c>
      <c r="C338" s="3" t="str">
        <f>IFERROR(__xludf.DUMMYFUNCTION("GOOGLETRANSLATE(B338,""id"",""en"")"),"['Network', 'City', 'Palu', 'Disorders', 'Lost', 'Connection', 'People', 'User', 'Telkomsel', 'Experience', 'Please', 'Fix']")</f>
        <v>['Network', 'City', 'Palu', 'Disorders', 'Lost', 'Connection', 'People', 'User', 'Telkomsel', 'Experience', 'Please', 'Fix']</v>
      </c>
      <c r="D338" s="3">
        <v>1.0</v>
      </c>
    </row>
    <row r="339" ht="15.75" customHeight="1">
      <c r="A339" s="1">
        <v>337.0</v>
      </c>
      <c r="B339" s="3" t="s">
        <v>340</v>
      </c>
      <c r="C339" s="3" t="str">
        <f>IFERROR(__xludf.DUMMYFUNCTION("GOOGLETRANSLATE(B339,""id"",""en"")"),"['Network', 'slow', 'price', 'package', 'internet', 'expensive', 'price', 'consumer', 'Telkomsel', 'because', 'Biyaya', 'remove', ' Get ',' bad ',' satisfying ',' according to ',' cost ',' remove ',' Please ',' fix ',' system ',' network ',' consider ',' "&amp;"price ',' package ' , 'internet']")</f>
        <v>['Network', 'slow', 'price', 'package', 'internet', 'expensive', 'price', 'consumer', 'Telkomsel', 'because', 'Biyaya', 'remove', ' Get ',' bad ',' satisfying ',' according to ',' cost ',' remove ',' Please ',' fix ',' system ',' network ',' consider ',' price ',' package ' , 'internet']</v>
      </c>
      <c r="D339" s="3">
        <v>1.0</v>
      </c>
    </row>
    <row r="340" ht="15.75" customHeight="1">
      <c r="A340" s="1">
        <v>338.0</v>
      </c>
      <c r="B340" s="3" t="s">
        <v>341</v>
      </c>
      <c r="C340" s="3" t="str">
        <f>IFERROR(__xludf.DUMMYFUNCTION("GOOGLETRANSLATE(B340,""id"",""en"")"),"['Telkomsel', 'slow', 'skrg', 'slow', 'kayak', 'gini', 'tumben', 'slow', 'really', 'moved', 'provider', 'kah', ' Telkomsel ',' Please ',' Repair ',' Response ',' Comment ',' Ngeluh ',' Network ',' The answer ',' complaints', 'Please', 'contact', 'bla', 's"&amp;"low' , 'The network', 'Hmmmm', 'missing', 'customer', 'Ryesel', 'kwkwk']")</f>
        <v>['Telkomsel', 'slow', 'skrg', 'slow', 'kayak', 'gini', 'tumben', 'slow', 'really', 'moved', 'provider', 'kah', ' Telkomsel ',' Please ',' Repair ',' Response ',' Comment ',' Ngeluh ',' Network ',' The answer ',' complaints', 'Please', 'contact', 'bla', 'slow' , 'The network', 'Hmmmm', 'missing', 'customer', 'Ryesel', 'kwkwk']</v>
      </c>
      <c r="D340" s="3">
        <v>1.0</v>
      </c>
    </row>
    <row r="341" ht="15.75" customHeight="1">
      <c r="A341" s="1">
        <v>339.0</v>
      </c>
      <c r="B341" s="3" t="s">
        <v>342</v>
      </c>
      <c r="C341" s="3" t="str">
        <f>IFERROR(__xludf.DUMMYFUNCTION("GOOGLETRANSLATE(B341,""id"",""en"")"),"['Trash', 'honest', 'Wait', 'tip', 'end', 'connection', 'stable', 'wifi', 'full', 'slow', 'turn', 'application', ' Opened ',' Errr ']")</f>
        <v>['Trash', 'honest', 'Wait', 'tip', 'end', 'connection', 'stable', 'wifi', 'full', 'slow', 'turn', 'application', ' Opened ',' Errr ']</v>
      </c>
      <c r="D341" s="3">
        <v>1.0</v>
      </c>
    </row>
    <row r="342" ht="15.75" customHeight="1">
      <c r="A342" s="1">
        <v>340.0</v>
      </c>
      <c r="B342" s="3" t="s">
        <v>343</v>
      </c>
      <c r="C342" s="3" t="str">
        <f>IFERROR(__xludf.DUMMYFUNCTION("GOOGLETRANSLATE(B342,""id"",""en"")"),"['Please', 'yaaaa', 'Telkomsel', 'whyaaa', 'times',' buy ',' package ',' night ',' no ',' fitkk ',' chat ',' customer ',' Service ',' Results', 'Lossiii', 'Looks',' Please ',' Telkomsel ',' Dongg ',' Accompenible ',' Harm ',' People ', ""]")</f>
        <v>['Please', 'yaaaa', 'Telkomsel', 'whyaaa', 'times',' buy ',' package ',' night ',' no ',' fitkk ',' chat ',' customer ',' Service ',' Results', 'Lossiii', 'Looks',' Please ',' Telkomsel ',' Dongg ',' Accompenible ',' Harm ',' People ', "]</v>
      </c>
      <c r="D342" s="3">
        <v>4.0</v>
      </c>
    </row>
    <row r="343" ht="15.75" customHeight="1">
      <c r="A343" s="1">
        <v>341.0</v>
      </c>
      <c r="B343" s="3" t="s">
        <v>344</v>
      </c>
      <c r="C343" s="3" t="str">
        <f>IFERROR(__xludf.DUMMYFUNCTION("GOOGLETRANSLATE(B343,""id"",""en"")"),"['promo', 'price', 'slants',' numberq ',' package ',' expensive ',' pandemic ',' SPT ',' unemployed ',' online ',' school ',' Now ',' difficult ',' Signal ',' Weather ',' Bad ',' Gada ',' Connection ', ""]")</f>
        <v>['promo', 'price', 'slants',' numberq ',' package ',' expensive ',' pandemic ',' SPT ',' unemployed ',' online ',' school ',' Now ',' difficult ',' Signal ',' Weather ',' Bad ',' Gada ',' Connection ', "]</v>
      </c>
      <c r="D343" s="3">
        <v>4.0</v>
      </c>
    </row>
    <row r="344" ht="15.75" customHeight="1">
      <c r="A344" s="1">
        <v>342.0</v>
      </c>
      <c r="B344" s="3" t="s">
        <v>345</v>
      </c>
      <c r="C344" s="3" t="str">
        <f>IFERROR(__xludf.DUMMYFUNCTION("GOOGLETRANSLATE(B344,""id"",""en"")"),"['network', 'Telkomsel', 'slow', 'Marning', 'merely', 'expensive', 'pay', 'satisfaction', 'consumer', 'switch', 'operator', ""]")</f>
        <v>['network', 'Telkomsel', 'slow', 'Marning', 'merely', 'expensive', 'pay', 'satisfaction', 'consumer', 'switch', 'operator', "]</v>
      </c>
      <c r="D344" s="3">
        <v>1.0</v>
      </c>
    </row>
    <row r="345" ht="15.75" customHeight="1">
      <c r="A345" s="1">
        <v>343.0</v>
      </c>
      <c r="B345" s="3" t="s">
        <v>346</v>
      </c>
      <c r="C345" s="3" t="str">
        <f>IFERROR(__xludf.DUMMYFUNCTION("GOOGLETRANSLATE(B345,""id"",""en"")"),"['What', 'Telkomsel', 'here', 'signal', 'deteriorate', 'no', 'change', 'already', 'disappointed', 'the network', 'no', 'change', ' package ',' price ',' expensive ',' customers', 'no', 'satisfied', 'network', 'deteriorating', 'no', 'change', 'hahahaha', '"&amp;"browsing', 'whatsapp' , 'pending', 'price', 'package', 'no', 'according to', 'speed', 'network', 'alias', 'network', 'slow', 'severe', ""]")</f>
        <v>['What', 'Telkomsel', 'here', 'signal', 'deteriorate', 'no', 'change', 'already', 'disappointed', 'the network', 'no', 'change', ' package ',' price ',' expensive ',' customers', 'no', 'satisfied', 'network', 'deteriorating', 'no', 'change', 'hahahaha', 'browsing', 'whatsapp' , 'pending', 'price', 'package', 'no', 'according to', 'speed', 'network', 'alias', 'network', 'slow', 'severe', "]</v>
      </c>
      <c r="D345" s="3">
        <v>1.0</v>
      </c>
    </row>
    <row r="346" ht="15.75" customHeight="1">
      <c r="A346" s="1">
        <v>344.0</v>
      </c>
      <c r="B346" s="3" t="s">
        <v>347</v>
      </c>
      <c r="C346" s="3" t="str">
        <f>IFERROR(__xludf.DUMMYFUNCTION("GOOGLETRANSLATE(B346,""id"",""en"")"),"['already', 'use', 'Telkomsel', 'knpa', 'signal', 'good', 'kdang', 'slow', 'connected', 'good', 'kmren', 'increase', ' Donk ',' service ',' signal ',' increase ',' price ',' customer ',' blur ',' gini ', ""]")</f>
        <v>['already', 'use', 'Telkomsel', 'knpa', 'signal', 'good', 'kdang', 'slow', 'connected', 'good', 'kmren', 'increase', ' Donk ',' service ',' signal ',' increase ',' price ',' customer ',' blur ',' gini ', "]</v>
      </c>
      <c r="D346" s="3">
        <v>2.0</v>
      </c>
    </row>
    <row r="347" ht="15.75" customHeight="1">
      <c r="A347" s="1">
        <v>345.0</v>
      </c>
      <c r="B347" s="3" t="s">
        <v>348</v>
      </c>
      <c r="C347" s="3" t="str">
        <f>IFERROR(__xludf.DUMMYFUNCTION("GOOGLETRANSLATE(B347,""id"",""en"")"),"['', 'Login', 'told', 'click', 'Link', 'already', 'click', 'don't use', 'halam', 'sute', 'click', 'Link', 'it goes ',' Talikin ',' Login ',' ']")</f>
        <v>['', 'Login', 'told', 'click', 'Link', 'already', 'click', 'don't use', 'halam', 'sute', 'click', 'Link', 'it goes ',' Talikin ',' Login ',' ']</v>
      </c>
      <c r="D347" s="3">
        <v>1.0</v>
      </c>
    </row>
    <row r="348" ht="15.75" customHeight="1">
      <c r="A348" s="1">
        <v>346.0</v>
      </c>
      <c r="B348" s="3" t="s">
        <v>349</v>
      </c>
      <c r="C348" s="3" t="str">
        <f>IFERROR(__xludf.DUMMYFUNCTION("GOOGLETRANSLATE(B348,""id"",""en"")"),"['Fix', 'Telkomsel', 'already', 'feasible', 'loyal', 'Severe', 'Severe', 'already', 'Fix', 'Lost', 'Network', 'Bener', ' Severe ',' Network ',' Region ',' Panjalu ',' Ciamis', 'Javanese', 'West', 'Please', 'Fix', 'Disappointed', 'Move', 'Jaringn', 'next d"&amp;"oor' ]")</f>
        <v>['Fix', 'Telkomsel', 'already', 'feasible', 'loyal', 'Severe', 'Severe', 'already', 'Fix', 'Lost', 'Network', 'Bener', ' Severe ',' Network ',' Region ',' Panjalu ',' Ciamis', 'Javanese', 'West', 'Please', 'Fix', 'Disappointed', 'Move', 'Jaringn', 'next door' ]</v>
      </c>
      <c r="D348" s="3">
        <v>1.0</v>
      </c>
    </row>
    <row r="349" ht="15.75" customHeight="1">
      <c r="A349" s="1">
        <v>347.0</v>
      </c>
      <c r="B349" s="3" t="s">
        <v>350</v>
      </c>
      <c r="C349" s="3" t="str">
        <f>IFERROR(__xludf.DUMMYFUNCTION("GOOGLETRANSLATE(B349,""id"",""en"")"),"['Tounity', 'Telkomsel', 'netting', 'internet', 'improved', 'improved', 'quality', 'severe', 'bad', 'netting', 'full', 'road', ' quota ',' expensive ',' TPI ',' Telkomsel ',' UDH ',' go bankrupt ',' better ',' sell ',' company ',' already ',' LGI ',' oper"&amp;"ating ', ""]")</f>
        <v>['Tounity', 'Telkomsel', 'netting', 'internet', 'improved', 'improved', 'quality', 'severe', 'bad', 'netting', 'full', 'road', ' quota ',' expensive ',' TPI ',' Telkomsel ',' UDH ',' go bankrupt ',' better ',' sell ',' company ',' already ',' LGI ',' operating ', "]</v>
      </c>
      <c r="D349" s="3">
        <v>1.0</v>
      </c>
    </row>
    <row r="350" ht="15.75" customHeight="1">
      <c r="A350" s="1">
        <v>348.0</v>
      </c>
      <c r="B350" s="3" t="s">
        <v>351</v>
      </c>
      <c r="C350" s="3" t="str">
        <f>IFERROR(__xludf.DUMMYFUNCTION("GOOGLETRANSLATE(B350,""id"",""en"")"),"['Fill', 'reset', 'pulse', 'until', 'Telkomsel', 'stingy', 'really', 'internet', 'free', 'contents',' pulse ',' try ',' Smartfen ',' free ',' Telkomsel ',' cheats', 'Telkomsel', 'Harm', 'People', 'Telkomsel', 'signal', 'rotten', 'Basic', 'Telkomsel', 'Sma"&amp;"rtfen' , 'Donk', 'Telkomsel', 'garbage', 'public', ""]")</f>
        <v>['Fill', 'reset', 'pulse', 'until', 'Telkomsel', 'stingy', 'really', 'internet', 'free', 'contents',' pulse ',' try ',' Smartfen ',' free ',' Telkomsel ',' cheats', 'Telkomsel', 'Harm', 'People', 'Telkomsel', 'signal', 'rotten', 'Basic', 'Telkomsel', 'Smartfen' , 'Donk', 'Telkomsel', 'garbage', 'public', "]</v>
      </c>
      <c r="D350" s="3">
        <v>1.0</v>
      </c>
    </row>
    <row r="351" ht="15.75" customHeight="1">
      <c r="A351" s="1">
        <v>349.0</v>
      </c>
      <c r="B351" s="3" t="s">
        <v>352</v>
      </c>
      <c r="C351" s="3" t="str">
        <f>IFERROR(__xludf.DUMMYFUNCTION("GOOGLETRANSLATE(B351,""id"",""en"")"),"['Your signal', 'improved', 'emotions', 'reviews', 'negative', 'SPT', 'give', 'convenience', 'customer']")</f>
        <v>['Your signal', 'improved', 'emotions', 'reviews', 'negative', 'SPT', 'give', 'convenience', 'customer']</v>
      </c>
      <c r="D351" s="3">
        <v>1.0</v>
      </c>
    </row>
    <row r="352" ht="15.75" customHeight="1">
      <c r="A352" s="1">
        <v>350.0</v>
      </c>
      <c r="B352" s="3" t="s">
        <v>353</v>
      </c>
      <c r="C352" s="3" t="str">
        <f>IFERROR(__xludf.DUMMYFUNCTION("GOOGLETRANSLATE(B352,""id"",""en"")"),"['Hay', 'min', 'knapa', 'buy', 'pket', 'boyar', 'gopay', 'package', 'bell', 'enter', 'balance', 'suduh', ' Cut ',' please ',' help ',' check ',' already ',' kya ',' gini ',' replace ',' rating ',' bintag ']")</f>
        <v>['Hay', 'min', 'knapa', 'buy', 'pket', 'boyar', 'gopay', 'package', 'bell', 'enter', 'balance', 'suduh', ' Cut ',' please ',' help ',' check ',' already ',' kya ',' gini ',' replace ',' rating ',' bintag ']</v>
      </c>
      <c r="D352" s="3">
        <v>1.0</v>
      </c>
    </row>
    <row r="353" ht="15.75" customHeight="1">
      <c r="A353" s="1">
        <v>351.0</v>
      </c>
      <c r="B353" s="3" t="s">
        <v>354</v>
      </c>
      <c r="C353" s="3" t="str">
        <f>IFERROR(__xludf.DUMMYFUNCTION("GOOGLETRANSLATE(B353,""id"",""en"")"),"['signal', 'knpa', 'bad', 'take', 'package', 'unlimited', 'max', 'quota', 'local', 'dipake', 'move', 'location', ' activation ',' disappointing ',' colleagues', 'disappointed', 'automatic', 'replace', 'provider', 'rame', ""]")</f>
        <v>['signal', 'knpa', 'bad', 'take', 'package', 'unlimited', 'max', 'quota', 'local', 'dipake', 'move', 'location', ' activation ',' disappointing ',' colleagues', 'disappointed', 'automatic', 'replace', 'provider', 'rame', "]</v>
      </c>
      <c r="D353" s="3">
        <v>1.0</v>
      </c>
    </row>
    <row r="354" ht="15.75" customHeight="1">
      <c r="A354" s="1">
        <v>352.0</v>
      </c>
      <c r="B354" s="3" t="s">
        <v>355</v>
      </c>
      <c r="C354" s="3" t="str">
        <f>IFERROR(__xludf.DUMMYFUNCTION("GOOGLETRANSLATE(B354,""id"",""en"")"),"['Response', 'Provider', 'Application', 'Buy', 'Quota', 'NGK', 'Reasons',' Category ',' Available ',' Price ',' Expensive ',' Service ',' fake']")</f>
        <v>['Response', 'Provider', 'Application', 'Buy', 'Quota', 'NGK', 'Reasons',' Category ',' Available ',' Price ',' Expensive ',' Service ',' fake']</v>
      </c>
      <c r="D354" s="3">
        <v>1.0</v>
      </c>
    </row>
    <row r="355" ht="15.75" customHeight="1">
      <c r="A355" s="1">
        <v>353.0</v>
      </c>
      <c r="B355" s="3" t="s">
        <v>356</v>
      </c>
      <c r="C355" s="3" t="str">
        <f>IFERROR(__xludf.DUMMYFUNCTION("GOOGLETRANSLATE(B355,""id"",""en"")"),"['provider', 'skrng', 'ngandaain', 'network', 'weak', 'severe', 'sorted', 'customers',' lazy ',' survive ',' all ',' variant ',' Products', 'Telkom', 'Ddiemin', 'CPT', 'BENAHIN', 'WAIT', 'COMMENT', 'CUSTOMER', 'Strange', ""]")</f>
        <v>['provider', 'skrng', 'ngandaain', 'network', 'weak', 'severe', 'sorted', 'customers',' lazy ',' survive ',' all ',' variant ',' Products', 'Telkom', 'Ddiemin', 'CPT', 'BENAHIN', 'WAIT', 'COMMENT', 'CUSTOMER', 'Strange', "]</v>
      </c>
      <c r="D355" s="3">
        <v>1.0</v>
      </c>
    </row>
    <row r="356" ht="15.75" customHeight="1">
      <c r="A356" s="1">
        <v>354.0</v>
      </c>
      <c r="B356" s="3" t="s">
        <v>357</v>
      </c>
      <c r="C356" s="3" t="str">
        <f>IFERROR(__xludf.DUMMYFUNCTION("GOOGLETRANSLATE(B356,""id"",""en"")"),"['Buy', 'Package', 'Link', 'Balance', 'Link', 'Application', 'Telkomsel', 'Purchase', 'Recorded', 'Failed', 'Report it', ""]")</f>
        <v>['Buy', 'Package', 'Link', 'Balance', 'Link', 'Application', 'Telkomsel', 'Purchase', 'Recorded', 'Failed', 'Report it', "]</v>
      </c>
      <c r="D356" s="3">
        <v>4.0</v>
      </c>
    </row>
    <row r="357" ht="15.75" customHeight="1">
      <c r="A357" s="1">
        <v>355.0</v>
      </c>
      <c r="B357" s="3" t="s">
        <v>358</v>
      </c>
      <c r="C357" s="3" t="str">
        <f>IFERROR(__xludf.DUMMYFUNCTION("GOOGLETRANSLATE(B357,""id"",""en"")"),"['buy', 'package', 'omg', 'pay', 'money', 'pay', 'reduced', 'package', 'enter', 'enter', 'serious',' take ',' Fortunately ',' how ',' Disappointed ',' ']")</f>
        <v>['buy', 'package', 'omg', 'pay', 'money', 'pay', 'reduced', 'package', 'enter', 'enter', 'serious',' take ',' Fortunately ',' how ',' Disappointed ',' ']</v>
      </c>
      <c r="D357" s="3">
        <v>1.0</v>
      </c>
    </row>
    <row r="358" ht="15.75" customHeight="1">
      <c r="A358" s="1">
        <v>356.0</v>
      </c>
      <c r="B358" s="3" t="s">
        <v>359</v>
      </c>
      <c r="C358" s="3" t="str">
        <f>IFERROR(__xludf.DUMMYFUNCTION("GOOGLETRANSLATE(B358,""id"",""en"")"),"['Signal', 'Telkomsel', 'here', 'slow', 'Try', 'Move', 'Change', 'Report', 'Via', 'Email', 'Messenger', 'Gada', ' Response ',' Browsing ',' The Chief ',' Annoyed ',' Buy ',' Package ',' Mahalan ',' Sousal ',' Min ', ""]")</f>
        <v>['Signal', 'Telkomsel', 'here', 'slow', 'Try', 'Move', 'Change', 'Report', 'Via', 'Email', 'Messenger', 'Gada', ' Response ',' Browsing ',' The Chief ',' Annoyed ',' Buy ',' Package ',' Mahalan ',' Sousal ',' Min ', "]</v>
      </c>
      <c r="D358" s="3">
        <v>2.0</v>
      </c>
    </row>
    <row r="359" ht="15.75" customHeight="1">
      <c r="A359" s="1">
        <v>357.0</v>
      </c>
      <c r="B359" s="3" t="s">
        <v>360</v>
      </c>
      <c r="C359" s="3" t="str">
        <f>IFERROR(__xludf.DUMMYFUNCTION("GOOGLETRANSLATE(B359,""id"",""en"")"),"['network', 'kayak', 'card', 'mending', 'card', 'already', 'expensive', 'tissue', 'fast', 'kontlo', 'emang', 'already', ' Try ',' Speed ​​',' The Network ',' Rich ',' Anjim ',' Weve ',' Raying ',' Buy ',' Expensive ',' Quality ',' Kayak ',' COB ']")</f>
        <v>['network', 'kayak', 'card', 'mending', 'card', 'already', 'expensive', 'tissue', 'fast', 'kontlo', 'emang', 'already', ' Try ',' Speed ​​',' The Network ',' Rich ',' Anjim ',' Weve ',' Raying ',' Buy ',' Expensive ',' Quality ',' Kayak ',' COB ']</v>
      </c>
      <c r="D359" s="3">
        <v>1.0</v>
      </c>
    </row>
    <row r="360" ht="15.75" customHeight="1">
      <c r="A360" s="1">
        <v>358.0</v>
      </c>
      <c r="B360" s="3" t="s">
        <v>361</v>
      </c>
      <c r="C360" s="3" t="str">
        <f>IFERROR(__xludf.DUMMYFUNCTION("GOOGLETRANSLATE(B360,""id"",""en"")"),"['Astaghfirullah', 'Telkomsel', 'thisii', 'buy', 'quota', 'promo', 'history', 'purchase', 'quota', 'enter', 'pulse', 'truncated', ' Trying ',' repeat ',' times', 'buy', 'enter', 'quota', 'please', 'Telkomsel', 'honorable', 'fix', 'annoying', 'buyer', 'tha"&amp;"nk you' ]")</f>
        <v>['Astaghfirullah', 'Telkomsel', 'thisii', 'buy', 'quota', 'promo', 'history', 'purchase', 'quota', 'enter', 'pulse', 'truncated', ' Trying ',' repeat ',' times', 'buy', 'enter', 'quota', 'please', 'Telkomsel', 'honorable', 'fix', 'annoying', 'buyer', 'thank you' ]</v>
      </c>
      <c r="D360" s="3">
        <v>1.0</v>
      </c>
    </row>
    <row r="361" ht="15.75" customHeight="1">
      <c r="A361" s="1">
        <v>359.0</v>
      </c>
      <c r="B361" s="3" t="s">
        <v>362</v>
      </c>
      <c r="C361" s="3" t="str">
        <f>IFERROR(__xludf.DUMMYFUNCTION("GOOGLETRANSLATE(B361,""id"",""en"")"),"['suggestion', 'plus',' enter ',' code ',' vocer ',' sms', 'application', 'Telkomsel', 'event', 'enter', 'code', 'vocer', ' Posts', 'System', 'Busy', 'Times',' Genesis']")</f>
        <v>['suggestion', 'plus',' enter ',' code ',' vocer ',' sms', 'application', 'Telkomsel', 'event', 'enter', 'code', 'vocer', ' Posts', 'System', 'Busy', 'Times',' Genesis']</v>
      </c>
      <c r="D361" s="3">
        <v>3.0</v>
      </c>
    </row>
    <row r="362" ht="15.75" customHeight="1">
      <c r="A362" s="1">
        <v>360.0</v>
      </c>
      <c r="B362" s="3" t="s">
        <v>363</v>
      </c>
      <c r="C362" s="3" t="str">
        <f>IFERROR(__xludf.DUMMYFUNCTION("GOOGLETRANSLATE(B362,""id"",""en"")"),"['Want', 'Gamau', 'Love', 'Star', 'I'm so good', 'Please', 'Sorry', 'check', 'product', 'internet', 'quota', ' Description ',' Main ',' buy ',' pulse ',' product ',' package ',' internet ',' special ',' quota ',' description ',' main ',' lost ',' gtu ' , "&amp;"'package', 'conference', 'package', 'ilmupedia', 'package', 'internet', 'night', 'how', 'packagein', 'internet', 'signal', 'ugly', ' Mode ',' plane ',' restart ',' appears', 'please', 'repaired', '']")</f>
        <v>['Want', 'Gamau', 'Love', 'Star', 'I'm so good', 'Please', 'Sorry', 'check', 'product', 'internet', 'quota', ' Description ',' Main ',' buy ',' pulse ',' product ',' package ',' internet ',' special ',' quota ',' description ',' main ',' lost ',' gtu ' , 'package', 'conference', 'package', 'ilmupedia', 'package', 'internet', 'night', 'how', 'packagein', 'internet', 'signal', 'ugly', ' Mode ',' plane ',' restart ',' appears', 'please', 'repaired', '']</v>
      </c>
      <c r="D362" s="3">
        <v>1.0</v>
      </c>
    </row>
    <row r="363" ht="15.75" customHeight="1">
      <c r="A363" s="1">
        <v>361.0</v>
      </c>
      <c r="B363" s="3" t="s">
        <v>364</v>
      </c>
      <c r="C363" s="3" t="str">
        <f>IFERROR(__xludf.DUMMYFUNCTION("GOOGLETRANSLATE(B363,""id"",""en"")"),"['Package', 'Different', 'Price', 'Different', 'Number', 'County', 'Telkomsel', 'Strange', 'Complement', 'Buy', 'Package', ' Doang ',' weve ',' no ',' Kekeke ',' contact ',' Gaada ',' response ',' already ',' dilapidated ',' Telkomsel ']")</f>
        <v>['Package', 'Different', 'Price', 'Different', 'Number', 'County', 'Telkomsel', 'Strange', 'Complement', 'Buy', 'Package', ' Doang ',' weve ',' no ',' Kekeke ',' contact ',' Gaada ',' response ',' already ',' dilapidated ',' Telkomsel ']</v>
      </c>
      <c r="D363" s="3">
        <v>1.0</v>
      </c>
    </row>
    <row r="364" ht="15.75" customHeight="1">
      <c r="A364" s="1">
        <v>362.0</v>
      </c>
      <c r="B364" s="3" t="s">
        <v>365</v>
      </c>
      <c r="C364" s="3" t="str">
        <f>IFERROR(__xludf.DUMMYFUNCTION("GOOGLETRANSLATE(B364,""id"",""en"")"),"['Seletyib', 'can', 'promo', 'package', 'cheap', 'activation', 'love', 'promo', 'cheerful', 'GB', 'GB', 'all', ' NET ',' GB ',' Min ',' HR ',' RB ',' Activate ',' Package ',' Reply ',' com ',' SMS ',' Tsel ',' Hotoffer ',' Caution ' , 'Promo', 'Sampe', 'S"&amp;"eason', 'really', 'Mimin', 'Twitter', 'love', 'promo', 'right', 'activation', 'so', 'no', ' What's about ',' Season ',' really ',' Complain ',' Tawarin ',' Package ',' ']")</f>
        <v>['Seletyib', 'can', 'promo', 'package', 'cheap', 'activation', 'love', 'promo', 'cheerful', 'GB', 'GB', 'all', ' NET ',' GB ',' Min ',' HR ',' RB ',' Activate ',' Package ',' Reply ',' com ',' SMS ',' Tsel ',' Hotoffer ',' Caution ' , 'Promo', 'Sampe', 'Season', 'really', 'Mimin', 'Twitter', 'love', 'promo', 'right', 'activation', 'so', 'no', ' What's about ',' Season ',' really ',' Complain ',' Tawarin ',' Package ',' ']</v>
      </c>
      <c r="D364" s="3">
        <v>1.0</v>
      </c>
    </row>
    <row r="365" ht="15.75" customHeight="1">
      <c r="A365" s="1">
        <v>363.0</v>
      </c>
      <c r="B365" s="3" t="s">
        <v>366</v>
      </c>
      <c r="C365" s="3" t="str">
        <f>IFERROR(__xludf.DUMMYFUNCTION("GOOGLETRANSLATE(B365,""id"",""en"")"),"['Beres',' buy ',' package ',' Kayak ',' Gunannya ',' allotment ',' active ',' the day ',' muter ',' truuuus', 'diturunin', 'quality', ' Video ',' madih ',' muteeer ',' trooosss', 'usage', 'skrng', 'mending', 'replace', 'given', 'star', 'posted', 'MSU', '"&amp;"ngadih' , 'Bintang', 'Super', 'Super', 'Disappointed', 'Star', 'Terms', 'Post', 'Original', ""]")</f>
        <v>['Beres',' buy ',' package ',' Kayak ',' Gunannya ',' allotment ',' active ',' the day ',' muter ',' truuuus', 'diturunin', 'quality', ' Video ',' madih ',' muteeer ',' trooosss', 'usage', 'skrng', 'mending', 'replace', 'given', 'star', 'posted', 'MSU', 'ngadih' , 'Bintang', 'Super', 'Super', 'Disappointed', 'Star', 'Terms', 'Post', 'Original', "]</v>
      </c>
      <c r="D365" s="3">
        <v>1.0</v>
      </c>
    </row>
    <row r="366" ht="15.75" customHeight="1">
      <c r="A366" s="1">
        <v>364.0</v>
      </c>
      <c r="B366" s="3" t="s">
        <v>367</v>
      </c>
      <c r="C366" s="3" t="str">
        <f>IFERROR(__xludf.DUMMYFUNCTION("GOOGLETRANSLATE(B366,""id"",""en"")"),"['sayah', 'buy', 'package', 'quota', 'unlimited', 'quota', 'entered', 'because', 'failed', 'sayah', 'buy', 'shopepay', ' Payment ',' sayah ',' SUCCESS ',' SAMPE ',' response ',' anything ',' Telkomsel ', ""]")</f>
        <v>['sayah', 'buy', 'package', 'quota', 'unlimited', 'quota', 'entered', 'because', 'failed', 'sayah', 'buy', 'shopepay', ' Payment ',' sayah ',' SUCCESS ',' SAMPE ',' response ',' anything ',' Telkomsel ', "]</v>
      </c>
      <c r="D366" s="3">
        <v>1.0</v>
      </c>
    </row>
    <row r="367" ht="15.75" customHeight="1">
      <c r="A367" s="1">
        <v>365.0</v>
      </c>
      <c r="B367" s="3" t="s">
        <v>368</v>
      </c>
      <c r="C367" s="3" t="str">
        <f>IFERROR(__xludf.DUMMYFUNCTION("GOOGLETRANSLATE(B367,""id"",""en"")"),"['Telkomsel', 'Provider', 'Worst', 'Pokonya', 'Bad', 'World', 'Telkomsel', 'AJG', 'Kouta', 'price', 'thousand', 'network', ' kek ',' ajg ',' his web ',' network ',' stirrowed ',' feel ',' delicious', 'pakek', 'telko', 'jing', 'bad', 'please', 'my computer"&amp;"' , 'Mahaal', 'school', 'Nge', 'lag', 'price', 'thousand', 'parents',' results', 'learn', 'satisfying', 'please', 'Telkomsel', ' Respond to ',' as soon as possible, 'Pakek', 'Kouta', 'Main', 'Change', 'Dwon', 'Ngela']")</f>
        <v>['Telkomsel', 'Provider', 'Worst', 'Pokonya', 'Bad', 'World', 'Telkomsel', 'AJG', 'Kouta', 'price', 'thousand', 'network', ' kek ',' ajg ',' his web ',' network ',' stirrowed ',' feel ',' delicious', 'pakek', 'telko', 'jing', 'bad', 'please', 'my computer' , 'Mahaal', 'school', 'Nge', 'lag', 'price', 'thousand', 'parents',' results', 'learn', 'satisfying', 'please', 'Telkomsel', ' Respond to ',' as soon as possible, 'Pakek', 'Kouta', 'Main', 'Change', 'Dwon', 'Ngela']</v>
      </c>
      <c r="D367" s="3">
        <v>1.0</v>
      </c>
    </row>
    <row r="368" ht="15.75" customHeight="1">
      <c r="A368" s="1">
        <v>366.0</v>
      </c>
      <c r="B368" s="3" t="s">
        <v>369</v>
      </c>
      <c r="C368" s="3" t="str">
        <f>IFERROR(__xludf.DUMMYFUNCTION("GOOGLETRANSLATE(B368,""id"",""en"")"),"['Telkomsel', 'emang', 'initiative', 'Benerin', 'Network', 'That's',' Impression ',' Kayak ',' Limit ',' Use ',' Night ',' Signal ',' good ',' is', 'that's',' concept ',' morning ',' until ',' afternoon ',' network ',' slow ',' really ',' gini ',' custome"&amp;"r ',' moved ' , 'card', '']")</f>
        <v>['Telkomsel', 'emang', 'initiative', 'Benerin', 'Network', 'That's',' Impression ',' Kayak ',' Limit ',' Use ',' Night ',' Signal ',' good ',' is', 'that's',' concept ',' morning ',' until ',' afternoon ',' network ',' slow ',' really ',' gini ',' customer ',' moved ' , 'card', '']</v>
      </c>
      <c r="D368" s="3">
        <v>1.0</v>
      </c>
    </row>
    <row r="369" ht="15.75" customHeight="1">
      <c r="A369" s="1">
        <v>367.0</v>
      </c>
      <c r="B369" s="3" t="s">
        <v>370</v>
      </c>
      <c r="C369" s="3" t="str">
        <f>IFERROR(__xludf.DUMMYFUNCTION("GOOGLETRANSLATE(B369,""id"",""en"")"),"['Quality', 'Network', 'Telkomsel', 'bad', 'slow', 'Telkomsel', 'Salah', 'Perdana', 'Remember', 'expensive', 'TPI', 'quality', ' Decreased ',' unfortunate ',' Season ',' annoying ',' activity ',' ']")</f>
        <v>['Quality', 'Network', 'Telkomsel', 'bad', 'slow', 'Telkomsel', 'Salah', 'Perdana', 'Remember', 'expensive', 'TPI', 'quality', ' Decreased ',' unfortunate ',' Season ',' annoying ',' activity ',' ']</v>
      </c>
      <c r="D369" s="3">
        <v>4.0</v>
      </c>
    </row>
    <row r="370" ht="15.75" customHeight="1">
      <c r="A370" s="1">
        <v>368.0</v>
      </c>
      <c r="B370" s="3" t="s">
        <v>371</v>
      </c>
      <c r="C370" s="3" t="str">
        <f>IFERROR(__xludf.DUMMYFUNCTION("GOOGLETRANSLATE(B370,""id"",""en"")"),"['Please', 'repaired', 'quality', 'network', 'price', 'package', 'expensive', 'connection', 'internet', 'slow', 'streaming', 'buffering', ' price ',' suits', 'quality']")</f>
        <v>['Please', 'repaired', 'quality', 'network', 'price', 'package', 'expensive', 'connection', 'internet', 'slow', 'streaming', 'buffering', ' price ',' suits', 'quality']</v>
      </c>
      <c r="D370" s="3">
        <v>1.0</v>
      </c>
    </row>
    <row r="371" ht="15.75" customHeight="1">
      <c r="A371" s="1">
        <v>369.0</v>
      </c>
      <c r="B371" s="3" t="s">
        <v>372</v>
      </c>
      <c r="C371" s="3" t="str">
        <f>IFERROR(__xludf.DUMMYFUNCTION("GOOGLETRANSLATE(B371,""id"",""en"")"),"['Application', 'Telkomsel', 'strange', 'function', 'jawya', 'pulse', 'already', 'run out', 'buy', 'package', 'open', 'application', ' ajja ',' sucked ',' pulse ',' like ',' characters', 'Telkomsel']")</f>
        <v>['Application', 'Telkomsel', 'strange', 'function', 'jawya', 'pulse', 'already', 'run out', 'buy', 'package', 'open', 'application', ' ajja ',' sucked ',' pulse ',' like ',' characters', 'Telkomsel']</v>
      </c>
      <c r="D371" s="3">
        <v>5.0</v>
      </c>
    </row>
    <row r="372" ht="15.75" customHeight="1">
      <c r="A372" s="1">
        <v>370.0</v>
      </c>
      <c r="B372" s="3" t="s">
        <v>373</v>
      </c>
      <c r="C372" s="3" t="str">
        <f>IFERROR(__xludf.DUMMYFUNCTION("GOOGLETRANSLATE(B372,""id"",""en"")"),"['Telkomsel', 'bad', 'since' since 'package', 'data', 'cheap', 'GB', 'GB', 'package', 'signal', 'full', 'open', ' Sosmed ',' Open ',' Application ',' Online ',' Lemot ',' Open ',' Game ',' Online ',' Rotten ', ""]")</f>
        <v>['Telkomsel', 'bad', 'since' since 'package', 'data', 'cheap', 'GB', 'GB', 'package', 'signal', 'full', 'open', ' Sosmed ',' Open ',' Application ',' Online ',' Lemot ',' Open ',' Game ',' Online ',' Rotten ', "]</v>
      </c>
      <c r="D372" s="3">
        <v>1.0</v>
      </c>
    </row>
    <row r="373" ht="15.75" customHeight="1">
      <c r="A373" s="1">
        <v>371.0</v>
      </c>
      <c r="B373" s="3" t="s">
        <v>374</v>
      </c>
      <c r="C373" s="3" t="str">
        <f>IFERROR(__xludf.DUMMYFUNCTION("GOOGLETRANSLATE(B373,""id"",""en"")"),"['Fair', 'mmg', 'package', 'data', 'run out', 'eaten', 'pulses',' see ',' operator ',' tri ',' competitor ',' package ',' Data ',' run out ',' browsing ',' anything ',' eat ',' credit ',' pulse ',' left ',' use ',' buy ',' data ',' pity ',' person ' , 'bu"&amp;"y', 'pulse', 'heavy', '']")</f>
        <v>['Fair', 'mmg', 'package', 'data', 'run out', 'eaten', 'pulses',' see ',' operator ',' tri ',' competitor ',' package ',' Data ',' run out ',' browsing ',' anything ',' eat ',' credit ',' pulse ',' left ',' use ',' buy ',' data ',' pity ',' person ' , 'buy', 'pulse', 'heavy', '']</v>
      </c>
      <c r="D373" s="3">
        <v>1.0</v>
      </c>
    </row>
    <row r="374" ht="15.75" customHeight="1">
      <c r="A374" s="1">
        <v>372.0</v>
      </c>
      <c r="B374" s="3" t="s">
        <v>375</v>
      </c>
      <c r="C374" s="3" t="str">
        <f>IFERROR(__xludf.DUMMYFUNCTION("GOOGLETRANSLATE(B374,""id"",""en"")"),"['hi', 'annoyed', 'because', 'Network', 'Telkomsel', 'Disturbing', 'Push', 'Rank', 'Game', 'Online', 'Fix', 'Emotion', ' because ',' watch ',' youtube ',' slow ']")</f>
        <v>['hi', 'annoyed', 'because', 'Network', 'Telkomsel', 'Disturbing', 'Push', 'Rank', 'Game', 'Online', 'Fix', 'Emotion', ' because ',' watch ',' youtube ',' slow ']</v>
      </c>
      <c r="D374" s="3">
        <v>1.0</v>
      </c>
    </row>
    <row r="375" ht="15.75" customHeight="1">
      <c r="A375" s="1">
        <v>373.0</v>
      </c>
      <c r="B375" s="3" t="s">
        <v>376</v>
      </c>
      <c r="C375" s="3" t="str">
        <f>IFERROR(__xludf.DUMMYFUNCTION("GOOGLETRANSLATE(B375,""id"",""en"")"),"['app', 'heavy', 'really', 'device', 'eat', 'memory', 'open', 'drama', 'beg', 'repair', 'Telkomsel', 'app', ' Heavy ',' Available ',' Devices', 'User', 'Friendly', 'Thanks']")</f>
        <v>['app', 'heavy', 'really', 'device', 'eat', 'memory', 'open', 'drama', 'beg', 'repair', 'Telkomsel', 'app', ' Heavy ',' Available ',' Devices', 'User', 'Friendly', 'Thanks']</v>
      </c>
      <c r="D375" s="3">
        <v>2.0</v>
      </c>
    </row>
    <row r="376" ht="15.75" customHeight="1">
      <c r="A376" s="1">
        <v>374.0</v>
      </c>
      <c r="B376" s="3" t="s">
        <v>377</v>
      </c>
      <c r="C376" s="3" t="str">
        <f>IFERROR(__xludf.DUMMYFUNCTION("GOOGLETRANSLATE(B376,""id"",""en"")"),"['Application', 'Help', 'Regulation', 'Obtain', 'Quota', 'Daily', 'Check', 'Credit', 'Out', 'Crazy', 'Telkomsel', 'Fool', ' beu ',' squatting ',' name ',' quota ',' lost ',' pulse ',' quota ',' card ',' quota ',' telkomsel ',' idiot ',' serving ',' person"&amp;" ' , 'Indonesia', 'real', 'kagak', 'squatting', 'yes', 'thank', 'love', ""]")</f>
        <v>['Application', 'Help', 'Regulation', 'Obtain', 'Quota', 'Daily', 'Check', 'Credit', 'Out', 'Crazy', 'Telkomsel', 'Fool', ' beu ',' squatting ',' name ',' quota ',' lost ',' pulse ',' quota ',' card ',' quota ',' telkomsel ',' idiot ',' serving ',' person ' , 'Indonesia', 'real', 'kagak', 'squatting', 'yes', 'thank', 'love', "]</v>
      </c>
      <c r="D376" s="3">
        <v>1.0</v>
      </c>
    </row>
    <row r="377" ht="15.75" customHeight="1">
      <c r="A377" s="1">
        <v>375.0</v>
      </c>
      <c r="B377" s="3" t="s">
        <v>378</v>
      </c>
      <c r="C377" s="3" t="str">
        <f>IFERROR(__xludf.DUMMYFUNCTION("GOOGLETRANSLATE(B377,""id"",""en"")"),"['How', 'Telkomsel', 'buy', 'package', 'Yesterday', 'pulses', 'cut', 'solidian', 'what', 'thank you']")</f>
        <v>['How', 'Telkomsel', 'buy', 'package', 'Yesterday', 'pulses', 'cut', 'solidian', 'what', 'thank you']</v>
      </c>
      <c r="D377" s="3">
        <v>1.0</v>
      </c>
    </row>
    <row r="378" ht="15.75" customHeight="1">
      <c r="A378" s="1">
        <v>376.0</v>
      </c>
      <c r="B378" s="3" t="s">
        <v>379</v>
      </c>
      <c r="C378" s="3" t="str">
        <f>IFERROR(__xludf.DUMMYFUNCTION("GOOGLETRANSLATE(B378,""id"",""en"")"),"['easy', 'hopefully', 'provider', 'private', 'SAINING', 'Telkomsel', 'name', 'BUMN', 'himself', 'expensive', 'promo', 'the application', ' Dalah ']")</f>
        <v>['easy', 'hopefully', 'provider', 'private', 'SAINING', 'Telkomsel', 'name', 'BUMN', 'himself', 'expensive', 'promo', 'the application', ' Dalah ']</v>
      </c>
      <c r="D378" s="3">
        <v>3.0</v>
      </c>
    </row>
    <row r="379" ht="15.75" customHeight="1">
      <c r="A379" s="1">
        <v>377.0</v>
      </c>
      <c r="B379" s="3" t="s">
        <v>380</v>
      </c>
      <c r="C379" s="3" t="str">
        <f>IFERROR(__xludf.DUMMYFUNCTION("GOOGLETRANSLATE(B379,""id"",""en"")"),"['Network', 'area', 'deteriorating', 'used', 'everywhere', 'ngilank', 'nasty', 'the network', 'mending', 'package', 'expiration', 'what' do it, ' network ',' slow ',' check ',' area ',' cangkol ',' bekonang ',' mojolaban ',' Java ']")</f>
        <v>['Network', 'area', 'deteriorating', 'used', 'everywhere', 'ngilank', 'nasty', 'the network', 'mending', 'package', 'expiration', 'what' do it, ' network ',' slow ',' check ',' area ',' cangkol ',' bekonang ',' mojolaban ',' Java ']</v>
      </c>
      <c r="D379" s="3">
        <v>1.0</v>
      </c>
    </row>
    <row r="380" ht="15.75" customHeight="1">
      <c r="A380" s="1">
        <v>378.0</v>
      </c>
      <c r="B380" s="3" t="s">
        <v>381</v>
      </c>
      <c r="C380" s="3" t="str">
        <f>IFERROR(__xludf.DUMMYFUNCTION("GOOGLETRANSLATE(B380,""id"",""en"")"),"['Sebel', 'Telkomsel', 'UDH', 'buy', 'voucher', 'times',' right ',' enter ',' Tetep ',' his writing ',' sorry ',' system ',' Busy ',' Try ',' Please ',' Telkomsel ',' How ',' Network ',' Udh ',' Week ',' Rich ',' Gini ']")</f>
        <v>['Sebel', 'Telkomsel', 'UDH', 'buy', 'voucher', 'times',' right ',' enter ',' Tetep ',' his writing ',' sorry ',' system ',' Busy ',' Try ',' Please ',' Telkomsel ',' How ',' Network ',' Udh ',' Week ',' Rich ',' Gini ']</v>
      </c>
      <c r="D380" s="3">
        <v>1.0</v>
      </c>
    </row>
    <row r="381" ht="15.75" customHeight="1">
      <c r="A381" s="1">
        <v>379.0</v>
      </c>
      <c r="B381" s="3" t="s">
        <v>382</v>
      </c>
      <c r="C381" s="3" t="str">
        <f>IFERROR(__xludf.DUMMYFUNCTION("GOOGLETRANSLATE(B381,""id"",""en"")"),"['Males',' gave ',' star ',' use ',' Telkomsel ',' really ',' signal ',' difficult ',' really ',' Jakarta ',' buy ',' package ',' Leet ',' signal ',' ']")</f>
        <v>['Males',' gave ',' star ',' use ',' Telkomsel ',' really ',' signal ',' difficult ',' really ',' Jakarta ',' buy ',' package ',' Leet ',' signal ',' ']</v>
      </c>
      <c r="D381" s="3">
        <v>5.0</v>
      </c>
    </row>
    <row r="382" ht="15.75" customHeight="1">
      <c r="A382" s="1">
        <v>380.0</v>
      </c>
      <c r="B382" s="3" t="s">
        <v>383</v>
      </c>
      <c r="C382" s="3" t="str">
        <f>IFERROR(__xludf.DUMMYFUNCTION("GOOGLETRANSLATE(B382,""id"",""en"")"),"['package', 'quota', 'quota', 'morning', 'clock', 'quota', 'daily', 'wake up', 'clock', 'morning', 'download', 'quota', ' Morning ',' Cut ',' Justu ',' Quota ',' Clock ',' Cut ',' Quota ',' Morning ',' Sia ',' Buy ',' Dipake ',' Disappointing ',' Applicat"&amp;"ion ' , '']")</f>
        <v>['package', 'quota', 'quota', 'morning', 'clock', 'quota', 'daily', 'wake up', 'clock', 'morning', 'download', 'quota', ' Morning ',' Cut ',' Justu ',' Quota ',' Clock ',' Cut ',' Quota ',' Morning ',' Sia ',' Buy ',' Dipake ',' Disappointing ',' Application ' , '']</v>
      </c>
      <c r="D382" s="3">
        <v>2.0</v>
      </c>
    </row>
    <row r="383" ht="15.75" customHeight="1">
      <c r="A383" s="1">
        <v>381.0</v>
      </c>
      <c r="B383" s="3" t="s">
        <v>384</v>
      </c>
      <c r="C383" s="3" t="str">
        <f>IFERROR(__xludf.DUMMYFUNCTION("GOOGLETRANSLATE(B383,""id"",""en"")"),"['Telkomsel', 'dlu', 'mah', 'mountain', 'signal', 'good', 'nowmah', 'Celek', 'really', 'quota', 'use', 'card', ' active ',' love ',' quota ',' tlong ',' fix ',' signal ',' internet ',' ']")</f>
        <v>['Telkomsel', 'dlu', 'mah', 'mountain', 'signal', 'good', 'nowmah', 'Celek', 'really', 'quota', 'use', 'card', ' active ',' love ',' quota ',' tlong ',' fix ',' signal ',' internet ',' ']</v>
      </c>
      <c r="D383" s="3">
        <v>1.0</v>
      </c>
    </row>
    <row r="384" ht="15.75" customHeight="1">
      <c r="A384" s="1">
        <v>382.0</v>
      </c>
      <c r="B384" s="3" t="s">
        <v>385</v>
      </c>
      <c r="C384" s="3" t="str">
        <f>IFERROR(__xludf.DUMMYFUNCTION("GOOGLETRANSLATE(B384,""id"",""en"")"),"['Thank you', 'Telkomsel', 'signal', 'Good', 'Sampe', 'Village', 'Desa', 'The furthest', 'Indonesia', 'advanced', 'advancing', 'Indonesia' Bring ',' signal ',' sympathy ',' flow ',' area ',' remote ',' land ',' water ',' Indonesia ',' love ', ""]")</f>
        <v>['Thank you', 'Telkomsel', 'signal', 'Good', 'Sampe', 'Village', 'Desa', 'The furthest', 'Indonesia', 'advanced', 'advancing', 'Indonesia' Bring ',' signal ',' sympathy ',' flow ',' area ',' remote ',' land ',' water ',' Indonesia ',' love ', "]</v>
      </c>
      <c r="D384" s="3">
        <v>5.0</v>
      </c>
    </row>
    <row r="385" ht="15.75" customHeight="1">
      <c r="A385" s="1">
        <v>383.0</v>
      </c>
      <c r="B385" s="3" t="s">
        <v>386</v>
      </c>
      <c r="C385" s="3" t="str">
        <f>IFERROR(__xludf.DUMMYFUNCTION("GOOGLETRANSLATE(B385,""id"",""en"")"),"['Hi', 'Telkomsel', 'Fill', 'Credit', 'Check', 'Balance', 'Open', 'MyTelkomsel', 'Nomer', 'Use', 'Connection', 'Perfoma', ' Telkomsel ',' Slumping ',' Sharp ',' Service ']")</f>
        <v>['Hi', 'Telkomsel', 'Fill', 'Credit', 'Check', 'Balance', 'Open', 'MyTelkomsel', 'Nomer', 'Use', 'Connection', 'Perfoma', ' Telkomsel ',' Slumping ',' Sharp ',' Service ']</v>
      </c>
      <c r="D385" s="3">
        <v>1.0</v>
      </c>
    </row>
    <row r="386" ht="15.75" customHeight="1">
      <c r="A386" s="1">
        <v>384.0</v>
      </c>
      <c r="B386" s="3" t="s">
        <v>387</v>
      </c>
      <c r="C386" s="3" t="str">
        <f>IFERROR(__xludf.DUMMYFUNCTION("GOOGLETRANSLATE(B386,""id"",""en"")"),"['Woiiii', 'how', 'SIH', 'The application', 'Good', 'Jelekkk', 'Udh', 'Seneng', 'Card', 'Telkomsel', 'Ehh', 'Taunya', ' Buriq ',' Gini ',' Fix ',' That's', 'Lohhh', 'Disappointed', 'Lagi', 'Gini', 'User', 'Telkomsel', 'Disappointed', 'Application', 'MyTel"&amp;"komsel' , '']")</f>
        <v>['Woiiii', 'how', 'SIH', 'The application', 'Good', 'Jelekkk', 'Udh', 'Seneng', 'Card', 'Telkomsel', 'Ehh', 'Taunya', ' Buriq ',' Gini ',' Fix ',' That's', 'Lohhh', 'Disappointed', 'Lagi', 'Gini', 'User', 'Telkomsel', 'Disappointed', 'Application', 'MyTelkomsel' , '']</v>
      </c>
      <c r="D386" s="3">
        <v>1.0</v>
      </c>
    </row>
    <row r="387" ht="15.75" customHeight="1">
      <c r="A387" s="1">
        <v>385.0</v>
      </c>
      <c r="B387" s="3" t="s">
        <v>388</v>
      </c>
      <c r="C387" s="3" t="str">
        <f>IFERROR(__xludf.DUMMYFUNCTION("GOOGLETRANSLATE(B387,""id"",""en"")"),"['package', 'run out', 'pulse', 'direct', 'suck', 'teach', 'Telkomsel', 'service', 'bad', 'system', 'ugly', 'disappointed', ' ']")</f>
        <v>['package', 'run out', 'pulse', 'direct', 'suck', 'teach', 'Telkomsel', 'service', 'bad', 'system', 'ugly', 'disappointed', ' ']</v>
      </c>
      <c r="D387" s="3">
        <v>1.0</v>
      </c>
    </row>
    <row r="388" ht="15.75" customHeight="1">
      <c r="A388" s="1">
        <v>386.0</v>
      </c>
      <c r="B388" s="3" t="s">
        <v>389</v>
      </c>
      <c r="C388" s="3" t="str">
        <f>IFERROR(__xludf.DUMMYFUNCTION("GOOGLETRANSLATE(B388,""id"",""en"")"),"['Here', 'Yesterday', 'Exchange', 'Points', 'Balance', 'Linkaja', 'Points', 'Points', 'Exchange', 'Balance', 'Linkaja', 'Disappointed']")</f>
        <v>['Here', 'Yesterday', 'Exchange', 'Points', 'Balance', 'Linkaja', 'Points', 'Points', 'Exchange', 'Balance', 'Linkaja', 'Disappointed']</v>
      </c>
      <c r="D388" s="3">
        <v>1.0</v>
      </c>
    </row>
    <row r="389" ht="15.75" customHeight="1">
      <c r="A389" s="1">
        <v>387.0</v>
      </c>
      <c r="B389" s="3" t="s">
        <v>390</v>
      </c>
      <c r="C389" s="3" t="str">
        <f>IFERROR(__xludf.DUMMYFUNCTION("GOOGLETRANSLATE(B389,""id"",""en"")"),"['', 'buy', 'quota', 'network', 'call', 'emergency', 'pliss',' deh ',' collect ',' money ',' buy ',' pulse ',' quota ',' make it difficult ',' disappointing ',' bgtt ',' position ',' lgi ',' college ',' online ',' lgi ',' need ',' network ',' bgtt ',' nji"&amp;"rr ', 'mentang', 'provider', 'biggest', 'semena', 'bgtt', 'high school', 'customer']")</f>
        <v>['', 'buy', 'quota', 'network', 'call', 'emergency', 'pliss',' deh ',' collect ',' money ',' buy ',' pulse ',' quota ',' make it difficult ',' disappointing ',' bgtt ',' position ',' lgi ',' college ',' online ',' lgi ',' need ',' network ',' bgtt ',' njirr ', 'mentang', 'provider', 'biggest', 'semena', 'bgtt', 'high school', 'customer']</v>
      </c>
      <c r="D389" s="3">
        <v>1.0</v>
      </c>
    </row>
    <row r="390" ht="15.75" customHeight="1">
      <c r="A390" s="1">
        <v>388.0</v>
      </c>
      <c r="B390" s="3" t="s">
        <v>391</v>
      </c>
      <c r="C390" s="3" t="str">
        <f>IFERROR(__xludf.DUMMYFUNCTION("GOOGLETRANSLATE(B390,""id"",""en"")"),"['making easier', 'use', 'access',' Telkomsel ',' makes it easier ',' purchase ',' package ',' quota ',' information ',' latest ',' feature ',' Telkomsel ',' Get ',' gift ',' ']")</f>
        <v>['making easier', 'use', 'access',' Telkomsel ',' makes it easier ',' purchase ',' package ',' quota ',' information ',' latest ',' feature ',' Telkomsel ',' Get ',' gift ',' ']</v>
      </c>
      <c r="D390" s="3">
        <v>5.0</v>
      </c>
    </row>
    <row r="391" ht="15.75" customHeight="1">
      <c r="A391" s="1">
        <v>389.0</v>
      </c>
      <c r="B391" s="3" t="s">
        <v>392</v>
      </c>
      <c r="C391" s="3" t="str">
        <f>IFERROR(__xludf.DUMMYFUNCTION("GOOGLETRANSLATE(B391,""id"",""en"")"),"['Habits',' Telkomsel ',' data ',' pulses', 'missing', 'package', 'buy', 'GB', 'ubek', 'ubek', 'use', 'quota', ' NOTICE ',' Telkomsel ',' quota ',' left ',' MB ',' use ',' burdos', 'Selma', 'usage', 'Hnya', 'MB', 'Dlam', 'Sunday' , 'printed', 'data', 'cel"&amp;"lphone', 'quota', 'main', 'stay', 'MB', 'brooch', 'use', 'data', 'please', 'fix', ' Cave ',' Gedek ',' Come on ',' Telkomsel ',' Halah ',' Bacot ',' Mending ',' Bankrupt ',' Gblok ', ""]")</f>
        <v>['Habits',' Telkomsel ',' data ',' pulses', 'missing', 'package', 'buy', 'GB', 'ubek', 'ubek', 'use', 'quota', ' NOTICE ',' Telkomsel ',' quota ',' left ',' MB ',' use ',' burdos', 'Selma', 'usage', 'Hnya', 'MB', 'Dlam', 'Sunday' , 'printed', 'data', 'cellphone', 'quota', 'main', 'stay', 'MB', 'brooch', 'use', 'data', 'please', 'fix', ' Cave ',' Gedek ',' Come on ',' Telkomsel ',' Halah ',' Bacot ',' Mending ',' Bankrupt ',' Gblok ', "]</v>
      </c>
      <c r="D391" s="3">
        <v>1.0</v>
      </c>
    </row>
    <row r="392" ht="15.75" customHeight="1">
      <c r="A392" s="1">
        <v>390.0</v>
      </c>
      <c r="B392" s="3" t="s">
        <v>393</v>
      </c>
      <c r="C392" s="3" t="str">
        <f>IFERROR(__xludf.DUMMYFUNCTION("GOOGLETRANSLATE(B392,""id"",""en"")"),"['complement', 'signal', 'really', 'package', 'run out', 'data', 'flame', 'pulse', 'sumps',' plus', 'price', 'packetan', ' Internet ',' ']")</f>
        <v>['complement', 'signal', 'really', 'package', 'run out', 'data', 'flame', 'pulse', 'sumps',' plus', 'price', 'packetan', ' Internet ',' ']</v>
      </c>
      <c r="D392" s="3">
        <v>1.0</v>
      </c>
    </row>
    <row r="393" ht="15.75" customHeight="1">
      <c r="A393" s="1">
        <v>391.0</v>
      </c>
      <c r="B393" s="3" t="s">
        <v>394</v>
      </c>
      <c r="C393" s="3" t="str">
        <f>IFERROR(__xludf.DUMMYFUNCTION("GOOGLETRANSLATE(B393,""id"",""en"")"),"['', 'Jetlas',' really ',' Dgah ',' oath ',' Paying ',' Gopay ',' Ribet ',' Buy ',' Paketan ',' Quota ',' Try ',' Gunain ',' data ',' payment ',' Gopay ',' Season ',' Affairs', 'Sudden', '']")</f>
        <v>['', 'Jetlas',' really ',' Dgah ',' oath ',' Paying ',' Gopay ',' Ribet ',' Buy ',' Paketan ',' Quota ',' Try ',' Gunain ',' data ',' payment ',' Gopay ',' Season ',' Affairs', 'Sudden', '']</v>
      </c>
      <c r="D393" s="3">
        <v>1.0</v>
      </c>
    </row>
    <row r="394" ht="15.75" customHeight="1">
      <c r="A394" s="1">
        <v>392.0</v>
      </c>
      <c r="B394" s="3" t="s">
        <v>395</v>
      </c>
      <c r="C394" s="3" t="str">
        <f>IFERROR(__xludf.DUMMYFUNCTION("GOOGLETRANSLATE(B394,""id"",""en"")"),"['waduhhhhh', 'quota', 'already', 'annual', 'make', 'card', 'skrng', 'disappointed', 'severe', 'exceed', 'limit', 'internet', ' non ',' package ',' access', 'blocked', 'quota', 'me', 'access',' web ',' youtube ',' game ',' etc. ',' fix ',' ']")</f>
        <v>['waduhhhhh', 'quota', 'already', 'annual', 'make', 'card', 'skrng', 'disappointed', 'severe', 'exceed', 'limit', 'internet', ' non ',' package ',' access', 'blocked', 'quota', 'me', 'access',' web ',' youtube ',' game ',' etc. ',' fix ',' ']</v>
      </c>
      <c r="D394" s="3">
        <v>1.0</v>
      </c>
    </row>
    <row r="395" ht="15.75" customHeight="1">
      <c r="A395" s="1">
        <v>393.0</v>
      </c>
      <c r="B395" s="3" t="s">
        <v>396</v>
      </c>
      <c r="C395" s="3" t="str">
        <f>IFERROR(__xludf.DUMMYFUNCTION("GOOGLETRANSLATE(B395,""id"",""en"")"),"['price', 'package', 'according to', 'quality', 'signal', 'cheap', 'price', 'package', 'exorbitant', 'profit', 'increase', 'quality', ' signal ',' profit ',' consumer ',' disappointed ',' provider ',' hope ',' correction ',' consumer ',' run ',' provider "&amp;"',' tks']")</f>
        <v>['price', 'package', 'according to', 'quality', 'signal', 'cheap', 'price', 'package', 'exorbitant', 'profit', 'increase', 'quality', ' signal ',' profit ',' consumer ',' disappointed ',' provider ',' hope ',' correction ',' consumer ',' run ',' provider ',' tks']</v>
      </c>
      <c r="D395" s="3">
        <v>1.0</v>
      </c>
    </row>
    <row r="396" ht="15.75" customHeight="1">
      <c r="A396" s="1">
        <v>394.0</v>
      </c>
      <c r="B396" s="3" t="s">
        <v>397</v>
      </c>
      <c r="C396" s="3" t="str">
        <f>IFERROR(__xludf.DUMMYFUNCTION("GOOGLETRANSLATE(B396,""id"",""en"")"),"['hah', 'enter', 'login', 'how', 'install', 'application', 'emotion', 'superior', 'price', 'quota', 'expensive', 'quality', ' Increase ',' Network ',' Telkomsel ',' ugly ',' Package ',' Stay ',' City ',' Writing ',' Safe ',' Tapiii ',' Taken ',' Nge ',' G"&amp;"ame ' , 'destroyed', 'severe', 'lag', 'already', 'buy', 'expensive', 'satisfying', 'repaired', 'ginii', 'knp', 'ugly', 'that's',' network', '']")</f>
        <v>['hah', 'enter', 'login', 'how', 'install', 'application', 'emotion', 'superior', 'price', 'quota', 'expensive', 'quality', ' Increase ',' Network ',' Telkomsel ',' ugly ',' Package ',' Stay ',' City ',' Writing ',' Safe ',' Tapiii ',' Taken ',' Nge ',' Game ' , 'destroyed', 'severe', 'lag', 'already', 'buy', 'expensive', 'satisfying', 'repaired', 'ginii', 'knp', 'ugly', 'that's',' network', '']</v>
      </c>
      <c r="D396" s="3">
        <v>1.0</v>
      </c>
    </row>
    <row r="397" ht="15.75" customHeight="1">
      <c r="A397" s="1">
        <v>395.0</v>
      </c>
      <c r="B397" s="3" t="s">
        <v>398</v>
      </c>
      <c r="C397" s="3" t="str">
        <f>IFERROR(__xludf.DUMMYFUNCTION("GOOGLETRANSLATE(B397,""id"",""en"")"),"['Mimin', 'help', 'what', 'report', 'email', 'told', 'replace', 'APN', 'Standard', 'Telkomsel', 'Try', 'mode', ' The plane ',' Try ',' Clean ',' CaCE ',' Try ',' Restar ',' then ',' Report ',' Say ',' Comparison ',' Minimal ',' Number ',' Telkomsel ' , 'R"&amp;"ibet', 'report', 'check', 'try', 'ping', 'Tetep', 'ugly', 'down', 'derastic', 'ping', 'ms',' wkwkw ',' Ngakak ',' area ',' Kalimantan ',' container ',' good ',' contents', 'strange', 'lose', 'provider', 'next door', '']")</f>
        <v>['Mimin', 'help', 'what', 'report', 'email', 'told', 'replace', 'APN', 'Standard', 'Telkomsel', 'Try', 'mode', ' The plane ',' Try ',' Clean ',' CaCE ',' Try ',' Restar ',' then ',' Report ',' Say ',' Comparison ',' Minimal ',' Number ',' Telkomsel ' , 'Ribet', 'report', 'check', 'try', 'ping', 'Tetep', 'ugly', 'down', 'derastic', 'ping', 'ms',' wkwkw ',' Ngakak ',' area ',' Kalimantan ',' container ',' good ',' contents', 'strange', 'lose', 'provider', 'next door', '']</v>
      </c>
      <c r="D397" s="3">
        <v>1.0</v>
      </c>
    </row>
    <row r="398" ht="15.75" customHeight="1">
      <c r="A398" s="1">
        <v>396.0</v>
      </c>
      <c r="B398" s="3" t="s">
        <v>399</v>
      </c>
      <c r="C398" s="3" t="str">
        <f>IFERROR(__xludf.DUMMYFUNCTION("GOOGLETRANSLATE(B398,""id"",""en"")"),"['Hii', 'Sis',' sorry ',' Disturbs', 'complaints',' please ',' contact ',' thank ',' love ',' Teros', 'answer', 'fix', ' network ',' expensive ',' yes', 'slow', 'yes',' cie ',' run ',' customer ',' emang ',' match ',' run ',' network ',' slow ' , '']")</f>
        <v>['Hii', 'Sis',' sorry ',' Disturbs', 'complaints',' please ',' contact ',' thank ',' love ',' Teros', 'answer', 'fix', ' network ',' expensive ',' yes', 'slow', 'yes',' cie ',' run ',' customer ',' emang ',' match ',' run ',' network ',' slow ' , '']</v>
      </c>
      <c r="D398" s="3">
        <v>1.0</v>
      </c>
    </row>
    <row r="399" ht="15.75" customHeight="1">
      <c r="A399" s="1">
        <v>397.0</v>
      </c>
      <c r="B399" s="3" t="s">
        <v>400</v>
      </c>
      <c r="C399" s="3" t="str">
        <f>IFERROR(__xludf.DUMMYFUNCTION("GOOGLETRANSLATE(B399,""id"",""en"")"),"['Severe', 'Telkomsel', 'prioritasin', 'Telkomsel', 'smooth', 'mah', 'tmbah', 'severe', 'evaluation', 'network', 'nyruh', 'folow', ' Account ',' SGLA ',' FOUSING ',' PRBAIKIN ',' Network ',' Jngan ',' Ngarepin ',' Member ',' Folower ',' Buy ',' Credit ','"&amp;" Buy ',' quota ' , 'money', 'Folow', 'account', 'haze', 'benefits', 'mwnlog', 'Telkomsel', 'entry', 'vovider', 'try', '']")</f>
        <v>['Severe', 'Telkomsel', 'prioritasin', 'Telkomsel', 'smooth', 'mah', 'tmbah', 'severe', 'evaluation', 'network', 'nyruh', 'folow', ' Account ',' SGLA ',' FOUSING ',' PRBAIKIN ',' Network ',' Jngan ',' Ngarepin ',' Member ',' Folower ',' Buy ',' Credit ',' Buy ',' quota ' , 'money', 'Folow', 'account', 'haze', 'benefits', 'mwnlog', 'Telkomsel', 'entry', 'vovider', 'try', '']</v>
      </c>
      <c r="D399" s="3">
        <v>2.0</v>
      </c>
    </row>
    <row r="400" ht="15.75" customHeight="1">
      <c r="A400" s="1">
        <v>398.0</v>
      </c>
      <c r="B400" s="3" t="s">
        <v>401</v>
      </c>
      <c r="C400" s="3" t="str">
        <f>IFERROR(__xludf.DUMMYFUNCTION("GOOGLETRANSLATE(B400,""id"",""en"")"),"['network', 'signal', 'internet', 'ugly', 'disappointed', 'Telkomsel', 'special', 'sympathy', 'sya', 'pke', 'krtu', 'yrs',' quota ',' expensive ',' knapa ',' nets', 'internet', 'ugly', 'hrga', 'quota', 'network', 'internet', 'good', 'reverse', '']")</f>
        <v>['network', 'signal', 'internet', 'ugly', 'disappointed', 'Telkomsel', 'special', 'sympathy', 'sya', 'pke', 'krtu', 'yrs',' quota ',' expensive ',' knapa ',' nets', 'internet', 'ugly', 'hrga', 'quota', 'network', 'internet', 'good', 'reverse', '']</v>
      </c>
      <c r="D400" s="3">
        <v>2.0</v>
      </c>
    </row>
    <row r="401" ht="15.75" customHeight="1">
      <c r="A401" s="1">
        <v>399.0</v>
      </c>
      <c r="B401" s="3" t="s">
        <v>402</v>
      </c>
      <c r="C401" s="3" t="str">
        <f>IFERROR(__xludf.DUMMYFUNCTION("GOOGLETRANSLATE(B401,""id"",""en"")"),"['Out', 'Install', 'application', 'use', 'application', 'told', 'refresh', 'network', 'good', 'already', 'I do', 'times',' Disconnect ',' Install ',' ']")</f>
        <v>['Out', 'Install', 'application', 'use', 'application', 'told', 'refresh', 'network', 'good', 'already', 'I do', 'times',' Disconnect ',' Install ',' ']</v>
      </c>
      <c r="D401" s="3">
        <v>1.0</v>
      </c>
    </row>
    <row r="402" ht="15.75" customHeight="1">
      <c r="A402" s="1">
        <v>400.0</v>
      </c>
      <c r="B402" s="3" t="s">
        <v>403</v>
      </c>
      <c r="C402" s="3" t="str">
        <f>IFERROR(__xludf.DUMMYFUNCTION("GOOGLETRANSLATE(B402,""id"",""en"")"),"['waah', 'severe', 'really', 'quality', 'network', 'telkomsel', 'since' package ',' unlimited ',' latency ',' quota ',' main ',' Open ',' WhatsApp ',' Latence ',' really ',' Story ',' Kebuka ',' City ']")</f>
        <v>['waah', 'severe', 'really', 'quality', 'network', 'telkomsel', 'since' package ',' unlimited ',' latency ',' quota ',' main ',' Open ',' WhatsApp ',' Latence ',' really ',' Story ',' Kebuka ',' City ']</v>
      </c>
      <c r="D402" s="3">
        <v>1.0</v>
      </c>
    </row>
    <row r="403" ht="15.75" customHeight="1">
      <c r="A403" s="1">
        <v>401.0</v>
      </c>
      <c r="B403" s="3" t="s">
        <v>404</v>
      </c>
      <c r="C403" s="3" t="str">
        <f>IFERROR(__xludf.DUMMYFUNCTION("GOOGLETRANSLATE(B403,""id"",""en"")"),"['Gajelas',' quota ',' Masi ',' actip ',' already ',' use ',' package ',' quota ',' emergency ',' skrg ',' already ',' gabisa ',' Number ',' enter ',' criteria ',' apasih ',' gajelas']")</f>
        <v>['Gajelas',' quota ',' Masi ',' actip ',' already ',' use ',' package ',' quota ',' emergency ',' skrg ',' already ',' gabisa ',' Number ',' enter ',' criteria ',' apasih ',' gajelas']</v>
      </c>
      <c r="D403" s="3">
        <v>1.0</v>
      </c>
    </row>
    <row r="404" ht="15.75" customHeight="1">
      <c r="A404" s="1">
        <v>402.0</v>
      </c>
      <c r="B404" s="3" t="s">
        <v>405</v>
      </c>
      <c r="C404" s="3" t="str">
        <f>IFERROR(__xludf.DUMMYFUNCTION("GOOGLETRANSLATE(B404,""id"",""en"")"),"['Help', 'charging', 'pulse', 'hope', 'promo', 'promo', 'surprise', 'deal', 'thousand', 'payment', 'easy', 'choice']")</f>
        <v>['Help', 'charging', 'pulse', 'hope', 'promo', 'promo', 'surprise', 'deal', 'thousand', 'payment', 'easy', 'choice']</v>
      </c>
      <c r="D404" s="3">
        <v>5.0</v>
      </c>
    </row>
    <row r="405" ht="15.75" customHeight="1">
      <c r="A405" s="1">
        <v>403.0</v>
      </c>
      <c r="B405" s="3" t="s">
        <v>406</v>
      </c>
      <c r="C405" s="3" t="str">
        <f>IFERROR(__xludf.DUMMYFUNCTION("GOOGLETRANSLATE(B405,""id"",""en"")"),"['Telkomsel', 'card', 'Hello', 'slow', 'quota', 'bnyk', 'difficult', 'use', 'call', 'center', 'answer', 'kayak', ' niplainta ',' slow ',' said ',' maintenance ',' number ',' hdeewwhhhh ',' he said ',' he was wearing ',' uda ',' a week ',' mentok ',' told "&amp;"',' reset ' , 'Network', 'card', 'regular', 'Fine', 'slow', 'bnget', 'oath', 'card', 'hello', 'disappointing', 'regret', 'list', ' kartu Halo', '']")</f>
        <v>['Telkomsel', 'card', 'Hello', 'slow', 'quota', 'bnyk', 'difficult', 'use', 'call', 'center', 'answer', 'kayak', ' niplainta ',' slow ',' said ',' maintenance ',' number ',' hdeewwhhhh ',' he said ',' he was wearing ',' uda ',' a week ',' mentok ',' told ',' reset ' , 'Network', 'card', 'regular', 'Fine', 'slow', 'bnget', 'oath', 'card', 'hello', 'disappointing', 'regret', 'list', ' kartu Halo', '']</v>
      </c>
      <c r="D405" s="3">
        <v>3.0</v>
      </c>
    </row>
    <row r="406" ht="15.75" customHeight="1">
      <c r="A406" s="1">
        <v>404.0</v>
      </c>
      <c r="B406" s="3" t="s">
        <v>407</v>
      </c>
      <c r="C406" s="3" t="str">
        <f>IFERROR(__xludf.DUMMYFUNCTION("GOOGLETRANSLATE(B406,""id"",""en"")"),"['upgrade', 'service', 'Telkomsel', 'good', 'subscribe', 'package', 'GB', 'Rp', 'subscribe', 'update', 'package', 'subscription', ' Lost ',' features', 'open', 'picture', 'Load', 'reset', 'disappointing', 'Telkomsel', '']")</f>
        <v>['upgrade', 'service', 'Telkomsel', 'good', 'subscribe', 'package', 'GB', 'Rp', 'subscribe', 'update', 'package', 'subscription', ' Lost ',' features', 'open', 'picture', 'Load', 'reset', 'disappointing', 'Telkomsel', '']</v>
      </c>
      <c r="D406" s="3">
        <v>1.0</v>
      </c>
    </row>
    <row r="407" ht="15.75" customHeight="1">
      <c r="A407" s="1">
        <v>405.0</v>
      </c>
      <c r="B407" s="3" t="s">
        <v>408</v>
      </c>
      <c r="C407" s="3" t="str">
        <f>IFERROR(__xludf.DUMMYFUNCTION("GOOGLETRANSLATE(B407,""id"",""en"")"),"['Hadeh', 'here', 'network', 'Telkomsel', 'LEGK', 'Please', 'repaired', 'Donk', 'cook', 'yes',' buy ',' quota ',' Daily ',' used ',' please ',' fast ',' repaired ',' donk ', ""]")</f>
        <v>['Hadeh', 'here', 'network', 'Telkomsel', 'LEGK', 'Please', 'repaired', 'Donk', 'cook', 'yes',' buy ',' quota ',' Daily ',' used ',' please ',' fast ',' repaired ',' donk ', "]</v>
      </c>
      <c r="D407" s="3">
        <v>1.0</v>
      </c>
    </row>
    <row r="408" ht="15.75" customHeight="1">
      <c r="A408" s="1">
        <v>406.0</v>
      </c>
      <c r="B408" s="3" t="s">
        <v>409</v>
      </c>
      <c r="C408" s="3" t="str">
        <f>IFERROR(__xludf.DUMMYFUNCTION("GOOGLETRANSLATE(B408,""id"",""en"")"),"['Jancoook', 'Area', 'City', 'Internet', 'Speed', 'ugly', 'Service', 'Sgat', 'Disappointing', '']")</f>
        <v>['Jancoook', 'Area', 'City', 'Internet', 'Speed', 'ugly', 'Service', 'Sgat', 'Disappointing', '']</v>
      </c>
      <c r="D408" s="3">
        <v>1.0</v>
      </c>
    </row>
    <row r="409" ht="15.75" customHeight="1">
      <c r="A409" s="1">
        <v>407.0</v>
      </c>
      <c r="B409" s="3" t="s">
        <v>410</v>
      </c>
      <c r="C409" s="3" t="str">
        <f>IFERROR(__xludf.DUMMYFUNCTION("GOOGLETRANSLATE(B409,""id"",""en"")"),"['Provider', 'Haram', 'internet', 'impotent', 'quota', 'expensive', 'bills',' road ',' hope ',' fast ',' bankrupt ',' artisan ',' Tipu ',' eat ',' money ',' Haram ',' animal ',' ']")</f>
        <v>['Provider', 'Haram', 'internet', 'impotent', 'quota', 'expensive', 'bills',' road ',' hope ',' fast ',' bankrupt ',' artisan ',' Tipu ',' eat ',' money ',' Haram ',' animal ',' ']</v>
      </c>
      <c r="D409" s="3">
        <v>1.0</v>
      </c>
    </row>
    <row r="410" ht="15.75" customHeight="1">
      <c r="A410" s="1">
        <v>408.0</v>
      </c>
      <c r="B410" s="3" t="s">
        <v>411</v>
      </c>
      <c r="C410" s="3" t="str">
        <f>IFERROR(__xludf.DUMMYFUNCTION("GOOGLETRANSLATE(B410,""id"",""en"")"),"['Officer', 'Telkomsel', 'Dear', 'already', 'week', 'access',' internet ',' village ',' slow ',' already ',' call ',' Call ',' Center ',' fix ',' already ',' Sunday ',' Jugak ', ""]")</f>
        <v>['Officer', 'Telkomsel', 'Dear', 'already', 'week', 'access',' internet ',' village ',' slow ',' already ',' call ',' Call ',' Center ',' fix ',' already ',' Sunday ',' Jugak ', "]</v>
      </c>
      <c r="D410" s="3">
        <v>1.0</v>
      </c>
    </row>
    <row r="411" ht="15.75" customHeight="1">
      <c r="A411" s="1">
        <v>409.0</v>
      </c>
      <c r="B411" s="3" t="s">
        <v>412</v>
      </c>
      <c r="C411" s="3" t="str">
        <f>IFERROR(__xludf.DUMMYFUNCTION("GOOGLETRANSLATE(B411,""id"",""en"")"),"['Application', 'disappointed', 'turn', 'checked', 'package', 'pulse', 'sometimes',' slow ',' then ',' aspect ',' choice ',' package ',' Skli ',' buy ',' times', 'answer', 'application', 'package', 'sorry', 'sdng', 'disorder', 'want', 'proof', 'point', 'k"&amp;"li' , 'disappointed', '']")</f>
        <v>['Application', 'disappointed', 'turn', 'checked', 'package', 'pulse', 'sometimes',' slow ',' then ',' aspect ',' choice ',' package ',' Skli ',' buy ',' times', 'answer', 'application', 'package', 'sorry', 'sdng', 'disorder', 'want', 'proof', 'point', 'kli' , 'disappointed', '']</v>
      </c>
      <c r="D411" s="3">
        <v>1.0</v>
      </c>
    </row>
    <row r="412" ht="15.75" customHeight="1">
      <c r="A412" s="1">
        <v>410.0</v>
      </c>
      <c r="B412" s="3" t="s">
        <v>413</v>
      </c>
      <c r="C412" s="3" t="str">
        <f>IFERROR(__xludf.DUMMYFUNCTION("GOOGLETRANSLATE(B412,""id"",""en"")"),"['application', 'buy', 'package', 'right', 'open', 'apk', 'blank', 'white', 'gabisa', 'udh', 'uninstall', 'trs',' Install ',' Kek ',' GTU ',' annoyed ',' Gini ',' Mending ',' Move ',' Provider ',' Laen ',' Disappointed ']")</f>
        <v>['application', 'buy', 'package', 'right', 'open', 'apk', 'blank', 'white', 'gabisa', 'udh', 'uninstall', 'trs',' Install ',' Kek ',' GTU ',' annoyed ',' Gini ',' Mending ',' Move ',' Provider ',' Laen ',' Disappointed ']</v>
      </c>
      <c r="D412" s="3">
        <v>1.0</v>
      </c>
    </row>
    <row r="413" ht="15.75" customHeight="1">
      <c r="A413" s="1">
        <v>411.0</v>
      </c>
      <c r="B413" s="3" t="s">
        <v>414</v>
      </c>
      <c r="C413" s="3" t="str">
        <f>IFERROR(__xludf.DUMMYFUNCTION("GOOGLETRANSLATE(B413,""id"",""en"")"),"['Please', 'Telkom', 'Note', 'Signal', 'Region', 'Pedesaaan', 'City', 'Notice', 'Buy', 'Paketan', 'Expensive', 'Pakek', ' money ',' signal ',' network ',' severe ',' village ',' human ',' buy ',' package ',' pakek ',' money ',' Daon ',' data ',' expensive"&amp;" ' , 'signal', 'bad', 'severe']")</f>
        <v>['Please', 'Telkom', 'Note', 'Signal', 'Region', 'Pedesaaan', 'City', 'Notice', 'Buy', 'Paketan', 'Expensive', 'Pakek', ' money ',' signal ',' network ',' severe ',' village ',' human ',' buy ',' package ',' pakek ',' money ',' Daon ',' data ',' expensive ' , 'signal', 'bad', 'severe']</v>
      </c>
      <c r="D413" s="3">
        <v>1.0</v>
      </c>
    </row>
    <row r="414" ht="15.75" customHeight="1">
      <c r="A414" s="1">
        <v>412.0</v>
      </c>
      <c r="B414" s="3" t="s">
        <v>415</v>
      </c>
      <c r="C414" s="3" t="str">
        <f>IFERROR(__xludf.DUMMYFUNCTION("GOOGLETRANSLATE(B414,""id"",""en"")"),"['direction', 'ngellag', 'gajelas',' buy ',' package ',' complicated ',' severe ',' pulse ',' truncated ',' quota ',' no ',' entered ',' Experience ',' Maklumi ',' Already ',' Severe ',' Credit ',' Buy ',' Quota ',' Promo ',' RB ',' Wait ',' Enter ',' Cre"&amp;"dit ',' Belom ' , 'truncated', 'try', 'buy', 'pulse', 'rb', 'wait', 'tomorrow', 'pulse', 'rb', 'quota', 'enter']")</f>
        <v>['direction', 'ngellag', 'gajelas',' buy ',' package ',' complicated ',' severe ',' pulse ',' truncated ',' quota ',' no ',' entered ',' Experience ',' Maklumi ',' Already ',' Severe ',' Credit ',' Buy ',' Quota ',' Promo ',' RB ',' Wait ',' Enter ',' Credit ',' Belom ' , 'truncated', 'try', 'buy', 'pulse', 'rb', 'wait', 'tomorrow', 'pulse', 'rb', 'quota', 'enter']</v>
      </c>
      <c r="D414" s="3">
        <v>1.0</v>
      </c>
    </row>
    <row r="415" ht="15.75" customHeight="1">
      <c r="A415" s="1">
        <v>413.0</v>
      </c>
      <c r="B415" s="3" t="s">
        <v>416</v>
      </c>
      <c r="C415" s="3" t="str">
        <f>IFERROR(__xludf.DUMMYFUNCTION("GOOGLETRANSLATE(B415,""id"",""en"")"),"['oath', 'season', 'rainy', 'rich', 'gini', 'cave', 'tortured', 'card', 'Telkomsel', 'slow', 'network', 'TPI', ' Loading ',' Season ',' BNR ',' Bner ',' Lemot ']")</f>
        <v>['oath', 'season', 'rainy', 'rich', 'gini', 'cave', 'tortured', 'card', 'Telkomsel', 'slow', 'network', 'TPI', ' Loading ',' Season ',' BNR ',' Bner ',' Lemot ']</v>
      </c>
      <c r="D415" s="3">
        <v>1.0</v>
      </c>
    </row>
    <row r="416" ht="15.75" customHeight="1">
      <c r="A416" s="1">
        <v>414.0</v>
      </c>
      <c r="B416" s="3" t="s">
        <v>417</v>
      </c>
      <c r="C416" s="3" t="str">
        <f>IFERROR(__xludf.DUMMYFUNCTION("GOOGLETRANSLATE(B416,""id"",""en"")"),"['package', 'internet', 'fast', 'run out', 'use it', 'package', 'turn it off', 'turn on', 'package', 'stay', 'week', 'package', ' run out ',' please ',' solution ',' thank ',' love ']")</f>
        <v>['package', 'internet', 'fast', 'run out', 'use it', 'package', 'turn it off', 'turn on', 'package', 'stay', 'week', 'package', ' run out ',' please ',' solution ',' thank ',' love ']</v>
      </c>
      <c r="D416" s="3">
        <v>1.0</v>
      </c>
    </row>
    <row r="417" ht="15.75" customHeight="1">
      <c r="A417" s="1">
        <v>415.0</v>
      </c>
      <c r="B417" s="3" t="s">
        <v>418</v>
      </c>
      <c r="C417" s="3" t="str">
        <f>IFERROR(__xludf.DUMMYFUNCTION("GOOGLETRANSLATE(B417,""id"",""en"")"),"['Rain', 'signal', 'hardener', 'sound', 'signal', 'plane', 'signal', 'signal', 'then', 'Telkomsel', 'good', 'streaming', ' Video ',' already ',' fed up ',' provider ',' time ',' buy ',' package ',' bagusan ',' provider ',' severe ',' Onal ',' Telkomsel ',"&amp;"' apps' , 'Twitter', 'solution', 'sympathy', 'berek', 'reject', 'change', 'card', 'sun', 'Telkomsel', 'focus', 'sun', 'it seems']")</f>
        <v>['Rain', 'signal', 'hardener', 'sound', 'signal', 'plane', 'signal', 'signal', 'then', 'Telkomsel', 'good', 'streaming', ' Video ',' already ',' fed up ',' provider ',' time ',' buy ',' package ',' bagusan ',' provider ',' severe ',' Onal ',' Telkomsel ',' apps' , 'Twitter', 'solution', 'sympathy', 'berek', 'reject', 'change', 'card', 'sun', 'Telkomsel', 'focus', 'sun', 'it seems']</v>
      </c>
      <c r="D417" s="3">
        <v>1.0</v>
      </c>
    </row>
    <row r="418" ht="15.75" customHeight="1">
      <c r="A418" s="1">
        <v>416.0</v>
      </c>
      <c r="B418" s="3" t="s">
        <v>419</v>
      </c>
      <c r="C418" s="3" t="str">
        <f>IFERROR(__xludf.DUMMYFUNCTION("GOOGLETRANSLATE(B418,""id"",""en"")"),"['installation', 'purchase', 'card', 'hello', 'application', 'repeat', 'times',' try ',' contact ',' OPR ',' afterwards', 'try', ' TTP ',' on ',' Upload ',' KTP ', ""]")</f>
        <v>['installation', 'purchase', 'card', 'hello', 'application', 'repeat', 'times',' try ',' contact ',' OPR ',' afterwards', 'try', ' TTP ',' on ',' Upload ',' KTP ', "]</v>
      </c>
      <c r="D418" s="3">
        <v>3.0</v>
      </c>
    </row>
    <row r="419" ht="15.75" customHeight="1">
      <c r="A419" s="1">
        <v>417.0</v>
      </c>
      <c r="B419" s="3" t="s">
        <v>420</v>
      </c>
      <c r="C419" s="3" t="str">
        <f>IFERROR(__xludf.DUMMYFUNCTION("GOOGLETRANSLATE(B419,""id"",""en"")"),"['network', 'woiii', 'original', 'disappointing', 'sometimes',' error ',' sometimes', 'lag', 'already', 'online', 'offline', 'Google', ' network ',' healthy ', ""]")</f>
        <v>['network', 'woiii', 'original', 'disappointing', 'sometimes',' error ',' sometimes', 'lag', 'already', 'online', 'offline', 'Google', ' network ',' healthy ', "]</v>
      </c>
      <c r="D419" s="3">
        <v>1.0</v>
      </c>
    </row>
    <row r="420" ht="15.75" customHeight="1">
      <c r="A420" s="1">
        <v>418.0</v>
      </c>
      <c r="B420" s="3" t="s">
        <v>421</v>
      </c>
      <c r="C420" s="3" t="str">
        <f>IFERROR(__xludf.DUMMYFUNCTION("GOOGLETRANSLATE(B420,""id"",""en"")"),"['Buy', 'Network', 'Network', 'Below', 'Weak', 'Cook', 'Signal', 'Speed', 'Kayak', 'Signal', 'Current', 'Klau', ' repaired ',' star ',' Addin ']")</f>
        <v>['Buy', 'Network', 'Network', 'Below', 'Weak', 'Cook', 'Signal', 'Speed', 'Kayak', 'Signal', 'Current', 'Klau', ' repaired ',' star ',' Addin ']</v>
      </c>
      <c r="D420" s="3">
        <v>1.0</v>
      </c>
    </row>
    <row r="421" ht="15.75" customHeight="1">
      <c r="A421" s="1">
        <v>419.0</v>
      </c>
      <c r="B421" s="3" t="s">
        <v>422</v>
      </c>
      <c r="C421" s="3" t="str">
        <f>IFERROR(__xludf.DUMMYFUNCTION("GOOGLETRANSLATE(B421,""id"",""en"")"),"['strange', 'contents',' pulses', 'thousand', 'lost', 'hey', 'telkom', 'udh', 'jatoh', 'poor', 'or', 'eyes',' Money ',' ']")</f>
        <v>['strange', 'contents',' pulses', 'thousand', 'lost', 'hey', 'telkom', 'udh', 'jatoh', 'poor', 'or', 'eyes',' Money ',' ']</v>
      </c>
      <c r="D421" s="3">
        <v>1.0</v>
      </c>
    </row>
    <row r="422" ht="15.75" customHeight="1">
      <c r="A422" s="1">
        <v>420.0</v>
      </c>
      <c r="B422" s="3" t="s">
        <v>423</v>
      </c>
      <c r="C422" s="3" t="str">
        <f>IFERROR(__xludf.DUMMYFUNCTION("GOOGLETRANSLATE(B422,""id"",""en"")"),"['Telkomsel', 'detrimental', 'really', 'already', 'expensive', 'signal', 'slow', 'really', 'kayak', 'turtle', 'turtle', 'grateful', ' UDH ',' Change ',' Card ',' SIM ',' Card ',' SIM ',' Use ',' Mantul ',' Already ',' Cheap ',' Signal ',' Current ', ""]")</f>
        <v>['Telkomsel', 'detrimental', 'really', 'already', 'expensive', 'signal', 'slow', 'really', 'kayak', 'turtle', 'turtle', 'grateful', ' UDH ',' Change ',' Card ',' SIM ',' Card ',' SIM ',' Use ',' Mantul ',' Already ',' Cheap ',' Signal ',' Current ', "]</v>
      </c>
      <c r="D422" s="3">
        <v>1.0</v>
      </c>
    </row>
    <row r="423" ht="15.75" customHeight="1">
      <c r="A423" s="1">
        <v>421.0</v>
      </c>
      <c r="B423" s="3" t="s">
        <v>424</v>
      </c>
      <c r="C423" s="3" t="str">
        <f>IFERROR(__xludf.DUMMYFUNCTION("GOOGLETRANSLATE(B423,""id"",""en"")"),"['The name', 'koq', 'slow', 'bner', 'disappointed', 'pdahal', 'already', 'subscription', 'many years',' prah ',' replace ',' card ',' TPI ',' SKRNG ',' Disappointed ',' Mhon ',' repaired ',' please ', ""]")</f>
        <v>['The name', 'koq', 'slow', 'bner', 'disappointed', 'pdahal', 'already', 'subscription', 'many years',' prah ',' replace ',' card ',' TPI ',' SKRNG ',' Disappointed ',' Mhon ',' repaired ',' please ', "]</v>
      </c>
      <c r="D423" s="3">
        <v>1.0</v>
      </c>
    </row>
    <row r="424" ht="15.75" customHeight="1">
      <c r="A424" s="1">
        <v>422.0</v>
      </c>
      <c r="B424" s="3" t="s">
        <v>425</v>
      </c>
      <c r="C424" s="3" t="str">
        <f>IFERROR(__xludf.DUMMYFUNCTION("GOOGLETRANSLATE(B424,""id"",""en"")"),"['Assalamu', 'alaikum', 'buy', 'quota', 'unlimited', 'GB', 'choice', 'quota', 'no', 'buy', 'Please', 'omitted', ' right ',' live ',' data ',' cellular ',' data ',' Telkomsel ',' gamau ',' please ',' min ',' thank you ']")</f>
        <v>['Assalamu', 'alaikum', 'buy', 'quota', 'unlimited', 'GB', 'choice', 'quota', 'no', 'buy', 'Please', 'omitted', ' right ',' live ',' data ',' cellular ',' data ',' Telkomsel ',' gamau ',' please ',' min ',' thank you ']</v>
      </c>
      <c r="D424" s="3">
        <v>3.0</v>
      </c>
    </row>
    <row r="425" ht="15.75" customHeight="1">
      <c r="A425" s="1">
        <v>423.0</v>
      </c>
      <c r="B425" s="3" t="s">
        <v>426</v>
      </c>
      <c r="C425" s="3" t="str">
        <f>IFERROR(__xludf.DUMMYFUNCTION("GOOGLETRANSLATE(B425,""id"",""en"")"),"['apps',' useful ',' for me ',' makes it easy ',' check ',' status', 'card', 'info', 'info', 'interesting', 'telkomsel', 'increase', ' Quality ',' Service ',' Benefits', 'Application', 'Telkomsel', ""]")</f>
        <v>['apps',' useful ',' for me ',' makes it easy ',' check ',' status', 'card', 'info', 'info', 'interesting', 'telkomsel', 'increase', ' Quality ',' Service ',' Benefits', 'Application', 'Telkomsel', "]</v>
      </c>
      <c r="D425" s="3">
        <v>4.0</v>
      </c>
    </row>
    <row r="426" ht="15.75" customHeight="1">
      <c r="A426" s="1">
        <v>424.0</v>
      </c>
      <c r="B426" s="3" t="s">
        <v>427</v>
      </c>
      <c r="C426" s="3" t="str">
        <f>IFERROR(__xludf.DUMMYFUNCTION("GOOGLETRANSLATE(B426,""id"",""en"")"),"['Please', 'Simapati', 'signal', 'reinforced', 'signal', 'Telkomsel', 'slow', 'customer', 'replace', 'please', 'responded', 'thank', ' love', '']")</f>
        <v>['Please', 'Simapati', 'signal', 'reinforced', 'signal', 'Telkomsel', 'slow', 'customer', 'replace', 'please', 'responded', 'thank', ' love', '']</v>
      </c>
      <c r="D426" s="3">
        <v>5.0</v>
      </c>
    </row>
    <row r="427" ht="15.75" customHeight="1">
      <c r="A427" s="1">
        <v>425.0</v>
      </c>
      <c r="B427" s="3" t="s">
        <v>428</v>
      </c>
      <c r="C427" s="3" t="str">
        <f>IFERROR(__xludf.DUMMYFUNCTION("GOOGLETRANSLATE(B427,""id"",""en"")"),"['Min', 'buy', 'package', 'writing', 'process',' activation ',' enter ',' enter ',' package ',' network ',' problematic ',' repeat ',' "", 'Try', 'Enter', 'Min', 'Please', 'Repair', '']")</f>
        <v>['Min', 'buy', 'package', 'writing', 'process',' activation ',' enter ',' enter ',' package ',' network ',' problematic ',' repeat ',' ", 'Try', 'Enter', 'Min', 'Please', 'Repair', '']</v>
      </c>
      <c r="D427" s="3">
        <v>2.0</v>
      </c>
    </row>
    <row r="428" ht="15.75" customHeight="1">
      <c r="A428" s="1">
        <v>426.0</v>
      </c>
      <c r="B428" s="3" t="s">
        <v>429</v>
      </c>
      <c r="C428" s="3" t="str">
        <f>IFERROR(__xludf.DUMMYFUNCTION("GOOGLETRANSLATE(B428,""id"",""en"")"),"['Satisfied', 'application', 'easy', 'fast', 'checks',' pulse ',' package ',' price ',' economical ',' compare ',' just ',' complaint ',' subscribe ',' package ',' cheerful ',' ngak ',' notification ',' beg ',' explanation ',' wise ',' because 'because' s"&amp;"tarter ',' minimal ',' knowledge ',' application ' , 'Telkomsel', 'Please', 'Review', 'Telkomsel', 'Remains', 'Heart']")</f>
        <v>['Satisfied', 'application', 'easy', 'fast', 'checks',' pulse ',' package ',' price ',' economical ',' compare ',' just ',' complaint ',' subscribe ',' package ',' cheerful ',' ngak ',' notification ',' beg ',' explanation ',' wise ',' because 'because' starter ',' minimal ',' knowledge ',' application ' , 'Telkomsel', 'Please', 'Review', 'Telkomsel', 'Remains', 'Heart']</v>
      </c>
      <c r="D428" s="3">
        <v>5.0</v>
      </c>
    </row>
    <row r="429" ht="15.75" customHeight="1">
      <c r="A429" s="1">
        <v>427.0</v>
      </c>
      <c r="B429" s="3" t="s">
        <v>430</v>
      </c>
      <c r="C429" s="3" t="str">
        <f>IFERROR(__xludf.DUMMYFUNCTION("GOOGLETRANSLATE(B429,""id"",""en"")"),"['Disappointed', 'because', 'choose', 'network', 'causes',' breakup ',' connection ',' internet ',' loss', 'connection', 'please', 'level', ' Regions', 'Province', 'Java', 'Pemalang', '']")</f>
        <v>['Disappointed', 'because', 'choose', 'network', 'causes',' breakup ',' connection ',' internet ',' loss', 'connection', 'please', 'level', ' Regions', 'Province', 'Java', 'Pemalang', '']</v>
      </c>
      <c r="D429" s="3">
        <v>1.0</v>
      </c>
    </row>
    <row r="430" ht="15.75" customHeight="1">
      <c r="A430" s="1">
        <v>428.0</v>
      </c>
      <c r="B430" s="3" t="s">
        <v>431</v>
      </c>
      <c r="C430" s="3" t="str">
        <f>IFERROR(__xludf.DUMMYFUNCTION("GOOGLETRANSLATE(B430,""id"",""en"")"),"['network', 'potatoes',' rain ',' rain ',' cave ',' pakek ',' tri ',' fast ',' tri ',' signal ',' ghoib ',' network ',' Cowbird ',' Changed ',' Potatoes', 'Fix', 'Network', 'Lined', 'Ama', 'Village', 'Village', 'City', 'Fix', 'Satellite', 'Troubled' , 'Ha"&amp;"h', 'already', 'expensive', 'slow', 'according to', 'price', 'cave', 'bandingin', 'ama', 'axis',' njieng ',' already ',' expensive ',' ngeleg ',' example ',' entries', 'giaman', 'emotion', 'try', 'expensive', 'slow']")</f>
        <v>['network', 'potatoes',' rain ',' rain ',' cave ',' pakek ',' tri ',' fast ',' tri ',' signal ',' ghoib ',' network ',' Cowbird ',' Changed ',' Potatoes', 'Fix', 'Network', 'Lined', 'Ama', 'Village', 'Village', 'City', 'Fix', 'Satellite', 'Troubled' , 'Hah', 'already', 'expensive', 'slow', 'according to', 'price', 'cave', 'bandingin', 'ama', 'axis',' njieng ',' already ',' expensive ',' ngeleg ',' example ',' entries', 'giaman', 'emotion', 'try', 'expensive', 'slow']</v>
      </c>
      <c r="D430" s="3">
        <v>1.0</v>
      </c>
    </row>
    <row r="431" ht="15.75" customHeight="1">
      <c r="A431" s="1">
        <v>429.0</v>
      </c>
      <c r="B431" s="3" t="s">
        <v>432</v>
      </c>
      <c r="C431" s="3" t="str">
        <f>IFERROR(__xludf.DUMMYFUNCTION("GOOGLETRANSLATE(B431,""id"",""en"")"),"['Telkomsel', 'Survive', 'Mending', 'Closed', 'Deh', 'Missing', 'Customer', 'Price', 'Quota', 'Expensive', 'It should', 'Customized', ' The service is', 'Signal', 'Severe', 'Lost', 'Total', 'Very', 'Network', 'Internet', 'Leet', 'Forgiveness',' Msh ',' Su"&amp;"ngsik ',' Service ' , 'repaired', '']")</f>
        <v>['Telkomsel', 'Survive', 'Mending', 'Closed', 'Deh', 'Missing', 'Customer', 'Price', 'Quota', 'Expensive', 'It should', 'Customized', ' The service is', 'Signal', 'Severe', 'Lost', 'Total', 'Very', 'Network', 'Internet', 'Leet', 'Forgiveness',' Msh ',' Sungsik ',' Service ' , 'repaired', '']</v>
      </c>
      <c r="D431" s="3">
        <v>1.0</v>
      </c>
    </row>
    <row r="432" ht="15.75" customHeight="1">
      <c r="A432" s="1">
        <v>430.0</v>
      </c>
      <c r="B432" s="3" t="s">
        <v>433</v>
      </c>
      <c r="C432" s="3" t="str">
        <f>IFERROR(__xludf.DUMMYFUNCTION("GOOGLETRANSLATE(B432,""id"",""en"")"),"['', 'Disappointed', 'Telkomsel', 'PDAVY', 'card', 'printed', 'has',' quota ',' GB ',' pulse ',' nmun ',' ntah ',' why ',' quota ',' no ',' bsa ',' pke ',' msih ',' whole ',' that way ',' yng ',' strange ',' merahan ',' pulse ',' yng ', 'Sumpot', 'gmna', "&amp;"'min', 'please', 'fix', '']")</f>
        <v>['', 'Disappointed', 'Telkomsel', 'PDAVY', 'card', 'printed', 'has',' quota ',' GB ',' pulse ',' nmun ',' ntah ',' why ',' quota ',' no ',' bsa ',' pke ',' msih ',' whole ',' that way ',' yng ',' strange ',' merahan ',' pulse ',' yng ', 'Sumpot', 'gmna', 'min', 'please', 'fix', '']</v>
      </c>
      <c r="D432" s="3">
        <v>1.0</v>
      </c>
    </row>
    <row r="433" ht="15.75" customHeight="1">
      <c r="A433" s="1">
        <v>431.0</v>
      </c>
      <c r="B433" s="3" t="s">
        <v>434</v>
      </c>
      <c r="C433" s="3" t="str">
        <f>IFERROR(__xludf.DUMMYFUNCTION("GOOGLETRANSLATE(B433,""id"",""en"")"),"['right', 'ngak', 'quota', 'internet', 'me', 'GB', 'enter', 'message', 'run out', 'lost', 'pulse', 'me', ' weird', '']")</f>
        <v>['right', 'ngak', 'quota', 'internet', 'me', 'GB', 'enter', 'message', 'run out', 'lost', 'pulse', 'me', ' weird', '']</v>
      </c>
      <c r="D433" s="3">
        <v>1.0</v>
      </c>
    </row>
    <row r="434" ht="15.75" customHeight="1">
      <c r="A434" s="1">
        <v>432.0</v>
      </c>
      <c r="B434" s="3" t="s">
        <v>435</v>
      </c>
      <c r="C434" s="3" t="str">
        <f>IFERROR(__xludf.DUMMYFUNCTION("GOOGLETRANSLATE(B434,""id"",""en"")"),"['Telkomsel', 'Provider', 'Choice', 'Used', 'Weather', 'Area', 'City', 'Remote', 'Price', 'Provider']")</f>
        <v>['Telkomsel', 'Provider', 'Choice', 'Used', 'Weather', 'Area', 'City', 'Remote', 'Price', 'Provider']</v>
      </c>
      <c r="D434" s="3">
        <v>5.0</v>
      </c>
    </row>
    <row r="435" ht="15.75" customHeight="1">
      <c r="A435" s="1">
        <v>433.0</v>
      </c>
      <c r="B435" s="3" t="s">
        <v>436</v>
      </c>
      <c r="C435" s="3" t="str">
        <f>IFERROR(__xludf.DUMMYFUNCTION("GOOGLETRANSLATE(B435,""id"",""en"")"),"['signal', 'strip', 'doang', 'no', 'ilang', 'how', 'broken', 'ugly', 'times',' gabisa ',' make ',' provider ',' ']")</f>
        <v>['signal', 'strip', 'doang', 'no', 'ilang', 'how', 'broken', 'ugly', 'times',' gabisa ',' make ',' provider ',' ']</v>
      </c>
      <c r="D435" s="3">
        <v>1.0</v>
      </c>
    </row>
    <row r="436" ht="15.75" customHeight="1">
      <c r="A436" s="1">
        <v>434.0</v>
      </c>
      <c r="B436" s="3" t="s">
        <v>437</v>
      </c>
      <c r="C436" s="3" t="str">
        <f>IFERROR(__xludf.DUMMYFUNCTION("GOOGLETRANSLATE(B436,""id"",""en"")"),"['application', 'opened', 'force', 'close', 'buy', 'package', 'please', 'do', 'repair', 'update']")</f>
        <v>['application', 'opened', 'force', 'close', 'buy', 'package', 'please', 'do', 'repair', 'update']</v>
      </c>
      <c r="D436" s="3">
        <v>1.0</v>
      </c>
    </row>
    <row r="437" ht="15.75" customHeight="1">
      <c r="A437" s="1">
        <v>435.0</v>
      </c>
      <c r="B437" s="3" t="s">
        <v>438</v>
      </c>
      <c r="C437" s="3" t="str">
        <f>IFERROR(__xludf.DUMMYFUNCTION("GOOGLETRANSLATE(B437,""id"",""en"")"),"['please', 'klu', 'open', 'application', 'verification', 'number', 'verification', 'number', 'second', 'hurry', 'run out', ' Telkomsel ',' super ',' slow ',' jadiny ',' application ',' klu ',' kyk ',' that's', 'thank', 'love', 'uninstall', '']")</f>
        <v>['please', 'klu', 'open', 'application', 'verification', 'number', 'verification', 'number', 'second', 'hurry', 'run out', ' Telkomsel ',' super ',' slow ',' jadiny ',' application ',' klu ',' kyk ',' that's', 'thank', 'love', 'uninstall', '']</v>
      </c>
      <c r="D437" s="3">
        <v>1.0</v>
      </c>
    </row>
    <row r="438" ht="15.75" customHeight="1">
      <c r="A438" s="1">
        <v>436.0</v>
      </c>
      <c r="B438" s="3" t="s">
        <v>439</v>
      </c>
      <c r="C438" s="3" t="str">
        <f>IFERROR(__xludf.DUMMYFUNCTION("GOOGLETRANSLATE(B438,""id"",""en"")"),"['quota', 'Ministry of Education and Culture', 'operator', 'smooth', 'smooth', 'Telkomsel', 'problematic', 'until', 'open', 'web', 'learning', 'reaching', ' Benefits', 'MUCH', 'KAH', 'quota', 'Ministry of Education and Culture', ""]")</f>
        <v>['quota', 'Ministry of Education and Culture', 'operator', 'smooth', 'smooth', 'Telkomsel', 'problematic', 'until', 'open', 'web', 'learning', 'reaching', ' Benefits', 'MUCH', 'KAH', 'quota', 'Ministry of Education and Culture', "]</v>
      </c>
      <c r="D438" s="3">
        <v>1.0</v>
      </c>
    </row>
    <row r="439" ht="15.75" customHeight="1">
      <c r="A439" s="1">
        <v>437.0</v>
      </c>
      <c r="B439" s="3" t="s">
        <v>440</v>
      </c>
      <c r="C439" s="3" t="str">
        <f>IFERROR(__xludf.DUMMYFUNCTION("GOOGLETRANSLATE(B439,""id"",""en"")"),"['disappointing', 'cs',' he replied ',' pulses', 'reduced', 'cheats',' Mending ',' Profider ',' Telkomsel ',' really ',' DNA ',' reply ',' Huh ',' Disappointed ',' Severe ',' Disappointing ',' ']")</f>
        <v>['disappointing', 'cs',' he replied ',' pulses', 'reduced', 'cheats',' Mending ',' Profider ',' Telkomsel ',' really ',' DNA ',' reply ',' Huh ',' Disappointed ',' Severe ',' Disappointing ',' ']</v>
      </c>
      <c r="D439" s="3">
        <v>1.0</v>
      </c>
    </row>
    <row r="440" ht="15.75" customHeight="1">
      <c r="A440" s="1">
        <v>438.0</v>
      </c>
      <c r="B440" s="3" t="s">
        <v>441</v>
      </c>
      <c r="C440" s="3" t="str">
        <f>IFERROR(__xludf.DUMMYFUNCTION("GOOGLETRANSLATE(B440,""id"",""en"")"),"['disappointed', 'signal', 'network', 'bad', 'user', 'tsel', 'change', 'number', 'times',' feel ',' signal ',' bad ',' Streaming ',' YouTube ',' Quality ',' Buffering ',' Behanger ',' ']")</f>
        <v>['disappointed', 'signal', 'network', 'bad', 'user', 'tsel', 'change', 'number', 'times',' feel ',' signal ',' bad ',' Streaming ',' YouTube ',' Quality ',' Buffering ',' Behanger ',' ']</v>
      </c>
      <c r="D440" s="3">
        <v>1.0</v>
      </c>
    </row>
    <row r="441" ht="15.75" customHeight="1">
      <c r="A441" s="1">
        <v>439.0</v>
      </c>
      <c r="B441" s="3" t="s">
        <v>442</v>
      </c>
      <c r="C441" s="3" t="str">
        <f>IFERROR(__xludf.DUMMYFUNCTION("GOOGLETRANSLATE(B441,""id"",""en"")"),"['Please', 'Fix', 'Signal', 'Telkomsel', 'Morning', 'Life', 'Malem', 'Lady', 'Mulu', 'Sinyl', 'Honest', 'Disappointed', ' Bangetsi ',' Sinyal ',' Tetep ',' Rich ',' Gini ',' Please ',' Fix ',' ']")</f>
        <v>['Please', 'Fix', 'Signal', 'Telkomsel', 'Morning', 'Life', 'Malem', 'Lady', 'Mulu', 'Sinyl', 'Honest', 'Disappointed', ' Bangetsi ',' Sinyal ',' Tetep ',' Rich ',' Gini ',' Please ',' Fix ',' ']</v>
      </c>
      <c r="D441" s="3">
        <v>1.0</v>
      </c>
    </row>
    <row r="442" ht="15.75" customHeight="1">
      <c r="A442" s="1">
        <v>440.0</v>
      </c>
      <c r="B442" s="3" t="s">
        <v>443</v>
      </c>
      <c r="C442" s="3" t="str">
        <f>IFERROR(__xludf.DUMMYFUNCTION("GOOGLETRANSLATE(B442,""id"",""en"")"),"['application', 'quality', 'signal', 'quality', 'service', 'bad', 'Telkomsel', 'provider', 'ter', 'bad', 'quota', 'internet', ' GB ',' Dipake ',' Internet ',' Gabisa ',' Basic ',' Provider ',' Bankrupt ',' Telkomsel ', ""]")</f>
        <v>['application', 'quality', 'signal', 'quality', 'service', 'bad', 'Telkomsel', 'provider', 'ter', 'bad', 'quota', 'internet', ' GB ',' Dipake ',' Internet ',' Gabisa ',' Basic ',' Provider ',' Bankrupt ',' Telkomsel ', "]</v>
      </c>
      <c r="D442" s="3">
        <v>1.0</v>
      </c>
    </row>
    <row r="443" ht="15.75" customHeight="1">
      <c r="A443" s="1">
        <v>441.0</v>
      </c>
      <c r="B443" s="3" t="s">
        <v>444</v>
      </c>
      <c r="C443" s="3" t="str">
        <f>IFERROR(__xludf.DUMMYFUNCTION("GOOGLETRANSLATE(B443,""id"",""en"")"),"['Telkomsel', 'trouble', 'how', 'open', 'package', 'GB', 'Lho', 'fill in', 'package', 'the network', 'Kek', 'Gini', ' Please ',' repair ',' BTW ',' Gabisa ',' Login ', ""]")</f>
        <v>['Telkomsel', 'trouble', 'how', 'open', 'package', 'GB', 'Lho', 'fill in', 'package', 'the network', 'Kek', 'Gini', ' Please ',' repair ',' BTW ',' Gabisa ',' Login ', "]</v>
      </c>
      <c r="D443" s="3">
        <v>1.0</v>
      </c>
    </row>
    <row r="444" ht="15.75" customHeight="1">
      <c r="A444" s="1">
        <v>442.0</v>
      </c>
      <c r="B444" s="3" t="s">
        <v>445</v>
      </c>
      <c r="C444" s="3" t="str">
        <f>IFERROR(__xludf.DUMMYFUNCTION("GOOGLETRANSLATE(B444,""id"",""en"")"),"['network', 'destroyed', 'slow', 'PKE', 'Nge', 'game', 'Not bad', 'kdang', 'network', 'sometimes',' SHING ',' JRINGAN ',' Nge ',' Disgueness', 'Bangt', 'anjm', 'right', 'play', 'game', 'good', 'min', 'jringan', 'package', 'kouta', 'abis' , 'Network', 'Goo"&amp;"d', 'so "",' Wasalam ']")</f>
        <v>['network', 'destroyed', 'slow', 'PKE', 'Nge', 'game', 'Not bad', 'kdang', 'network', 'sometimes',' SHING ',' JRINGAN ',' Nge ',' Disgueness', 'Bangt', 'anjm', 'right', 'play', 'game', 'good', 'min', 'jringan', 'package', 'kouta', 'abis' , 'Network', 'Good', 'so ",' Wasalam ']</v>
      </c>
      <c r="D444" s="3">
        <v>3.0</v>
      </c>
    </row>
    <row r="445" ht="15.75" customHeight="1">
      <c r="A445" s="1">
        <v>443.0</v>
      </c>
      <c r="B445" s="3" t="s">
        <v>446</v>
      </c>
      <c r="C445" s="3" t="str">
        <f>IFERROR(__xludf.DUMMYFUNCTION("GOOGLETRANSLATE(B445,""id"",""en"")"),"['Open', 'APK', 'Slalu', 'told', 'Login', 'Strange', 'Register', 'Login', 'Sympathy', 'Telkomsel', 'already', 'complaint', ' Customers', 'Telkomsel', 'Please', 'sorry', 'fix it', 'blah', 'blah', 'blah', 'in fact', 'smpai', 'china', 'korea', 'already' , 'S"&amp;"un', 'artificial', 'Telkomsel', 'customers',' emotion ',' need ',' sorry ',' team ',' Telkomsel ',' obstacles', 'always',' annoying ',' trust']")</f>
        <v>['Open', 'APK', 'Slalu', 'told', 'Login', 'Strange', 'Register', 'Login', 'Sympathy', 'Telkomsel', 'already', 'complaint', ' Customers', 'Telkomsel', 'Please', 'sorry', 'fix it', 'blah', 'blah', 'blah', 'in fact', 'smpai', 'china', 'korea', 'already' , 'Sun', 'artificial', 'Telkomsel', 'customers',' emotion ',' need ',' sorry ',' team ',' Telkomsel ',' obstacles', 'always',' annoying ',' trust']</v>
      </c>
      <c r="D445" s="3">
        <v>2.0</v>
      </c>
    </row>
    <row r="446" ht="15.75" customHeight="1">
      <c r="A446" s="1">
        <v>444.0</v>
      </c>
      <c r="B446" s="3" t="s">
        <v>447</v>
      </c>
      <c r="C446" s="3" t="str">
        <f>IFERROR(__xludf.DUMMYFUNCTION("GOOGLETRANSLATE(B446,""id"",""en"")"),"['Telkomsel', 'Internet', 'Fastest', 'Strongest', 'Indonesia', 'Lose', 'Providers',' Sorry ',' Tsel ',' Change ',' Card ',' Signal ',' disappointing']")</f>
        <v>['Telkomsel', 'Internet', 'Fastest', 'Strongest', 'Indonesia', 'Lose', 'Providers',' Sorry ',' Tsel ',' Change ',' Card ',' Signal ',' disappointing']</v>
      </c>
      <c r="D446" s="3">
        <v>5.0</v>
      </c>
    </row>
    <row r="447" ht="15.75" customHeight="1">
      <c r="A447" s="1">
        <v>445.0</v>
      </c>
      <c r="B447" s="3" t="s">
        <v>448</v>
      </c>
      <c r="C447" s="3" t="str">
        <f>IFERROR(__xludf.DUMMYFUNCTION("GOOGLETRANSLATE(B447,""id"",""en"")"),"['buy', 'package', 'promo', 'times',' buy ',' package ',' on the day ',' quota ',' contents', 'pulse', 'thousand', 'chick', ' thousand ',' in the afternoon ',' chick ',' thousand ',' morning ',' chick ',' thousand ',' quota ',' active ',' really ',' Telko"&amp;"msel ',' contents', 'pulses' , 'thousand', 'smooth', 'quota', 'applying', 'name', 'already', 'complain', 'email', 'blocked', 'message', 'complaint', 'Veronika', ' The application ',' responded ',' ']")</f>
        <v>['buy', 'package', 'promo', 'times',' buy ',' package ',' on the day ',' quota ',' contents', 'pulse', 'thousand', 'chick', ' thousand ',' in the afternoon ',' chick ',' thousand ',' morning ',' chick ',' thousand ',' quota ',' active ',' really ',' Telkomsel ',' contents', 'pulses' , 'thousand', 'smooth', 'quota', 'applying', 'name', 'already', 'complain', 'email', 'blocked', 'message', 'complaint', 'Veronika', ' The application ',' responded ',' ']</v>
      </c>
      <c r="D447" s="3">
        <v>1.0</v>
      </c>
    </row>
    <row r="448" ht="15.75" customHeight="1">
      <c r="A448" s="1">
        <v>446.0</v>
      </c>
      <c r="B448" s="3" t="s">
        <v>449</v>
      </c>
      <c r="C448" s="3" t="str">
        <f>IFERROR(__xludf.DUMMYFUNCTION("GOOGLETRANSLATE(B448,""id"",""en"")"),"['Data', 'run out', 'access',' Telkomsel ',' buy ',' data ',' enter ',' application ',' connection ',' slow ',' pulse ',' already ',' Sumpot ',' really ',' disappointed ',' ']")</f>
        <v>['Data', 'run out', 'access',' Telkomsel ',' buy ',' data ',' enter ',' application ',' connection ',' slow ',' pulse ',' already ',' Sumpot ',' really ',' disappointed ',' ']</v>
      </c>
      <c r="D448" s="3">
        <v>1.0</v>
      </c>
    </row>
    <row r="449" ht="15.75" customHeight="1">
      <c r="A449" s="1">
        <v>447.0</v>
      </c>
      <c r="B449" s="3" t="s">
        <v>450</v>
      </c>
      <c r="C449" s="3" t="str">
        <f>IFERROR(__xludf.DUMMYFUNCTION("GOOGLETRANSLATE(B449,""id"",""en"")"),"['Telkomsel', 'experience', 'decline', 'drastic', 'gamer', 'Telkomsel', 'work', 'gamer', 'yaaa', 'mending', 'provider', 'century', ' Change ',' suggest ',' moved ',' trimakasih ']")</f>
        <v>['Telkomsel', 'experience', 'decline', 'drastic', 'gamer', 'Telkomsel', 'work', 'gamer', 'yaaa', 'mending', 'provider', 'century', ' Change ',' suggest ',' moved ',' trimakasih ']</v>
      </c>
      <c r="D449" s="3">
        <v>1.0</v>
      </c>
    </row>
    <row r="450" ht="15.75" customHeight="1">
      <c r="A450" s="1">
        <v>448.0</v>
      </c>
      <c r="B450" s="3" t="s">
        <v>451</v>
      </c>
      <c r="C450" s="3" t="str">
        <f>IFERROR(__xludf.DUMMYFUNCTION("GOOGLETRANSLATE(B450,""id"",""en"")"),"['Please', 'fix', 'application', 'skrg', 'stop', 'android', 'difficult', 'use', 'safe', 'response', 'repair', '']")</f>
        <v>['Please', 'fix', 'application', 'skrg', 'stop', 'android', 'difficult', 'use', 'safe', 'response', 'repair', '']</v>
      </c>
      <c r="D450" s="3">
        <v>2.0</v>
      </c>
    </row>
    <row r="451" ht="15.75" customHeight="1">
      <c r="A451" s="1">
        <v>449.0</v>
      </c>
      <c r="B451" s="3" t="s">
        <v>452</v>
      </c>
      <c r="C451" s="3" t="str">
        <f>IFERROR(__xludf.DUMMYFUNCTION("GOOGLETRANSLATE(B451,""id"",""en"")"),"['credit', 'reduced', 'has',' quota ',' active ',' Please ',' Telkomsel ',' fix ',' plz ',' cook ',' pulse ',' run out ',' quota ',' active ',' asw ']")</f>
        <v>['credit', 'reduced', 'has',' quota ',' active ',' Please ',' Telkomsel ',' fix ',' plz ',' cook ',' pulse ',' run out ',' quota ',' active ',' asw ']</v>
      </c>
      <c r="D451" s="3">
        <v>1.0</v>
      </c>
    </row>
    <row r="452" ht="15.75" customHeight="1">
      <c r="A452" s="1">
        <v>450.0</v>
      </c>
      <c r="B452" s="3" t="s">
        <v>453</v>
      </c>
      <c r="C452" s="3" t="str">
        <f>IFERROR(__xludf.DUMMYFUNCTION("GOOGLETRANSLATE(B452,""id"",""en"")"),"['Thank you', 'Application', 'Named', 'Telkomsel', 'Glad', 'On', 'Like', 'Purchase', 'Package', 'Package', 'Abis',' get ',' Credit ',' Turn off ',' Data ',' get ',' pulse ',' star ', ""]")</f>
        <v>['Thank you', 'Application', 'Named', 'Telkomsel', 'Glad', 'On', 'Like', 'Purchase', 'Package', 'Package', 'Abis',' get ',' Credit ',' Turn off ',' Data ',' get ',' pulse ',' star ', "]</v>
      </c>
      <c r="D452" s="3">
        <v>3.0</v>
      </c>
    </row>
    <row r="453" ht="15.75" customHeight="1">
      <c r="A453" s="1">
        <v>451.0</v>
      </c>
      <c r="B453" s="3" t="s">
        <v>454</v>
      </c>
      <c r="C453" s="3" t="str">
        <f>IFERROR(__xludf.DUMMYFUNCTION("GOOGLETRANSLATE(B453,""id"",""en"")"),"['Package', 'myshop', 'cheats',' click ',' pulse ',' sufficient ',' pulse ',' exceed ',' price ',' pulse ',' plus', 'menu', ' Package ',' buy ',' direct ',' disappears', 'Severe', 'ASA', 'Hoyong', 'Najong', 'Bengeut', 'Jurig', ""]")</f>
        <v>['Package', 'myshop', 'cheats',' click ',' pulse ',' sufficient ',' pulse ',' exceed ',' price ',' pulse ',' plus', 'menu', ' Package ',' buy ',' direct ',' disappears', 'Severe', 'ASA', 'Hoyong', 'Najong', 'Bengeut', 'Jurig', "]</v>
      </c>
      <c r="D453" s="3">
        <v>1.0</v>
      </c>
    </row>
    <row r="454" ht="15.75" customHeight="1">
      <c r="A454" s="1">
        <v>452.0</v>
      </c>
      <c r="B454" s="3" t="s">
        <v>455</v>
      </c>
      <c r="C454" s="3" t="str">
        <f>IFERROR(__xludf.DUMMYFUNCTION("GOOGLETRANSLATE(B454,""id"",""en"")"),"['ULLAMUALIKUM ',' Guyss ',' Rayes ',' Telkomsel ',' Ancurr ',' Severe ',' UDH ',' THN ',' TSL ',' Severe ',' Network ',' like ',' Loss', 'Truss',' Truss', 'Citizens',' Rader ',' Indonesia ',' Gausah ',' Telkomsel ',' again ',' buy ',' expensive ',' Sampe"&amp;" ',' hundreds' , 'thousand', 'mala', 'disappointing', 'bkln', 'replace', 'card', 'gini', 'truss', 'wasallammualikumm', '']")</f>
        <v>['ULLAMUALIKUM ',' Guyss ',' Rayes ',' Telkomsel ',' Ancurr ',' Severe ',' UDH ',' THN ',' TSL ',' Severe ',' Network ',' like ',' Loss', 'Truss',' Truss', 'Citizens',' Rader ',' Indonesia ',' Gausah ',' Telkomsel ',' again ',' buy ',' expensive ',' Sampe ',' hundreds' , 'thousand', 'mala', 'disappointing', 'bkln', 'replace', 'card', 'gini', 'truss', 'wasallammualikumm', '']</v>
      </c>
      <c r="D454" s="3">
        <v>1.0</v>
      </c>
    </row>
    <row r="455" ht="15.75" customHeight="1">
      <c r="A455" s="1">
        <v>453.0</v>
      </c>
      <c r="B455" s="3" t="s">
        <v>456</v>
      </c>
      <c r="C455" s="3" t="str">
        <f>IFERROR(__xludf.DUMMYFUNCTION("GOOGLETRANSLATE(B455,""id"",""en"")"),"['Telkomsel', 'package', 'internet', 'expensive', 'pandemic', 'love', 'bunos',' affordable ',' ngangur ',' at home ',' package ',' internet ',' charge ', ""]")</f>
        <v>['Telkomsel', 'package', 'internet', 'expensive', 'pandemic', 'love', 'bunos',' affordable ',' ngangur ',' at home ',' package ',' internet ',' charge ', "]</v>
      </c>
      <c r="D455" s="3">
        <v>4.0</v>
      </c>
    </row>
    <row r="456" ht="15.75" customHeight="1">
      <c r="A456" s="1">
        <v>454.0</v>
      </c>
      <c r="B456" s="3" t="s">
        <v>457</v>
      </c>
      <c r="C456" s="3" t="str">
        <f>IFERROR(__xludf.DUMMYFUNCTION("GOOGLETRANSLATE(B456,""id"",""en"")"),"['buy', 'package', 'unlimited', 'sometimes',' difficult ',' connect ',' signal ',' full ',' Matiin ',' turn on ',' data ',' mode ',' plane ',' tired ',' want ',' replace ',' provider ']")</f>
        <v>['buy', 'package', 'unlimited', 'sometimes',' difficult ',' connect ',' signal ',' full ',' Matiin ',' turn on ',' data ',' mode ',' plane ',' tired ',' want ',' replace ',' provider ']</v>
      </c>
      <c r="D456" s="3">
        <v>1.0</v>
      </c>
    </row>
    <row r="457" ht="15.75" customHeight="1">
      <c r="A457" s="1">
        <v>455.0</v>
      </c>
      <c r="B457" s="3" t="s">
        <v>458</v>
      </c>
      <c r="C457" s="3" t="str">
        <f>IFERROR(__xludf.DUMMYFUNCTION("GOOGLETRANSLATE(B457,""id"",""en"")"),"['Easy', 'Understand', 'Understand', 'Promo', 'Telkomsel', 'Pampering', 'Customer', 'Telkomsel', 'Please', 'Region', 'Regency', 'Increases',' quality ',' network ',' internet ',' user ',' network ',' Telkomsel ',' happy ',' comfortable ',' mengeculan ',' "&amp;"sosmed ',' game ',' trimakasih ']")</f>
        <v>['Easy', 'Understand', 'Understand', 'Promo', 'Telkomsel', 'Pampering', 'Customer', 'Telkomsel', 'Please', 'Region', 'Regency', 'Increases',' quality ',' network ',' internet ',' user ',' network ',' Telkomsel ',' happy ',' comfortable ',' mengeculan ',' sosmed ',' game ',' trimakasih ']</v>
      </c>
      <c r="D457" s="3">
        <v>4.0</v>
      </c>
    </row>
    <row r="458" ht="15.75" customHeight="1">
      <c r="A458" s="1">
        <v>456.0</v>
      </c>
      <c r="B458" s="3" t="s">
        <v>459</v>
      </c>
      <c r="C458" s="3" t="str">
        <f>IFERROR(__xludf.DUMMYFUNCTION("GOOGLETRANSLATE(B458,""id"",""en"")"),"['Severe', 'signal', 'ilang', 'LEMOGOOOOH', 'LEMOOOOOP', 'VAUT', 'NGEGAME', 'HARD', 'HADEH', 'Please', 'repaired', ""]")</f>
        <v>['Severe', 'signal', 'ilang', 'LEMOGOOOOH', 'LEMOOOOOP', 'VAUT', 'NGEGAME', 'HARD', 'HADEH', 'Please', 'repaired', "]</v>
      </c>
      <c r="D458" s="3">
        <v>1.0</v>
      </c>
    </row>
    <row r="459" ht="15.75" customHeight="1">
      <c r="A459" s="1">
        <v>457.0</v>
      </c>
      <c r="B459" s="3" t="s">
        <v>460</v>
      </c>
      <c r="C459" s="3" t="str">
        <f>IFERROR(__xludf.DUMMYFUNCTION("GOOGLETRANSLATE(B459,""id"",""en"")"),"['Please', 'made', 'service', 'pulse', 'save', 'Indosat', 'pulse', 'sumps', 'internet', 'because' about ',' quota ',' Abis ',' pulse ',' RB ',' leftover ',' rb ',' because 'open', 'shopee', 'for a while', 'get', 'subsidy', 'quota', 'learn' , 'Government',"&amp;" 'Tetep', 'Sumpot', 'Pulse', 'Astaghfirullah', 'Harm', 'Consumers',' Please ',' Fix ',' Service ',' Service ',' Indosat ',' quota ',' internet ',' run out ',' sucked ',' pulses', '']")</f>
        <v>['Please', 'made', 'service', 'pulse', 'save', 'Indosat', 'pulse', 'sumps', 'internet', 'because' about ',' quota ',' Abis ',' pulse ',' RB ',' leftover ',' rb ',' because 'open', 'shopee', 'for a while', 'get', 'subsidy', 'quota', 'learn' , 'Government', 'Tetep', 'Sumpot', 'Pulse', 'Astaghfirullah', 'Harm', 'Consumers',' Please ',' Fix ',' Service ',' Service ',' Indosat ',' quota ',' internet ',' run out ',' sucked ',' pulses', '']</v>
      </c>
      <c r="D459" s="3">
        <v>1.0</v>
      </c>
    </row>
    <row r="460" ht="15.75" customHeight="1">
      <c r="A460" s="1">
        <v>458.0</v>
      </c>
      <c r="B460" s="3" t="s">
        <v>461</v>
      </c>
      <c r="C460" s="3" t="str">
        <f>IFERROR(__xludf.DUMMYFUNCTION("GOOGLETRANSLATE(B460,""id"",""en"")"),"['network', 'Telkomsel', 'Changed', 'Play', 'Game', 'Online', 'ping', 'Network', 'really', 'no', 'already', 'play', ' open ',' RAM ',' already ',' run out ',' buy ',' package ',' combo ',' play ',' game ',' online ',' lag ',' ping ',' shrinking ' , 'alrea"&amp;"dy', 'clock', 'clock', 'night', 'sometimes',' connection ',' lost ',' disturbing ',' play ',' game ',' application ',' Chattingan ',' access', 'Please', 'fix', ""]")</f>
        <v>['network', 'Telkomsel', 'Changed', 'Play', 'Game', 'Online', 'ping', 'Network', 'really', 'no', 'already', 'play', ' open ',' RAM ',' already ',' run out ',' buy ',' package ',' combo ',' play ',' game ',' online ',' lag ',' ping ',' shrinking ' , 'already', 'clock', 'clock', 'night', 'sometimes',' connection ',' lost ',' disturbing ',' play ',' game ',' application ',' Chattingan ',' access', 'Please', 'fix', "]</v>
      </c>
      <c r="D460" s="3">
        <v>1.0</v>
      </c>
    </row>
    <row r="461" ht="15.75" customHeight="1">
      <c r="A461" s="1">
        <v>459.0</v>
      </c>
      <c r="B461" s="3" t="s">
        <v>462</v>
      </c>
      <c r="C461" s="3" t="str">
        <f>IFERROR(__xludf.DUMMYFUNCTION("GOOGLETRANSLATE(B461,""id"",""en"")"),"['Woyy', 'quality', 'according to', 'price', 'tariff', 'internet', 'expensive', 'quality', 'nya', 'slow', 'payaaaaaahhh', '']")</f>
        <v>['Woyy', 'quality', 'according to', 'price', 'tariff', 'internet', 'expensive', 'quality', 'nya', 'slow', 'payaaaaaahhh', '']</v>
      </c>
      <c r="D461" s="3">
        <v>1.0</v>
      </c>
    </row>
    <row r="462" ht="15.75" customHeight="1">
      <c r="A462" s="1">
        <v>460.0</v>
      </c>
      <c r="B462" s="3" t="s">
        <v>463</v>
      </c>
      <c r="C462" s="3" t="str">
        <f>IFERROR(__xludf.DUMMYFUNCTION("GOOGLETRANSLATE(B462,""id"",""en"")"),"['clay', 'complaints',' your customer ',' complaints', 'replied', 'told', 'send', 'email', 'rotten', 'connection', 'Telkomsel', 'regret', ' really ',' weather ',' hot ',' slow ',' cloud ',' slow ',' ujan ',' slow ',' provider ',' rotten ',' ']")</f>
        <v>['clay', 'complaints',' your customer ',' complaints', 'replied', 'told', 'send', 'email', 'rotten', 'connection', 'Telkomsel', 'regret', ' really ',' weather ',' hot ',' slow ',' cloud ',' slow ',' ujan ',' slow ',' provider ',' rotten ',' ']</v>
      </c>
      <c r="D462" s="3">
        <v>1.0</v>
      </c>
    </row>
    <row r="463" ht="15.75" customHeight="1">
      <c r="A463" s="1">
        <v>461.0</v>
      </c>
      <c r="B463" s="3" t="s">
        <v>464</v>
      </c>
      <c r="C463" s="3" t="str">
        <f>IFERROR(__xludf.DUMMYFUNCTION("GOOGLETRANSLATE(B463,""id"",""en"")"),"['Dapet', 'quota', 'Ministry of Education and Culture', 'Login', 'TPI', 'Get', 'SMS', 'Telkomsel', 'Gini', 'contents',' YTH ',' use ',' Quota ',' Ministry of Education and Culture ',' BLA ',' BLA ',' BLA ',' Abis', 'quota', 'Ministry of Education and Cult"&amp;"ure', 'Dipake', 'Quotes',' Network ',' What ',' Telkomsel ' , 'Ngecirewain', 'really', 'already', 'contents', 'sms', 'oath', 'disappointed', '']")</f>
        <v>['Dapet', 'quota', 'Ministry of Education and Culture', 'Login', 'TPI', 'Get', 'SMS', 'Telkomsel', 'Gini', 'contents',' YTH ',' use ',' Quota ',' Ministry of Education and Culture ',' BLA ',' BLA ',' BLA ',' Abis', 'quota', 'Ministry of Education and Culture', 'Dipake', 'Quotes',' Network ',' What ',' Telkomsel ' , 'Ngecirewain', 'really', 'already', 'contents', 'sms', 'oath', 'disappointed', '']</v>
      </c>
      <c r="D463" s="3">
        <v>1.0</v>
      </c>
    </row>
    <row r="464" ht="15.75" customHeight="1">
      <c r="A464" s="1">
        <v>462.0</v>
      </c>
      <c r="B464" s="3" t="s">
        <v>465</v>
      </c>
      <c r="C464" s="3" t="str">
        <f>IFERROR(__xludf.DUMMYFUNCTION("GOOGLETRANSLATE(B464,""id"",""en"")"),"['Dear', 'Telkomsel', 'Network', 'lost', 'quota', 'loss',' rich ',' gini ',' already ',' expensive ',' select ',' Telkomsel ',' Because ',' expensive ',' good ',' no ',' missing ',' sometimes', 'fix it']")</f>
        <v>['Dear', 'Telkomsel', 'Network', 'lost', 'quota', 'loss',' rich ',' gini ',' already ',' expensive ',' select ',' Telkomsel ',' Because ',' expensive ',' good ',' no ',' missing ',' sometimes', 'fix it']</v>
      </c>
      <c r="D464" s="3">
        <v>3.0</v>
      </c>
    </row>
    <row r="465" ht="15.75" customHeight="1">
      <c r="A465" s="1">
        <v>463.0</v>
      </c>
      <c r="B465" s="3" t="s">
        <v>466</v>
      </c>
      <c r="C465" s="3" t="str">
        <f>IFERROR(__xludf.DUMMYFUNCTION("GOOGLETRANSLATE(B465,""id"",""en"")"),"['Package', 'cheerful', 'TELKOM', 'already', 'NGG', 'Dido', 'Available', 'Ngg', 'Kantel', 'Interest', 'Sell', 'Kagak', ' Jngan ',' PHP ',' ']")</f>
        <v>['Package', 'cheerful', 'TELKOM', 'already', 'NGG', 'Dido', 'Available', 'Ngg', 'Kantel', 'Interest', 'Sell', 'Kagak', ' Jngan ',' PHP ',' ']</v>
      </c>
      <c r="D465" s="3">
        <v>1.0</v>
      </c>
    </row>
    <row r="466" ht="15.75" customHeight="1">
      <c r="A466" s="1">
        <v>464.0</v>
      </c>
      <c r="B466" s="3" t="s">
        <v>467</v>
      </c>
      <c r="C466" s="3" t="str">
        <f>IFERROR(__xludf.DUMMYFUNCTION("GOOGLETRANSLATE(B466,""id"",""en"")"),"['Activate', 'contents',' quota ',' price ',' expensive ',' quota ',' data ',' fast ',' yawning ',' clock ',' use ',' GB ',' The clock ',' use ',' GB ',' run out ',' Dinnya ',' Where ',' Already ',' Try ',' Search ',' Suitable ']")</f>
        <v>['Activate', 'contents',' quota ',' price ',' expensive ',' quota ',' data ',' fast ',' yawning ',' clock ',' use ',' GB ',' The clock ',' use ',' GB ',' run out ',' Dinnya ',' Where ',' Already ',' Try ',' Search ',' Suitable ']</v>
      </c>
      <c r="D466" s="3">
        <v>2.0</v>
      </c>
    </row>
    <row r="467" ht="15.75" customHeight="1">
      <c r="A467" s="1">
        <v>465.0</v>
      </c>
      <c r="B467" s="3" t="s">
        <v>468</v>
      </c>
      <c r="C467" s="3" t="str">
        <f>IFERROR(__xludf.DUMMYFUNCTION("GOOGLETRANSLATE(B467,""id"",""en"")"),"['', 'Sis',' contact ',' via ',' telegram ',' instructions', 'network', 'setabilia', 'thank', 'love', 'response', 'fast', 'hope ',' Telkomsel ',' Best ',' Customer ',' Thank you ', ""]")</f>
        <v>['', 'Sis',' contact ',' via ',' telegram ',' instructions', 'network', 'setabilia', 'thank', 'love', 'response', 'fast', 'hope ',' Telkomsel ',' Best ',' Customer ',' Thank you ', "]</v>
      </c>
      <c r="D467" s="3">
        <v>5.0</v>
      </c>
    </row>
    <row r="468" ht="15.75" customHeight="1">
      <c r="A468" s="1">
        <v>466.0</v>
      </c>
      <c r="B468" s="3" t="s">
        <v>469</v>
      </c>
      <c r="C468" s="3" t="str">
        <f>IFERROR(__xludf.DUMMYFUNCTION("GOOGLETRANSLATE(B468,""id"",""en"")"),"['Come', 'threat', 'signal', 'according to', 'price', 'package', 'auto', 'move', 'provider', 'rating', 'already', 'ugly', ' improvement ',' network ']")</f>
        <v>['Come', 'threat', 'signal', 'according to', 'price', 'package', 'auto', 'move', 'provider', 'rating', 'already', 'ugly', ' improvement ',' network ']</v>
      </c>
      <c r="D468" s="3">
        <v>1.0</v>
      </c>
    </row>
    <row r="469" ht="15.75" customHeight="1">
      <c r="A469" s="1">
        <v>467.0</v>
      </c>
      <c r="B469" s="3" t="s">
        <v>470</v>
      </c>
      <c r="C469" s="3" t="str">
        <f>IFERROR(__xludf.DUMMYFUNCTION("GOOGLETRANSLATE(B469,""id"",""en"")"),"['Please', 'Sorry', 'Love', 'Star', 'Satisfied', 'Telkomsel', 'Where', 'Price', 'Package', 'Data', 'Expensive', 'Promo', ' The network is', 'Nge', 'lag', ""]")</f>
        <v>['Please', 'Sorry', 'Love', 'Star', 'Satisfied', 'Telkomsel', 'Where', 'Price', 'Package', 'Data', 'Expensive', 'Promo', ' The network is', 'Nge', 'lag', "]</v>
      </c>
      <c r="D469" s="3">
        <v>2.0</v>
      </c>
    </row>
    <row r="470" ht="15.75" customHeight="1">
      <c r="A470" s="1">
        <v>468.0</v>
      </c>
      <c r="B470" s="3" t="s">
        <v>471</v>
      </c>
      <c r="C470" s="3" t="str">
        <f>IFERROR(__xludf.DUMMYFUNCTION("GOOGLETRANSLATE(B470,""id"",""en"")"),"['application', 'destroyed', 'open', 'application', 'login', 'reset', 'already', 'network', 'city', 'pekanbaru', 'destroyed', 'plus',' Application ',' Amburadur ',' Hadehhh ', ""]")</f>
        <v>['application', 'destroyed', 'open', 'application', 'login', 'reset', 'already', 'network', 'city', 'pekanbaru', 'destroyed', 'plus',' Application ',' Amburadur ',' Hadehhh ', "]</v>
      </c>
      <c r="D470" s="3">
        <v>1.0</v>
      </c>
    </row>
    <row r="471" ht="15.75" customHeight="1">
      <c r="A471" s="1">
        <v>469.0</v>
      </c>
      <c r="B471" s="3" t="s">
        <v>472</v>
      </c>
      <c r="C471" s="3" t="str">
        <f>IFERROR(__xludf.DUMMYFUNCTION("GOOGLETRANSLATE(B471,""id"",""en"")"),"['Telkomsel', 'Severe', 'really', 'quota', 'little', 'pulse', 'direct', 'bad', 'really', 'emang', 'warning', 'appears',' Already ',' Matiin ',' Data ',' Check ',' Credit ',' Direct ',' Out ',' Policy ',' Jahanam ',' Weve ',' Rates', 'Normal', 'Make sure' "&amp;", 'quota', 'customer', 'njir', 'bad', 'really', 'pity', 'people', 'pandemic', 'gini', 'pulse', 'ilang', 'me']")</f>
        <v>['Telkomsel', 'Severe', 'really', 'quota', 'little', 'pulse', 'direct', 'bad', 'really', 'emang', 'warning', 'appears',' Already ',' Matiin ',' Data ',' Check ',' Credit ',' Direct ',' Out ',' Policy ',' Jahanam ',' Weve ',' Rates', 'Normal', 'Make sure' , 'quota', 'customer', 'njir', 'bad', 'really', 'pity', 'people', 'pandemic', 'gini', 'pulse', 'ilang', 'me']</v>
      </c>
      <c r="D471" s="3">
        <v>1.0</v>
      </c>
    </row>
    <row r="472" ht="15.75" customHeight="1">
      <c r="A472" s="1">
        <v>470.0</v>
      </c>
      <c r="B472" s="3" t="s">
        <v>473</v>
      </c>
      <c r="C472" s="3" t="str">
        <f>IFERROR(__xludf.DUMMYFUNCTION("GOOGLETRANSLATE(B472,""id"",""en"")"),"['Please', 'Tell', 'Located', 'Customer', 'Service', 'Application', 'Find', 'Complaints',' Please ',' Fix ',' Signal ',' Fix ',' use ',' quota ',' unlimited ',' youtube ',' because 'slow', 'quota', 'because' network ',' limit ',' use ',' quota ',' unlimit"&amp;"ed ' , 'YouTube', 'please']")</f>
        <v>['Please', 'Tell', 'Located', 'Customer', 'Service', 'Application', 'Find', 'Complaints',' Please ',' Fix ',' Signal ',' Fix ',' use ',' quota ',' unlimited ',' youtube ',' because 'slow', 'quota', 'because' network ',' limit ',' use ',' quota ',' unlimited ' , 'YouTube', 'please']</v>
      </c>
      <c r="D472" s="3">
        <v>1.0</v>
      </c>
    </row>
    <row r="473" ht="15.75" customHeight="1">
      <c r="A473" s="1">
        <v>471.0</v>
      </c>
      <c r="B473" s="3" t="s">
        <v>474</v>
      </c>
      <c r="C473" s="3" t="str">
        <f>IFERROR(__xludf.DUMMYFUNCTION("GOOGLETRANSLATE(B473,""id"",""en"")"),"['right', 'Install', 'Network', 'ugly', 'Download', 'Reply', 'Direct', 'Sent', 'right', 'already', 'Download', 'MyTelkomsel', ' The network ',' ugly ',' Wait ',' Minutes', 'Chat', 'Sent', 'Disappointed', 'MyTelkomsel']")</f>
        <v>['right', 'Install', 'Network', 'ugly', 'Download', 'Reply', 'Direct', 'Sent', 'right', 'already', 'Download', 'MyTelkomsel', ' The network ',' ugly ',' Wait ',' Minutes', 'Chat', 'Sent', 'Disappointed', 'MyTelkomsel']</v>
      </c>
      <c r="D473" s="3">
        <v>1.0</v>
      </c>
    </row>
    <row r="474" ht="15.75" customHeight="1">
      <c r="A474" s="1">
        <v>472.0</v>
      </c>
      <c r="B474" s="3" t="s">
        <v>475</v>
      </c>
      <c r="C474" s="3" t="str">
        <f>IFERROR(__xludf.DUMMYFUNCTION("GOOGLETRANSLATE(B474,""id"",""en"")"),"['network', 'stable', 'most', 'slow', 'price', 'expensive', 'quality', 'ugly', 'quality', 'network', 'internet', 'Telkomsel', ' Customers', 'Loss',' Come ',' Telkomsel ',' Price ',' Mahalin ',' Quality ',' Fix ']")</f>
        <v>['network', 'stable', 'most', 'slow', 'price', 'expensive', 'quality', 'ugly', 'quality', 'network', 'internet', 'Telkomsel', ' Customers', 'Loss',' Come ',' Telkomsel ',' Price ',' Mahalin ',' Quality ',' Fix ']</v>
      </c>
      <c r="D474" s="3">
        <v>3.0</v>
      </c>
    </row>
    <row r="475" ht="15.75" customHeight="1">
      <c r="A475" s="1">
        <v>473.0</v>
      </c>
      <c r="B475" s="3" t="s">
        <v>476</v>
      </c>
      <c r="C475" s="3" t="str">
        <f>IFERROR(__xludf.DUMMYFUNCTION("GOOGLETRANSLATE(B475,""id"",""en"")"),"['Telkomsel', 'Telkomsel', 'many years',' Monday ',' March ',' buy ',' pulse ',' thousand ',' package ',' internet ',' gojek ',' package ',' thousand ',' package ',' internet ',' activation ',' sms', 'enter', 'pulse', 'thousand', 'enter', 'pulse', 'worth'"&amp;", 'thousand', 'return' , 'Credit', 'automatic', 'pulse', 'disappear', 'TLP', 'Telkomsel', 'progress', 'disappointed']")</f>
        <v>['Telkomsel', 'Telkomsel', 'many years',' Monday ',' March ',' buy ',' pulse ',' thousand ',' package ',' internet ',' gojek ',' package ',' thousand ',' package ',' internet ',' activation ',' sms', 'enter', 'pulse', 'thousand', 'enter', 'pulse', 'worth', 'thousand', 'return' , 'Credit', 'automatic', 'pulse', 'disappear', 'TLP', 'Telkomsel', 'progress', 'disappointed']</v>
      </c>
      <c r="D475" s="3">
        <v>1.0</v>
      </c>
    </row>
    <row r="476" ht="15.75" customHeight="1">
      <c r="A476" s="1">
        <v>474.0</v>
      </c>
      <c r="B476" s="3" t="s">
        <v>477</v>
      </c>
      <c r="C476" s="3" t="str">
        <f>IFERROR(__xludf.DUMMYFUNCTION("GOOGLETRANSLATE(B476,""id"",""en"")"),"['Telkomsel', 'Good', 'Package', 'Combo', 'Sakti', 'Apply', 'Promo', 'Telkomsel', 'Package', 'Pesial', 'Check', 'Promo', ' SMS ',' promo ',' card ',' package ',' special ',' service ',' emang ',' good ',' told ',' report ',' screenshot ',' send ',' email "&amp;"' , 'Dizziness',' Officer ',' Save ',' Data ',' Customer ',' Telkomsel ',' Jdi ',' Please ',' Repaired ',' TNPA ',' HRUS ',' Proof ',' ']")</f>
        <v>['Telkomsel', 'Good', 'Package', 'Combo', 'Sakti', 'Apply', 'Promo', 'Telkomsel', 'Package', 'Pesial', 'Check', 'Promo', ' SMS ',' promo ',' card ',' package ',' special ',' service ',' emang ',' good ',' told ',' report ',' screenshot ',' send ',' email ' , 'Dizziness',' Officer ',' Save ',' Data ',' Customer ',' Telkomsel ',' Jdi ',' Please ',' Repaired ',' TNPA ',' HRUS ',' Proof ',' ']</v>
      </c>
      <c r="D476" s="3">
        <v>1.0</v>
      </c>
    </row>
    <row r="477" ht="15.75" customHeight="1">
      <c r="A477" s="1">
        <v>475.0</v>
      </c>
      <c r="B477" s="3" t="s">
        <v>478</v>
      </c>
      <c r="C477" s="3" t="str">
        <f>IFERROR(__xludf.DUMMYFUNCTION("GOOGLETRANSLATE(B477,""id"",""en"")"),"['Network', 'kek', 'pulp', 'ngellag', 'really', 'malem', 'severe', 'quota', 'influence it', 'chaotic']")</f>
        <v>['Network', 'kek', 'pulp', 'ngellag', 'really', 'malem', 'severe', 'quota', 'influence it', 'chaotic']</v>
      </c>
      <c r="D477" s="3">
        <v>2.0</v>
      </c>
    </row>
    <row r="478" ht="15.75" customHeight="1">
      <c r="A478" s="1">
        <v>476.0</v>
      </c>
      <c r="B478" s="3" t="s">
        <v>479</v>
      </c>
      <c r="C478" s="3" t="str">
        <f>IFERROR(__xludf.DUMMYFUNCTION("GOOGLETRANSLATE(B478,""id"",""en"")"),"['Signal', 'Network', 'bad', 'card', 'replace', 'Telkomsel', 'fix', 'service', 'switch', 'provider', 'service', 'its network', ' ']")</f>
        <v>['Signal', 'Network', 'bad', 'card', 'replace', 'Telkomsel', 'fix', 'service', 'switch', 'provider', 'service', 'its network', ' ']</v>
      </c>
      <c r="D478" s="3">
        <v>1.0</v>
      </c>
    </row>
    <row r="479" ht="15.75" customHeight="1">
      <c r="A479" s="1">
        <v>477.0</v>
      </c>
      <c r="B479" s="3" t="s">
        <v>480</v>
      </c>
      <c r="C479" s="3" t="str">
        <f>IFERROR(__xludf.DUMMYFUNCTION("GOOGLETRANSLATE(B479,""id"",""en"")"),"['', 'Love', 'Since', 'Genesis',' Fire ',' Riau ',' Connection ',' Destroyed ',' Stop ',' Use ',' Telkomsel ',' Karna ',' Like ',' play ',' game ',' online ',' need ',' connection ',' stable ',' switch ',' operator ',' pingin ',' try ',' hope ',' connecti"&amp;"on ', 'Normal', 'kek', 'no', 'connection', 'destroyed', 'destroyed', ""]")</f>
        <v>['', 'Love', 'Since', 'Genesis',' Fire ',' Riau ',' Connection ',' Destroyed ',' Stop ',' Use ',' Telkomsel ',' Karna ',' Like ',' play ',' game ',' online ',' need ',' connection ',' stable ',' switch ',' operator ',' pingin ',' try ',' hope ',' connection ', 'Normal', 'kek', 'no', 'connection', 'destroyed', 'destroyed', "]</v>
      </c>
      <c r="D479" s="3">
        <v>1.0</v>
      </c>
    </row>
    <row r="480" ht="15.75" customHeight="1">
      <c r="A480" s="1">
        <v>478.0</v>
      </c>
      <c r="B480" s="3" t="s">
        <v>481</v>
      </c>
      <c r="C480" s="3" t="str">
        <f>IFERROR(__xludf.DUMMYFUNCTION("GOOGLETRANSLATE(B480,""id"",""en"")"),"['Telkomsel', 'quota', 'expensive', 'according to', 'area', 'location', 'promo', 'enter', 'tip', 'end', 'right', 'access',' Sorry ',' Layannan ',' access', 'system', 'busy', 'buy', 'package', 'directed', 'Telkomsel', 'result', 'sometimes',' expensive ',' "&amp;"according to ' , 'Info', 'Telkomsel', 'just', 'suggestion', 'promo', 'please', 'correct', 'customer', 'disappointed', 'attention', 'said', 'thank', ' love', '']")</f>
        <v>['Telkomsel', 'quota', 'expensive', 'according to', 'area', 'location', 'promo', 'enter', 'tip', 'end', 'right', 'access',' Sorry ',' Layannan ',' access', 'system', 'busy', 'buy', 'package', 'directed', 'Telkomsel', 'result', 'sometimes',' expensive ',' according to ' , 'Info', 'Telkomsel', 'just', 'suggestion', 'promo', 'please', 'correct', 'customer', 'disappointed', 'attention', 'said', 'thank', ' love', '']</v>
      </c>
      <c r="D480" s="3">
        <v>1.0</v>
      </c>
    </row>
    <row r="481" ht="15.75" customHeight="1">
      <c r="A481" s="1">
        <v>479.0</v>
      </c>
      <c r="B481" s="3" t="s">
        <v>482</v>
      </c>
      <c r="C481" s="3" t="str">
        <f>IFERROR(__xludf.DUMMYFUNCTION("GOOGLETRANSLATE(B481,""id"",""en"")"),"['uda', 'package', 'expensive', 'defended', 'buy', 'network', 'like', 'taik', 'contacted', 'cs',' repair ',' until ',' process', 'uda', 'a month', 'report', 'repair', 'please', 'intention', 'gave', 'network', 'good', 'mending', 'slogan', 'sweet' , 'Taik',"&amp;" 'cat', 'network', 'please', 'fix', 'area', 'kec', 'tapung', 'kab', 'kampar', 'riau', 'distance', ' The manner ',' signal ',' bad ',' Telkomsel ',' backup ',' network ',' ']")</f>
        <v>['uda', 'package', 'expensive', 'defended', 'buy', 'network', 'like', 'taik', 'contacted', 'cs',' repair ',' until ',' process', 'uda', 'a month', 'report', 'repair', 'please', 'intention', 'gave', 'network', 'good', 'mending', 'slogan', 'sweet' , 'Taik', 'cat', 'network', 'please', 'fix', 'area', 'kec', 'tapung', 'kab', 'kampar', 'riau', 'distance', ' The manner ',' signal ',' bad ',' Telkomsel ',' backup ',' network ',' ']</v>
      </c>
      <c r="D481" s="3">
        <v>1.0</v>
      </c>
    </row>
    <row r="482" ht="15.75" customHeight="1">
      <c r="A482" s="1">
        <v>480.0</v>
      </c>
      <c r="B482" s="3" t="s">
        <v>483</v>
      </c>
      <c r="C482" s="3" t="str">
        <f>IFERROR(__xludf.DUMMYFUNCTION("GOOGLETRANSLATE(B482,""id"",""en"")"),"['Plis',' Network ',' Drumah ',' Ancur ',' really ',' Gada ',' SMA ',' Sya ',' Customer ',' loyal ',' Telkomsel ',' Dri ',' sya ',' junior high school ',' smpai ',' skrng ',' knp ',' telkomsel ',' prnh ',' signal ',' home ',' sya ',' house ',' sya ',' vil"&amp;"lage ' , 'Mundu', 'Cirebon', 'Cirebon', 'PLIS', 'Please', 'Fix', 'Signal', 'Region', 'Mundu']")</f>
        <v>['Plis',' Network ',' Drumah ',' Ancur ',' really ',' Gada ',' SMA ',' Sya ',' Customer ',' loyal ',' Telkomsel ',' Dri ',' sya ',' junior high school ',' smpai ',' skrng ',' knp ',' telkomsel ',' prnh ',' signal ',' home ',' sya ',' house ',' sya ',' village ' , 'Mundu', 'Cirebon', 'Cirebon', 'PLIS', 'Please', 'Fix', 'Signal', 'Region', 'Mundu']</v>
      </c>
      <c r="D482" s="3">
        <v>1.0</v>
      </c>
    </row>
    <row r="483" ht="15.75" customHeight="1">
      <c r="A483" s="1">
        <v>481.0</v>
      </c>
      <c r="B483" s="3" t="s">
        <v>484</v>
      </c>
      <c r="C483" s="3" t="str">
        <f>IFERROR(__xludf.DUMMYFUNCTION("GOOGLETRANSLATE(B483,""id"",""en"")"),"['The application', 'good', 'package', 'has',' promo ',' cheap ',' unfortunately ',' kasi ',' sms', 'told', 'download', 'application', ' Telkomsel ',' get it ']")</f>
        <v>['The application', 'good', 'package', 'has',' promo ',' cheap ',' unfortunately ',' kasi ',' sms', 'told', 'download', 'application', ' Telkomsel ',' get it ']</v>
      </c>
      <c r="D483" s="3">
        <v>5.0</v>
      </c>
    </row>
    <row r="484" ht="15.75" customHeight="1">
      <c r="A484" s="1">
        <v>482.0</v>
      </c>
      <c r="B484" s="3" t="s">
        <v>485</v>
      </c>
      <c r="C484" s="3" t="str">
        <f>IFERROR(__xludf.DUMMYFUNCTION("GOOGLETRANSLATE(B484,""id"",""en"")"),"['Fix', 'Network', 'blame', 'Customer', 'Condition', 'Rain', 'Weather', 'Bright', 'Different', 'Buy', 'Package', 'Telkomsel', ' Cheap ',' compared ',' operator ',' according to ',' service ',' ']")</f>
        <v>['Fix', 'Network', 'blame', 'Customer', 'Condition', 'Rain', 'Weather', 'Bright', 'Different', 'Buy', 'Package', 'Telkomsel', ' Cheap ',' compared ',' operator ',' according to ',' service ',' ']</v>
      </c>
      <c r="D484" s="3">
        <v>1.0</v>
      </c>
    </row>
    <row r="485" ht="15.75" customHeight="1">
      <c r="A485" s="1">
        <v>483.0</v>
      </c>
      <c r="B485" s="3" t="s">
        <v>486</v>
      </c>
      <c r="C485" s="3" t="str">
        <f>IFERROR(__xludf.DUMMYFUNCTION("GOOGLETRANSLATE(B485,""id"",""en"")"),"['right', 'buy', 'package', 'data', 'pulse', 'please', 'repaired', 'user', 'mytelkomsel', 'comfortable', 'transaction', '']")</f>
        <v>['right', 'buy', 'package', 'data', 'pulse', 'please', 'repaired', 'user', 'mytelkomsel', 'comfortable', 'transaction', '']</v>
      </c>
      <c r="D485" s="3">
        <v>2.0</v>
      </c>
    </row>
    <row r="486" ht="15.75" customHeight="1">
      <c r="A486" s="1">
        <v>484.0</v>
      </c>
      <c r="B486" s="3" t="s">
        <v>487</v>
      </c>
      <c r="C486" s="3" t="str">
        <f>IFERROR(__xludf.DUMMYFUNCTION("GOOGLETRANSLATE(B486,""id"",""en"")"),"['buy', 'Package', 'Telkomsel', 'signal', 'beam', 'TPI', 'Speed', 'ping', 'really', 'hope', 'fixed', 'dlu', ' Telkomsel ',' Speed ​​',' Ping ',' Lose ',' Provider ',' Next to ',' ']")</f>
        <v>['buy', 'Package', 'Telkomsel', 'signal', 'beam', 'TPI', 'Speed', 'ping', 'really', 'hope', 'fixed', 'dlu', ' Telkomsel ',' Speed ​​',' Ping ',' Lose ',' Provider ',' Next to ',' ']</v>
      </c>
      <c r="D486" s="3">
        <v>1.0</v>
      </c>
    </row>
    <row r="487" ht="15.75" customHeight="1">
      <c r="A487" s="1">
        <v>485.0</v>
      </c>
      <c r="B487" s="3" t="s">
        <v>488</v>
      </c>
      <c r="C487" s="3" t="str">
        <f>IFERROR(__xludf.DUMMYFUNCTION("GOOGLETRANSLATE(B487,""id"",""en"")"),"['Sorry', 'knp', 'network', 'slow', 'stable', 'times',' yaa ',' udh ',' complement ',' officer ',' Telkomsel ',' via ',' telegram ',' told ',' Wait ',' laaa ',' Duss', 'laaa', 'ugly', 'kek', 'gni', 'please', 'laa', 'gmeet', 'gmeet' , 'enter', '']")</f>
        <v>['Sorry', 'knp', 'network', 'slow', 'stable', 'times',' yaa ',' udh ',' complement ',' officer ',' Telkomsel ',' via ',' telegram ',' told ',' Wait ',' laaa ',' Duss', 'laaa', 'ugly', 'kek', 'gni', 'please', 'laa', 'gmeet', 'gmeet' , 'enter', '']</v>
      </c>
      <c r="D487" s="3">
        <v>1.0</v>
      </c>
    </row>
    <row r="488" ht="15.75" customHeight="1">
      <c r="A488" s="1">
        <v>486.0</v>
      </c>
      <c r="B488" s="3" t="s">
        <v>489</v>
      </c>
      <c r="C488" s="3" t="str">
        <f>IFERROR(__xludf.DUMMYFUNCTION("GOOGLETRANSLATE(B488,""id"",""en"")"),"['sip', 'package', 'see', 'status', 'tomorrow', 'offline', 'the application', 'easy', 'checks', ""]")</f>
        <v>['sip', 'package', 'see', 'status', 'tomorrow', 'offline', 'the application', 'easy', 'checks', "]</v>
      </c>
      <c r="D488" s="3">
        <v>5.0</v>
      </c>
    </row>
    <row r="489" ht="15.75" customHeight="1">
      <c r="A489" s="1">
        <v>487.0</v>
      </c>
      <c r="B489" s="3" t="s">
        <v>490</v>
      </c>
      <c r="C489" s="3" t="str">
        <f>IFERROR(__xludf.DUMMYFUNCTION("GOOGLETRANSLATE(B489,""id"",""en"")"),"['woi', 'Telkomsel', 'quota', 'data', 'expensive', 'mahalin', 'network', 'dilapidated', 'citizen', 'buy', 'package', 'data', ' Use ',' Money ',' ']")</f>
        <v>['woi', 'Telkomsel', 'quota', 'data', 'expensive', 'mahalin', 'network', 'dilapidated', 'citizen', 'buy', 'package', 'data', ' Use ',' Money ',' ']</v>
      </c>
      <c r="D489" s="3">
        <v>1.0</v>
      </c>
    </row>
    <row r="490" ht="15.75" customHeight="1">
      <c r="A490" s="1">
        <v>488.0</v>
      </c>
      <c r="B490" s="3" t="s">
        <v>491</v>
      </c>
      <c r="C490" s="3" t="str">
        <f>IFERROR(__xludf.DUMMYFUNCTION("GOOGLETRANSLATE(B490,""id"",""en"")"),"['wahh', 'plate', 'red', 'speed', 'down', 'drastic', 'card', 'hello', 'slow', 'according to', 'service', 'disappointed', ' ']")</f>
        <v>['wahh', 'plate', 'red', 'speed', 'down', 'drastic', 'card', 'hello', 'slow', 'according to', 'service', 'disappointed', ' ']</v>
      </c>
      <c r="D490" s="3">
        <v>1.0</v>
      </c>
    </row>
    <row r="491" ht="15.75" customHeight="1">
      <c r="A491" s="1">
        <v>489.0</v>
      </c>
      <c r="B491" s="3" t="s">
        <v>492</v>
      </c>
      <c r="C491" s="3" t="str">
        <f>IFERROR(__xludf.DUMMYFUNCTION("GOOGLETRANSLATE(B491,""id"",""en"")"),"['serious',' already ',' lazy ',' times', 'Telkomsel', 'network', 'severe', 'time', 'change', 'card', 'family', 'mah', ' good ',' expensive ',' TPI ',' QUALITY ',' already ',' Males', 'star', 'Sudi']")</f>
        <v>['serious',' already ',' lazy ',' times', 'Telkomsel', 'network', 'severe', 'time', 'change', 'card', 'family', 'mah', ' good ',' expensive ',' TPI ',' QUALITY ',' already ',' Males', 'star', 'Sudi']</v>
      </c>
      <c r="D491" s="3">
        <v>1.0</v>
      </c>
    </row>
    <row r="492" ht="15.75" customHeight="1">
      <c r="A492" s="1">
        <v>490.0</v>
      </c>
      <c r="B492" s="3" t="s">
        <v>493</v>
      </c>
      <c r="C492" s="3" t="str">
        <f>IFERROR(__xludf.DUMMYFUNCTION("GOOGLETRANSLATE(B492,""id"",""en"")"),"['oalah', 'axis',' axis', 'network', 'slow', 'rushed', 'moved', 'Telkomsel', 'Telkomsel', 'network', 'good', 'imagine', ' ehh ',' severe ',' lag ',' axis', 'disappointed', '']")</f>
        <v>['oalah', 'axis',' axis', 'network', 'slow', 'rushed', 'moved', 'Telkomsel', 'Telkomsel', 'network', 'good', 'imagine', ' ehh ',' severe ',' lag ',' axis', 'disappointed', '']</v>
      </c>
      <c r="D492" s="3">
        <v>1.0</v>
      </c>
    </row>
    <row r="493" ht="15.75" customHeight="1">
      <c r="A493" s="1">
        <v>491.0</v>
      </c>
      <c r="B493" s="3" t="s">
        <v>494</v>
      </c>
      <c r="C493" s="3" t="str">
        <f>IFERROR(__xludf.DUMMYFUNCTION("GOOGLETRANSLATE(B493,""id"",""en"")"),"['network', 'threat', 'hope', 'buy', 'card', 'obligation', 'care', 'chaotic', 'original', 'already', 'network', 'disgust']")</f>
        <v>['network', 'threat', 'hope', 'buy', 'card', 'obligation', 'care', 'chaotic', 'original', 'already', 'network', 'disgust']</v>
      </c>
      <c r="D493" s="3">
        <v>1.0</v>
      </c>
    </row>
    <row r="494" ht="15.75" customHeight="1">
      <c r="A494" s="1">
        <v>492.0</v>
      </c>
      <c r="B494" s="3" t="s">
        <v>495</v>
      </c>
      <c r="C494" s="3" t="str">
        <f>IFERROR(__xludf.DUMMYFUNCTION("GOOGLETRANSLATE(B494,""id"",""en"")"),"['Mas',' MBA ',' admin ',' operator ',' What's', 'he called', 'The application', 'Error', 'Something', 'Something', 'Went', 'Wrong', ' Login ',' Applicais', 'Applikais',' Gabisa ',' Gabisa ',' Check ',' Quota ',' Etc. ',' Something ',' Something ',' Went "&amp;"',' Wrong ',' Please ' , 'Dinotice', 'Thank you', ""]")</f>
        <v>['Mas',' MBA ',' admin ',' operator ',' What's', 'he called', 'The application', 'Error', 'Something', 'Something', 'Went', 'Wrong', ' Login ',' Applicais', 'Applikais',' Gabisa ',' Gabisa ',' Check ',' Quota ',' Etc. ',' Something ',' Something ',' Went ',' Wrong ',' Please ' , 'Dinotice', 'Thank you', "]</v>
      </c>
      <c r="D494" s="3">
        <v>5.0</v>
      </c>
    </row>
    <row r="495" ht="15.75" customHeight="1">
      <c r="A495" s="1">
        <v>493.0</v>
      </c>
      <c r="B495" s="3" t="s">
        <v>496</v>
      </c>
      <c r="C495" s="3" t="str">
        <f>IFERROR(__xludf.DUMMYFUNCTION("GOOGLETRANSLATE(B495,""id"",""en"")"),"['Congratulations',' Credit ',' Credit ',' Apain ',' Display ',' Kah ',' How ',' sanctuary ',' gave ',' njing ',' taik ',' SMS ',' Original ',' Congratulations', 'Package', 'Credit', 'Rp', 'On', 'Apply', 'Date', 'PKL', 'WIB', 'Check', 'Status' , 'stop', '"&amp;"subscribe', 'Telkomsel', 'apps', 'hub', 'info', ""]")</f>
        <v>['Congratulations',' Credit ',' Credit ',' Apain ',' Display ',' Kah ',' How ',' sanctuary ',' gave ',' njing ',' taik ',' SMS ',' Original ',' Congratulations', 'Package', 'Credit', 'Rp', 'On', 'Apply', 'Date', 'PKL', 'WIB', 'Check', 'Status' , 'stop', 'subscribe', 'Telkomsel', 'apps', 'hub', 'info', "]</v>
      </c>
      <c r="D495" s="3">
        <v>1.0</v>
      </c>
    </row>
    <row r="496" ht="15.75" customHeight="1">
      <c r="A496" s="1">
        <v>494.0</v>
      </c>
      <c r="B496" s="3" t="s">
        <v>497</v>
      </c>
      <c r="C496" s="3" t="str">
        <f>IFERROR(__xludf.DUMMYFUNCTION("GOOGLETRANSLATE(B496,""id"",""en"")"),"['network', 'Telkomsel', 'destroyed', 'waste', 'waste', 'package', 'price', 'package', 'expensive', 'many years',' Telkomsel ',' here ',' amsyong ',' good ',' network ',' open ',' playstore ',' masyaallah ',' mutera ']")</f>
        <v>['network', 'Telkomsel', 'destroyed', 'waste', 'waste', 'package', 'price', 'package', 'expensive', 'many years',' Telkomsel ',' here ',' amsyong ',' good ',' network ',' open ',' playstore ',' masyaallah ',' mutera ']</v>
      </c>
      <c r="D496" s="3">
        <v>1.0</v>
      </c>
    </row>
    <row r="497" ht="15.75" customHeight="1">
      <c r="A497" s="1">
        <v>495.0</v>
      </c>
      <c r="B497" s="3" t="s">
        <v>498</v>
      </c>
      <c r="C497" s="3" t="str">
        <f>IFERROR(__xludf.DUMMYFUNCTION("GOOGLETRANSLATE(B497,""id"",""en"")"),"['buy', 'quota', 'expensive', 'really', 'no', 'rich', 'child', 'GB', 'cumarp', 'actip', 'hri', 'no', ' Paphal ',' use ',' sympathy ',' loop ',' card ',' poor ',' Telkomsel ',' Not bad ',' use ',' Telkomsel ',' gini ',' replace ',' card ' , '']")</f>
        <v>['buy', 'quota', 'expensive', 'really', 'no', 'rich', 'child', 'GB', 'cumarp', 'actip', 'hri', 'no', ' Paphal ',' use ',' sympathy ',' loop ',' card ',' poor ',' Telkomsel ',' Not bad ',' use ',' Telkomsel ',' gini ',' replace ',' card ' , '']</v>
      </c>
      <c r="D497" s="3">
        <v>4.0</v>
      </c>
    </row>
    <row r="498" ht="15.75" customHeight="1">
      <c r="A498" s="1">
        <v>496.0</v>
      </c>
      <c r="B498" s="3" t="s">
        <v>499</v>
      </c>
      <c r="C498" s="3" t="str">
        <f>IFERROR(__xludf.DUMMYFUNCTION("GOOGLETRANSLATE(B498,""id"",""en"")"),"['', 'Telkomsel', 'network', 'slow', 'network', 'stable', 'use', 'kouta', 'smooth', 'kouta', 'used', 'left', 'kouta ',' used ',' scorched ',' severe ',' Telkomsel ',' pulse ',' leftover ',' missing ', ""]")</f>
        <v>['', 'Telkomsel', 'network', 'slow', 'network', 'stable', 'use', 'kouta', 'smooth', 'kouta', 'used', 'left', 'kouta ',' used ',' scorched ',' severe ',' Telkomsel ',' pulse ',' leftover ',' missing ', "]</v>
      </c>
      <c r="D498" s="3">
        <v>2.0</v>
      </c>
    </row>
    <row r="499" ht="15.75" customHeight="1">
      <c r="A499" s="1">
        <v>497.0</v>
      </c>
      <c r="B499" s="3" t="s">
        <v>500</v>
      </c>
      <c r="C499" s="3" t="str">
        <f>IFERROR(__xludf.DUMMYFUNCTION("GOOGLETRANSLATE(B499,""id"",""en"")"),"['signal', 'ugly', 'pakek', 'pakek', 'telkomsel', 'telkomsel', 'emang', 'expensive', 'signal', 'good', 'expensive', 'ugly', ' network', '']")</f>
        <v>['signal', 'ugly', 'pakek', 'pakek', 'telkomsel', 'telkomsel', 'emang', 'expensive', 'signal', 'good', 'expensive', 'ugly', ' network', '']</v>
      </c>
      <c r="D499" s="3">
        <v>2.0</v>
      </c>
    </row>
    <row r="500" ht="15.75" customHeight="1">
      <c r="A500" s="1">
        <v>498.0</v>
      </c>
      <c r="B500" s="3" t="s">
        <v>501</v>
      </c>
      <c r="C500" s="3" t="str">
        <f>IFERROR(__xludf.DUMMYFUNCTION("GOOGLETRANSLATE(B500,""id"",""en"")"),"['', 'Telkomsel', 'love', 'star', 'dlu', 'as',' driver ',' ojol ',' gourjek ',' incident ',' gourjek ',' Telkomsel ',' network ',' stable ',' orders', 'enter', 'take', 'hot', 'pdhal', 'Samsung', 'RAM', 'ROM', 'RIGHT', 'APL', 'Ngebid', 'Indicator', 'Signal"&amp;"', 'Bener', 'Disappointing', 'Telkomsel', 'Driver', 'Ojol', 'Hundreds',' Thousand ',' Indonesia ',' Notabene ',' Area ',' Tangerang ',' City ',' Network ',' poor ',' must "", 'gmn', 'skrg', 'boosss']")</f>
        <v>['', 'Telkomsel', 'love', 'star', 'dlu', 'as',' driver ',' ojol ',' gourjek ',' incident ',' gourjek ',' Telkomsel ',' network ',' stable ',' orders', 'enter', 'take', 'hot', 'pdhal', 'Samsung', 'RAM', 'ROM', 'RIGHT', 'APL', 'Ngebid', 'Indicator', 'Signal', 'Bener', 'Disappointing', 'Telkomsel', 'Driver', 'Ojol', 'Hundreds',' Thousand ',' Indonesia ',' Notabene ',' Area ',' Tangerang ',' City ',' Network ',' poor ',' must ", 'gmn', 'skrg', 'boosss']</v>
      </c>
      <c r="D500" s="3">
        <v>1.0</v>
      </c>
    </row>
    <row r="501" ht="15.75" customHeight="1">
      <c r="A501" s="1">
        <v>499.0</v>
      </c>
      <c r="B501" s="3" t="s">
        <v>502</v>
      </c>
      <c r="C501" s="3" t="str">
        <f>IFERROR(__xludf.DUMMYFUNCTION("GOOGLETRANSLATE(B501,""id"",""en"")"),"['Disappointed', 'really', 'card', 'cave', 'secondly', 'Telkomsel', 'signal', 'ugly', 'already', 'contact', 'Costumer', 'Kek', ' Gini ',' cave ',' a month ',' thousand ',' signal ',' kek ',' try ',' play ',' game ',' strong ',' muter ',' sampe ',' signal "&amp;"' , 'cave', 'good']")</f>
        <v>['Disappointed', 'really', 'card', 'cave', 'secondly', 'Telkomsel', 'signal', 'ugly', 'already', 'contact', 'Costumer', 'Kek', ' Gini ',' cave ',' a month ',' thousand ',' signal ',' kek ',' try ',' play ',' game ',' strong ',' muter ',' sampe ',' signal ' , 'cave', 'good']</v>
      </c>
      <c r="D501" s="3">
        <v>1.0</v>
      </c>
    </row>
    <row r="502" ht="15.75" customHeight="1">
      <c r="A502" s="1">
        <v>500.0</v>
      </c>
      <c r="B502" s="3" t="s">
        <v>503</v>
      </c>
      <c r="C502" s="3" t="str">
        <f>IFERROR(__xludf.DUMMYFUNCTION("GOOGLETRANSLATE(B502,""id"",""en"")"),"['Region', 'Serang', 'Banten', 'Signal', 'ugly', 'Open', 'Application', 'Telkom', 'Funny', 'Bad', 'Severe', 'signal', ' Disappointed ',' expensive ',' disappointing ',' ']")</f>
        <v>['Region', 'Serang', 'Banten', 'Signal', 'ugly', 'Open', 'Application', 'Telkom', 'Funny', 'Bad', 'Severe', 'signal', ' Disappointed ',' expensive ',' disappointing ',' ']</v>
      </c>
      <c r="D502" s="3">
        <v>1.0</v>
      </c>
    </row>
    <row r="503" ht="15.75" customHeight="1">
      <c r="A503" s="1">
        <v>501.0</v>
      </c>
      <c r="B503" s="3" t="s">
        <v>504</v>
      </c>
      <c r="C503" s="3" t="str">
        <f>IFERROR(__xludf.DUMMYFUNCTION("GOOGLETRANSLATE(B503,""id"",""en"")"),"['Night', 'Network', 'Internet', 'Please', 'Service', 'Best', 'Consumer', 'Pay', 'Subscriptions',' Enjoy ',' Internet ',' Free ',' pay', '']")</f>
        <v>['Night', 'Network', 'Internet', 'Please', 'Service', 'Best', 'Consumer', 'Pay', 'Subscriptions',' Enjoy ',' Internet ',' Free ',' pay', '']</v>
      </c>
      <c r="D503" s="3">
        <v>1.0</v>
      </c>
    </row>
    <row r="504" ht="15.75" customHeight="1">
      <c r="A504" s="1">
        <v>502.0</v>
      </c>
      <c r="B504" s="3" t="s">
        <v>505</v>
      </c>
      <c r="C504" s="3" t="str">
        <f>IFERROR(__xludf.DUMMYFUNCTION("GOOGLETRANSLATE(B504,""id"",""en"")"),"['Yuk', 'Yuk', 'Farah', 'UDH', 'Read', 'Review', 'Nge Casi', 'Bintang', 'Yuk', 'Males',' Try ',' Many ',' Nggk ',' entry ',' yuk ',' shifted ',' operator ',' lho ',' good ',' yuk ',' keep ',' udh ',' customer ',' gorge ',' tug "" , 'Customer', 'trimakasih"&amp;"']")</f>
        <v>['Yuk', 'Yuk', 'Farah', 'UDH', 'Read', 'Review', 'Nge Casi', 'Bintang', 'Yuk', 'Males',' Try ',' Many ',' Nggk ',' entry ',' yuk ',' shifted ',' operator ',' lho ',' good ',' yuk ',' keep ',' udh ',' customer ',' gorge ',' tug " , 'Customer', 'trimakasih']</v>
      </c>
      <c r="D504" s="3">
        <v>1.0</v>
      </c>
    </row>
    <row r="505" ht="15.75" customHeight="1">
      <c r="A505" s="1">
        <v>503.0</v>
      </c>
      <c r="B505" s="3" t="s">
        <v>506</v>
      </c>
      <c r="C505" s="3" t="str">
        <f>IFERROR(__xludf.DUMMYFUNCTION("GOOGLETRANSLATE(B505,""id"",""en"")"),"['Seneng', 'card', 'Telkomsel', 'because', 'signal', 'village', 'signal', 'signal', 'good', 'because', 'already', 'card', ' Telkomsel ',' lowering ',' signal ',' MBS ',' dickness', 'signal', 'already', 'down', 'Please', 'fix', 'thank', 'love', ""]")</f>
        <v>['Seneng', 'card', 'Telkomsel', 'because', 'signal', 'village', 'signal', 'signal', 'good', 'because', 'already', 'card', ' Telkomsel ',' lowering ',' signal ',' MBS ',' dickness', 'signal', 'already', 'down', 'Please', 'fix', 'thank', 'love', "]</v>
      </c>
      <c r="D505" s="3">
        <v>5.0</v>
      </c>
    </row>
    <row r="506" ht="15.75" customHeight="1">
      <c r="A506" s="1">
        <v>504.0</v>
      </c>
      <c r="B506" s="3" t="s">
        <v>507</v>
      </c>
      <c r="C506" s="3" t="str">
        <f>IFERROR(__xludf.DUMMYFUNCTION("GOOGLETRANSLATE(B506,""id"",""en"")"),"['Telkomsel', 'signal', 'destroyed', 'signal', 'enter', 'site', 'anywhere', 'please', 'fix', 'network', 'customer', 'move', ' Neighbors', 'Telkomsel', 'Signal', 'Keong', 'Leet', '']")</f>
        <v>['Telkomsel', 'signal', 'destroyed', 'signal', 'enter', 'site', 'anywhere', 'please', 'fix', 'network', 'customer', 'move', ' Neighbors', 'Telkomsel', 'Signal', 'Keong', 'Leet', '']</v>
      </c>
      <c r="D506" s="3">
        <v>1.0</v>
      </c>
    </row>
    <row r="507" ht="15.75" customHeight="1">
      <c r="A507" s="1">
        <v>505.0</v>
      </c>
      <c r="B507" s="3" t="s">
        <v>508</v>
      </c>
      <c r="C507" s="3" t="str">
        <f>IFERROR(__xludf.DUMMYFUNCTION("GOOGLETRANSLATE(B507,""id"",""en"")"),"['A ',' Tuker ',' Point ',' NGK ',' can ',' already ',' thousands ',' smpe ',' a year ',' Hanguss ',' Tuker ',' Point ',' NGK ',' can ',' Please ',' Banti ']")</f>
        <v>['A ',' Tuker ',' Point ',' NGK ',' can ',' already ',' thousands ',' smpe ',' a year ',' Hanguss ',' Tuker ',' Point ',' NGK ',' can ',' Please ',' Banti ']</v>
      </c>
      <c r="D507" s="3">
        <v>1.0</v>
      </c>
    </row>
    <row r="508" ht="15.75" customHeight="1">
      <c r="A508" s="1">
        <v>506.0</v>
      </c>
      <c r="B508" s="3" t="s">
        <v>509</v>
      </c>
      <c r="C508" s="3" t="str">
        <f>IFERROR(__xludf.DUMMYFUNCTION("GOOGLETRANSLATE(B508,""id"",""en"")"),"['Baguus',' data ',' sms', 'kagak', 'free', 'sms',' pulse ',' signal ',' bnyak ',' sms', 'failed', 'ngeselin', ' BNGT ',' Please ',' please ',' why ',' that's', 'fix', '']")</f>
        <v>['Baguus',' data ',' sms', 'kagak', 'free', 'sms',' pulse ',' signal ',' bnyak ',' sms', 'failed', 'ngeselin', ' BNGT ',' Please ',' please ',' why ',' that's', 'fix', '']</v>
      </c>
      <c r="D508" s="3">
        <v>3.0</v>
      </c>
    </row>
    <row r="509" ht="15.75" customHeight="1">
      <c r="A509" s="1">
        <v>507.0</v>
      </c>
      <c r="B509" s="3" t="s">
        <v>510</v>
      </c>
      <c r="C509" s="3" t="str">
        <f>IFERROR(__xludf.DUMMYFUNCTION("GOOGLETRANSLATE(B509,""id"",""en"")"),"['application', 'cool', 'complete', 'difficult', 'understand', 'application', 'use', 'forward', 'Telkomsel']")</f>
        <v>['application', 'cool', 'complete', 'difficult', 'understand', 'application', 'use', 'forward', 'Telkomsel']</v>
      </c>
      <c r="D509" s="3">
        <v>1.0</v>
      </c>
    </row>
    <row r="510" ht="15.75" customHeight="1">
      <c r="A510" s="1">
        <v>508.0</v>
      </c>
      <c r="B510" s="3" t="s">
        <v>511</v>
      </c>
      <c r="C510" s="3" t="str">
        <f>IFERROR(__xludf.DUMMYFUNCTION("GOOGLETRANSLATE(B510,""id"",""en"")"),"['signal', 'ugly', 'City', 'Palembang', 'Disorders',' Hold ',' Pakek ',' Telkomsel ',' Gini ',' Performance ',' Telkomsel ',' Mending ',' Close ',' bang 1. ']")</f>
        <v>['signal', 'ugly', 'City', 'Palembang', 'Disorders',' Hold ',' Pakek ',' Telkomsel ',' Gini ',' Performance ',' Telkomsel ',' Mending ',' Close ',' bang 1. ']</v>
      </c>
      <c r="D510" s="3">
        <v>1.0</v>
      </c>
    </row>
    <row r="511" ht="15.75" customHeight="1">
      <c r="A511" s="1">
        <v>509.0</v>
      </c>
      <c r="B511" s="3" t="s">
        <v>512</v>
      </c>
      <c r="C511" s="3" t="str">
        <f>IFERROR(__xludf.DUMMYFUNCTION("GOOGLETRANSLATE(B511,""id"",""en"")"),"['Network', 'full', 'signal', 'road', 'Telkomsel', 'change', 'skrg', 'expensive', 'disgusting', 'pension', 'telkom', 'the application', ' Loading ',' bet ',' gabisa ',' mode ',' oflen ',' change ',' right ']")</f>
        <v>['Network', 'full', 'signal', 'road', 'Telkomsel', 'change', 'skrg', 'expensive', 'disgusting', 'pension', 'telkom', 'the application', ' Loading ',' bet ',' gabisa ',' mode ',' oflen ',' change ',' right ']</v>
      </c>
      <c r="D511" s="3">
        <v>1.0</v>
      </c>
    </row>
    <row r="512" ht="15.75" customHeight="1">
      <c r="A512" s="1">
        <v>510.0</v>
      </c>
      <c r="B512" s="3" t="s">
        <v>513</v>
      </c>
      <c r="C512" s="3" t="str">
        <f>IFERROR(__xludf.DUMMYFUNCTION("GOOGLETRANSLATE(B512,""id"",""en"")"),"['Please', 'check', 'network', 'internet', 'sumbar', 'sumatra', 'west', 'call', 'week', 'please', 'check', ' bad ',' service ',' Telkomsel ',' anjinm ',' buy ',' package ',' expensive ',' network ',' internet ',' bad ',' bad ',' quality ',' ']")</f>
        <v>['Please', 'check', 'network', 'internet', 'sumbar', 'sumatra', 'west', 'call', 'week', 'please', 'check', ' bad ',' service ',' Telkomsel ',' anjinm ',' buy ',' package ',' expensive ',' network ',' internet ',' bad ',' bad ',' quality ',' ']</v>
      </c>
      <c r="D512" s="3">
        <v>1.0</v>
      </c>
    </row>
    <row r="513" ht="15.75" customHeight="1">
      <c r="A513" s="1">
        <v>511.0</v>
      </c>
      <c r="B513" s="3" t="s">
        <v>514</v>
      </c>
      <c r="C513" s="3" t="str">
        <f>IFERROR(__xludf.DUMMYFUNCTION("GOOGLETRANSLATE(B513,""id"",""en"")"),"['Please', 'Sorry', 'Seblum', 'Disappointed', 'Telkomsel', 'Tomorrow', 'Change', 'Card', 'Telkomsel', 'Network', 'Teremot']")</f>
        <v>['Please', 'Sorry', 'Seblum', 'Disappointed', 'Telkomsel', 'Tomorrow', 'Change', 'Card', 'Telkomsel', 'Network', 'Teremot']</v>
      </c>
      <c r="D513" s="3">
        <v>1.0</v>
      </c>
    </row>
    <row r="514" ht="15.75" customHeight="1">
      <c r="A514" s="1">
        <v>512.0</v>
      </c>
      <c r="B514" s="3" t="s">
        <v>515</v>
      </c>
      <c r="C514" s="3" t="str">
        <f>IFERROR(__xludf.DUMMYFUNCTION("GOOGLETRANSLATE(B514,""id"",""en"")"),"['already', 'all day', 'signal', 'network', 'package', 'active', 'card', 'November', 'card', 'many', '']")</f>
        <v>['already', 'all day', 'signal', 'network', 'package', 'active', 'card', 'November', 'card', 'many', '']</v>
      </c>
      <c r="D514" s="3">
        <v>2.0</v>
      </c>
    </row>
    <row r="515" ht="15.75" customHeight="1">
      <c r="A515" s="1">
        <v>513.0</v>
      </c>
      <c r="B515" s="3" t="s">
        <v>516</v>
      </c>
      <c r="C515" s="3" t="str">
        <f>IFERROR(__xludf.DUMMYFUNCTION("GOOGLETRANSLATE(B515,""id"",""en"")"),"['', 'area', 'Network', 'gnya', 'difficult', 'said', 'no', 'network', 'star', 'network', 'internet', 'Telkomsel', 'wide ',' Rating ',' Thank you ']")</f>
        <v>['', 'area', 'Network', 'gnya', 'difficult', 'said', 'no', 'network', 'star', 'network', 'internet', 'Telkomsel', 'wide ',' Rating ',' Thank you ']</v>
      </c>
      <c r="D515" s="3">
        <v>1.0</v>
      </c>
    </row>
    <row r="516" ht="15.75" customHeight="1">
      <c r="A516" s="1">
        <v>514.0</v>
      </c>
      <c r="B516" s="3" t="s">
        <v>517</v>
      </c>
      <c r="C516" s="3" t="str">
        <f>IFERROR(__xludf.DUMMYFUNCTION("GOOGLETRANSLATE(B516,""id"",""en"")"),"['package', 'internet', 'expensive', 'expensive', 'disappointed', 'friend', 'cave', 'gb', 'rb', 'cave', 'cave', 'mah', ' envy ',' friend ',' cave ',' package ',' cheap ',' cheap ',' package ',' expensive ',' expensive ',' difficult ',' really ',' card ','"&amp;" Telkomsel ' , 'love', 'star', 'disappointing']")</f>
        <v>['package', 'internet', 'expensive', 'expensive', 'disappointed', 'friend', 'cave', 'gb', 'rb', 'cave', 'cave', 'mah', ' envy ',' friend ',' cave ',' package ',' cheap ',' cheap ',' package ',' expensive ',' expensive ',' difficult ',' really ',' card ',' Telkomsel ' , 'love', 'star', 'disappointing']</v>
      </c>
      <c r="D516" s="3">
        <v>1.0</v>
      </c>
    </row>
    <row r="517" ht="15.75" customHeight="1">
      <c r="A517" s="1">
        <v>515.0</v>
      </c>
      <c r="B517" s="3" t="s">
        <v>518</v>
      </c>
      <c r="C517" s="3" t="str">
        <f>IFERROR(__xludf.DUMMYFUNCTION("GOOGLETRANSLATE(B517,""id"",""en"")"),"['Tsel', 'forgetfulness',' contents', 'pulse', 'scorched', 'buy', 'Malesbya', 'Tsell', 'Most', 'ads',' enter ',' person ',' offer ',' hope ']")</f>
        <v>['Tsel', 'forgetfulness',' contents', 'pulse', 'scorched', 'buy', 'Malesbya', 'Tsell', 'Most', 'ads',' enter ',' person ',' offer ',' hope ']</v>
      </c>
      <c r="D517" s="3">
        <v>4.0</v>
      </c>
    </row>
    <row r="518" ht="15.75" customHeight="1">
      <c r="A518" s="1">
        <v>516.0</v>
      </c>
      <c r="B518" s="3" t="s">
        <v>519</v>
      </c>
      <c r="C518" s="3" t="str">
        <f>IFERROR(__xludf.DUMMYFUNCTION("GOOGLETRANSLATE(B518,""id"",""en"")"),"['Vertification', 'sent', 'number', 'number', 'already', 'Telkomsel', 'move', 'number', 'vertification', 'reset', 'fail', '']")</f>
        <v>['Vertification', 'sent', 'number', 'number', 'already', 'Telkomsel', 'move', 'number', 'vertification', 'reset', 'fail', '']</v>
      </c>
      <c r="D518" s="3">
        <v>1.0</v>
      </c>
    </row>
    <row r="519" ht="15.75" customHeight="1">
      <c r="A519" s="1">
        <v>517.0</v>
      </c>
      <c r="B519" s="3" t="s">
        <v>520</v>
      </c>
      <c r="C519" s="3" t="str">
        <f>IFERROR(__xludf.DUMMYFUNCTION("GOOGLETRANSLATE(B519,""id"",""en"")"),"['card', 'scorched', 'issuing', 'credit', 'right', 'Kere', 'Correct', 'TELKOMSEL', 'TELKOMSEL', 'poor', 'consumer', ' Telkomsel ',' The reason ',' KLW ',' Prowpeder ',' Next to ',' Ribet ',' Direct ', ""]")</f>
        <v>['card', 'scorched', 'issuing', 'credit', 'right', 'Kere', 'Correct', 'TELKOMSEL', 'TELKOMSEL', 'poor', 'consumer', ' Telkomsel ',' The reason ',' KLW ',' Prowpeder ',' Next to ',' Ribet ',' Direct ', "]</v>
      </c>
      <c r="D519" s="3">
        <v>1.0</v>
      </c>
    </row>
    <row r="520" ht="15.75" customHeight="1">
      <c r="A520" s="1">
        <v>518.0</v>
      </c>
      <c r="B520" s="3" t="s">
        <v>521</v>
      </c>
      <c r="C520" s="3" t="str">
        <f>IFERROR(__xludf.DUMMYFUNCTION("GOOGLETRANSLATE(B520,""id"",""en"")"),"['Card', 'Telkomsel', 'call', 'Hanyar', 'card', 'father', 'sister', 'experience', 'Telkomsel', ""]")</f>
        <v>['Card', 'Telkomsel', 'call', 'Hanyar', 'card', 'father', 'sister', 'experience', 'Telkomsel', "]</v>
      </c>
      <c r="D520" s="3">
        <v>1.0</v>
      </c>
    </row>
    <row r="521" ht="15.75" customHeight="1">
      <c r="A521" s="1">
        <v>519.0</v>
      </c>
      <c r="B521" s="3" t="s">
        <v>522</v>
      </c>
      <c r="C521" s="3" t="str">
        <f>IFERROR(__xludf.DUMMYFUNCTION("GOOGLETRANSLATE(B521,""id"",""en"")"),"['Constraints',' Network ',' Kagi ',' slow ',' Browsing ',' Open ',' Application ',' JGA ',' Lemot ',' Download ',' Update ',' MB ',' Btuh ',' Mnt ', ""]")</f>
        <v>['Constraints',' Network ',' Kagi ',' slow ',' Browsing ',' Open ',' Application ',' JGA ',' Lemot ',' Download ',' Update ',' MB ',' Btuh ',' Mnt ', "]</v>
      </c>
      <c r="D521" s="3">
        <v>1.0</v>
      </c>
    </row>
    <row r="522" ht="15.75" customHeight="1">
      <c r="A522" s="1">
        <v>520.0</v>
      </c>
      <c r="B522" s="3" t="s">
        <v>523</v>
      </c>
      <c r="C522" s="3" t="str">
        <f>IFERROR(__xludf.DUMMYFUNCTION("GOOGLETRANSLATE(B522,""id"",""en"")"),"['Network', 'destroyed', 'slow', 'Bener', 'lose', 'provider', 'next door', 'card', 'poor', 'Telkomsel', 'cunning', 'search', ' advantages', 'thinking', 'customer', 'loyal', 'udh', 'quota', 'expensive', 'network', 'destroyed', 'run out', 'money', '']")</f>
        <v>['Network', 'destroyed', 'slow', 'Bener', 'lose', 'provider', 'next door', 'card', 'poor', 'Telkomsel', 'cunning', 'search', ' advantages', 'thinking', 'customer', 'loyal', 'udh', 'quota', 'expensive', 'network', 'destroyed', 'run out', 'money', '']</v>
      </c>
      <c r="D522" s="3">
        <v>1.0</v>
      </c>
    </row>
    <row r="523" ht="15.75" customHeight="1">
      <c r="A523" s="1">
        <v>521.0</v>
      </c>
      <c r="B523" s="3" t="s">
        <v>524</v>
      </c>
      <c r="C523" s="3" t="str">
        <f>IFERROR(__xludf.DUMMYFUNCTION("GOOGLETRANSLATE(B523,""id"",""en"")"),"['Keluha', 'telegram', 'told', 'Wait', 'clock', 'clock', 'waiting', 'clarity', 'active', 'active', 'dunggal', 'change', ' Thank you ',' Telkomsel ']")</f>
        <v>['Keluha', 'telegram', 'told', 'Wait', 'clock', 'clock', 'waiting', 'clarity', 'active', 'active', 'dunggal', 'change', ' Thank you ',' Telkomsel ']</v>
      </c>
      <c r="D523" s="3">
        <v>1.0</v>
      </c>
    </row>
    <row r="524" ht="15.75" customHeight="1">
      <c r="A524" s="1">
        <v>522.0</v>
      </c>
      <c r="B524" s="3" t="s">
        <v>525</v>
      </c>
      <c r="C524" s="3" t="str">
        <f>IFERROR(__xludf.DUMMYFUNCTION("GOOGLETRANSLATE(B524,""id"",""en"")"),"['oath', 'Telkomsel', 'friend', 'access',' quota ',' internet ',' cheap ',' card ',' expensive ',' get ',' bid ',' quota ',' Cheap ',' poor ', ""]")</f>
        <v>['oath', 'Telkomsel', 'friend', 'access',' quota ',' internet ',' cheap ',' card ',' expensive ',' get ',' bid ',' quota ',' Cheap ',' poor ', "]</v>
      </c>
      <c r="D524" s="3">
        <v>4.0</v>
      </c>
    </row>
    <row r="525" ht="15.75" customHeight="1">
      <c r="A525" s="1">
        <v>523.0</v>
      </c>
      <c r="B525" s="3" t="s">
        <v>526</v>
      </c>
      <c r="C525" s="3" t="str">
        <f>IFERROR(__xludf.DUMMYFUNCTION("GOOGLETRANSLATE(B525,""id"",""en"")"),"['Login', 'Muter', 'really', 'JMINTA', 'REFRESH', 'REFRESH', 'REFRESH', 'REFRESH', 'REFRESH', 'KNP', 'Please', 'Accept', ' love']")</f>
        <v>['Login', 'Muter', 'really', 'JMINTA', 'REFRESH', 'REFRESH', 'REFRESH', 'REFRESH', 'REFRESH', 'KNP', 'Please', 'Accept', ' love']</v>
      </c>
      <c r="D525" s="3">
        <v>2.0</v>
      </c>
    </row>
    <row r="526" ht="15.75" customHeight="1">
      <c r="A526" s="1">
        <v>524.0</v>
      </c>
      <c r="B526" s="3" t="s">
        <v>527</v>
      </c>
      <c r="C526" s="3" t="str">
        <f>IFERROR(__xludf.DUMMYFUNCTION("GOOGLETRANSLATE(B526,""id"",""en"")"),"['', 'Funny', 'package', 'quota', 'buy', 'usage', 'run out', 'used', 'quota', 'buy', 'use', 'sucked', 'package ',' Buy ',' wasted ',' Sia ',' used ',' apply ',' run out ',' redundant ',' deh ',' yes', 'network', 'Telkomsel', 'good', 'Hopefully', 'in the f"&amp;"uture', 'Telkomsel', ""]")</f>
        <v>['', 'Funny', 'package', 'quota', 'buy', 'usage', 'run out', 'used', 'quota', 'buy', 'use', 'sucked', 'package ',' Buy ',' wasted ',' Sia ',' used ',' apply ',' run out ',' redundant ',' deh ',' yes', 'network', 'Telkomsel', 'good', 'Hopefully', 'in the future', 'Telkomsel', "]</v>
      </c>
      <c r="D526" s="3">
        <v>1.0</v>
      </c>
    </row>
    <row r="527" ht="15.75" customHeight="1">
      <c r="A527" s="1">
        <v>525.0</v>
      </c>
      <c r="B527" s="3" t="s">
        <v>528</v>
      </c>
      <c r="C527" s="3" t="str">
        <f>IFERROR(__xludf.DUMMYFUNCTION("GOOGLETRANSLATE(B527,""id"",""en"")"),"['loss',' really ',' buy ',' paketan ',' Telkomsel ',' expensive ',' slow ',' karuan ',' rich ',' operator ',' advertisement ',' nense ',' Different ',' wanted ',' behavior ',' please ',' sale ',' promise ',' fix ',' service ',' want ',' sell ']")</f>
        <v>['loss',' really ',' buy ',' paketan ',' Telkomsel ',' expensive ',' slow ',' karuan ',' rich ',' operator ',' advertisement ',' nense ',' Different ',' wanted ',' behavior ',' please ',' sale ',' promise ',' fix ',' service ',' want ',' sell ']</v>
      </c>
      <c r="D527" s="3">
        <v>1.0</v>
      </c>
    </row>
    <row r="528" ht="15.75" customHeight="1">
      <c r="A528" s="1">
        <v>526.0</v>
      </c>
      <c r="B528" s="3" t="s">
        <v>529</v>
      </c>
      <c r="C528" s="3" t="str">
        <f>IFERROR(__xludf.DUMMYFUNCTION("GOOGLETRANSLATE(B528,""id"",""en"")"),"['Daily', 'Check', 'Reedem', 'The reason', 'Sorry', 'Exchange', 'according to', 'Channel', 'Specified']")</f>
        <v>['Daily', 'Check', 'Reedem', 'The reason', 'Sorry', 'Exchange', 'according to', 'Channel', 'Specified']</v>
      </c>
      <c r="D528" s="3">
        <v>1.0</v>
      </c>
    </row>
    <row r="529" ht="15.75" customHeight="1">
      <c r="A529" s="1">
        <v>527.0</v>
      </c>
      <c r="B529" s="3" t="s">
        <v>530</v>
      </c>
      <c r="C529" s="3" t="str">
        <f>IFERROR(__xludf.DUMMYFUNCTION("GOOGLETRANSLATE(B529,""id"",""en"")"),"['Bener', 'Disappointed', 'Telkomsel', 'Fill', 'Credit', 'Report', 'Success',' Credit ',' Enter ',' already ',' complain ',' TPI ',' The answer is 'told', 'waiting', 'UDH', 'clarity', 'it is', 'pulses', 'that way', 'Telkomsel', 'Change', 'Must', 'Harm', '"&amp;"Consumers' , 'Terbitai', ""]")</f>
        <v>['Bener', 'Disappointed', 'Telkomsel', 'Fill', 'Credit', 'Report', 'Success',' Credit ',' Enter ',' already ',' complain ',' TPI ',' The answer is 'told', 'waiting', 'UDH', 'clarity', 'it is', 'pulses', 'that way', 'Telkomsel', 'Change', 'Must', 'Harm', 'Consumers' , 'Terbitai', "]</v>
      </c>
      <c r="D529" s="3">
        <v>1.0</v>
      </c>
    </row>
    <row r="530" ht="15.75" customHeight="1">
      <c r="A530" s="1">
        <v>528.0</v>
      </c>
      <c r="B530" s="3" t="s">
        <v>531</v>
      </c>
      <c r="C530" s="3" t="str">
        <f>IFERROR(__xludf.DUMMYFUNCTION("GOOGLETRANSLATE(B530,""id"",""en"")"),"['gajelas',' buy ',' package ',' error ',' system ',' then ',' really ',' buy ',' package ',' number ',' Different ',' paid ',' Then ',' buy ',' package ',' sms', 'difficult', 'really', 'comfortable', 'system', 'rich', 'gini', 'then']")</f>
        <v>['gajelas',' buy ',' package ',' error ',' system ',' then ',' really ',' buy ',' package ',' number ',' Different ',' paid ',' Then ',' buy ',' package ',' sms', 'difficult', 'really', 'comfortable', 'system', 'rich', 'gini', 'then']</v>
      </c>
      <c r="D530" s="3">
        <v>1.0</v>
      </c>
    </row>
    <row r="531" ht="15.75" customHeight="1">
      <c r="A531" s="1">
        <v>529.0</v>
      </c>
      <c r="B531" s="3" t="s">
        <v>532</v>
      </c>
      <c r="C531" s="3" t="str">
        <f>IFERROR(__xludf.DUMMYFUNCTION("GOOGLETRANSLATE(B531,""id"",""en"")"),"['The name', 'bad', 'package', 'expensive', 'really', 'fast', 'abis',' unlimited ',' social ',' media ',' open ',' youtube ',' use ',' quota ',' please ',' deh ',' fraud ']")</f>
        <v>['The name', 'bad', 'package', 'expensive', 'really', 'fast', 'abis',' unlimited ',' social ',' media ',' open ',' youtube ',' use ',' quota ',' please ',' deh ',' fraud ']</v>
      </c>
      <c r="D531" s="3">
        <v>1.0</v>
      </c>
    </row>
    <row r="532" ht="15.75" customHeight="1">
      <c r="A532" s="1">
        <v>530.0</v>
      </c>
      <c r="B532" s="3" t="s">
        <v>533</v>
      </c>
      <c r="C532" s="3" t="str">
        <f>IFERROR(__xludf.DUMMYFUNCTION("GOOGLETRANSLATE(B532,""id"",""en"")"),"['Need', 'Package', 'Tel', 'NGK', 'Cash', 'Buy', 'Alitha', 'Balance', 'Telomse', 'Buy', 'Package', 'Tel', ' DFN ',' Price ',' Cheap ',' Affordable ',' Telkomsel ', ""]")</f>
        <v>['Need', 'Package', 'Tel', 'NGK', 'Cash', 'Buy', 'Alitha', 'Balance', 'Telomse', 'Buy', 'Package', 'Tel', ' DFN ',' Price ',' Cheap ',' Affordable ',' Telkomsel ', "]</v>
      </c>
      <c r="D532" s="3">
        <v>5.0</v>
      </c>
    </row>
    <row r="533" ht="15.75" customHeight="1">
      <c r="A533" s="1">
        <v>531.0</v>
      </c>
      <c r="B533" s="3" t="s">
        <v>534</v>
      </c>
      <c r="C533" s="3" t="str">
        <f>IFERROR(__xludf.DUMMYFUNCTION("GOOGLETRANSLATE(B533,""id"",""en"")"),"['Congratulations', 'Morning', 'Sis', 'Please', 'Sorry', 'Package', 'Active', 'Paketan', 'Reduce', 'Use', 'Paketan', 'Latest' Paketan ',' intact ',' package ',' the latest ',' active ',' package ',' for a moment ',' package ',' times', 'provider', 'operat"&amp;"or', 'use', 'package' , 'Out', 'thank you']")</f>
        <v>['Congratulations', 'Morning', 'Sis', 'Please', 'Sorry', 'Package', 'Active', 'Paketan', 'Reduce', 'Use', 'Paketan', 'Latest' Paketan ',' intact ',' package ',' the latest ',' active ',' package ',' for a moment ',' package ',' times', 'provider', 'operator', 'use', 'package' , 'Out', 'thank you']</v>
      </c>
      <c r="D533" s="3">
        <v>4.0</v>
      </c>
    </row>
    <row r="534" ht="15.75" customHeight="1">
      <c r="A534" s="1">
        <v>532.0</v>
      </c>
      <c r="B534" s="3" t="s">
        <v>535</v>
      </c>
      <c r="C534" s="3" t="str">
        <f>IFERROR(__xludf.DUMMYFUNCTION("GOOGLETRANSLATE(B534,""id"",""en"")"),"['Pay', 'bills',' right ',' kouta ',' entry ',' bill ',' sorry ',' card ',' hello ',' friend ',' colleague ',' colleague ',' Friend ',' friend ',' card ',' Hello ',' bills', 'swollen', 'described', 'harm', 'pandemic', 'kayak', 'gini']")</f>
        <v>['Pay', 'bills',' right ',' kouta ',' entry ',' bill ',' sorry ',' card ',' hello ',' friend ',' colleague ',' colleague ',' Friend ',' friend ',' card ',' Hello ',' bills', 'swollen', 'described', 'harm', 'pandemic', 'kayak', 'gini']</v>
      </c>
      <c r="D534" s="3">
        <v>1.0</v>
      </c>
    </row>
    <row r="535" ht="15.75" customHeight="1">
      <c r="A535" s="1">
        <v>533.0</v>
      </c>
      <c r="B535" s="3" t="s">
        <v>536</v>
      </c>
      <c r="C535" s="3" t="str">
        <f>IFERROR(__xludf.DUMMYFUNCTION("GOOGLETRANSLATE(B535,""id"",""en"")"),"['Tsel', 'Network', 'user', 'Network', 'Next', 'chaotic', 'Tsel', 'Selayed', 'User', 'Punjukin', 'Tsel', 'Rich', ' Super ',' speeding ',' Lonely ',' user ']")</f>
        <v>['Tsel', 'Network', 'user', 'Network', 'Next', 'chaotic', 'Tsel', 'Selayed', 'User', 'Punjukin', 'Tsel', 'Rich', ' Super ',' speeding ',' Lonely ',' user ']</v>
      </c>
      <c r="D535" s="3">
        <v>1.0</v>
      </c>
    </row>
    <row r="536" ht="15.75" customHeight="1">
      <c r="A536" s="1">
        <v>534.0</v>
      </c>
      <c r="B536" s="3" t="s">
        <v>537</v>
      </c>
      <c r="C536" s="3" t="str">
        <f>IFERROR(__xludf.DUMMYFUNCTION("GOOGLETRANSLATE(B536,""id"",""en"")"),"['suggestion', 'choose', 'wrong', 'kouta', 'internet', 'use', 'kouta', 'internet', 'bought', 'the rest', 'kouta', 'internet', ' Kemdikbud ',' used ',' Kouta ',' internet ',' bought ',' darling ',' kouta ',' internet ',' bought ',' left ',' scorched ',' th"&amp;"e enactment ',' lived ' , 'Koutaa', 'internet', 'Kemdikbud', 'used', ""]")</f>
        <v>['suggestion', 'choose', 'wrong', 'kouta', 'internet', 'use', 'kouta', 'internet', 'bought', 'the rest', 'kouta', 'internet', ' Kemdikbud ',' used ',' Kouta ',' internet ',' bought ',' darling ',' kouta ',' internet ',' bought ',' left ',' scorched ',' the enactment ',' lived ' , 'Koutaa', 'internet', 'Kemdikbud', 'used', "]</v>
      </c>
      <c r="D536" s="3">
        <v>4.0</v>
      </c>
    </row>
    <row r="537" ht="15.75" customHeight="1">
      <c r="A537" s="1">
        <v>535.0</v>
      </c>
      <c r="B537" s="3" t="s">
        <v>538</v>
      </c>
      <c r="C537" s="3" t="str">
        <f>IFERROR(__xludf.DUMMYFUNCTION("GOOGLETRANSLATE(B537,""id"",""en"")"),"['Encourage', 'play', 'game', 'online', 'signal', 'full', 'bar', 'network', 'buffring', 'forgiveness',' try ',' deh ',' Mending ',' rich ',' sold ',' grgr ',' name ',' udh ',' price ',' expensive ',' skrg ',' slow ',' thanks']")</f>
        <v>['Encourage', 'play', 'game', 'online', 'signal', 'full', 'bar', 'network', 'buffring', 'forgiveness',' try ',' deh ',' Mending ',' rich ',' sold ',' grgr ',' name ',' udh ',' price ',' expensive ',' skrg ',' slow ',' thanks']</v>
      </c>
      <c r="D537" s="3">
        <v>1.0</v>
      </c>
    </row>
    <row r="538" ht="15.75" customHeight="1">
      <c r="A538" s="1">
        <v>536.0</v>
      </c>
      <c r="B538" s="3" t="s">
        <v>539</v>
      </c>
      <c r="C538" s="3" t="str">
        <f>IFERROR(__xludf.DUMMYFUNCTION("GOOGLETRANSLATE(B538,""id"",""en"")"),"['Developer', 'Telkomsel', 'complaints',' clock ',' like ',' no ',' get ',' signal ',' emang ',' network ',' error ',' minutes', ' hours', 'derived', 'dicam', 'clock', 'already', 'so', 'feeling', 'yesterday', 'marin', 'smooth', 'smooth', 'no', 'strange' ,"&amp;" 'Abis', 'Kouta', 'emang', 'like', 'ngellag', 'kouta', 'woi', ""]")</f>
        <v>['Developer', 'Telkomsel', 'complaints',' clock ',' like ',' no ',' get ',' signal ',' emang ',' network ',' error ',' minutes', ' hours', 'derived', 'dicam', 'clock', 'already', 'so', 'feeling', 'yesterday', 'marin', 'smooth', 'smooth', 'no', 'strange' , 'Abis', 'Kouta', 'emang', 'like', 'ngellag', 'kouta', 'woi', "]</v>
      </c>
      <c r="D538" s="3">
        <v>1.0</v>
      </c>
    </row>
    <row r="539" ht="15.75" customHeight="1">
      <c r="A539" s="1">
        <v>537.0</v>
      </c>
      <c r="B539" s="3" t="s">
        <v>540</v>
      </c>
      <c r="C539" s="3" t="str">
        <f>IFERROR(__xludf.DUMMYFUNCTION("GOOGLETRANSLATE(B539,""id"",""en"")"),"['price', 'package', 'expensive', 'connection', 'stable', 'ugly', 'Telkomsel', 'Indihom', 'stable', 'chaotic', 'area', 'Cipayung', ' Depok ',' Severe ',' connection ']")</f>
        <v>['price', 'package', 'expensive', 'connection', 'stable', 'ugly', 'Telkomsel', 'Indihom', 'stable', 'chaotic', 'area', 'Cipayung', ' Depok ',' Severe ',' connection ']</v>
      </c>
      <c r="D539" s="3">
        <v>1.0</v>
      </c>
    </row>
    <row r="540" ht="15.75" customHeight="1">
      <c r="A540" s="1">
        <v>538.0</v>
      </c>
      <c r="B540" s="3" t="s">
        <v>541</v>
      </c>
      <c r="C540" s="3" t="str">
        <f>IFERROR(__xludf.DUMMYFUNCTION("GOOGLETRANSLATE(B540,""id"",""en"")"),"['Telkomsel', 'Win', 'brand', 'Quality', 'Under', 'Standard', 'buy', 'quota', 'internet', 'expensive', 'net', 'stable', ' The area ',' city ',' Bogor ',' please ',' Telkomsel ',' upgrade ',' network ',' ']")</f>
        <v>['Telkomsel', 'Win', 'brand', 'Quality', 'Under', 'Standard', 'buy', 'quota', 'internet', 'expensive', 'net', 'stable', ' The area ',' city ',' Bogor ',' please ',' Telkomsel ',' upgrade ',' network ',' ']</v>
      </c>
      <c r="D540" s="3">
        <v>1.0</v>
      </c>
    </row>
    <row r="541" ht="15.75" customHeight="1">
      <c r="A541" s="1">
        <v>539.0</v>
      </c>
      <c r="B541" s="3" t="s">
        <v>542</v>
      </c>
      <c r="C541" s="3" t="str">
        <f>IFERROR(__xludf.DUMMYFUNCTION("GOOGLETRANSLATE(B541,""id"",""en"")"),"['application', 'taik', 'diarrhea', 'firur', 'chat', 'direct', 'out', 'den', 'error', 'application', 'package', 'data', ' The slow ',' kayak ',' dodol ',' stale ',' ketulungan ',' buffering ',' check ',' check ',' kyk ',' star ',' toejoe ',' quota ',' lef"&amp;"t ' , 'Signal', 'Network', 'Full', 'mentok', 'repent', 'I', 'kagak', 'subscription', 'package', 'data', 'Telkomsel', 'use', ' OPrator ',' GSM ',' Indosat ',' Axis', 'Josss',' Anti ',' Lemot ',' Signal ',' Minus', ""]")</f>
        <v>['application', 'taik', 'diarrhea', 'firur', 'chat', 'direct', 'out', 'den', 'error', 'application', 'package', 'data', ' The slow ',' kayak ',' dodol ',' stale ',' ketulungan ',' buffering ',' check ',' check ',' kyk ',' star ',' toejoe ',' quota ',' left ' , 'Signal', 'Network', 'Full', 'mentok', 'repent', 'I', 'kagak', 'subscription', 'package', 'data', 'Telkomsel', 'use', ' OPrator ',' GSM ',' Indosat ',' Axis', 'Josss',' Anti ',' Lemot ',' Signal ',' Minus', "]</v>
      </c>
      <c r="D541" s="3">
        <v>1.0</v>
      </c>
    </row>
    <row r="542" ht="15.75" customHeight="1">
      <c r="A542" s="1">
        <v>540.0</v>
      </c>
      <c r="B542" s="3" t="s">
        <v>543</v>
      </c>
      <c r="C542" s="3" t="str">
        <f>IFERROR(__xludf.DUMMYFUNCTION("GOOGLETRANSLATE(B542,""id"",""en"")"),"['Update', 'Severe', 'Fast', 'Loading', 'Application', 'Package', 'Internet', 'Like', 'Disappear', ""]")</f>
        <v>['Update', 'Severe', 'Fast', 'Loading', 'Application', 'Package', 'Internet', 'Like', 'Disappear', "]</v>
      </c>
      <c r="D542" s="3">
        <v>1.0</v>
      </c>
    </row>
    <row r="543" ht="15.75" customHeight="1">
      <c r="A543" s="1">
        <v>541.0</v>
      </c>
      <c r="B543" s="3" t="s">
        <v>544</v>
      </c>
      <c r="C543" s="3" t="str">
        <f>IFERROR(__xludf.DUMMYFUNCTION("GOOGLETRANSLATE(B543,""id"",""en"")"),"['Aduhhh', 'already', 'Males',' cave ',' take care ',' application ',' cape ',' patience ',' cave ',' already ',' tasty ',' login ',' directly ',' buy ',' package ',' sewot ',' number ',' cave ',' already ',' registered ',' cave ',' lgi ',' no ',' quota '"&amp;",' told ' , 'verification', 'events', 'then', 'no', 'please', 'repair']")</f>
        <v>['Aduhhh', 'already', 'Males',' cave ',' take care ',' application ',' cape ',' patience ',' cave ',' already ',' tasty ',' login ',' directly ',' buy ',' package ',' sewot ',' number ',' cave ',' already ',' registered ',' cave ',' lgi ',' no ',' quota ',' told ' , 'verification', 'events', 'then', 'no', 'please', 'repair']</v>
      </c>
      <c r="D543" s="3">
        <v>1.0</v>
      </c>
    </row>
    <row r="544" ht="15.75" customHeight="1">
      <c r="A544" s="1">
        <v>542.0</v>
      </c>
      <c r="B544" s="3" t="s">
        <v>545</v>
      </c>
      <c r="C544" s="3" t="str">
        <f>IFERROR(__xludf.DUMMYFUNCTION("GOOGLETRANSLATE(B544,""id"",""en"")"),"['user', 'wife', 'user', 'wife', 'promo', 'cheap', 'package', 'GB', 'offer', 'package', 'price', 'up', ' Crazy ',' user ',' squeeze ', ""]")</f>
        <v>['user', 'wife', 'user', 'wife', 'promo', 'cheap', 'package', 'GB', 'offer', 'package', 'price', 'up', ' Crazy ',' user ',' squeeze ', "]</v>
      </c>
      <c r="D544" s="3">
        <v>1.0</v>
      </c>
    </row>
    <row r="545" ht="15.75" customHeight="1">
      <c r="A545" s="1">
        <v>543.0</v>
      </c>
      <c r="B545" s="3" t="s">
        <v>546</v>
      </c>
      <c r="C545" s="3" t="str">
        <f>IFERROR(__xludf.DUMMYFUNCTION("GOOGLETRANSLATE(B545,""id"",""en"")"),"['Please', 'buy', 'package', 'thousand', 'GB', 'ngak', 'network', 'NOT', 'ugly', 'Telkomsel', 'please', 'fix']")</f>
        <v>['Please', 'buy', 'package', 'thousand', 'GB', 'ngak', 'network', 'NOT', 'ugly', 'Telkomsel', 'please', 'fix']</v>
      </c>
      <c r="D545" s="3">
        <v>1.0</v>
      </c>
    </row>
    <row r="546" ht="15.75" customHeight="1">
      <c r="A546" s="1">
        <v>544.0</v>
      </c>
      <c r="B546" s="3" t="s">
        <v>547</v>
      </c>
      <c r="C546" s="3" t="str">
        <f>IFERROR(__xludf.DUMMYFUNCTION("GOOGLETRANSLATE(B546,""id"",""en"")"),"['open', 'application', 'taun', 'name', 'nggk', 'in line', 'quality', 'service', 'comment', 'satisfied', 'reply', ' PROVE ',' SERVICE ',' LBH ',' ']")</f>
        <v>['open', 'application', 'taun', 'name', 'nggk', 'in line', 'quality', 'service', 'comment', 'satisfied', 'reply', ' PROVE ',' SERVICE ',' LBH ',' ']</v>
      </c>
      <c r="D546" s="3">
        <v>1.0</v>
      </c>
    </row>
    <row r="547" ht="15.75" customHeight="1">
      <c r="A547" s="1">
        <v>545.0</v>
      </c>
      <c r="B547" s="3" t="s">
        <v>548</v>
      </c>
      <c r="C547" s="3" t="str">
        <f>IFERROR(__xludf.DUMMYFUNCTION("GOOGLETRANSLATE(B547,""id"",""en"")"),"['original', 'severe', 'buy', 'package', 'expensive', 'clock', 'signal', 'lost', 'person', 'kab', 'tangerang', 'play', ' game ',' signal ',' missing ',' proof ',' disappointed ',' already ',' telkom ',' angry ',' replace ',' card ',' Telkomsel ',' disappo"&amp;"inting ']")</f>
        <v>['original', 'severe', 'buy', 'package', 'expensive', 'clock', 'signal', 'lost', 'person', 'kab', 'tangerang', 'play', ' game ',' signal ',' missing ',' proof ',' disappointed ',' already ',' telkom ',' angry ',' replace ',' card ',' Telkomsel ',' disappointing ']</v>
      </c>
      <c r="D547" s="3">
        <v>2.0</v>
      </c>
    </row>
    <row r="548" ht="15.75" customHeight="1">
      <c r="A548" s="1">
        <v>546.0</v>
      </c>
      <c r="B548" s="3" t="s">
        <v>549</v>
      </c>
      <c r="C548" s="3" t="str">
        <f>IFERROR(__xludf.DUMMYFUNCTION("GOOGLETRANSLATE(B548,""id"",""en"")"),"['Please', 'The network', 'repaired', 'as soon as possible,' UDH ',' Error ',' Malem ',' Disturbs ',' really ',' buy ',' package ',' cheap ',' Subscriptions', 'customers',' times', 'Telkomsel', 'collapse', 'really', 'emang', 'improvement', 'error', 'what'"&amp;", 'notification', 'diem', 'like' , 'Conge', 'Conge', 'Season', 'oath', 'advertising', 'run out', 'Clarification', 'Gaada', 'Gaperlu', 'Send', 'Send', 'complaint', ' Email ',' People ',' complaints', 'Social', 'Media', 'Telkomsel', ""]")</f>
        <v>['Please', 'The network', 'repaired', 'as soon as possible,' UDH ',' Error ',' Malem ',' Disturbs ',' really ',' buy ',' package ',' cheap ',' Subscriptions', 'customers',' times', 'Telkomsel', 'collapse', 'really', 'emang', 'improvement', 'error', 'what', 'notification', 'diem', 'like' , 'Conge', 'Conge', 'Season', 'oath', 'advertising', 'run out', 'Clarification', 'Gaada', 'Gaperlu', 'Send', 'Send', 'complaint', ' Email ',' People ',' complaints', 'Social', 'Media', 'Telkomsel', "]</v>
      </c>
      <c r="D548" s="3">
        <v>1.0</v>
      </c>
    </row>
    <row r="549" ht="15.75" customHeight="1">
      <c r="A549" s="1">
        <v>547.0</v>
      </c>
      <c r="B549" s="3" t="s">
        <v>550</v>
      </c>
      <c r="C549" s="3" t="str">
        <f>IFERROR(__xludf.DUMMYFUNCTION("GOOGLETRANSLATE(B549,""id"",""en"")"),"['Sorry', 'Sis', 'slow', 'please', 'fix', 'network', 'Most expensive', 'fast', 'enica', 'contact', 'email', ""]")</f>
        <v>['Sorry', 'Sis', 'slow', 'please', 'fix', 'network', 'Most expensive', 'fast', 'enica', 'contact', 'email', "]</v>
      </c>
      <c r="D549" s="3">
        <v>2.0</v>
      </c>
    </row>
    <row r="550" ht="15.75" customHeight="1">
      <c r="A550" s="1">
        <v>548.0</v>
      </c>
      <c r="B550" s="3" t="s">
        <v>551</v>
      </c>
      <c r="C550" s="3" t="str">
        <f>IFERROR(__xludf.DUMMYFUNCTION("GOOGLETRANSLATE(B550,""id"",""en"")"),"['Star', 'Network', 'Good', 'Rating', 'Minus',' Star ',' Love ',' Minus', 'Star', 'Quality', 'Network', 'Noted', ' Promo ',' keep ',' Telkomsel ',' Dear ',' bgaimana ',' dngn ',' welfare ',' customer ',' tsel ',' tower ',' lots', 'quality', 'network' , 'T"&amp;"aken', 'trimakasih', 'network', 'slow', '']")</f>
        <v>['Star', 'Network', 'Good', 'Rating', 'Minus',' Star ',' Love ',' Minus', 'Star', 'Quality', 'Network', 'Noted', ' Promo ',' keep ',' Telkomsel ',' Dear ',' bgaimana ',' dngn ',' welfare ',' customer ',' tsel ',' tower ',' lots', 'quality', 'network' , 'Taken', 'trimakasih', 'network', 'slow', '']</v>
      </c>
      <c r="D550" s="3">
        <v>1.0</v>
      </c>
    </row>
    <row r="551" ht="15.75" customHeight="1">
      <c r="A551" s="1">
        <v>549.0</v>
      </c>
      <c r="B551" s="3" t="s">
        <v>552</v>
      </c>
      <c r="C551" s="3" t="str">
        <f>IFERROR(__xludf.DUMMYFUNCTION("GOOGLETRANSLATE(B551,""id"",""en"")"),"['network', 'Ancurrrr', 'Ancurrrr', 'Ancuuuuuurrrrr', 'Rates',' expensive ',' operatol ',' check ',' quota ',' hard ',' forgiveness', 'check', ' network ',' network ',' quota ',' jga ',' busyyyyyetttt ',' slow ',' forgiveness', 'Telkomsel', 'Burikkkkkkkkk"&amp;"kkkkkkk', '']")</f>
        <v>['network', 'Ancurrrr', 'Ancurrrr', 'Ancuuuuuurrrrr', 'Rates',' expensive ',' operatol ',' check ',' quota ',' hard ',' forgiveness', 'check', ' network ',' network ',' quota ',' jga ',' busyyyyyetttt ',' slow ',' forgiveness', 'Telkomsel', 'Burikkkkkkkkkkkkkkkk', '']</v>
      </c>
      <c r="D551" s="3">
        <v>1.0</v>
      </c>
    </row>
    <row r="552" ht="15.75" customHeight="1">
      <c r="A552" s="1">
        <v>550.0</v>
      </c>
      <c r="B552" s="3" t="s">
        <v>553</v>
      </c>
      <c r="C552" s="3" t="str">
        <f>IFERROR(__xludf.DUMMYFUNCTION("GOOGLETRANSLATE(B552,""id"",""en"")"),"['Please', 'quality', 'network', 'fix', 'Telkomsel', 'work', 'rich', 'leech', 'land', 'buy', 'quota', 'expensive', ' rb ',' package ',' GB ',' its network ',' garbage ',' bad ']")</f>
        <v>['Please', 'quality', 'network', 'fix', 'Telkomsel', 'work', 'rich', 'leech', 'land', 'buy', 'quota', 'expensive', ' rb ',' package ',' GB ',' its network ',' garbage ',' bad ']</v>
      </c>
      <c r="D552" s="3">
        <v>1.0</v>
      </c>
    </row>
    <row r="553" ht="15.75" customHeight="1">
      <c r="A553" s="1">
        <v>551.0</v>
      </c>
      <c r="B553" s="3" t="s">
        <v>554</v>
      </c>
      <c r="C553" s="3" t="str">
        <f>IFERROR(__xludf.DUMMYFUNCTION("GOOGLETRANSLATE(B553,""id"",""en"")"),"['Here', 'Network', 'Srmakin', 'Severe', 'Sya', 'Bored', 'Network', 'Setabile', 'Package', 'Learning', 'Safe', 'Safe', ' Users', 'Please', 'Mamaf', 'Move', 'Provider', 'Gara', 'Gara', 'Network', 'deteriorates',' Move ',' Provider ',' Selalalu ',' Comforta"&amp;"ble ' , 'network', '']")</f>
        <v>['Here', 'Network', 'Srmakin', 'Severe', 'Sya', 'Bored', 'Network', 'Setabile', 'Package', 'Learning', 'Safe', 'Safe', ' Users', 'Please', 'Mamaf', 'Move', 'Provider', 'Gara', 'Gara', 'Network', 'deteriorates',' Move ',' Provider ',' Selalalu ',' Comfortable ' , 'network', '']</v>
      </c>
      <c r="D553" s="3">
        <v>1.0</v>
      </c>
    </row>
    <row r="554" ht="15.75" customHeight="1">
      <c r="A554" s="1">
        <v>552.0</v>
      </c>
      <c r="B554" s="3" t="s">
        <v>555</v>
      </c>
      <c r="C554" s="3" t="str">
        <f>IFERROR(__xludf.DUMMYFUNCTION("GOOGLETRANSLATE(B554,""id"",""en"")"),"['Yuk', 'together', 'star', 'UDH', 'anything', 'no', 'Tanggepin', 'UDH', 'Read', 'Read', 'Comment', 'Social', ' Media ',' Telkomsel ',' complain ',' Network ',' Cape ',' no ',' Tanggepin ',' Kayak ',' Gini ',' intention ',' Change ',' Telkomsel ',' fast '"&amp;" , 'no', 'buy', 'unlimited', 'expensive', 'college', 'online', 'fact', 'signal', 'no', 'please', 'fix', 'news',' children ',' college ',' money ',' run out ',' buy ',' quota ',' ligh to ']")</f>
        <v>['Yuk', 'together', 'star', 'UDH', 'anything', 'no', 'Tanggepin', 'UDH', 'Read', 'Read', 'Comment', 'Social', ' Media ',' Telkomsel ',' complain ',' Network ',' Cape ',' no ',' Tanggepin ',' Kayak ',' Gini ',' intention ',' Change ',' Telkomsel ',' fast ' , 'no', 'buy', 'unlimited', 'expensive', 'college', 'online', 'fact', 'signal', 'no', 'please', 'fix', 'news',' children ',' college ',' money ',' run out ',' buy ',' quota ',' ligh to ']</v>
      </c>
      <c r="D554" s="3">
        <v>1.0</v>
      </c>
    </row>
    <row r="555" ht="15.75" customHeight="1">
      <c r="A555" s="1">
        <v>553.0</v>
      </c>
      <c r="B555" s="3" t="s">
        <v>556</v>
      </c>
      <c r="C555" s="3" t="str">
        <f>IFERROR(__xludf.DUMMYFUNCTION("GOOGLETRANSLATE(B555,""id"",""en"")"),"['Customer', 'loyal', 'Telkomsel', 'many years',' disappointed ',' network ',' slow ',' really ',' ok ',' a day ',' slow ',' mah ',' Naturally ',' repairs', 'disruption', 'cumam', 'already', 'for days',' Gini ',' disappointed ',' really ',' bother ',' tel"&amp;"kom ',' apk ',' open ' , 'After', 'already', 'open', 'login', 'already', 'disappointed', 'bangeeet', 'mba', 'mas', 'read', 'review', 'please' Telkomsel ',' explained ',' maslah ',' actually ',' love ',' customer ',' compensation ',' thanks', ""]")</f>
        <v>['Customer', 'loyal', 'Telkomsel', 'many years',' disappointed ',' network ',' slow ',' really ',' ok ',' a day ',' slow ',' mah ',' Naturally ',' repairs', 'disruption', 'cumam', 'already', 'for days',' Gini ',' disappointed ',' really ',' bother ',' telkom ',' apk ',' open ' , 'After', 'already', 'open', 'login', 'already', 'disappointed', 'bangeeet', 'mba', 'mas', 'read', 'review', 'please' Telkomsel ',' explained ',' maslah ',' actually ',' love ',' customer ',' compensation ',' thanks', "]</v>
      </c>
      <c r="D555" s="3">
        <v>1.0</v>
      </c>
    </row>
    <row r="556" ht="15.75" customHeight="1">
      <c r="A556" s="1">
        <v>554.0</v>
      </c>
      <c r="B556" s="3" t="s">
        <v>557</v>
      </c>
      <c r="C556" s="3" t="str">
        <f>IFERROR(__xludf.DUMMYFUNCTION("GOOGLETRANSLATE(B556,""id"",""en"")"),"['SERBA', 'LEMOT', 'Network', 'Login', 'Login', 'App', 'Lemot', 'Price', 'Quota', 'Expensive', 'Kirain', 'Buy', ' quota ',' expensive ',' network ',' good ',' super ',' slow ',' please ',' fix ',' used to ',' famous', 'good', 'hope', 'stable' , 'like', 't"&amp;"he network', '']")</f>
        <v>['SERBA', 'LEMOT', 'Network', 'Login', 'Login', 'App', 'Lemot', 'Price', 'Quota', 'Expensive', 'Kirain', 'Buy', ' quota ',' expensive ',' network ',' good ',' super ',' slow ',' please ',' fix ',' used to ',' famous', 'good', 'hope', 'stable' , 'like', 'the network', '']</v>
      </c>
      <c r="D556" s="3">
        <v>1.0</v>
      </c>
    </row>
    <row r="557" ht="15.75" customHeight="1">
      <c r="A557" s="1">
        <v>555.0</v>
      </c>
      <c r="B557" s="3" t="s">
        <v>558</v>
      </c>
      <c r="C557" s="3" t="str">
        <f>IFERROR(__xludf.DUMMYFUNCTION("GOOGLETRANSLATE(B557,""id"",""en"")"),"['Network', 'destroyed', 'ugly', 'according to', 'price', 'operator', 'network', 'stand', 'best', 'community', 'Indonesia', 'profit', ' Bejibun ',' ']")</f>
        <v>['Network', 'destroyed', 'ugly', 'according to', 'price', 'operator', 'network', 'stand', 'best', 'community', 'Indonesia', 'profit', ' Bejibun ',' ']</v>
      </c>
      <c r="D557" s="3">
        <v>1.0</v>
      </c>
    </row>
    <row r="558" ht="15.75" customHeight="1">
      <c r="A558" s="1">
        <v>556.0</v>
      </c>
      <c r="B558" s="3" t="s">
        <v>559</v>
      </c>
      <c r="C558" s="3" t="str">
        <f>IFERROR(__xludf.DUMMYFUNCTION("GOOGLETRANSLATE(B558,""id"",""en"")"),"['Internet', 'road', 'package', 'data', 'ngelamin', 'times',' many years', 'Telkomsel', 'error', 'clock', 'set', 'package', ' Data ',' internet ',' dead ',' card ',' strange ',' try ',' buy ',' package ',' internet ',' night ',' login ',' via ',' Telkomse"&amp;"l ' , 'Try', 'buy', 'package', 'internet', 'night', 'manual', 'code', 'dial', 'succeed', 'internet', 'road', '']")</f>
        <v>['Internet', 'road', 'package', 'data', 'ngelamin', 'times',' many years', 'Telkomsel', 'error', 'clock', 'set', 'package', ' Data ',' internet ',' dead ',' card ',' strange ',' try ',' buy ',' package ',' internet ',' night ',' login ',' via ',' Telkomsel ' , 'Try', 'buy', 'package', 'internet', 'night', 'manual', 'code', 'dial', 'succeed', 'internet', 'road', '']</v>
      </c>
      <c r="D558" s="3">
        <v>1.0</v>
      </c>
    </row>
    <row r="559" ht="15.75" customHeight="1">
      <c r="A559" s="1">
        <v>557.0</v>
      </c>
      <c r="B559" s="3" t="s">
        <v>560</v>
      </c>
      <c r="C559" s="3" t="str">
        <f>IFERROR(__xludf.DUMMYFUNCTION("GOOGLETRANSLATE(B559,""id"",""en"")"),"['Signal', 'Telkomsel', 'Severe', 'Fill', 'Credit', 'Register', 'Package', 'Internet', 'Play', 'Video', 'YouTube', 'No', ' Here ',' disappointed ',' Telkomsel ',' already ',' expensive ',' results', 'expected', 'thumbs',' down ',' for ',' Telkomsel ', ""]")</f>
        <v>['Signal', 'Telkomsel', 'Severe', 'Fill', 'Credit', 'Register', 'Package', 'Internet', 'Play', 'Video', 'YouTube', 'No', ' Here ',' disappointed ',' Telkomsel ',' already ',' expensive ',' results', 'expected', 'thumbs',' down ',' for ',' Telkomsel ', "]</v>
      </c>
      <c r="D559" s="3">
        <v>1.0</v>
      </c>
    </row>
    <row r="560" ht="15.75" customHeight="1">
      <c r="A560" s="1">
        <v>558.0</v>
      </c>
      <c r="B560" s="3" t="s">
        <v>561</v>
      </c>
      <c r="C560" s="3" t="str">
        <f>IFERROR(__xludf.DUMMYFUNCTION("GOOGLETRANSLATE(B560,""id"",""en"")"),"['network', 'Severe', 'really', 'clock', 'night', 'right', 'play', 'game', 'disconect', 'gunain', 'pdhl', 'signal', ' Quota ',' fast ',' HBs', 'Network', 'Bad', 'Benerin', 'Network', 'expensive', 'quota', 'doang', 'usually']")</f>
        <v>['network', 'Severe', 'really', 'clock', 'night', 'right', 'play', 'game', 'disconect', 'gunain', 'pdhl', 'signal', ' Quota ',' fast ',' HBs', 'Network', 'Bad', 'Benerin', 'Network', 'expensive', 'quota', 'doang', 'usually']</v>
      </c>
      <c r="D560" s="3">
        <v>1.0</v>
      </c>
    </row>
    <row r="561" ht="15.75" customHeight="1">
      <c r="A561" s="1">
        <v>559.0</v>
      </c>
      <c r="B561" s="3" t="s">
        <v>562</v>
      </c>
      <c r="C561" s="3" t="str">
        <f>IFERROR(__xludf.DUMMYFUNCTION("GOOGLETRANSLATE(B561,""id"",""en"")"),"['Please', 'Telkomsel', 'The network', 'Fix', 'here', 'The network', 'Severe', 'Crazy', 'Taun', 'Make', 'Telkomsel', 'times',' The worst ',' package ',' expensive ',' quality ',' bad ',' deliberate ',' broadband ',' because ',' quality ',' skarang ',' los"&amp;"e ',' Please ' , 'really', 'fix', 'udh', 'moved', 'broadband', 'yes',' pengebiarin ',' customer ',' blur ',' please ',' customer ',' move ',' Broadband ']")</f>
        <v>['Please', 'Telkomsel', 'The network', 'Fix', 'here', 'The network', 'Severe', 'Crazy', 'Taun', 'Make', 'Telkomsel', 'times',' The worst ',' package ',' expensive ',' quality ',' bad ',' deliberate ',' broadband ',' because ',' quality ',' skarang ',' lose ',' Please ' , 'really', 'fix', 'udh', 'moved', 'broadband', 'yes',' pengebiarin ',' customer ',' blur ',' please ',' customer ',' move ',' Broadband ']</v>
      </c>
      <c r="D561" s="3">
        <v>1.0</v>
      </c>
    </row>
    <row r="562" ht="15.75" customHeight="1">
      <c r="A562" s="1">
        <v>560.0</v>
      </c>
      <c r="B562" s="3" t="s">
        <v>563</v>
      </c>
      <c r="C562" s="3" t="str">
        <f>IFERROR(__xludf.DUMMYFUNCTION("GOOGLETRANSLATE(B562,""id"",""en"")"),"['Ancurr', 'Network', 'sympathy', 'UDH', 'Kepengen', 'Change', 'Perdana', 'Network', 'Sympathy', 'Good', 'Kya', 'Gini', ' Different ',' fast ',' emotion ',' ']")</f>
        <v>['Ancurr', 'Network', 'sympathy', 'UDH', 'Kepengen', 'Change', 'Perdana', 'Network', 'Sympathy', 'Good', 'Kya', 'Gini', ' Different ',' fast ',' emotion ',' ']</v>
      </c>
      <c r="D562" s="3">
        <v>1.0</v>
      </c>
    </row>
    <row r="563" ht="15.75" customHeight="1">
      <c r="A563" s="1">
        <v>561.0</v>
      </c>
      <c r="B563" s="3" t="s">
        <v>564</v>
      </c>
      <c r="C563" s="3" t="str">
        <f>IFERROR(__xludf.DUMMYFUNCTION("GOOGLETRANSLATE(B563,""id"",""en"")"),"['Streaming', 'Download', 'Red', 'Kenceng', 'BIAT', 'Play', 'Game', 'Widihhhhh', 'Crazy', 'Ping', 'Thread', 'Network', ' Like ',' Nastyl ',' Where ',' Switch ',' Provider ',' Main ',' Game ',' MPWR ',' Indosat ',' Stream ',' Download ',' Karnakan ',' Pric"&amp;"e ' , 'Package', 'Telkomsel', 'price', 'officials', 'rare', 'promo', 'people', 'most', '']")</f>
        <v>['Streaming', 'Download', 'Red', 'Kenceng', 'BIAT', 'Play', 'Game', 'Widihhhhh', 'Crazy', 'Ping', 'Thread', 'Network', ' Like ',' Nastyl ',' Where ',' Switch ',' Provider ',' Main ',' Game ',' MPWR ',' Indosat ',' Stream ',' Download ',' Karnakan ',' Price ' , 'Package', 'Telkomsel', 'price', 'officials', 'rare', 'promo', 'people', 'most', '']</v>
      </c>
      <c r="D563" s="3">
        <v>1.0</v>
      </c>
    </row>
    <row r="564" ht="15.75" customHeight="1">
      <c r="A564" s="1">
        <v>562.0</v>
      </c>
      <c r="B564" s="3" t="s">
        <v>565</v>
      </c>
      <c r="C564" s="3" t="str">
        <f>IFERROR(__xludf.DUMMYFUNCTION("GOOGLETRANSLATE(B564,""id"",""en"")"),"['Telkomsel', 'use', 'use', 'card', 'Telkomsel', 'expensive', 'stable', 'network', 'action', 'fast', 'napa', 'network', ' Super ',' slow ',' Pantes', 'customer', 'disappointed', 'advanced', 'backward', 'customer', 'willing', 'paying', 'expensive', 'facili"&amp;"ty', 'adequate' , 'Report', 'repeated', 'his net', 'fix', 'outside', 'donk', ""]")</f>
        <v>['Telkomsel', 'use', 'use', 'card', 'Telkomsel', 'expensive', 'stable', 'network', 'action', 'fast', 'napa', 'network', ' Super ',' slow ',' Pantes', 'customer', 'disappointed', 'advanced', 'backward', 'customer', 'willing', 'paying', 'expensive', 'facility', 'adequate' , 'Report', 'repeated', 'his net', 'fix', 'outside', 'donk', "]</v>
      </c>
      <c r="D564" s="3">
        <v>2.0</v>
      </c>
    </row>
    <row r="565" ht="15.75" customHeight="1">
      <c r="A565" s="1">
        <v>563.0</v>
      </c>
      <c r="B565" s="3" t="s">
        <v>566</v>
      </c>
      <c r="C565" s="3" t="str">
        <f>IFERROR(__xludf.DUMMYFUNCTION("GOOGLETRANSLATE(B565,""id"",""en"")"),"['Telkomsel', 'relapse', 'Disease', 'Telkomsel', 'Commitment', 'Telkomsel', 'Professional', 'Telkomsel', 'Simpik', 'Telkomsel', 'selfish', 'Telkomsel', ' reliable ',' Basically ',' Telkomsel ',' bangsatttttttttt ']")</f>
        <v>['Telkomsel', 'relapse', 'Disease', 'Telkomsel', 'Commitment', 'Telkomsel', 'Professional', 'Telkomsel', 'Simpik', 'Telkomsel', 'selfish', 'Telkomsel', ' reliable ',' Basically ',' Telkomsel ',' bangsatttttttttt ']</v>
      </c>
      <c r="D565" s="3">
        <v>1.0</v>
      </c>
    </row>
    <row r="566" ht="15.75" customHeight="1">
      <c r="A566" s="1">
        <v>564.0</v>
      </c>
      <c r="B566" s="3" t="s">
        <v>567</v>
      </c>
      <c r="C566" s="3" t="str">
        <f>IFERROR(__xludf.DUMMYFUNCTION("GOOGLETRANSLATE(B566,""id"",""en"")"),"['signal', 'Benerin', 'person', 'card', 'Telkomsel', 'access',' Internet ',' smooth ',' even ',' price ',' package ',' interner ',' expensive ',' Dri ',' card ',' Benerin ',' signal ',' I ',' Live ',' Jakarta ',' Nye ',' Kaga ',' get ',' signal ', ""]")</f>
        <v>['signal', 'Benerin', 'person', 'card', 'Telkomsel', 'access',' Internet ',' smooth ',' even ',' price ',' package ',' interner ',' expensive ',' Dri ',' card ',' Benerin ',' signal ',' I ',' Live ',' Jakarta ',' Nye ',' Kaga ',' get ',' signal ', "]</v>
      </c>
      <c r="D566" s="3">
        <v>1.0</v>
      </c>
    </row>
    <row r="567" ht="15.75" customHeight="1">
      <c r="A567" s="1">
        <v>565.0</v>
      </c>
      <c r="B567" s="3" t="s">
        <v>568</v>
      </c>
      <c r="C567" s="3" t="str">
        <f>IFERROR(__xludf.DUMMYFUNCTION("GOOGLETRANSLATE(B567,""id"",""en"")"),"['Network', 'Down', 'Recommended', 'Film', 'Game', 'Disappointing', 'Reduce', 'Update', 'Promo', 'Fix', 'Network', 'Promo', ' Promising ',' network ',' disappointing ']")</f>
        <v>['Network', 'Down', 'Recommended', 'Film', 'Game', 'Disappointing', 'Reduce', 'Update', 'Promo', 'Fix', 'Network', 'Promo', ' Promising ',' network ',' disappointing ']</v>
      </c>
      <c r="D567" s="3">
        <v>1.0</v>
      </c>
    </row>
    <row r="568" ht="15.75" customHeight="1">
      <c r="A568" s="1">
        <v>566.0</v>
      </c>
      <c r="B568" s="3" t="s">
        <v>569</v>
      </c>
      <c r="C568" s="3" t="str">
        <f>IFERROR(__xludf.DUMMYFUNCTION("GOOGLETRANSLATE(B568,""id"",""en"")"),"['customer', 'loyal', 'Telkomsel', 'lohh', 'Telkomsel', 'ugly', 'really', 'network', 'card', 'prime', 'prime', 'please', ' Fix ',' Customer ',' Faithful ',' Switch ',' Keperdana ',' ']")</f>
        <v>['customer', 'loyal', 'Telkomsel', 'lohh', 'Telkomsel', 'ugly', 'really', 'network', 'card', 'prime', 'prime', 'please', ' Fix ',' Customer ',' Faithful ',' Switch ',' Keperdana ',' ']</v>
      </c>
      <c r="D568" s="3">
        <v>1.0</v>
      </c>
    </row>
    <row r="569" ht="15.75" customHeight="1">
      <c r="A569" s="1">
        <v>567.0</v>
      </c>
      <c r="B569" s="3" t="s">
        <v>570</v>
      </c>
      <c r="C569" s="3" t="str">
        <f>IFERROR(__xludf.DUMMYFUNCTION("GOOGLETRANSLATE(B569,""id"",""en"")"),"['Boss',' Telkomsel ',' enter ',' clock ',' signall ',' enter ',' youtube ',' game ',' data ',' GB ',' cooeeeggg ',' please ',' Bener ',' Pay ',' Sure ',' Kamrettttt ', ""]")</f>
        <v>['Boss',' Telkomsel ',' enter ',' clock ',' signall ',' enter ',' youtube ',' game ',' data ',' GB ',' cooeeeggg ',' please ',' Bener ',' Pay ',' Sure ',' Kamrettttt ', "]</v>
      </c>
      <c r="D569" s="3">
        <v>1.0</v>
      </c>
    </row>
    <row r="570" ht="15.75" customHeight="1">
      <c r="A570" s="1">
        <v>568.0</v>
      </c>
      <c r="B570" s="3" t="s">
        <v>571</v>
      </c>
      <c r="C570" s="3" t="str">
        <f>IFERROR(__xludf.DUMMYFUNCTION("GOOGLETRANSLATE(B570,""id"",""en"")"),"['Please', 'repaired', 'signal', 'JKRT', 'BRT', 'MLM', 'signal', 'bapuk', 'rich', 'card', 'old', 'sympathy', ' UDH ',' famous', 'shame', 'shyin', 'area', 'JKRT', 'BRT', 'Fix', 'Manager', 'Telkomser', 'Hello', 'Network', 'night' , 'Network', 'Telkomsel', '"&amp;"bad']")</f>
        <v>['Please', 'repaired', 'signal', 'JKRT', 'BRT', 'MLM', 'signal', 'bapuk', 'rich', 'card', 'old', 'sympathy', ' UDH ',' famous', 'shame', 'shyin', 'area', 'JKRT', 'BRT', 'Fix', 'Manager', 'Telkomser', 'Hello', 'Network', 'night' , 'Network', 'Telkomsel', 'bad']</v>
      </c>
      <c r="D570" s="3">
        <v>1.0</v>
      </c>
    </row>
    <row r="571" ht="15.75" customHeight="1">
      <c r="A571" s="1">
        <v>569.0</v>
      </c>
      <c r="B571" s="3" t="s">
        <v>572</v>
      </c>
      <c r="C571" s="3" t="str">
        <f>IFERROR(__xludf.DUMMYFUNCTION("GOOGLETRANSLATE(B571,""id"",""en"")"),"['complaint', 'VIA', 'TLP', 'signal', 'improvement', 'network', 'make', 'report', 'as a result', 'signal', 'rotten', 'disappointed']")</f>
        <v>['complaint', 'VIA', 'TLP', 'signal', 'improvement', 'network', 'make', 'report', 'as a result', 'signal', 'rotten', 'disappointed']</v>
      </c>
      <c r="D571" s="3">
        <v>1.0</v>
      </c>
    </row>
    <row r="572" ht="15.75" customHeight="1">
      <c r="A572" s="1">
        <v>570.0</v>
      </c>
      <c r="B572" s="3" t="s">
        <v>573</v>
      </c>
      <c r="C572" s="3" t="str">
        <f>IFERROR(__xludf.DUMMYFUNCTION("GOOGLETRANSLATE(B572,""id"",""en"")"),"['Please', 'repaired', 'network', 'stable', 'above', 'clock', 'night', 'knpa', 'access',' game ',' youtube ',' signal ',' Good ',' connected ',' data ',' toling ',' repaired ',' so ',' thank ',' love ']")</f>
        <v>['Please', 'repaired', 'network', 'stable', 'above', 'clock', 'night', 'knpa', 'access',' game ',' youtube ',' signal ',' Good ',' connected ',' data ',' toling ',' repaired ',' so ',' thank ',' love ']</v>
      </c>
      <c r="D572" s="3">
        <v>3.0</v>
      </c>
    </row>
    <row r="573" ht="15.75" customHeight="1">
      <c r="A573" s="1">
        <v>571.0</v>
      </c>
      <c r="B573" s="3" t="s">
        <v>574</v>
      </c>
      <c r="C573" s="3" t="str">
        <f>IFERROR(__xludf.DUMMYFUNCTION("GOOGLETRANSLATE(B573,""id"",""en"")"),"['Ryesel', 'really', 'card', 'network', 'potatoes',' pulp ',' no ',' quality ',' me ',' suggest ',' Telkomsel ',' Mending ',' Change ',' card ',' other ']")</f>
        <v>['Ryesel', 'really', 'card', 'network', 'potatoes',' pulp ',' no ',' quality ',' me ',' suggest ',' Telkomsel ',' Mending ',' Change ',' card ',' other ']</v>
      </c>
      <c r="D573" s="3">
        <v>1.0</v>
      </c>
    </row>
    <row r="574" ht="15.75" customHeight="1">
      <c r="A574" s="1">
        <v>572.0</v>
      </c>
      <c r="B574" s="3" t="s">
        <v>575</v>
      </c>
      <c r="C574" s="3" t="str">
        <f>IFERROR(__xludf.DUMMYFUNCTION("GOOGLETRANSLATE(B574,""id"",""en"")"),"['network', 'threat', 'quota', 'signal', 'poor', 'like', 'ilang', 'signal', 'disappointed', 'cave', 'oath', 'make', ' Telkomsel ',' era ',' school ',' good ',' poor ',' signal ']")</f>
        <v>['network', 'threat', 'quota', 'signal', 'poor', 'like', 'ilang', 'signal', 'disappointed', 'cave', 'oath', 'make', ' Telkomsel ',' era ',' school ',' good ',' poor ',' signal ']</v>
      </c>
      <c r="D574" s="3">
        <v>1.0</v>
      </c>
    </row>
    <row r="575" ht="15.75" customHeight="1">
      <c r="A575" s="1">
        <v>573.0</v>
      </c>
      <c r="B575" s="3" t="s">
        <v>576</v>
      </c>
      <c r="C575" s="3" t="str">
        <f>IFERROR(__xludf.DUMMYFUNCTION("GOOGLETRANSLATE(B575,""id"",""en"")"),"['times',' package ',' slow ',' package ',' signal ',' bad ',' sampek ',' kayak ',' gini ',' buy ',' quota ',' GB ',' Kayak ',' Gini ',' Severe ',' Signal ',' Price ',' Package ',' Expensive ',' Signal ',' Bad ',' Pantes', 'DPET', 'Rewwerd', 'Good' ]")</f>
        <v>['times',' package ',' slow ',' package ',' signal ',' bad ',' sampek ',' kayak ',' gini ',' buy ',' quota ',' GB ',' Kayak ',' Gini ',' Severe ',' Signal ',' Price ',' Package ',' Expensive ',' Signal ',' Bad ',' Pantes', 'DPET', 'Rewwerd', 'Good' ]</v>
      </c>
      <c r="D575" s="3">
        <v>1.0</v>
      </c>
    </row>
    <row r="576" ht="15.75" customHeight="1">
      <c r="A576" s="1">
        <v>574.0</v>
      </c>
      <c r="B576" s="3" t="s">
        <v>577</v>
      </c>
      <c r="C576" s="3" t="str">
        <f>IFERROR(__xludf.DUMMYFUNCTION("GOOGLETRANSLATE(B576,""id"",""en"")"),"['network', 'error', 'loss', 'disappointed', 'use', 'Telkomsell', 'rough', ""]")</f>
        <v>['network', 'error', 'loss', 'disappointed', 'use', 'Telkomsell', 'rough', "]</v>
      </c>
      <c r="D576" s="3">
        <v>1.0</v>
      </c>
    </row>
    <row r="577" ht="15.75" customHeight="1">
      <c r="A577" s="1">
        <v>575.0</v>
      </c>
      <c r="B577" s="3" t="s">
        <v>578</v>
      </c>
      <c r="C577" s="3" t="str">
        <f>IFERROR(__xludf.DUMMYFUNCTION("GOOGLETRANSLATE(B577,""id"",""en"")"),"['a month', 'backward', 'Ampe', 'Telkomsel', 'Network', 'Severe', 'a month', 'Good', 'Mainstay', 'Maen', 'Game', 'mah', ' ampuuuunn ',' Daaahhh ',' ping ',' red ',' signal ',' strong ',' connection ',' paraaaaaahhh ']")</f>
        <v>['a month', 'backward', 'Ampe', 'Telkomsel', 'Network', 'Severe', 'a month', 'Good', 'Mainstay', 'Maen', 'Game', 'mah', ' ampuuuunn ',' Daaahhh ',' ping ',' red ',' signal ',' strong ',' connection ',' paraaaaaahhh ']</v>
      </c>
      <c r="D577" s="3">
        <v>1.0</v>
      </c>
    </row>
    <row r="578" ht="15.75" customHeight="1">
      <c r="A578" s="1">
        <v>576.0</v>
      </c>
      <c r="B578" s="3" t="s">
        <v>579</v>
      </c>
      <c r="C578" s="3" t="str">
        <f>IFERROR(__xludf.DUMMYFUNCTION("GOOGLETRANSLATE(B578,""id"",""en"")"),"['Pekahh', 'Telkomsel', 'Severe', 'Signal', 'Clock', 'Night', 'Substitution', 'Clock', 'Error', 'Signal', 'Please', 'Provider', ' maintenance ',' direct ',' tells', 'notification', 'ilang', 'signal', 'right', 'right', 'disappointed', 'Telkomsel']")</f>
        <v>['Pekahh', 'Telkomsel', 'Severe', 'Signal', 'Clock', 'Night', 'Substitution', 'Clock', 'Error', 'Signal', 'Please', 'Provider', ' maintenance ',' direct ',' tells', 'notification', 'ilang', 'signal', 'right', 'right', 'disappointed', 'Telkomsel']</v>
      </c>
      <c r="D578" s="3">
        <v>1.0</v>
      </c>
    </row>
    <row r="579" ht="15.75" customHeight="1">
      <c r="A579" s="1">
        <v>577.0</v>
      </c>
      <c r="B579" s="3" t="s">
        <v>580</v>
      </c>
      <c r="C579" s="3" t="str">
        <f>IFERROR(__xludf.DUMMYFUNCTION("GOOGLETRANSLATE(B579,""id"",""en"")"),"['Please', 'Network', 'times',' paikgan ',' Telkomsel ',' then ',' Trusan ',' Selayed ',' buy ',' quota ',' expensive ',' expensive ',' according to ',' expectations', 'move']")</f>
        <v>['Please', 'Network', 'times',' paikgan ',' Telkomsel ',' then ',' Trusan ',' Selayed ',' buy ',' quota ',' expensive ',' expensive ',' according to ',' expectations', 'move']</v>
      </c>
      <c r="D579" s="3">
        <v>1.0</v>
      </c>
    </row>
    <row r="580" ht="15.75" customHeight="1">
      <c r="A580" s="1">
        <v>578.0</v>
      </c>
      <c r="B580" s="3" t="s">
        <v>581</v>
      </c>
      <c r="C580" s="3" t="str">
        <f>IFERROR(__xludf.DUMMYFUNCTION("GOOGLETRANSLATE(B580,""id"",""en"")"),"['transfer', 'quota', 'max', 'hit', 'pulse', 'exchange', 'point', 'get', 'quota', 'GB', 'get', 'pulses',' Telkomsel ',' crazy ',' crazy ',' PKI ',' squeezing ',' complacent ',' above ',' Nokia ', ""]")</f>
        <v>['transfer', 'quota', 'max', 'hit', 'pulse', 'exchange', 'point', 'get', 'quota', 'GB', 'get', 'pulses',' Telkomsel ',' crazy ',' crazy ',' PKI ',' squeezing ',' complacent ',' above ',' Nokia ', "]</v>
      </c>
      <c r="D580" s="3">
        <v>1.0</v>
      </c>
    </row>
    <row r="581" ht="15.75" customHeight="1">
      <c r="A581" s="1">
        <v>579.0</v>
      </c>
      <c r="B581" s="3" t="s">
        <v>582</v>
      </c>
      <c r="C581" s="3" t="str">
        <f>IFERROR(__xludf.DUMMYFUNCTION("GOOGLETRANSLATE(B581,""id"",""en"")"),"['Min', 'Please', 'Sorry', 'Please', 'Fix', 'Stiap', 'Disruption', 'Signal', 'Infrock', 'Urgent', 'Card', 'Telkomsel', ' The area ',' Spri ',' Telfon ',' Call ',' Call ',' Like ',' Network ',' Ngadat ',' Please ',' Customer ', ""]")</f>
        <v>['Min', 'Please', 'Sorry', 'Please', 'Fix', 'Stiap', 'Disruption', 'Signal', 'Infrock', 'Urgent', 'Card', 'Telkomsel', ' The area ',' Spri ',' Telfon ',' Call ',' Call ',' Like ',' Network ',' Ngadat ',' Please ',' Customer ', "]</v>
      </c>
      <c r="D581" s="3">
        <v>1.0</v>
      </c>
    </row>
    <row r="582" ht="15.75" customHeight="1">
      <c r="A582" s="1">
        <v>580.0</v>
      </c>
      <c r="B582" s="3" t="s">
        <v>583</v>
      </c>
      <c r="C582" s="3" t="str">
        <f>IFERROR(__xludf.DUMMYFUNCTION("GOOGLETRANSLATE(B582,""id"",""en"")"),"['min', 'knp', 'right', 'take', 'reward', 'daily', 'stamp', 'failed', 'writing', 'sorry', 'exchange', 'according to' Channel ',' determined ',' ']")</f>
        <v>['min', 'knp', 'right', 'take', 'reward', 'daily', 'stamp', 'failed', 'writing', 'sorry', 'exchange', 'according to' Channel ',' determined ',' ']</v>
      </c>
      <c r="D582" s="3">
        <v>2.0</v>
      </c>
    </row>
    <row r="583" ht="15.75" customHeight="1">
      <c r="A583" s="1">
        <v>581.0</v>
      </c>
      <c r="B583" s="3" t="s">
        <v>584</v>
      </c>
      <c r="C583" s="3" t="str">
        <f>IFERROR(__xludf.DUMMYFUNCTION("GOOGLETRANSLATE(B583,""id"",""en"")"),"['APK', 'handy', 'good', 'user', 'cheap', 'suggestion', 'Telkomsel', 'optimizes',' apk ',' bug ',' situation ',' network ',' Full ',' ngelag ',' medicine ',' essence ',' APK ',' Useful ',' Need ',' Attention ', ""]")</f>
        <v>['APK', 'handy', 'good', 'user', 'cheap', 'suggestion', 'Telkomsel', 'optimizes',' apk ',' bug ',' situation ',' network ',' Full ',' ngelag ',' medicine ',' essence ',' APK ',' Useful ',' Need ',' Attention ', "]</v>
      </c>
      <c r="D583" s="3">
        <v>5.0</v>
      </c>
    </row>
    <row r="584" ht="15.75" customHeight="1">
      <c r="A584" s="1">
        <v>582.0</v>
      </c>
      <c r="B584" s="3" t="s">
        <v>585</v>
      </c>
      <c r="C584" s="3" t="str">
        <f>IFERROR(__xludf.DUMMYFUNCTION("GOOGLETRANSLATE(B584,""id"",""en"")"),"['Daily', 'check', 'may', 'yeah', 'kmrn', 'tnggl', 'claim', 'disappear', 'bsa', 'claim', 'channel', ' according to ',' Claim ',' children ',' Rupiah ',' Please ',' Bener ',' Bener ',' Disappointed ',' Customer ',' Telkomsel ', ""]")</f>
        <v>['Daily', 'check', 'may', 'yeah', 'kmrn', 'tnggl', 'claim', 'disappear', 'bsa', 'claim', 'channel', ' according to ',' Claim ',' children ',' Rupiah ',' Please ',' Bener ',' Bener ',' Disappointed ',' Customer ',' Telkomsel ', "]</v>
      </c>
      <c r="D584" s="3">
        <v>1.0</v>
      </c>
    </row>
    <row r="585" ht="15.75" customHeight="1">
      <c r="A585" s="1">
        <v>583.0</v>
      </c>
      <c r="B585" s="3" t="s">
        <v>586</v>
      </c>
      <c r="C585" s="3" t="str">
        <f>IFERROR(__xludf.DUMMYFUNCTION("GOOGLETRANSLATE(B585,""id"",""en"")"),"['Telkomsel', 'Severe', 'NGT', 'Sinyal', 'Subang', 'Kalijati', 'Border', 'Cipndeuy', 'Kalijati', 'Ancur', 'Already', 'Buy', ' package ',' expensive ',' point ',' kaga ',' poor ',' already ',' rich ',' gini ',' kaga ',' improvement ',' mndingn ',' patahin "&amp;"',' card ' , 'Kapok', 'PDAH', 'users', 'TH', 'Telkomsel', 'times', 'Selawain', 'Mendingn', 'buy', 'card', ""]")</f>
        <v>['Telkomsel', 'Severe', 'NGT', 'Sinyal', 'Subang', 'Kalijati', 'Border', 'Cipndeuy', 'Kalijati', 'Ancur', 'Already', 'Buy', ' package ',' expensive ',' point ',' kaga ',' poor ',' already ',' rich ',' gini ',' kaga ',' improvement ',' mndingn ',' patahin ',' card ' , 'Kapok', 'PDAH', 'users', 'TH', 'Telkomsel', 'times', 'Selawain', 'Mendingn', 'buy', 'card', "]</v>
      </c>
      <c r="D585" s="3">
        <v>1.0</v>
      </c>
    </row>
    <row r="586" ht="15.75" customHeight="1">
      <c r="A586" s="1">
        <v>584.0</v>
      </c>
      <c r="B586" s="3" t="s">
        <v>587</v>
      </c>
      <c r="C586" s="3" t="str">
        <f>IFERROR(__xludf.DUMMYFUNCTION("GOOGLETRANSLATE(B586,""id"",""en"")"),"['lie', 'Ajalah', 'buy', 'quota', 'game', 'nyedot', 'quota', 'main', 'quota', 'main', 'out', 'play', ' Game ',' Upload ',' Photo ',' Upload ',' Proof ',' Severe ',' Paraah ',' Cuan ',' Trus', 'Quality']")</f>
        <v>['lie', 'Ajalah', 'buy', 'quota', 'game', 'nyedot', 'quota', 'main', 'quota', 'main', 'out', 'play', ' Game ',' Upload ',' Photo ',' Upload ',' Proof ',' Severe ',' Paraah ',' Cuan ',' Trus', 'Quality']</v>
      </c>
      <c r="D586" s="3">
        <v>1.0</v>
      </c>
    </row>
    <row r="587" ht="15.75" customHeight="1">
      <c r="A587" s="1">
        <v>585.0</v>
      </c>
      <c r="B587" s="3" t="s">
        <v>588</v>
      </c>
      <c r="C587" s="3" t="str">
        <f>IFERROR(__xludf.DUMMYFUNCTION("GOOGLETRANSLATE(B587,""id"",""en"")"),"['Like', 'Application', 'Telkomsel', 'Make it easy', 'DOK', 'Register', 'Package', 'Call', 'InternetN', 'Etc.', 'Engine', 'Credit', ' Application ',' Telkomsel ',' Application ',' Shopee ',' Shopeepay ',' Pulsapn ',' Jdi ',' Cheap ',' Chasbac ', ""]")</f>
        <v>['Like', 'Application', 'Telkomsel', 'Make it easy', 'DOK', 'Register', 'Package', 'Call', 'InternetN', 'Etc.', 'Engine', 'Credit', ' Application ',' Telkomsel ',' Application ',' Shopee ',' Shopeepay ',' Pulsapn ',' Jdi ',' Cheap ',' Chasbac ', "]</v>
      </c>
      <c r="D587" s="3">
        <v>5.0</v>
      </c>
    </row>
    <row r="588" ht="15.75" customHeight="1">
      <c r="A588" s="1">
        <v>586.0</v>
      </c>
      <c r="B588" s="3" t="s">
        <v>589</v>
      </c>
      <c r="C588" s="3" t="str">
        <f>IFERROR(__xludf.DUMMYFUNCTION("GOOGLETRANSLATE(B588,""id"",""en"")"),"['signal', 'good', 'klau', 'enter', 'home', 'sometimes',' signal ',' like ',' missing ',' lost ',' hope ',' smakin ',' Current ',' strong ',' signal ',' Trima ',' love ',' Telkomsel ']")</f>
        <v>['signal', 'good', 'klau', 'enter', 'home', 'sometimes',' signal ',' like ',' missing ',' lost ',' hope ',' smakin ',' Current ',' strong ',' signal ',' Trima ',' love ',' Telkomsel ']</v>
      </c>
      <c r="D588" s="3">
        <v>5.0</v>
      </c>
    </row>
    <row r="589" ht="15.75" customHeight="1">
      <c r="A589" s="1">
        <v>587.0</v>
      </c>
      <c r="B589" s="3" t="s">
        <v>590</v>
      </c>
      <c r="C589" s="3" t="str">
        <f>IFERROR(__xludf.DUMMYFUNCTION("GOOGLETRANSLATE(B589,""id"",""en"")"),"['Woy', 'BNR', 'Morning', 'Ampe', 'MLM', 'Rich', 'Gini', 'Signal', 'Beres',' Win ',' Expensive ',' Doank ',' sympathy ',' good ',' knp ',' rich ',' gini ',' klu ',' dha ',' go bankrupt ',' love ',' ush ',' bother ',' person ',' signal ' , 'ugly', 'gemn', "&amp;"'rivals', 'fast', 'fix', 'custemer', 'disappointed', '']")</f>
        <v>['Woy', 'BNR', 'Morning', 'Ampe', 'MLM', 'Rich', 'Gini', 'Signal', 'Beres',' Win ',' Expensive ',' Doank ',' sympathy ',' good ',' knp ',' rich ',' gini ',' klu ',' dha ',' go bankrupt ',' love ',' ush ',' bother ',' person ',' signal ' , 'ugly', 'gemn', 'rivals', 'fast', 'fix', 'custemer', 'disappointed', '']</v>
      </c>
      <c r="D589" s="3">
        <v>1.0</v>
      </c>
    </row>
    <row r="590" ht="15.75" customHeight="1">
      <c r="A590" s="1">
        <v>588.0</v>
      </c>
      <c r="B590" s="3" t="s">
        <v>591</v>
      </c>
      <c r="C590" s="3" t="str">
        <f>IFERROR(__xludf.DUMMYFUNCTION("GOOGLETRANSLATE(B590,""id"",""en"")"),"['morning', 'noon', 'afternoon', 'night', 'network', 'play', 'nge', 'lag', 'mulu', 'please', 'the network', 'kayak', ' Yesterday ',' Nge ',' lag ',' play ',' change ',' card ',' gini ']")</f>
        <v>['morning', 'noon', 'afternoon', 'night', 'network', 'play', 'nge', 'lag', 'mulu', 'please', 'the network', 'kayak', ' Yesterday ',' Nge ',' lag ',' play ',' change ',' card ',' gini ']</v>
      </c>
      <c r="D590" s="3">
        <v>1.0</v>
      </c>
    </row>
    <row r="591" ht="15.75" customHeight="1">
      <c r="A591" s="1">
        <v>589.0</v>
      </c>
      <c r="B591" s="3" t="s">
        <v>592</v>
      </c>
      <c r="C591" s="3" t="str">
        <f>IFERROR(__xludf.DUMMYFUNCTION("GOOGLETRANSLATE(B591,""id"",""en"")"),"['Disappointed', 'Regarding', 'Package', 'Internet', 'Member', 'Platinum', 'Package', 'Unlimited', 'Class',' Low ',' Member ',' Gold ',' Package ',' Unlimited ',' Combo ',' Sakti ',' How ',' The story ',' Delicious', 'Member', 'Gold', 'Member', 'Platinum'"&amp;", 'Use', 'Credit' , 'Rb', 'Ngilak', 'Lost', 'rivals',' card ',' prime ',' dominant ',' hold ',' package ',' unlimited ',' card ',' sultan ',' signal ',' in ',' plane ']")</f>
        <v>['Disappointed', 'Regarding', 'Package', 'Internet', 'Member', 'Platinum', 'Package', 'Unlimited', 'Class',' Low ',' Member ',' Gold ',' Package ',' Unlimited ',' Combo ',' Sakti ',' How ',' The story ',' Delicious', 'Member', 'Gold', 'Member', 'Platinum', 'Use', 'Credit' , 'Rb', 'Ngilak', 'Lost', 'rivals',' card ',' prime ',' dominant ',' hold ',' package ',' unlimited ',' card ',' sultan ',' signal ',' in ',' plane ']</v>
      </c>
      <c r="D591" s="3">
        <v>1.0</v>
      </c>
    </row>
    <row r="592" ht="15.75" customHeight="1">
      <c r="A592" s="1">
        <v>590.0</v>
      </c>
      <c r="B592" s="3" t="s">
        <v>593</v>
      </c>
      <c r="C592" s="3" t="str">
        <f>IFERROR(__xludf.DUMMYFUNCTION("GOOGLETRANSLATE(B592,""id"",""en"")"),"['reason', 'select', 'Telkomsel', 'network', 'internet', 'smooth', 'speed', 'download', 'bps',' kbps', 'pity', 'mending', ' replace ',' cheap ',' smooth ']")</f>
        <v>['reason', 'select', 'Telkomsel', 'network', 'internet', 'smooth', 'speed', 'download', 'bps',' kbps', 'pity', 'mending', ' replace ',' cheap ',' smooth ']</v>
      </c>
      <c r="D592" s="3">
        <v>1.0</v>
      </c>
    </row>
    <row r="593" ht="15.75" customHeight="1">
      <c r="A593" s="1">
        <v>591.0</v>
      </c>
      <c r="B593" s="3" t="s">
        <v>594</v>
      </c>
      <c r="C593" s="3" t="str">
        <f>IFERROR(__xludf.DUMMYFUNCTION("GOOGLETRANSLATE(B593,""id"",""en"")"),"['buy', 'all day', 'PM', 'PART'S', 'Used', 'name', 'all day', 'Telkomsel', 'clock', 'system', 'primitive', 'count', ' Greedy ',' Telkomsil ',' Telkom ',' Damn ',' Tipu ',' comment ',' sorry ',' please ',' read ',' complaint ',' updagte ',' system ']")</f>
        <v>['buy', 'all day', 'PM', 'PART'S', 'Used', 'name', 'all day', 'Telkomsel', 'clock', 'system', 'primitive', 'count', ' Greedy ',' Telkomsil ',' Telkom ',' Damn ',' Tipu ',' comment ',' sorry ',' please ',' read ',' complaint ',' updagte ',' system ']</v>
      </c>
      <c r="D593" s="3">
        <v>1.0</v>
      </c>
    </row>
    <row r="594" ht="15.75" customHeight="1">
      <c r="A594" s="1">
        <v>592.0</v>
      </c>
      <c r="B594" s="3" t="s">
        <v>595</v>
      </c>
      <c r="C594" s="3" t="str">
        <f>IFERROR(__xludf.DUMMYFUNCTION("GOOGLETRANSLATE(B594,""id"",""en"")"),"['', 'Telkomsel', 'steady', 'migration', 'card', 'hello', 'lure', 'network', 'priority', 'here', 'destroyed', 'the network', 'losing ',' Provider ',' child ',' onion ',' favored ',' Kawula ',' Young ',' Helo ',' card ',' Hello ',' Show ',' your greatness'"&amp;", 'Lined', 'Customers', 'Come on', 'wake up', 'sleep', 'realize', 'your dream', 'fun', 'dream', 'front of you', 'hampa', ""]")</f>
        <v>['', 'Telkomsel', 'steady', 'migration', 'card', 'hello', 'lure', 'network', 'priority', 'here', 'destroyed', 'the network', 'losing ',' Provider ',' child ',' onion ',' favored ',' Kawula ',' Young ',' Helo ',' card ',' Hello ',' Show ',' your greatness', 'Lined', 'Customers', 'Come on', 'wake up', 'sleep', 'realize', 'your dream', 'fun', 'dream', 'front of you', 'hampa', "]</v>
      </c>
      <c r="D594" s="3">
        <v>1.0</v>
      </c>
    </row>
    <row r="595" ht="15.75" customHeight="1">
      <c r="A595" s="1">
        <v>593.0</v>
      </c>
      <c r="B595" s="3" t="s">
        <v>596</v>
      </c>
      <c r="C595" s="3" t="str">
        <f>IFERROR(__xludf.DUMMYFUNCTION("GOOGLETRANSLATE(B595,""id"",""en"")"),"['Please', 'min', 'difficult', 'buy', 'package', 'link', 'support', 'like', 'dlu', 'hadeuuh', 'tlong', 'fix', ' ']")</f>
        <v>['Please', 'min', 'difficult', 'buy', 'package', 'link', 'support', 'like', 'dlu', 'hadeuuh', 'tlong', 'fix', ' ']</v>
      </c>
      <c r="D595" s="3">
        <v>1.0</v>
      </c>
    </row>
    <row r="596" ht="15.75" customHeight="1">
      <c r="A596" s="1">
        <v>594.0</v>
      </c>
      <c r="B596" s="3" t="s">
        <v>597</v>
      </c>
      <c r="C596" s="3" t="str">
        <f>IFERROR(__xludf.DUMMYFUNCTION("GOOGLETRANSLATE(B596,""id"",""en"")"),"['Telkomsel', 'card', 'Banguss',' package ',' expensive ',' network ',' BURIK ',' open ',' status', 'cana', 'regret', 'buy', ' package ',' Telkomsel ',' expensive ',' network ',' kayak ',' taiilkkk ',' stop ',' use ',' telkomsel ',' mending ',' use ',' pa"&amp;"ckage ',' cheap ' , 'Network', 'Stabill', '']")</f>
        <v>['Telkomsel', 'card', 'Banguss',' package ',' expensive ',' network ',' BURIK ',' open ',' status', 'cana', 'regret', 'buy', ' package ',' Telkomsel ',' expensive ',' network ',' kayak ',' taiilkkk ',' stop ',' use ',' telkomsel ',' mending ',' use ',' package ',' cheap ' , 'Network', 'Stabill', '']</v>
      </c>
      <c r="D596" s="3">
        <v>1.0</v>
      </c>
    </row>
    <row r="597" ht="15.75" customHeight="1">
      <c r="A597" s="1">
        <v>595.0</v>
      </c>
      <c r="B597" s="3" t="s">
        <v>598</v>
      </c>
      <c r="C597" s="3" t="str">
        <f>IFERROR(__xludf.DUMMYFUNCTION("GOOGLETRANSLATE(B597,""id"",""en"")"),"['quota', 'expensive', 'signal', 'cheap', 'city', 'boro', 'boro', 'play', 'games',' see ',' story ',' Lemottt ',' Signal ',' PSBB ',' ']")</f>
        <v>['quota', 'expensive', 'signal', 'cheap', 'city', 'boro', 'boro', 'play', 'games',' see ',' story ',' Lemottt ',' Signal ',' PSBB ',' ']</v>
      </c>
      <c r="D597" s="3">
        <v>1.0</v>
      </c>
    </row>
    <row r="598" ht="15.75" customHeight="1">
      <c r="A598" s="1">
        <v>596.0</v>
      </c>
      <c r="B598" s="3" t="s">
        <v>599</v>
      </c>
      <c r="C598" s="3" t="str">
        <f>IFERROR(__xludf.DUMMYFUNCTION("GOOGLETRANSLATE(B598,""id"",""en"")"),"['njer', 'bangsuy', 'corruption', 'Telkomsel', 'buy', 'quota', 'unlimited', 'his writing', 'turn', 'buy', 'package', 'keelel', ' Credit ',' just ',' little ',' quota ',' regret ',' ']")</f>
        <v>['njer', 'bangsuy', 'corruption', 'Telkomsel', 'buy', 'quota', 'unlimited', 'his writing', 'turn', 'buy', 'package', 'keelel', ' Credit ',' just ',' little ',' quota ',' regret ',' ']</v>
      </c>
      <c r="D598" s="3">
        <v>1.0</v>
      </c>
    </row>
    <row r="599" ht="15.75" customHeight="1">
      <c r="A599" s="1">
        <v>597.0</v>
      </c>
      <c r="B599" s="3" t="s">
        <v>600</v>
      </c>
      <c r="C599" s="3" t="str">
        <f>IFERROR(__xludf.DUMMYFUNCTION("GOOGLETRANSLATE(B599,""id"",""en"")"),"['Sumbin', 'promo', 'slow', 'as good', 'detrimental', 'customer', 'Telkomsel', 'repair', 'customer', 'moved', ""]")</f>
        <v>['Sumbin', 'promo', 'slow', 'as good', 'detrimental', 'customer', 'Telkomsel', 'repair', 'customer', 'moved', "]</v>
      </c>
      <c r="D599" s="3">
        <v>1.0</v>
      </c>
    </row>
    <row r="600" ht="15.75" customHeight="1">
      <c r="A600" s="1">
        <v>598.0</v>
      </c>
      <c r="B600" s="3" t="s">
        <v>601</v>
      </c>
      <c r="C600" s="3" t="str">
        <f>IFERROR(__xludf.DUMMYFUNCTION("GOOGLETRANSLATE(B600,""id"",""en"")"),"['application', 'Telkomsel', 'heavy', 'error', 'opened', 'appears', 'writing', 'closed', 'application', '']")</f>
        <v>['application', 'Telkomsel', 'heavy', 'error', 'opened', 'appears', 'writing', 'closed', 'application', '']</v>
      </c>
      <c r="D600" s="3">
        <v>1.0</v>
      </c>
    </row>
    <row r="601" ht="15.75" customHeight="1">
      <c r="A601" s="1">
        <v>599.0</v>
      </c>
      <c r="B601" s="3" t="s">
        <v>602</v>
      </c>
      <c r="C601" s="3" t="str">
        <f>IFERROR(__xludf.DUMMYFUNCTION("GOOGLETRANSLATE(B601,""id"",""en"")"),"['hi', 'Telkomsel', 'please', 'suggestion', 'listen', 'card', 'use', 'cheap', 'user', 'tsel', 'pke', 'krtunya', ' expensive ',' use ',' card ',' tsel ',' change ',' feeling ',' expensive ',' package ',' surprised ',' beg ',' repair ',' love ',' tsel ' , '"&amp;"']")</f>
        <v>['hi', 'Telkomsel', 'please', 'suggestion', 'listen', 'card', 'use', 'cheap', 'user', 'tsel', 'pke', 'krtunya', ' expensive ',' use ',' card ',' tsel ',' change ',' feeling ',' expensive ',' package ',' surprised ',' beg ',' repair ',' love ',' tsel ' , '']</v>
      </c>
      <c r="D601" s="3">
        <v>3.0</v>
      </c>
    </row>
    <row r="602" ht="15.75" customHeight="1">
      <c r="A602" s="1">
        <v>600.0</v>
      </c>
      <c r="B602" s="3" t="s">
        <v>603</v>
      </c>
      <c r="C602" s="3" t="str">
        <f>IFERROR(__xludf.DUMMYFUNCTION("GOOGLETRANSLATE(B602,""id"",""en"")"),"['Login', 'Link', 'Verification', 'Received', 'Link', 'Sent', 'POS', 'Fast', 'Nyampe', ""]")</f>
        <v>['Login', 'Link', 'Verification', 'Received', 'Link', 'Sent', 'POS', 'Fast', 'Nyampe', "]</v>
      </c>
      <c r="D602" s="3">
        <v>1.0</v>
      </c>
    </row>
    <row r="603" ht="15.75" customHeight="1">
      <c r="A603" s="1">
        <v>601.0</v>
      </c>
      <c r="B603" s="3" t="s">
        <v>604</v>
      </c>
      <c r="C603" s="3" t="str">
        <f>IFERROR(__xludf.DUMMYFUNCTION("GOOGLETRANSLATE(B603,""id"",""en"")"),"['Network', 'bad', 'Activate', 'Package', 'Data', 'Sidoarjo', 'Jawatimur', 'upset', 'Mending', 'Nyari', 'expensive', 'kepakai', ' The slow ',' forgiveness', 'pub', 'ngelag', 'play', 'smooth']")</f>
        <v>['Network', 'bad', 'Activate', 'Package', 'Data', 'Sidoarjo', 'Jawatimur', 'upset', 'Mending', 'Nyari', 'expensive', 'kepakai', ' The slow ',' forgiveness', 'pub', 'ngelag', 'play', 'smooth']</v>
      </c>
      <c r="D603" s="3">
        <v>1.0</v>
      </c>
    </row>
    <row r="604" ht="15.75" customHeight="1">
      <c r="A604" s="1">
        <v>602.0</v>
      </c>
      <c r="B604" s="3" t="s">
        <v>605</v>
      </c>
      <c r="C604" s="3" t="str">
        <f>IFERROR(__xludf.DUMMYFUNCTION("GOOGLETRANSLATE(B604,""id"",""en"")"),"['The network', 'corrected', 'anjg', 'price', 'expensive', 'provider', 'rare', 'gapapa', 'hours',' play ',' games', 'send', ' Message ',' Yesterday ',' Bener ',' Bener ',' Network ',' Already ',' Protest ',' Lined ',' Mounting ',' The Network ',' Lemot ',"&amp;"' Strength ',' Sinyal ' , 'Down', 'user', 'card', 'hope', 'repaired', 'as soon as possible', 'thank you', ""]")</f>
        <v>['The network', 'corrected', 'anjg', 'price', 'expensive', 'provider', 'rare', 'gapapa', 'hours',' play ',' games', 'send', ' Message ',' Yesterday ',' Bener ',' Bener ',' Network ',' Already ',' Protest ',' Lined ',' Mounting ',' The Network ',' Lemot ',' Strength ',' Sinyal ' , 'Down', 'user', 'card', 'hope', 'repaired', 'as soon as possible', 'thank you', "]</v>
      </c>
      <c r="D604" s="3">
        <v>2.0</v>
      </c>
    </row>
    <row r="605" ht="15.75" customHeight="1">
      <c r="A605" s="1">
        <v>603.0</v>
      </c>
      <c r="B605" s="3" t="s">
        <v>606</v>
      </c>
      <c r="C605" s="3" t="str">
        <f>IFERROR(__xludf.DUMMYFUNCTION("GOOGLETRANSLATE(B605,""id"",""en"")"),"['users', 'Telkomsel', 'really', 'card', 'Telkomsel', 'play', 'game', 'because' speed ',' signal ',' stable ',' axis ',' Download ',' ATW ',' Streaming ',' Reverse ',' Axis', 'Play', 'Game', 'Karna', 'Signal', 'Good', 'Deri', 'Telkomsel', 'Thank you' , ''"&amp;"]")</f>
        <v>['users', 'Telkomsel', 'really', 'card', 'Telkomsel', 'play', 'game', 'because' speed ',' signal ',' stable ',' axis ',' Download ',' ATW ',' Streaming ',' Reverse ',' Axis', 'Play', 'Game', 'Karna', 'Signal', 'Good', 'Deri', 'Telkomsel', 'Thank you' , '']</v>
      </c>
      <c r="D605" s="3">
        <v>1.0</v>
      </c>
    </row>
    <row r="606" ht="15.75" customHeight="1">
      <c r="A606" s="1">
        <v>604.0</v>
      </c>
      <c r="B606" s="3" t="s">
        <v>607</v>
      </c>
      <c r="C606" s="3" t="str">
        <f>IFERROR(__xludf.DUMMYFUNCTION("GOOGLETRANSLATE(B606,""id"",""en"")"),"['Please', 'Telkomsel', 'Promo', 'Doang', 'Gede', 'Gedein', 'Urus',' Network ',' Package ',' Doang ',' Expensive ',' Network ',' rich ',' snail ',' slow ',' really ',' download ',' UDH ',' network ',' area ',' bogor ',' answerarat ',' no ',' right ',' buy"&amp;" ' , 'Package', 'used', 'Try', 'Network', 'Change', 'Network', 'Manual', 'Automatic', 'Try', 'Change', 'APN', 'Slow', ' Please ',' Fix ',' Promo ',' Customer ',' Faithful ',' Switch ',' Provider ',' Please ',' Fix ',' ']")</f>
        <v>['Please', 'Telkomsel', 'Promo', 'Doang', 'Gede', 'Gedein', 'Urus',' Network ',' Package ',' Doang ',' Expensive ',' Network ',' rich ',' snail ',' slow ',' really ',' download ',' UDH ',' network ',' area ',' bogor ',' answerarat ',' no ',' right ',' buy ' , 'Package', 'used', 'Try', 'Network', 'Change', 'Network', 'Manual', 'Automatic', 'Try', 'Change', 'APN', 'Slow', ' Please ',' Fix ',' Promo ',' Customer ',' Faithful ',' Switch ',' Provider ',' Please ',' Fix ',' ']</v>
      </c>
      <c r="D606" s="3">
        <v>1.0</v>
      </c>
    </row>
    <row r="607" ht="15.75" customHeight="1">
      <c r="A607" s="1">
        <v>605.0</v>
      </c>
      <c r="B607" s="3" t="s">
        <v>608</v>
      </c>
      <c r="C607" s="3" t="str">
        <f>IFERROR(__xludf.DUMMYFUNCTION("GOOGLETRANSLATE(B607,""id"",""en"")"),"['Telkomsel', 'ugly', 'really', 'network', 'troubling', 'want', 'switch', 'operator', '']")</f>
        <v>['Telkomsel', 'ugly', 'really', 'network', 'troubling', 'want', 'switch', 'operator', '']</v>
      </c>
      <c r="D607" s="3">
        <v>2.0</v>
      </c>
    </row>
    <row r="608" ht="15.75" customHeight="1">
      <c r="A608" s="1">
        <v>606.0</v>
      </c>
      <c r="B608" s="3" t="s">
        <v>609</v>
      </c>
      <c r="C608" s="3" t="str">
        <f>IFERROR(__xludf.DUMMYFUNCTION("GOOGLETRANSLATE(B608,""id"",""en"")"),"['use', 'Telkomsel', 'the era', 'sympathy', 'archipelago', 'produce', 'output', 'telkomsel', 'until', 'now', 'gontain', 'replace', ' Produck ',' Telkomsel ',' reason ',' card ',' chip ',' damaged ',' age ',' card ',' credit ',' buy ',' May ',' expect ',' "&amp;"hundreds' , 'million', 'billions',' Rupiah ',' Sya ',' thousand ',' thousand ',' times', 'exchange', 'Telkomsel', 'Points',' Lottery ',' Telkomsel ',' Points', 'Chosen', 'Winner', 'Telkomsel', 'Points',' Lottery ',' Settings']")</f>
        <v>['use', 'Telkomsel', 'the era', 'sympathy', 'archipelago', 'produce', 'output', 'telkomsel', 'until', 'now', 'gontain', 'replace', ' Produck ',' Telkomsel ',' reason ',' card ',' chip ',' damaged ',' age ',' card ',' credit ',' buy ',' May ',' expect ',' hundreds' , 'million', 'billions',' Rupiah ',' Sya ',' thousand ',' thousand ',' times', 'exchange', 'Telkomsel', 'Points',' Lottery ',' Telkomsel ',' Points', 'Chosen', 'Winner', 'Telkomsel', 'Points',' Lottery ',' Settings']</v>
      </c>
      <c r="D608" s="3">
        <v>5.0</v>
      </c>
    </row>
    <row r="609" ht="15.75" customHeight="1">
      <c r="A609" s="1">
        <v>607.0</v>
      </c>
      <c r="B609" s="3" t="s">
        <v>610</v>
      </c>
      <c r="C609" s="3" t="str">
        <f>IFERROR(__xludf.DUMMYFUNCTION("GOOGLETRANSLATE(B609,""id"",""en"")"),"['reporting', 'buy', 'Package', 'Shopee', 'Pay', 'On', 'Telkomsel', 'Tetep', 'BLM', 'Folloe', 'Have', 'Wait', ' work ',' UDH ',' WEEK ',' CALL ',' CALL ',' CENTER ',' TELKOMSEL ',' PEAH ',' VAUT ',' FAILURE ',' System ',' The application ']")</f>
        <v>['reporting', 'buy', 'Package', 'Shopee', 'Pay', 'On', 'Telkomsel', 'Tetep', 'BLM', 'Folloe', 'Have', 'Wait', ' work ',' UDH ',' WEEK ',' CALL ',' CALL ',' CENTER ',' TELKOMSEL ',' PEAH ',' VAUT ',' FAILURE ',' System ',' The application ']</v>
      </c>
      <c r="D609" s="3">
        <v>1.0</v>
      </c>
    </row>
    <row r="610" ht="15.75" customHeight="1">
      <c r="A610" s="1">
        <v>608.0</v>
      </c>
      <c r="B610" s="3" t="s">
        <v>611</v>
      </c>
      <c r="C610" s="3" t="str">
        <f>IFERROR(__xludf.DUMMYFUNCTION("GOOGLETRANSLATE(B610,""id"",""en"")"),"['min', 'like', 'application', 'need', 'min', 'kayak', 'really', 'kouta', 'affect', 'speed', 'user', 'yes',' network ',' good ',' application ',' next door ',' gini ',' please ',' pay attention ',' min ',' care ',' enter ',' boomerang ',' telk ',' ']")</f>
        <v>['min', 'like', 'application', 'need', 'min', 'kayak', 'really', 'kouta', 'affect', 'speed', 'user', 'yes',' network ',' good ',' application ',' next door ',' gini ',' please ',' pay attention ',' min ',' care ',' enter ',' boomerang ',' telk ',' ']</v>
      </c>
      <c r="D610" s="3">
        <v>1.0</v>
      </c>
    </row>
    <row r="611" ht="15.75" customHeight="1">
      <c r="A611" s="1">
        <v>609.0</v>
      </c>
      <c r="B611" s="3" t="s">
        <v>612</v>
      </c>
      <c r="C611" s="3" t="str">
        <f>IFERROR(__xludf.DUMMYFUNCTION("GOOGLETRANSLATE(B611,""id"",""en"")"),"['network', 'threat', 'user', 'loyal', 'Telkomsel', 'because', 'network', 'good', 'threat', 'really', 'losing', 'provider']")</f>
        <v>['network', 'threat', 'user', 'loyal', 'Telkomsel', 'because', 'network', 'good', 'threat', 'really', 'losing', 'provider']</v>
      </c>
      <c r="D611" s="3">
        <v>1.0</v>
      </c>
    </row>
    <row r="612" ht="15.75" customHeight="1">
      <c r="A612" s="1">
        <v>610.0</v>
      </c>
      <c r="B612" s="3" t="s">
        <v>613</v>
      </c>
      <c r="C612" s="3" t="str">
        <f>IFERROR(__xludf.DUMMYFUNCTION("GOOGLETRANSLATE(B612,""id"",""en"")"),"['application', 'check', 'quota', 'loading', 'salute', 'train', 'patience', 'person', 'entry', 'until', 'login', 'many', ' time ',' mantappp ',' work ',' my ',' app ',' ']")</f>
        <v>['application', 'check', 'quota', 'loading', 'salute', 'train', 'patience', 'person', 'entry', 'until', 'login', 'many', ' time ',' mantappp ',' work ',' my ',' app ',' ']</v>
      </c>
      <c r="D612" s="3">
        <v>1.0</v>
      </c>
    </row>
    <row r="613" ht="15.75" customHeight="1">
      <c r="A613" s="1">
        <v>611.0</v>
      </c>
      <c r="B613" s="3" t="s">
        <v>614</v>
      </c>
      <c r="C613" s="3" t="str">
        <f>IFERROR(__xludf.DUMMYFUNCTION("GOOGLETRANSLATE(B613,""id"",""en"")"),"['Gaaush', 'complaint', 'Twitter', 'Line', 'Macem', 'Ribet', 'Telkomsel', 'here', 'chaotic', 'network', 'NOT', 'Good', ' Paketan ',' Doang ',' expensive ',' network ',' saggy ',' bapuk ', ""]")</f>
        <v>['Gaaush', 'complaint', 'Twitter', 'Line', 'Macem', 'Ribet', 'Telkomsel', 'here', 'chaotic', 'network', 'NOT', 'Good', ' Paketan ',' Doang ',' expensive ',' network ',' saggy ',' bapuk ', "]</v>
      </c>
      <c r="D613" s="3">
        <v>1.0</v>
      </c>
    </row>
    <row r="614" ht="15.75" customHeight="1">
      <c r="A614" s="1">
        <v>612.0</v>
      </c>
      <c r="B614" s="3" t="s">
        <v>615</v>
      </c>
      <c r="C614" s="3" t="str">
        <f>IFERROR(__xludf.DUMMYFUNCTION("GOOGLETRANSLATE(B614,""id"",""en"")"),"['network', 'taikkk', 'buy', 'expensive', 'network', 'slow', 'bad', 'Telkomsel', 'lose', 'card', 'axis',' tri ',' network ',' setabilia ',' axis', 'tri']")</f>
        <v>['network', 'taikkk', 'buy', 'expensive', 'network', 'slow', 'bad', 'Telkomsel', 'lose', 'card', 'axis',' tri ',' network ',' setabilia ',' axis', 'tri']</v>
      </c>
      <c r="D614" s="3">
        <v>1.0</v>
      </c>
    </row>
    <row r="615" ht="15.75" customHeight="1">
      <c r="A615" s="1">
        <v>613.0</v>
      </c>
      <c r="B615" s="3" t="s">
        <v>616</v>
      </c>
      <c r="C615" s="3" t="str">
        <f>IFERROR(__xludf.DUMMYFUNCTION("GOOGLETRANSLATE(B615,""id"",""en"")"),"['network', 'until', 'repairs',' difficult ',' contact ',' Via ',' Messenger ',' Application ',' Response ',' Change ',' APN ',' Turn Off ',' Data ',' services', 'already', 'Try', 'Many', 'Sepe', 'Please', 'Officer', 'In The Course', 'Response', 'Complain"&amp;"ts',' Customer ',' Sampe ' , 'Customer', 'Switch', 'Provider', 'Network', 'Rich', 'Gini', ""]")</f>
        <v>['network', 'until', 'repairs',' difficult ',' contact ',' Via ',' Messenger ',' Application ',' Response ',' Change ',' APN ',' Turn Off ',' Data ',' services', 'already', 'Try', 'Many', 'Sepe', 'Please', 'Officer', 'In The Course', 'Response', 'Complaints',' Customer ',' Sampe ' , 'Customer', 'Switch', 'Provider', 'Network', 'Rich', 'Gini', "]</v>
      </c>
      <c r="D615" s="3">
        <v>1.0</v>
      </c>
    </row>
    <row r="616" ht="15.75" customHeight="1">
      <c r="A616" s="1">
        <v>614.0</v>
      </c>
      <c r="B616" s="3" t="s">
        <v>617</v>
      </c>
      <c r="C616" s="3" t="str">
        <f>IFERROR(__xludf.DUMMYFUNCTION("GOOGLETRANSLATE(B616,""id"",""en"")"),"['signal', 'pulp', 'network', 'down', 'Detastic', 'Mingu', 'internet', 'gini', 'waste', 'money', 'gwa', 'Jir', ' Gini ',' please ',' fix ',' ']")</f>
        <v>['signal', 'pulp', 'network', 'down', 'Detastic', 'Mingu', 'internet', 'gini', 'waste', 'money', 'gwa', 'Jir', ' Gini ',' please ',' fix ',' ']</v>
      </c>
      <c r="D616" s="3">
        <v>1.0</v>
      </c>
    </row>
    <row r="617" ht="15.75" customHeight="1">
      <c r="A617" s="1">
        <v>615.0</v>
      </c>
      <c r="B617" s="3" t="s">
        <v>618</v>
      </c>
      <c r="C617" s="3" t="str">
        <f>IFERROR(__xludf.DUMMYFUNCTION("GOOGLETRANSLATE(B617,""id"",""en"")"),"['iHHH', 'Telkomsel', 'network', 'threat', 'severe', 'severe', 'card', 'price', 'package', 'cheap', 'Telkomsel', 'already', ' package ',' expensive ',' network ',' ugly ',' card ',' number ',' indosesia ',' tapin ',' enthusiasts', 'telkomsel', 'already', "&amp;"'switch', 'card' , 'Reevention with', 'Telkomsel']")</f>
        <v>['iHHH', 'Telkomsel', 'network', 'threat', 'severe', 'severe', 'card', 'price', 'package', 'cheap', 'Telkomsel', 'already', ' package ',' expensive ',' network ',' ugly ',' card ',' number ',' indosesia ',' tapin ',' enthusiasts', 'telkomsel', 'already', 'switch', 'card' , 'Reevention with', 'Telkomsel']</v>
      </c>
      <c r="D617" s="3">
        <v>1.0</v>
      </c>
    </row>
    <row r="618" ht="15.75" customHeight="1">
      <c r="A618" s="1">
        <v>616.0</v>
      </c>
      <c r="B618" s="3" t="s">
        <v>619</v>
      </c>
      <c r="C618" s="3" t="str">
        <f>IFERROR(__xludf.DUMMYFUNCTION("GOOGLETRANSLATE(B618,""id"",""en"")"),"['prepaid', 'TPI', 'disappointed', 'Telkomsel', 'prepaid', 'postpaid', 'postpaid', 'detrimental', 'consumers',' forced ',' blocked ',' number ',' Lost ',' Please ',' Postpaid ',' Changed ',' Prepaid ',' User ',' Faithful ',' Telkomsel ',' Forced ',' Loss'"&amp;", 'Wear', 'Telkomsel', ""]")</f>
        <v>['prepaid', 'TPI', 'disappointed', 'Telkomsel', 'prepaid', 'postpaid', 'postpaid', 'detrimental', 'consumers',' forced ',' blocked ',' number ',' Lost ',' Please ',' Postpaid ',' Changed ',' Prepaid ',' User ',' Faithful ',' Telkomsel ',' Forced ',' Loss', 'Wear', 'Telkomsel', "]</v>
      </c>
      <c r="D618" s="3">
        <v>1.0</v>
      </c>
    </row>
    <row r="619" ht="15.75" customHeight="1">
      <c r="A619" s="1">
        <v>617.0</v>
      </c>
      <c r="B619" s="3" t="s">
        <v>620</v>
      </c>
      <c r="C619" s="3" t="str">
        <f>IFERROR(__xludf.DUMMYFUNCTION("GOOGLETRANSLATE(B619,""id"",""en"")"),"['Kayak', 'abal', 'abal', 'promo', 'good', 'in fact', 'nggka', 'seauai', 'bkn', 'kayak', 'ants',' road ',' Kayak ',' Grandma ',' Grandma ',' Saying ',' Road ',' Direct ',' Stagnating ',' Deck ',' Deck ',' Dek ', ""]")</f>
        <v>['Kayak', 'abal', 'abal', 'promo', 'good', 'in fact', 'nggka', 'seauai', 'bkn', 'kayak', 'ants',' road ',' Kayak ',' Grandma ',' Grandma ',' Saying ',' Road ',' Direct ',' Stagnating ',' Deck ',' Deck ',' Dek ', "]</v>
      </c>
      <c r="D619" s="3">
        <v>2.0</v>
      </c>
    </row>
    <row r="620" ht="15.75" customHeight="1">
      <c r="A620" s="1">
        <v>618.0</v>
      </c>
      <c r="B620" s="3" t="s">
        <v>621</v>
      </c>
      <c r="C620" s="3" t="str">
        <f>IFERROR(__xludf.DUMMYFUNCTION("GOOGLETRANSLATE(B620,""id"",""en"")"),"['', 'Telkomsel', 'Link', 'account', 'diversified', 'reset', 'page', 'list', 'customer', 'use', 'Telkomsel', 'Different', 'operator ',' Operator ',' SmartFrent ',' Handle ',' Account ',' Registrar ',' Customer ',' ']")</f>
        <v>['', 'Telkomsel', 'Link', 'account', 'diversified', 'reset', 'page', 'list', 'customer', 'use', 'Telkomsel', 'Different', 'operator ',' Operator ',' SmartFrent ',' Handle ',' Account ',' Registrar ',' Customer ',' ']</v>
      </c>
      <c r="D620" s="3">
        <v>2.0</v>
      </c>
    </row>
    <row r="621" ht="15.75" customHeight="1">
      <c r="A621" s="1">
        <v>619.0</v>
      </c>
      <c r="B621" s="3" t="s">
        <v>622</v>
      </c>
      <c r="C621" s="3" t="str">
        <f>IFERROR(__xludf.DUMMYFUNCTION("GOOGLETRANSLATE(B621,""id"",""en"")"),"['Disappointed', 'Heavy', 'Application', 'Telkomsel', 'oath', 'Points',' Telkomsel ',' Lost ',' Use ',' Contents', 'Package', 'Fail', ' Credit ',' truncated ',' package ',' closed ',' application ',' disappointing ',' person ',' please ',' Telkomsel ',' s"&amp;"teal ']")</f>
        <v>['Disappointed', 'Heavy', 'Application', 'Telkomsel', 'oath', 'Points',' Telkomsel ',' Lost ',' Use ',' Contents', 'Package', 'Fail', ' Credit ',' truncated ',' package ',' closed ',' application ',' disappointing ',' person ',' please ',' Telkomsel ',' steal ']</v>
      </c>
      <c r="D621" s="3">
        <v>1.0</v>
      </c>
    </row>
    <row r="622" ht="15.75" customHeight="1">
      <c r="A622" s="1">
        <v>620.0</v>
      </c>
      <c r="B622" s="3" t="s">
        <v>623</v>
      </c>
      <c r="C622" s="3" t="str">
        <f>IFERROR(__xludf.DUMMYFUNCTION("GOOGLETRANSLATE(B622,""id"",""en"")"),"['', 'Area', 'Kec', 'Kedungjati', 'Kab', 'Grobogan', 'Prov', 'Central Java', 'a month', 'network', 'stable', 'deteriorating', 'Please ',' Fix ',' subscription ',' Telkomsel ',' disturbed ',' stable ',' network ']")</f>
        <v>['', 'Area', 'Kec', 'Kedungjati', 'Kab', 'Grobogan', 'Prov', 'Central Java', 'a month', 'network', 'stable', 'deteriorating', 'Please ',' Fix ',' subscription ',' Telkomsel ',' disturbed ',' stable ',' network ']</v>
      </c>
      <c r="D622" s="3">
        <v>2.0</v>
      </c>
    </row>
    <row r="623" ht="15.75" customHeight="1">
      <c r="A623" s="1">
        <v>621.0</v>
      </c>
      <c r="B623" s="3" t="s">
        <v>624</v>
      </c>
      <c r="C623" s="3" t="str">
        <f>IFERROR(__xludf.DUMMYFUNCTION("GOOGLETRANSLATE(B623,""id"",""en"")"),"['Really', 'disappointing', 'log', 'tired', 'please', 'Telkomsel', 'fix', 'as soon as possible,' disappointed ',' dragging ',' dissolved ']")</f>
        <v>['Really', 'disappointing', 'log', 'tired', 'please', 'Telkomsel', 'fix', 'as soon as possible,' disappointed ',' dragging ',' dissolved ']</v>
      </c>
      <c r="D623" s="3">
        <v>1.0</v>
      </c>
    </row>
    <row r="624" ht="15.75" customHeight="1">
      <c r="A624" s="1">
        <v>622.0</v>
      </c>
      <c r="B624" s="3" t="s">
        <v>625</v>
      </c>
      <c r="C624" s="3" t="str">
        <f>IFERROR(__xludf.DUMMYFUNCTION("GOOGLETRANSLATE(B624,""id"",""en"")"),"['Telkomsel', 'careless',' features', 'deactivates',' taking ',' credit ',' automatic ',' quota ',' internet ',' run out ',' Telkomsel ',' automatic ',' Stealing ',' pulse ',' main ',' quota ',' internet ',' run out ',' Try ',' feature ',' pulse ',' main "&amp;"',' stolen ',' automatic ',' service ' , 'card', 'belongs', 'neighbor', '']")</f>
        <v>['Telkomsel', 'careless',' features', 'deactivates',' taking ',' credit ',' automatic ',' quota ',' internet ',' run out ',' Telkomsel ',' automatic ',' Stealing ',' pulse ',' main ',' quota ',' internet ',' run out ',' Try ',' feature ',' pulse ',' main ',' stolen ',' automatic ',' service ' , 'card', 'belongs', 'neighbor', '']</v>
      </c>
      <c r="D624" s="3">
        <v>2.0</v>
      </c>
    </row>
    <row r="625" ht="15.75" customHeight="1">
      <c r="A625" s="1">
        <v>623.0</v>
      </c>
      <c r="B625" s="3" t="s">
        <v>626</v>
      </c>
      <c r="C625" s="3" t="str">
        <f>IFERROR(__xludf.DUMMYFUNCTION("GOOGLETRANSLATE(B625,""id"",""en"")"),"['', 'star', 'Telkomsel', 'card', 'sultan', 'gini', 'mentang', 'dominates',' buy ',' package ',' expensive ',' network ',' ugly ',' KnTuull ',' used ',' people ',' easy ',' used ',' ngegame ',' in the region ',' A LIVING ',' LIFE ',' Buy ',' Card ',' Telk"&amp;"omsel ']")</f>
        <v>['', 'star', 'Telkomsel', 'card', 'sultan', 'gini', 'mentang', 'dominates',' buy ',' package ',' expensive ',' network ',' ugly ',' KnTuull ',' used ',' people ',' easy ',' used ',' ngegame ',' in the region ',' A LIVING ',' LIFE ',' Buy ',' Card ',' Telkomsel ']</v>
      </c>
      <c r="D625" s="3">
        <v>1.0</v>
      </c>
    </row>
    <row r="626" ht="15.75" customHeight="1">
      <c r="A626" s="1">
        <v>624.0</v>
      </c>
      <c r="B626" s="3" t="s">
        <v>627</v>
      </c>
      <c r="C626" s="3" t="str">
        <f>IFERROR(__xludf.DUMMYFUNCTION("GOOGLETRANSLATE(B626,""id"",""en"")"),"['excited', 'signal', 'ugly', 'yes', 'replace', 'provider', 'please', 'fix', 'area', 'cibereum', 'Tasikmalaya', ""]")</f>
        <v>['excited', 'signal', 'ugly', 'yes', 'replace', 'provider', 'please', 'fix', 'area', 'cibereum', 'Tasikmalaya', "]</v>
      </c>
      <c r="D626" s="3">
        <v>1.0</v>
      </c>
    </row>
    <row r="627" ht="15.75" customHeight="1">
      <c r="A627" s="1">
        <v>625.0</v>
      </c>
      <c r="B627" s="3" t="s">
        <v>628</v>
      </c>
      <c r="C627" s="3" t="str">
        <f>IFERROR(__xludf.DUMMYFUNCTION("GOOGLETRANSLATE(B627,""id"",""en"")"),"['After', 'update', 'enter', 'Login', 'Padahall', 'SDAH', 'SKRG', 'SKRG', 'TIME', 'Enter', 'Salah', 'just', ' replace ',' kah ',' his writing ',' language ',' English ',' forced ',' love ',' star ']")</f>
        <v>['After', 'update', 'enter', 'Login', 'Padahall', 'SDAH', 'SKRG', 'SKRG', 'TIME', 'Enter', 'Salah', 'just', ' replace ',' kah ',' his writing ',' language ',' English ',' forced ',' love ',' star ']</v>
      </c>
      <c r="D627" s="3">
        <v>1.0</v>
      </c>
    </row>
    <row r="628" ht="15.75" customHeight="1">
      <c r="A628" s="1">
        <v>626.0</v>
      </c>
      <c r="B628" s="3" t="s">
        <v>629</v>
      </c>
      <c r="C628" s="3" t="str">
        <f>IFERROR(__xludf.DUMMYFUNCTION("GOOGLETRANSLATE(B628,""id"",""en"")"),"['Log', 'out', 'once', 'already', 'log', 'out', 'log', 'difficult', 'play', 'OTP', 'sent', 'sms',' nyampenya ',' luama ',' really ',' darling ',' apps', 'good', 'forced', 'use', 'Telkomsel', '']")</f>
        <v>['Log', 'out', 'once', 'already', 'log', 'out', 'log', 'difficult', 'play', 'OTP', 'sent', 'sms',' nyampenya ',' luama ',' really ',' darling ',' apps', 'good', 'forced', 'use', 'Telkomsel', '']</v>
      </c>
      <c r="D628" s="3">
        <v>1.0</v>
      </c>
    </row>
    <row r="629" ht="15.75" customHeight="1">
      <c r="A629" s="1">
        <v>627.0</v>
      </c>
      <c r="B629" s="3" t="s">
        <v>630</v>
      </c>
      <c r="C629" s="3" t="str">
        <f>IFERROR(__xludf.DUMMYFUNCTION("GOOGLETRANSLATE(B629,""id"",""en"")"),"['ISI', 'Credit', 'Telkomsel', 'Method', 'Payment', 'Shopee', 'Pey', 'Balance', 'Shopee', 'Reduced', 'Temkomsel', 'Sorry', ' transaction ',' success', 'try', 'crazy', 'siii', 'worse', 'udh', 'veronica', 'comen', 'tpj', 'bales',' just ',' comen ' , 'Sampek"&amp;"', 'Action', 'Continue']")</f>
        <v>['ISI', 'Credit', 'Telkomsel', 'Method', 'Payment', 'Shopee', 'Pey', 'Balance', 'Shopee', 'Reduced', 'Temkomsel', 'Sorry', ' transaction ',' success', 'try', 'crazy', 'siii', 'worse', 'udh', 'veronica', 'comen', 'tpj', 'bales',' just ',' comen ' , 'Sampek', 'Action', 'Continue']</v>
      </c>
      <c r="D629" s="3">
        <v>1.0</v>
      </c>
    </row>
    <row r="630" ht="15.75" customHeight="1">
      <c r="A630" s="1">
        <v>628.0</v>
      </c>
      <c r="B630" s="3" t="s">
        <v>631</v>
      </c>
      <c r="C630" s="3" t="str">
        <f>IFERROR(__xludf.DUMMYFUNCTION("GOOGLETRANSLATE(B630,""id"",""en"")"),"['Klau', 'love', 'gift', 'exchange', 'Points',' Honest ',' users', 'Telkomsel', 'bachelor', 'Ampe', 'love', 'dream', ' Muluk ',' beautiful ',' zero ',' prize ',' ']")</f>
        <v>['Klau', 'love', 'gift', 'exchange', 'Points',' Honest ',' users', 'Telkomsel', 'bachelor', 'Ampe', 'love', 'dream', ' Muluk ',' beautiful ',' zero ',' prize ',' ']</v>
      </c>
      <c r="D630" s="3">
        <v>1.0</v>
      </c>
    </row>
    <row r="631" ht="15.75" customHeight="1">
      <c r="A631" s="1">
        <v>629.0</v>
      </c>
      <c r="B631" s="3" t="s">
        <v>632</v>
      </c>
      <c r="C631" s="3" t="str">
        <f>IFERROR(__xludf.DUMMYFUNCTION("GOOGLETRANSLATE(B631,""id"",""en"")"),"['just', 'feel', 'buy', 'package', 'lapse', 'watch', 'please', 'Telkomsel', 'weve', 'watch', 'mending', 'delete', ' Thanks', 'already', 'make', 'Telkomsel', 'NOT', 'good', 'pulp', ""]")</f>
        <v>['just', 'feel', 'buy', 'package', 'lapse', 'watch', 'please', 'Telkomsel', 'weve', 'watch', 'mending', 'delete', ' Thanks', 'already', 'make', 'Telkomsel', 'NOT', 'good', 'pulp', "]</v>
      </c>
      <c r="D631" s="3">
        <v>1.0</v>
      </c>
    </row>
    <row r="632" ht="15.75" customHeight="1">
      <c r="A632" s="1">
        <v>630.0</v>
      </c>
      <c r="B632" s="3" t="s">
        <v>633</v>
      </c>
      <c r="C632" s="3" t="str">
        <f>IFERROR(__xludf.DUMMYFUNCTION("GOOGLETRANSLATE(B632,""id"",""en"")"),"['Corruption', 'Kejangetan', 'Buy', 'Package', 'YouTube', 'Dipake', 'Mala', 'Open', 'YouTube', 'Minute', 'Credit', 'Rb', ' run out ',' buy ',' Package ',' YouTube ',' pulse ',' honest ',' company ',' blessing ',' loss', 'Telkomsel', 'contents',' pulses', "&amp;"'pulses' , 'Out', 'Ntah', 'Cut', 'subscribe', 'wise', 'honest', 'establish', 'company', 'fortunate', 'customer', 'stunt']")</f>
        <v>['Corruption', 'Kejangetan', 'Buy', 'Package', 'YouTube', 'Dipake', 'Mala', 'Open', 'YouTube', 'Minute', 'Credit', 'Rb', ' run out ',' buy ',' Package ',' YouTube ',' pulse ',' honest ',' company ',' blessing ',' loss', 'Telkomsel', 'contents',' pulses', 'pulses' , 'Out', 'Ntah', 'Cut', 'subscribe', 'wise', 'honest', 'establish', 'company', 'fortunate', 'customer', 'stunt']</v>
      </c>
      <c r="D632" s="3">
        <v>1.0</v>
      </c>
    </row>
    <row r="633" ht="15.75" customHeight="1">
      <c r="A633" s="1">
        <v>631.0</v>
      </c>
      <c r="B633" s="3" t="s">
        <v>634</v>
      </c>
      <c r="C633" s="3" t="str">
        <f>IFERROR(__xludf.DUMMYFUNCTION("GOOGLETRANSLATE(B633,""id"",""en"")"),"['Download', 'UDH', 'Enter', 'Sampe', 'Enter', 'Time', 'Telkomsel', 'Help', 'Ntr', 'Love', 'Full', 'star']")</f>
        <v>['Download', 'UDH', 'Enter', 'Sampe', 'Enter', 'Time', 'Telkomsel', 'Help', 'Ntr', 'Love', 'Full', 'star']</v>
      </c>
      <c r="D633" s="3">
        <v>1.0</v>
      </c>
    </row>
    <row r="634" ht="15.75" customHeight="1">
      <c r="A634" s="1">
        <v>632.0</v>
      </c>
      <c r="B634" s="3" t="s">
        <v>635</v>
      </c>
      <c r="C634" s="3" t="str">
        <f>IFERROR(__xludf.DUMMYFUNCTION("GOOGLETRANSLATE(B634,""id"",""en"")"),"['Telkomsel', 'teach', 'yaa', 'customers',' loyal ',' Telkomsel ',' fortuneness', 'customers',' annoyed ',' heart ',' heart ',' annoyed ',' Customers', 'Switch', 'Telkomsel', 'Untung', 'Loss',' Operators', 'Neighbors',' Employees', 'Piracy', 'Bulk', 'inno"&amp;"vate', 'Telkomsel', 'prayer' , 'Customers', 'loyal', 'Azab', 'Telkomsel']")</f>
        <v>['Telkomsel', 'teach', 'yaa', 'customers',' loyal ',' Telkomsel ',' fortuneness', 'customers',' annoyed ',' heart ',' heart ',' annoyed ',' Customers', 'Switch', 'Telkomsel', 'Untung', 'Loss',' Operators', 'Neighbors',' Employees', 'Piracy', 'Bulk', 'innovate', 'Telkomsel', 'prayer' , 'Customers', 'loyal', 'Azab', 'Telkomsel']</v>
      </c>
      <c r="D634" s="3">
        <v>5.0</v>
      </c>
    </row>
    <row r="635" ht="15.75" customHeight="1">
      <c r="A635" s="1">
        <v>633.0</v>
      </c>
      <c r="B635" s="3" t="s">
        <v>636</v>
      </c>
      <c r="C635" s="3" t="str">
        <f>IFERROR(__xludf.DUMMYFUNCTION("GOOGLETRANSLATE(B635,""id"",""en"")"),"['report', 'clarity', 'buy', 'pulse', 'Tokopedia', 'Status',' Success', 'Prepared', 'Credit', 'Enter', 'Tokopedia', 'suggest', ' Contact ',' Telkomsel ',' clarity ',' ']")</f>
        <v>['report', 'clarity', 'buy', 'pulse', 'Tokopedia', 'Status',' Success', 'Prepared', 'Credit', 'Enter', 'Tokopedia', 'suggest', ' Contact ',' Telkomsel ',' clarity ',' ']</v>
      </c>
      <c r="D635" s="3">
        <v>1.0</v>
      </c>
    </row>
    <row r="636" ht="15.75" customHeight="1">
      <c r="A636" s="1">
        <v>634.0</v>
      </c>
      <c r="B636" s="3" t="s">
        <v>637</v>
      </c>
      <c r="C636" s="3" t="str">
        <f>IFERROR(__xludf.DUMMYFUNCTION("GOOGLETRANSLATE(B636,""id"",""en"")"),"['buy', 'package', 'package', 'provide', 'just', 'package', 'conference', 'need', 'package', 'monthly', 'Telkomsel', 'NGK', ' Bener ',' service ']")</f>
        <v>['buy', 'package', 'package', 'provide', 'just', 'package', 'conference', 'need', 'package', 'monthly', 'Telkomsel', 'NGK', ' Bener ',' service ']</v>
      </c>
      <c r="D636" s="3">
        <v>1.0</v>
      </c>
    </row>
    <row r="637" ht="15.75" customHeight="1">
      <c r="A637" s="1">
        <v>635.0</v>
      </c>
      <c r="B637" s="3" t="s">
        <v>638</v>
      </c>
      <c r="C637" s="3" t="str">
        <f>IFERROR(__xludf.DUMMYFUNCTION("GOOGLETRANSLATE(B637,""id"",""en"")"),"['Open', 'app', 'slow', 'sucked', 'quota', 'enter', 'that's',' sucked ',' kb ',' mb ',' slow ',' really ',' please ',' fixed ',' already ',' expensive ',' package ',' comfortable ']")</f>
        <v>['Open', 'app', 'slow', 'sucked', 'quota', 'enter', 'that's',' sucked ',' kb ',' mb ',' slow ',' really ',' please ',' fixed ',' already ',' expensive ',' package ',' comfortable ']</v>
      </c>
      <c r="D637" s="3">
        <v>1.0</v>
      </c>
    </row>
    <row r="638" ht="15.75" customHeight="1">
      <c r="A638" s="1">
        <v>636.0</v>
      </c>
      <c r="B638" s="3" t="s">
        <v>639</v>
      </c>
      <c r="C638" s="3" t="str">
        <f>IFERROR(__xludf.DUMMYFUNCTION("GOOGLETRANSLATE(B638,""id"",""en"")"),"['Help', 'authorized', 'network', 'troublesome', 'user', 'activity', 'network', 'media', 'social', 'buy', 'package', 'operator', ' When ',' Online ',' Online ',' Package ',' used ',' wasted ',' Sia ',' Sia ',' Times', 'Feel', 'Disturbed', 'Network', 'alre"&amp;"ady' , 'week']")</f>
        <v>['Help', 'authorized', 'network', 'troublesome', 'user', 'activity', 'network', 'media', 'social', 'buy', 'package', 'operator', ' When ',' Online ',' Online ',' Package ',' used ',' wasted ',' Sia ',' Sia ',' Times', 'Feel', 'Disturbed', 'Network', 'already' , 'week']</v>
      </c>
      <c r="D638" s="3">
        <v>1.0</v>
      </c>
    </row>
    <row r="639" ht="15.75" customHeight="1">
      <c r="A639" s="1">
        <v>637.0</v>
      </c>
      <c r="B639" s="3" t="s">
        <v>640</v>
      </c>
      <c r="C639" s="3" t="str">
        <f>IFERROR(__xludf.DUMMYFUNCTION("GOOGLETRANSLATE(B639,""id"",""en"")"),"['update', 'enter', 'anjerr', 'repaired', 'account', 'use', 'wifi', 'data', 'kaga', 'enter']")</f>
        <v>['update', 'enter', 'anjerr', 'repaired', 'account', 'use', 'wifi', 'data', 'kaga', 'enter']</v>
      </c>
      <c r="D639" s="3">
        <v>1.0</v>
      </c>
    </row>
    <row r="640" ht="15.75" customHeight="1">
      <c r="A640" s="1">
        <v>638.0</v>
      </c>
      <c r="B640" s="3" t="s">
        <v>641</v>
      </c>
      <c r="C640" s="3" t="str">
        <f>IFERROR(__xludf.DUMMYFUNCTION("GOOGLETRANSLATE(B640,""id"",""en"")"),"['Say "",' quota ',' free ',' cut ',' pulse ',' application ',' weighing ',' difficult ',' open ',' network ',' ksini ',' bnr ',' UDH ',' BYK ',' complain ',' repair ',' emang ',' quality ',' downhill ',' price ',' down ',' ']")</f>
        <v>['Say ",' quota ',' free ',' cut ',' pulse ',' application ',' weighing ',' difficult ',' open ',' network ',' ksini ',' bnr ',' UDH ',' BYK ',' complain ',' repair ',' emang ',' quality ',' downhill ',' price ',' down ',' ']</v>
      </c>
      <c r="D640" s="3">
        <v>1.0</v>
      </c>
    </row>
    <row r="641" ht="15.75" customHeight="1">
      <c r="A641" s="1">
        <v>639.0</v>
      </c>
      <c r="B641" s="3" t="s">
        <v>642</v>
      </c>
      <c r="C641" s="3" t="str">
        <f>IFERROR(__xludf.DUMMYFUNCTION("GOOGLETRANSLATE(B641,""id"",""en"")"),"['Please', 'noticed', 'Telkomsel', 'system', 'connection', 'stable', 'update', 'conversion', 'newest', 'constrained', 'stability', 'connection', ' ']")</f>
        <v>['Please', 'noticed', 'Telkomsel', 'system', 'connection', 'stable', 'update', 'conversion', 'newest', 'constrained', 'stability', 'connection', ' ']</v>
      </c>
      <c r="D641" s="3">
        <v>1.0</v>
      </c>
    </row>
    <row r="642" ht="15.75" customHeight="1">
      <c r="A642" s="1">
        <v>640.0</v>
      </c>
      <c r="B642" s="3" t="s">
        <v>643</v>
      </c>
      <c r="C642" s="3" t="str">
        <f>IFERROR(__xludf.DUMMYFUNCTION("GOOGLETRANSLATE(B642,""id"",""en"")"),"['Login', 'application', 'heavy', 'pdhl', 'signal', 'good', 'please', 'fix', 'that's',' signal ',' Telkomsel ',' good ',' area ',' pdhl ',' village ']")</f>
        <v>['Login', 'application', 'heavy', 'pdhl', 'signal', 'good', 'please', 'fix', 'that's',' signal ',' Telkomsel ',' good ',' area ',' pdhl ',' village ']</v>
      </c>
      <c r="D642" s="3">
        <v>1.0</v>
      </c>
    </row>
    <row r="643" ht="15.75" customHeight="1">
      <c r="A643" s="1">
        <v>641.0</v>
      </c>
      <c r="B643" s="3" t="s">
        <v>644</v>
      </c>
      <c r="C643" s="3" t="str">
        <f>IFERROR(__xludf.DUMMYFUNCTION("GOOGLETRANSLATE(B643,""id"",""en"")"),"['Application', 'bodies',' cook ',' buy ',' package ',' quota ',' msk ',' industries', 'application', 'charge', 'internet', 'person', ' Kalu ',' Gaperlu ',' Gaperlu ',' Data ',' cellular ',' Cellular ',' cave ',' use ',' Telkomsel ',' wasteful ',' slow ',"&amp;"' the application ',' made ' , 'complicated', '']")</f>
        <v>['Application', 'bodies',' cook ',' buy ',' package ',' quota ',' msk ',' industries', 'application', 'charge', 'internet', 'person', ' Kalu ',' Gaperlu ',' Gaperlu ',' Data ',' cellular ',' Cellular ',' cave ',' use ',' Telkomsel ',' wasteful ',' slow ',' the application ',' made ' , 'complicated', '']</v>
      </c>
      <c r="D643" s="3">
        <v>1.0</v>
      </c>
    </row>
    <row r="644" ht="15.75" customHeight="1">
      <c r="A644" s="1">
        <v>642.0</v>
      </c>
      <c r="B644" s="3" t="s">
        <v>645</v>
      </c>
      <c r="C644" s="3" t="str">
        <f>IFERROR(__xludf.DUMMYFUNCTION("GOOGLETRANSLATE(B644,""id"",""en"")"),"['Please', 'repaired', 'quota', 'ngeta', 'ngepain', 'open', 'application', 'mytelkomsel', 'please', 'disappointing']")</f>
        <v>['Please', 'repaired', 'quota', 'ngeta', 'ngepain', 'open', 'application', 'mytelkomsel', 'please', 'disappointing']</v>
      </c>
      <c r="D644" s="3">
        <v>1.0</v>
      </c>
    </row>
    <row r="645" ht="15.75" customHeight="1">
      <c r="A645" s="1">
        <v>643.0</v>
      </c>
      <c r="B645" s="3" t="s">
        <v>646</v>
      </c>
      <c r="C645" s="3" t="str">
        <f>IFERROR(__xludf.DUMMYFUNCTION("GOOGLETRANSLATE(B645,""id"",""en"")"),"['Severe', 'original', 'Telkomsel', 'already', 'defended', 'buy', 'expensive', 'want', 'quality', 'destroyed', 'card', 'regret', ' Bangt ',' customer ',' Nyari ',' satisfaction ',' price ',' buy ',' quota ',' expensive ',' cheap ',' good ',' signal ',' un"&amp;"derstand ', ""]")</f>
        <v>['Severe', 'original', 'Telkomsel', 'already', 'defended', 'buy', 'expensive', 'want', 'quality', 'destroyed', 'card', 'regret', ' Bangt ',' customer ',' Nyari ',' satisfaction ',' price ',' buy ',' quota ',' expensive ',' cheap ',' good ',' signal ',' understand ', "]</v>
      </c>
      <c r="D645" s="3">
        <v>1.0</v>
      </c>
    </row>
    <row r="646" ht="15.75" customHeight="1">
      <c r="A646" s="1">
        <v>644.0</v>
      </c>
      <c r="B646" s="3" t="s">
        <v>647</v>
      </c>
      <c r="C646" s="3" t="str">
        <f>IFERROR(__xludf.DUMMYFUNCTION("GOOGLETRANSLATE(B646,""id"",""en"")"),"['ugly', 'really', 'application', 'network', 'enter', 'difficult', 'really', 'network', 'stable', 'try', 'open', 'application', ' Current ',' smooth ',' please ',' Donk ',' repaired ',' consumer ',' disappointed ',' trimaksh ']")</f>
        <v>['ugly', 'really', 'application', 'network', 'enter', 'difficult', 'really', 'network', 'stable', 'try', 'open', 'application', ' Current ',' smooth ',' please ',' Donk ',' repaired ',' consumer ',' disappointed ',' trimaksh ']</v>
      </c>
      <c r="D646" s="3">
        <v>1.0</v>
      </c>
    </row>
    <row r="647" ht="15.75" customHeight="1">
      <c r="A647" s="1">
        <v>645.0</v>
      </c>
      <c r="B647" s="3" t="s">
        <v>648</v>
      </c>
      <c r="C647" s="3" t="str">
        <f>IFERROR(__xludf.DUMMYFUNCTION("GOOGLETRANSLATE(B647,""id"",""en"")"),"['Enter', 'Telkomsel', 'difficult', 'really', 'network', 'slow', 'crazy', 'head', 'dizziness',' makes it easier ',' ngcek ',' kouta ',' making it easier ',' make it difficult ',' fill out ',' kouta ',' bought ',' kouta ',' difficult ',' net ',' slow ',' p"&amp;"lease ',' Develop ',' Telkomsel ']")</f>
        <v>['Enter', 'Telkomsel', 'difficult', 'really', 'network', 'slow', 'crazy', 'head', 'dizziness',' makes it easier ',' ngcek ',' kouta ',' making it easier ',' make it difficult ',' fill out ',' kouta ',' bought ',' kouta ',' difficult ',' net ',' slow ',' please ',' Develop ',' Telkomsel ']</v>
      </c>
      <c r="D647" s="3">
        <v>1.0</v>
      </c>
    </row>
    <row r="648" ht="15.75" customHeight="1">
      <c r="A648" s="1">
        <v>646.0</v>
      </c>
      <c r="B648" s="3" t="s">
        <v>649</v>
      </c>
      <c r="C648" s="3" t="str">
        <f>IFERROR(__xludf.DUMMYFUNCTION("GOOGLETRANSLATE(B648,""id"",""en"")"),"['Performance', 'Application', 'Telkomsel', 'Decreases',' Maintenance ',' Bug ',' Times', 'Access',' Application ',' Loading ',' Entering ',' Number ',' Phone ',' Think ',' Many ',' times ',' Think ',' Update ',' Application ',' PlayStore ',' Update ',' S"&amp;"light ',' Please ',' Fix ',' As soon as possible , '']")</f>
        <v>['Performance', 'Application', 'Telkomsel', 'Decreases',' Maintenance ',' Bug ',' Times', 'Access',' Application ',' Loading ',' Entering ',' Number ',' Phone ',' Think ',' Many ',' times ',' Think ',' Update ',' Application ',' PlayStore ',' Update ',' Slight ',' Please ',' Fix ',' As soon as possible , '']</v>
      </c>
      <c r="D648" s="3">
        <v>1.0</v>
      </c>
    </row>
    <row r="649" ht="15.75" customHeight="1">
      <c r="A649" s="1">
        <v>647.0</v>
      </c>
      <c r="B649" s="3" t="s">
        <v>650</v>
      </c>
      <c r="C649" s="3" t="str">
        <f>IFERROR(__xludf.DUMMYFUNCTION("GOOGLETRANSLATE(B649,""id"",""en"")"),"['Sometimes',' run out ',' APK ',' enter ',' LGI ',' told ',' verification ',' already ',' verification ',' look ',' menu ',' read ',' connection ',' bad ',' try ',' connection ',' network ',' smooth ',' MB ',' ']")</f>
        <v>['Sometimes',' run out ',' APK ',' enter ',' LGI ',' told ',' verification ',' already ',' verification ',' look ',' menu ',' read ',' connection ',' bad ',' try ',' connection ',' network ',' smooth ',' MB ',' ']</v>
      </c>
      <c r="D649" s="3">
        <v>2.0</v>
      </c>
    </row>
    <row r="650" ht="15.75" customHeight="1">
      <c r="A650" s="1">
        <v>648.0</v>
      </c>
      <c r="B650" s="3" t="s">
        <v>651</v>
      </c>
      <c r="C650" s="3" t="str">
        <f>IFERROR(__xludf.DUMMYFUNCTION("GOOGLETRANSLATE(B650,""id"",""en"")"),"['Fix', 'Network', 'Update', 'Mulu', 'Update', 'Ancurr', 'Mending', 'Delete', 'Application']")</f>
        <v>['Fix', 'Network', 'Update', 'Mulu', 'Update', 'Ancurr', 'Mending', 'Delete', 'Application']</v>
      </c>
      <c r="D650" s="3">
        <v>1.0</v>
      </c>
    </row>
    <row r="651" ht="15.75" customHeight="1">
      <c r="A651" s="1">
        <v>649.0</v>
      </c>
      <c r="B651" s="3" t="s">
        <v>652</v>
      </c>
      <c r="C651" s="3" t="str">
        <f>IFERROR(__xludf.DUMMYFUNCTION("GOOGLETRANSLATE(B651,""id"",""en"")"),"['', 'ugly', 'signal', 'package', 'combo', 'subscription', 'package', 'GB', 'a month', 'support', 'work', 'nominal', 'expensive ',' actually ',' compared to ',' provider ',' package ',' entered ',' combo ',' experience ',' subscription ',' dummary ',' pac"&amp;"kage ',' combo ',' package ', 'Beres', 'usage', 'standard', 'signal', 'ugly', 'quota', 'fast', 'run out', 'kayak', 'gini', 'slide', 'provider', 'next door' ',' inhibits', 'job', ""]")</f>
        <v>['', 'ugly', 'signal', 'package', 'combo', 'subscription', 'package', 'GB', 'a month', 'support', 'work', 'nominal', 'expensive ',' actually ',' compared to ',' provider ',' package ',' entered ',' combo ',' experience ',' subscription ',' dummary ',' package ',' combo ',' package ', 'Beres', 'usage', 'standard', 'signal', 'ugly', 'quota', 'fast', 'run out', 'kayak', 'gini', 'slide', 'provider', 'next door' ',' inhibits', 'job', "]</v>
      </c>
      <c r="D651" s="3">
        <v>1.0</v>
      </c>
    </row>
    <row r="652" ht="15.75" customHeight="1">
      <c r="A652" s="1">
        <v>650.0</v>
      </c>
      <c r="B652" s="3" t="s">
        <v>653</v>
      </c>
      <c r="C652" s="3" t="str">
        <f>IFERROR(__xludf.DUMMYFUNCTION("GOOGLETRANSLATE(B652,""id"",""en"")"),"['The network', 'How', 'Take', 'Package', 'Please', 'Fix', 'Discard', 'Discard', 'Credit']")</f>
        <v>['The network', 'How', 'Take', 'Package', 'Please', 'Fix', 'Discard', 'Discard', 'Credit']</v>
      </c>
      <c r="D652" s="3">
        <v>4.0</v>
      </c>
    </row>
    <row r="653" ht="15.75" customHeight="1">
      <c r="A653" s="1">
        <v>651.0</v>
      </c>
      <c r="B653" s="3" t="s">
        <v>654</v>
      </c>
      <c r="C653" s="3" t="str">
        <f>IFERROR(__xludf.DUMMYFUNCTION("GOOGLETRANSLATE(B653,""id"",""en"")"),"['right', 'login', 'slow', 'heavy', 'gini', 'lazy', 'buy', 'package', 'updated', 'bug', 'signal', 'sometimes',' Lost ',' card ',' pulp ',' please ',' repaired ',' signal ',' appikation ',' customer ',' satisfied ',' rich ',' gini ',' please ',' as soon as"&amp;" possible , '']")</f>
        <v>['right', 'login', 'slow', 'heavy', 'gini', 'lazy', 'buy', 'package', 'updated', 'bug', 'signal', 'sometimes',' Lost ',' card ',' pulp ',' please ',' repaired ',' signal ',' appikation ',' customer ',' satisfied ',' rich ',' gini ',' please ',' as soon as possible , '']</v>
      </c>
      <c r="D653" s="3">
        <v>1.0</v>
      </c>
    </row>
    <row r="654" ht="15.75" customHeight="1">
      <c r="A654" s="1">
        <v>652.0</v>
      </c>
      <c r="B654" s="3" t="s">
        <v>655</v>
      </c>
      <c r="C654" s="3" t="str">
        <f>IFERROR(__xludf.DUMMYFUNCTION("GOOGLETRANSLATE(B654,""id"",""en"")"),"['Developer', 'Good', 'Telkomsel', 'Destroyed', 'Signal', 'Open', 'Application', 'Loading', 'All Day', 'Please', 'Fix', 'Min', ' ']")</f>
        <v>['Developer', 'Good', 'Telkomsel', 'Destroyed', 'Signal', 'Open', 'Application', 'Loading', 'All Day', 'Please', 'Fix', 'Min', ' ']</v>
      </c>
      <c r="D654" s="3">
        <v>1.0</v>
      </c>
    </row>
    <row r="655" ht="15.75" customHeight="1">
      <c r="A655" s="1">
        <v>653.0</v>
      </c>
      <c r="B655" s="3" t="s">
        <v>656</v>
      </c>
      <c r="C655" s="3" t="str">
        <f>IFERROR(__xludf.DUMMYFUNCTION("GOOGLETRANSLATE(B655,""id"",""en"")"),"['Come on', 'Login', 'then', 'Receiving', 'Magic', 'Link', 'Magic', 'Link', 'Silly', 'Enter', 'Number', 'person', ' SAFE ',' MAAP ',' APK ',' Bener ',' Ms. ',' Suggestions', ""]")</f>
        <v>['Come on', 'Login', 'then', 'Receiving', 'Magic', 'Link', 'Magic', 'Link', 'Silly', 'Enter', 'Number', 'person', ' SAFE ',' MAAP ',' APK ',' Bener ',' Ms. ',' Suggestions', "]</v>
      </c>
      <c r="D655" s="3">
        <v>1.0</v>
      </c>
    </row>
    <row r="656" ht="15.75" customHeight="1">
      <c r="A656" s="1">
        <v>654.0</v>
      </c>
      <c r="B656" s="3" t="s">
        <v>657</v>
      </c>
      <c r="C656" s="3" t="str">
        <f>IFERROR(__xludf.DUMMYFUNCTION("GOOGLETRANSLATE(B656,""id"",""en"")"),"['woy', 'kmu', 'provider', 'BUMN', 'shame', 'application', 'super', 'slow', 'signal', 'open', 'application', 'smooth', ' turn ',' open ',' application ',' slow ',' severe ',' udh ',' price ',' quota ',' mhl ',' turn ',' bli ',' package ',' open ' , 'APK',"&amp;" 'Super', 'slow', 'APK', 'PEAH', '']")</f>
        <v>['woy', 'kmu', 'provider', 'BUMN', 'shame', 'application', 'super', 'slow', 'signal', 'open', 'application', 'smooth', ' turn ',' open ',' application ',' slow ',' severe ',' udh ',' price ',' quota ',' mhl ',' turn ',' bli ',' package ',' open ' , 'APK', 'Super', 'slow', 'APK', 'PEAH', '']</v>
      </c>
      <c r="D656" s="3">
        <v>1.0</v>
      </c>
    </row>
    <row r="657" ht="15.75" customHeight="1">
      <c r="A657" s="1">
        <v>655.0</v>
      </c>
      <c r="B657" s="3" t="s">
        <v>658</v>
      </c>
      <c r="C657" s="3" t="str">
        <f>IFERROR(__xludf.DUMMYFUNCTION("GOOGLETRANSLATE(B657,""id"",""en"")"),"['Come', 'Error', 'Check', 'Quota', 'Login', 'Constrained', 'Network', 'Use', 'WiFi', 'Network', 'Stable', 'Appliced', ' Loading ',' really ',' Error ',' Mulu ',' Please ',' repaired ',' Customer ',' blur ', ""]")</f>
        <v>['Come', 'Error', 'Check', 'Quota', 'Login', 'Constrained', 'Network', 'Use', 'WiFi', 'Network', 'Stable', 'Appliced', ' Loading ',' really ',' Error ',' Mulu ',' Please ',' repaired ',' Customer ',' blur ', "]</v>
      </c>
      <c r="D657" s="3">
        <v>1.0</v>
      </c>
    </row>
    <row r="658" ht="15.75" customHeight="1">
      <c r="A658" s="1">
        <v>656.0</v>
      </c>
      <c r="B658" s="3" t="s">
        <v>659</v>
      </c>
      <c r="C658" s="3" t="str">
        <f>IFERROR(__xludf.DUMMYFUNCTION("GOOGLETRANSLATE(B658,""id"",""en"")"),"['', 'God', 'complicated', 'package', 'UDH', 'expensive', 'buy', 'package', 'difficult', 'masyaallah', 'Come on', 'Customize', 'Price ']")</f>
        <v>['', 'God', 'complicated', 'package', 'UDH', 'expensive', 'buy', 'package', 'difficult', 'masyaallah', 'Come on', 'Customize', 'Price ']</v>
      </c>
      <c r="D658" s="3">
        <v>1.0</v>
      </c>
    </row>
    <row r="659" ht="15.75" customHeight="1">
      <c r="A659" s="1">
        <v>657.0</v>
      </c>
      <c r="B659" s="3" t="s">
        <v>660</v>
      </c>
      <c r="C659" s="3" t="str">
        <f>IFERROR(__xludf.DUMMYFUNCTION("GOOGLETRANSLATE(B659,""id"",""en"")"),"['buy', 'quota', 'data', 'already', 'slow', 'regret', 'buy', 'expensive', 'expensive', 'signal', 'slow', 'sorted', ' Telkomsel ',' already ',' bankrupt ', ""]")</f>
        <v>['buy', 'quota', 'data', 'already', 'slow', 'regret', 'buy', 'expensive', 'expensive', 'signal', 'slow', 'sorted', ' Telkomsel ',' already ',' bankrupt ', "]</v>
      </c>
      <c r="D659" s="3">
        <v>1.0</v>
      </c>
    </row>
    <row r="660" ht="15.75" customHeight="1">
      <c r="A660" s="1">
        <v>658.0</v>
      </c>
      <c r="B660" s="3" t="s">
        <v>661</v>
      </c>
      <c r="C660" s="3" t="str">
        <f>IFERROR(__xludf.DUMMYFUNCTION("GOOGLETRANSLATE(B660,""id"",""en"")"),"['disappointing', 'open', 'apk', 'slow', 'quality', 'detrimental', 'customer', 'sangaaaattt', 'Mutuu', 'disappointing', '']")</f>
        <v>['disappointing', 'open', 'apk', 'slow', 'quality', 'detrimental', 'customer', 'sangaaaattt', 'Mutuu', 'disappointing', '']</v>
      </c>
      <c r="D660" s="3">
        <v>1.0</v>
      </c>
    </row>
    <row r="661" ht="15.75" customHeight="1">
      <c r="A661" s="1">
        <v>659.0</v>
      </c>
      <c r="B661" s="3" t="s">
        <v>662</v>
      </c>
      <c r="C661" s="3" t="str">
        <f>IFERROR(__xludf.DUMMYFUNCTION("GOOGLETRANSLATE(B661,""id"",""en"")"),"['Login', 'Difficult', 'Bngt', 'Sinylny', 'Bgus',' Really ',' LGi ',' Please ',' Sis', 'Fix', 'Please', 'Price', ' quota ',' Jan ',' expensive ',' sekrang ',' pandemic ',' difficult ',' nugas', 'jngann', 'bhasaaa', 'English', 'tmbh', 'write']")</f>
        <v>['Login', 'Difficult', 'Bngt', 'Sinylny', 'Bgus',' Really ',' LGi ',' Please ',' Sis', 'Fix', 'Please', 'Price', ' quota ',' Jan ',' expensive ',' sekrang ',' pandemic ',' difficult ',' nugas', 'jngann', 'bhasaaa', 'English', 'tmbh', 'write']</v>
      </c>
      <c r="D661" s="3">
        <v>2.0</v>
      </c>
    </row>
    <row r="662" ht="15.75" customHeight="1">
      <c r="A662" s="1">
        <v>660.0</v>
      </c>
      <c r="B662" s="3" t="s">
        <v>663</v>
      </c>
      <c r="C662" s="3" t="str">
        <f>IFERROR(__xludf.DUMMYFUNCTION("GOOGLETRANSLATE(B662,""id"",""en"")"),"['Telkomsel', 'Kontoll', 'love', 'star', 'Sudi', 'uda', 'buy', 'package', 'expensive', 'network', 'lost', 'city', ' Begoo ',' Overcome ',' Times', 'Use', 'Telkomsel', 'BNGS', ""]")</f>
        <v>['Telkomsel', 'Kontoll', 'love', 'star', 'Sudi', 'uda', 'buy', 'package', 'expensive', 'network', 'lost', 'city', ' Begoo ',' Overcome ',' Times', 'Use', 'Telkomsel', 'BNGS', "]</v>
      </c>
      <c r="D662" s="3">
        <v>1.0</v>
      </c>
    </row>
    <row r="663" ht="15.75" customHeight="1">
      <c r="A663" s="1">
        <v>661.0</v>
      </c>
      <c r="B663" s="3" t="s">
        <v>664</v>
      </c>
      <c r="C663" s="3" t="str">
        <f>IFERROR(__xludf.DUMMYFUNCTION("GOOGLETRANSLATE(B663,""id"",""en"")"),"['Good', 'Telkomsel', 'already', 'Rich', 'Tuker', 'Points',' Package ',' Data ',' Pay ',' Credit ',' Skarang ',' Tuker ',' Points', 'Packages',' Data ',' Pay ',' Credit ',' Litu ',' Buy ',' Package ',' Data ',' Credit ',' Price ',' Package ',' Expensive '"&amp;" , 'Quality', 'Network', 'Good']")</f>
        <v>['Good', 'Telkomsel', 'already', 'Rich', 'Tuker', 'Points',' Package ',' Data ',' Pay ',' Credit ',' Skarang ',' Tuker ',' Points', 'Packages',' Data ',' Pay ',' Credit ',' Litu ',' Buy ',' Package ',' Data ',' Credit ',' Price ',' Package ',' Expensive ' , 'Quality', 'Network', 'Good']</v>
      </c>
      <c r="D663" s="3">
        <v>1.0</v>
      </c>
    </row>
    <row r="664" ht="15.75" customHeight="1">
      <c r="A664" s="1">
        <v>662.0</v>
      </c>
      <c r="B664" s="3" t="s">
        <v>665</v>
      </c>
      <c r="C664" s="3" t="str">
        <f>IFERROR(__xludf.DUMMYFUNCTION("GOOGLETRANSLATE(B664,""id"",""en"")"),"['Sometimes',' Ter ',' Log ',' Out ',' Automatic ',' Application ',' MyTelkomsel ',' Log ',' Out ',' Account ',' Application ',' Please ',' Improvements', 'extra', 'star', 'filled', '']")</f>
        <v>['Sometimes',' Ter ',' Log ',' Out ',' Automatic ',' Application ',' MyTelkomsel ',' Log ',' Out ',' Account ',' Application ',' Please ',' Improvements', 'extra', 'star', 'filled', '']</v>
      </c>
      <c r="D664" s="3">
        <v>1.0</v>
      </c>
    </row>
    <row r="665" ht="15.75" customHeight="1">
      <c r="A665" s="1">
        <v>663.0</v>
      </c>
      <c r="B665" s="3" t="s">
        <v>666</v>
      </c>
      <c r="C665" s="3" t="str">
        <f>IFERROR(__xludf.DUMMYFUNCTION("GOOGLETRANSLATE(B665,""id"",""en"")"),"['Down', 'Grade', 'APK', 'Provider', 'Kayak', 'Gini', 'Gada', 'Improvement', 'Features',' Complaint ',' Apply ',' Reply ',' Divert ',' APK ',' situ ',' already ',' Gaberani ',' The ',' point ',' price ',' doang ',' expensive ',' quality ',' zero ']")</f>
        <v>['Down', 'Grade', 'APK', 'Provider', 'Kayak', 'Gini', 'Gada', 'Improvement', 'Features',' Complaint ',' Apply ',' Reply ',' Divert ',' APK ',' situ ',' already ',' Gaberani ',' The ',' point ',' price ',' doang ',' expensive ',' quality ',' zero ']</v>
      </c>
      <c r="D665" s="3">
        <v>1.0</v>
      </c>
    </row>
    <row r="666" ht="15.75" customHeight="1">
      <c r="A666" s="1">
        <v>664.0</v>
      </c>
      <c r="B666" s="3" t="s">
        <v>667</v>
      </c>
      <c r="C666" s="3" t="str">
        <f>IFERROR(__xludf.DUMMYFUNCTION("GOOGLETRANSLATE(B666,""id"",""en"")"),"['Application', 'Taik', 'Open', 'App', 'BSA', 'BET', 'Loading', 'Mulu', 'Network', 'Stable', 'TPI', 'BSA', ' Loading ',' App ',' Shy ',' Telkomsel ',' Buy ',' Package ',' Jga ',' Msh ',' left ',' already ',' Top ',' pulse ',' Jga ' , 'ehh', 'purchase', 'S"&amp;"UCCESS', 'TPI', 'SMS', 'enter', 'Koutaa', 'entry', 'regret', 'use', 'Telkom']")</f>
        <v>['Application', 'Taik', 'Open', 'App', 'BSA', 'BET', 'Loading', 'Mulu', 'Network', 'Stable', 'TPI', 'BSA', ' Loading ',' App ',' Shy ',' Telkomsel ',' Buy ',' Package ',' Jga ',' Msh ',' left ',' already ',' Top ',' pulse ',' Jga ' , 'ehh', 'purchase', 'SUCCESS', 'TPI', 'SMS', 'enter', 'Koutaa', 'entry', 'regret', 'use', 'Telkom']</v>
      </c>
      <c r="D666" s="3">
        <v>1.0</v>
      </c>
    </row>
    <row r="667" ht="15.75" customHeight="1">
      <c r="A667" s="1">
        <v>665.0</v>
      </c>
      <c r="B667" s="3" t="s">
        <v>668</v>
      </c>
      <c r="C667" s="3" t="str">
        <f>IFERROR(__xludf.DUMMYFUNCTION("GOOGLETRANSLATE(B667,""id"",""en"")"),"['Log', 'Telkomsel', 'Error', 'Package', 'Card', 'Hallo', 'Network', 'Lemot', 'Telkomsel', 'Service', 'Seburuk', 'PDAH', ' Signal ',' strong ',' DRPDA ',' Provider ',' Rolong ',' Note ',' complaints', 'Consumers',' See ',' Reviews', 'complaints',' improve"&amp;"ment ',' improvement ' , 'service', 'please', 'responded', 'darling', 'consumer', 'moved', 'provider', 'offer', 'signal', 'service', ""]")</f>
        <v>['Log', 'Telkomsel', 'Error', 'Package', 'Card', 'Hallo', 'Network', 'Lemot', 'Telkomsel', 'Service', 'Seburuk', 'PDAH', ' Signal ',' strong ',' DRPDA ',' Provider ',' Rolong ',' Note ',' complaints', 'Consumers',' See ',' Reviews', 'complaints',' improvement ',' improvement ' , 'service', 'please', 'responded', 'darling', 'consumer', 'moved', 'provider', 'offer', 'signal', 'service', "]</v>
      </c>
      <c r="D667" s="3">
        <v>1.0</v>
      </c>
    </row>
    <row r="668" ht="15.75" customHeight="1">
      <c r="A668" s="1">
        <v>666.0</v>
      </c>
      <c r="B668" s="3" t="s">
        <v>669</v>
      </c>
      <c r="C668" s="3" t="str">
        <f>IFERROR(__xludf.DUMMYFUNCTION("GOOGLETRANSLATE(B668,""id"",""en"")"),"['slow', 'the application', 'right', 'check', 'Play', 'Store', 'update', 'right', 'update', 'please', 'fix', 'sometimes' network ',' slow ',' indications', 'network', 'full']")</f>
        <v>['slow', 'the application', 'right', 'check', 'Play', 'Store', 'update', 'right', 'update', 'please', 'fix', 'sometimes' network ',' slow ',' indications', 'network', 'full']</v>
      </c>
      <c r="D668" s="3">
        <v>1.0</v>
      </c>
    </row>
    <row r="669" ht="15.75" customHeight="1">
      <c r="A669" s="1">
        <v>667.0</v>
      </c>
      <c r="B669" s="3" t="s">
        <v>670</v>
      </c>
      <c r="C669" s="3" t="str">
        <f>IFERROR(__xludf.DUMMYFUNCTION("GOOGLETRANSLATE(B669,""id"",""en"")"),"['Telkomsel', 'buy', 'package', 'expensive', 'TPI', 'network', 'disappear', 'expensive', 'package', 'customer', 'results',' satisfying ',' package ',' TPI ',' Network ',' kagak ']")</f>
        <v>['Telkomsel', 'buy', 'package', 'expensive', 'TPI', 'network', 'disappear', 'expensive', 'package', 'customer', 'results',' satisfying ',' package ',' TPI ',' Network ',' kagak ']</v>
      </c>
      <c r="D669" s="3">
        <v>2.0</v>
      </c>
    </row>
    <row r="670" ht="15.75" customHeight="1">
      <c r="A670" s="1">
        <v>668.0</v>
      </c>
      <c r="B670" s="3" t="s">
        <v>671</v>
      </c>
      <c r="C670" s="3" t="str">
        <f>IFERROR(__xludf.DUMMYFUNCTION("GOOGLETRANSLATE(B670,""id"",""en"")"),"['trash', 'throw', 'login', 'failed', 'intention', 'manage', 'application', 'mending', 'waste', 'leisure', 'application', ' ']")</f>
        <v>['trash', 'throw', 'login', 'failed', 'intention', 'manage', 'application', 'mending', 'waste', 'leisure', 'application', ' ']</v>
      </c>
      <c r="D670" s="3">
        <v>1.0</v>
      </c>
    </row>
    <row r="671" ht="15.75" customHeight="1">
      <c r="A671" s="1">
        <v>669.0</v>
      </c>
      <c r="B671" s="3" t="s">
        <v>672</v>
      </c>
      <c r="C671" s="3" t="str">
        <f>IFERROR(__xludf.DUMMYFUNCTION("GOOGLETRANSLATE(B671,""id"",""en"")"),"['Since', 'migration', 'card', 'Hello', 'Sinyal', 'Damaged', 'Login', 'APK', 'Disconnect', 'Quota', 'Different', 'Card', ' Ngellag ',' Sampek ',' disconnect ',' repeat ',' times', 'loss',' tomorrow ',' pay ',' expensive ',' expensive ',' service ',' kayak"&amp;" ',' please ' , 'Telkomsel', 'card', 'card', 'prime']")</f>
        <v>['Since', 'migration', 'card', 'Hello', 'Sinyal', 'Damaged', 'Login', 'APK', 'Disconnect', 'Quota', 'Different', 'Card', ' Ngellag ',' Sampek ',' disconnect ',' repeat ',' times', 'loss',' tomorrow ',' pay ',' expensive ',' expensive ',' service ',' kayak ',' please ' , 'Telkomsel', 'card', 'card', 'prime']</v>
      </c>
      <c r="D671" s="3">
        <v>1.0</v>
      </c>
    </row>
    <row r="672" ht="15.75" customHeight="1">
      <c r="A672" s="1">
        <v>670.0</v>
      </c>
      <c r="B672" s="3" t="s">
        <v>673</v>
      </c>
      <c r="C672" s="3" t="str">
        <f>IFERROR(__xludf.DUMMYFUNCTION("GOOGLETRANSLATE(B672,""id"",""en"")"),"['Waiting', 'Results',' Telkomsel ',' fruitful ',' Results', 'Contact', 'Customer', 'Many', 'Follow', 'Follow', 'Waiting', 'Confirm', ' Please ',' Policy ',' Telkomsel ',' Rinking ',' complaints', 'Customer', 'harmed', 'buy', 'quota', 'worth', 'rb', 'faci"&amp;"lity', 'compensation' , 'Ato', 'Change', 'Loss']")</f>
        <v>['Waiting', 'Results',' Telkomsel ',' fruitful ',' Results', 'Contact', 'Customer', 'Many', 'Follow', 'Follow', 'Waiting', 'Confirm', ' Please ',' Policy ',' Telkomsel ',' Rinking ',' complaints', 'Customer', 'harmed', 'buy', 'quota', 'worth', 'rb', 'facility', 'compensation' , 'Ato', 'Change', 'Loss']</v>
      </c>
      <c r="D672" s="3">
        <v>1.0</v>
      </c>
    </row>
    <row r="673" ht="15.75" customHeight="1">
      <c r="A673" s="1">
        <v>671.0</v>
      </c>
      <c r="B673" s="3" t="s">
        <v>674</v>
      </c>
      <c r="C673" s="3" t="str">
        <f>IFERROR(__xludf.DUMMYFUNCTION("GOOGLETRANSLATE(B673,""id"",""en"")"),"['network', 'destroyed', 'disappointed', 'login', 'told', 'login', 'reset', 'complaint', 'signal', 'package', 'enter', 'pulse', ' Suck ',' Do ',' Action ',' Lazy ',' Fix ',' User ',' Comfortable ',' APK ',' Suggest ',' Fix ',' Complaint ',' User ',' Switc"&amp;"h ' , 'Developer', 'Please', 'Read', 'Respond', ""]")</f>
        <v>['network', 'destroyed', 'disappointed', 'login', 'told', 'login', 'reset', 'complaint', 'signal', 'package', 'enter', 'pulse', ' Suck ',' Do ',' Action ',' Lazy ',' Fix ',' User ',' Comfortable ',' APK ',' Suggest ',' Fix ',' Complaint ',' User ',' Switch ' , 'Developer', 'Please', 'Read', 'Respond', "]</v>
      </c>
      <c r="D673" s="3">
        <v>1.0</v>
      </c>
    </row>
    <row r="674" ht="15.75" customHeight="1">
      <c r="A674" s="1">
        <v>672.0</v>
      </c>
      <c r="B674" s="3" t="s">
        <v>675</v>
      </c>
      <c r="C674" s="3" t="str">
        <f>IFERROR(__xludf.DUMMYFUNCTION("GOOGLETRANSLATE(B674,""id"",""en"")"),"['Provider', 'Telkom', 'coercion', 'number', 'buy', 'package', 'option', 'expensive', 'forced', 'buy', 'need', 'menu', ' Choice ',' Package ',' Different ',' Number ',' Promo ',' Cheap ',' Thinking ',' Number ',' Move ',' Provider ',' That's', 'Hard', 'Br"&amp;"o' , 'love', 'relief', 'customers', 'loyal', 'lead', 'Telkomsel', 'customers', 'loyal', 'blur', 'provider', ""]")</f>
        <v>['Provider', 'Telkom', 'coercion', 'number', 'buy', 'package', 'option', 'expensive', 'forced', 'buy', 'need', 'menu', ' Choice ',' Package ',' Different ',' Number ',' Promo ',' Cheap ',' Thinking ',' Number ',' Move ',' Provider ',' That's', 'Hard', 'Bro' , 'love', 'relief', 'customers', 'loyal', 'lead', 'Telkomsel', 'customers', 'loyal', 'blur', 'provider', "]</v>
      </c>
      <c r="D674" s="3">
        <v>1.0</v>
      </c>
    </row>
    <row r="675" ht="15.75" customHeight="1">
      <c r="A675" s="1">
        <v>673.0</v>
      </c>
      <c r="B675" s="3" t="s">
        <v>676</v>
      </c>
      <c r="C675" s="3" t="str">
        <f>IFERROR(__xludf.DUMMYFUNCTION("GOOGLETRANSLATE(B675,""id"",""en"")"),"['', 'Numpang', 'ask', 'Purchase', 'Package', 'Combo', 'Sakti', 'Method', 'Payment', 'Fund', 'Connection', 'Error', 'right ',' Pay ',' Signal ',' Internet ',' Stable ',' ']")</f>
        <v>['', 'Numpang', 'ask', 'Purchase', 'Package', 'Combo', 'Sakti', 'Method', 'Payment', 'Fund', 'Connection', 'Error', 'right ',' Pay ',' Signal ',' Internet ',' Stable ',' ']</v>
      </c>
      <c r="D675" s="3">
        <v>1.0</v>
      </c>
    </row>
    <row r="676" ht="15.75" customHeight="1">
      <c r="A676" s="1">
        <v>674.0</v>
      </c>
      <c r="B676" s="3" t="s">
        <v>677</v>
      </c>
      <c r="C676" s="3" t="str">
        <f>IFERROR(__xludf.DUMMYFUNCTION("GOOGLETRANSLATE(B676,""id"",""en"")"),"['Time', 'tried', 'buy', 'pulse', 'rb', 'apk', 'enter', 'telephone', 'cs',' diblg ',' process', 'clock', ' Buy ',' Package ',' Forced ',' Buy ',' Credit ',' Mbanking ',' Mending ',' Mbanking ',' Credit ',' Enter ',' waah ',' brrti ',' Telkomsel ' , 'Ngani"&amp;"', 'Rb', 'Min', 'Asem', '']")</f>
        <v>['Time', 'tried', 'buy', 'pulse', 'rb', 'apk', 'enter', 'telephone', 'cs',' diblg ',' process', 'clock', ' Buy ',' Package ',' Forced ',' Buy ',' Credit ',' Mbanking ',' Mending ',' Mbanking ',' Credit ',' Enter ',' waah ',' brrti ',' Telkomsel ' , 'Ngani', 'Rb', 'Min', 'Asem', '']</v>
      </c>
      <c r="D676" s="3">
        <v>3.0</v>
      </c>
    </row>
    <row r="677" ht="15.75" customHeight="1">
      <c r="A677" s="1">
        <v>675.0</v>
      </c>
      <c r="B677" s="3" t="s">
        <v>678</v>
      </c>
      <c r="C677" s="3" t="str">
        <f>IFERROR(__xludf.DUMMYFUNCTION("GOOGLETRANSLATE(B677,""id"",""en"")"),"['Excuse', 'repaired', 'APK', 'Login', 'Difficult', 'Buy', 'Package', 'APK', 'Kayak', 'Error', 'Litu', 'Gini', ' ihh ',' already ',' clear ',' cache ',' forced ',' stop ',' macem ',' tetep ',' ']")</f>
        <v>['Excuse', 'repaired', 'APK', 'Login', 'Difficult', 'Buy', 'Package', 'APK', 'Kayak', 'Error', 'Litu', 'Gini', ' ihh ',' already ',' clear ',' cache ',' forced ',' stop ',' macem ',' tetep ',' ']</v>
      </c>
      <c r="D677" s="3">
        <v>1.0</v>
      </c>
    </row>
    <row r="678" ht="15.75" customHeight="1">
      <c r="A678" s="1">
        <v>676.0</v>
      </c>
      <c r="B678" s="3" t="s">
        <v>679</v>
      </c>
      <c r="C678" s="3" t="str">
        <f>IFERROR(__xludf.DUMMYFUNCTION("GOOGLETRANSLATE(B678,""id"",""en"")"),"['many years', 'use', 'Telkomsel', 'gift', 'Telkomsel', 'Points', 'sucks', 'minimal', 'motor', 'car', 'so', '']")</f>
        <v>['many years', 'use', 'Telkomsel', 'gift', 'Telkomsel', 'Points', 'sucks', 'minimal', 'motor', 'car', 'so', '']</v>
      </c>
      <c r="D678" s="3">
        <v>2.0</v>
      </c>
    </row>
    <row r="679" ht="15.75" customHeight="1">
      <c r="A679" s="1">
        <v>677.0</v>
      </c>
      <c r="B679" s="3" t="s">
        <v>680</v>
      </c>
      <c r="C679" s="3" t="str">
        <f>IFERROR(__xludf.DUMMYFUNCTION("GOOGLETRANSLATE(B679,""id"",""en"")"),"['Service', 'ugly', 'signal', 'forgiveness',' Lola ',' chat ',' admin ',' bls', 'both', 'entry', 'application', 'entry', ' Really ',' ATOH ',' Discard ',' NOT ',' Easy to ',' Costumer ']")</f>
        <v>['Service', 'ugly', 'signal', 'forgiveness',' Lola ',' chat ',' admin ',' bls', 'both', 'entry', 'application', 'entry', ' Really ',' ATOH ',' Discard ',' NOT ',' Easy to ',' Costumer ']</v>
      </c>
      <c r="D679" s="3">
        <v>1.0</v>
      </c>
    </row>
    <row r="680" ht="15.75" customHeight="1">
      <c r="A680" s="1">
        <v>678.0</v>
      </c>
      <c r="B680" s="3" t="s">
        <v>681</v>
      </c>
      <c r="C680" s="3" t="str">
        <f>IFERROR(__xludf.DUMMYFUNCTION("GOOGLETRANSLATE(B680,""id"",""en"")"),"['Original', 'chaotic', 'network', 'Telkomsel', 'ugly', 'udh', 'buy', 'package', 'expensive', 'network', 'super', 'duper', ' slow ',' UDH ',' subscription ',' times', 'disappointed', 'Telkomsel', ""]")</f>
        <v>['Original', 'chaotic', 'network', 'Telkomsel', 'ugly', 'udh', 'buy', 'package', 'expensive', 'network', 'super', 'duper', ' slow ',' UDH ',' subscription ',' times', 'disappointed', 'Telkomsel', "]</v>
      </c>
      <c r="D680" s="3">
        <v>1.0</v>
      </c>
    </row>
    <row r="681" ht="15.75" customHeight="1">
      <c r="A681" s="1">
        <v>679.0</v>
      </c>
      <c r="B681" s="3" t="s">
        <v>682</v>
      </c>
      <c r="C681" s="3" t="str">
        <f>IFERROR(__xludf.DUMMYFUNCTION("GOOGLETRANSLATE(B681,""id"",""en"")"),"['signal', 'signal', 'ngak', 'quality', 'ngak', 'quality', 'right', 'play', 'game', 'lagsung', 'move', 'ngak', ' Ngak ',' road ',' play ',' clock ',' morning ',' until ',' clock ',' axis', 'indosat', 'clock', 'that way', 'ngak', 'ngelang' , 'economical', "&amp;"'cheap', 'already', 'expensive', 'ngak', 'signal', 'ngak', 'free', 'disappointed', 'staple', 'telekomosel', 'ngak', ' Fill ',' Voucher ',' Credit ',' Come on ',' Telkomsel ',' Fraud ',' Signal ',' Okay ',' Bagusan ',' AXIS ',' INDOSAT ',' IM ',' ']")</f>
        <v>['signal', 'signal', 'ngak', 'quality', 'ngak', 'quality', 'right', 'play', 'game', 'lagsung', 'move', 'ngak', ' Ngak ',' road ',' play ',' clock ',' morning ',' until ',' clock ',' axis', 'indosat', 'clock', 'that way', 'ngak', 'ngelang' , 'economical', 'cheap', 'already', 'expensive', 'ngak', 'signal', 'ngak', 'free', 'disappointed', 'staple', 'telekomosel', 'ngak', ' Fill ',' Voucher ',' Credit ',' Come on ',' Telkomsel ',' Fraud ',' Signal ',' Okay ',' Bagusan ',' AXIS ',' INDOSAT ',' IM ',' ']</v>
      </c>
      <c r="D681" s="3">
        <v>1.0</v>
      </c>
    </row>
    <row r="682" ht="15.75" customHeight="1">
      <c r="A682" s="1">
        <v>680.0</v>
      </c>
      <c r="B682" s="3" t="s">
        <v>683</v>
      </c>
      <c r="C682" s="3" t="str">
        <f>IFERROR(__xludf.DUMMYFUNCTION("GOOGLETRANSLATE(B682,""id"",""en"")"),"['move', 'card', 'play', 'game', 'smooth', 'move', 'Telkomsel', 'play', 'game', 'threat', 'times',' lose ',' Disconnect ',' connection ',' Ngelag ',' repeated ',' Thank you ',' Telkomsel ']")</f>
        <v>['move', 'card', 'play', 'game', 'smooth', 'move', 'Telkomsel', 'play', 'game', 'threat', 'times',' lose ',' Disconnect ',' connection ',' Ngelag ',' repeated ',' Thank you ',' Telkomsel ']</v>
      </c>
      <c r="D682" s="3">
        <v>1.0</v>
      </c>
    </row>
    <row r="683" ht="15.75" customHeight="1">
      <c r="A683" s="1">
        <v>681.0</v>
      </c>
      <c r="B683" s="3" t="s">
        <v>684</v>
      </c>
      <c r="C683" s="3" t="str">
        <f>IFERROR(__xludf.DUMMYFUNCTION("GOOGLETRANSLATE(B683,""id"",""en"")"),"['a year', 'in the area', 'Telkomsel', 'slow', 'rich', 'snail', 'network', 'lose', 'yellow', 'smpai', 'ttep', 'slow', ' Termbah ',' signal ',' urgent ',' quality ',' connection ',' network ',' comparable ',' price ',' package ',' feel ',' buy ',' quota ',"&amp;"' subsidy ' , 'internet', 'clock', 'morning', 'doang', 'and then', 'speed', 'mentok', 'kbps']")</f>
        <v>['a year', 'in the area', 'Telkomsel', 'slow', 'rich', 'snail', 'network', 'lose', 'yellow', 'smpai', 'ttep', 'slow', ' Termbah ',' signal ',' urgent ',' quality ',' connection ',' network ',' comparable ',' price ',' package ',' feel ',' buy ',' quota ',' subsidy ' , 'internet', 'clock', 'morning', 'doang', 'and then', 'speed', 'mentok', 'kbps']</v>
      </c>
      <c r="D683" s="3">
        <v>1.0</v>
      </c>
    </row>
    <row r="684" ht="15.75" customHeight="1">
      <c r="A684" s="1">
        <v>682.0</v>
      </c>
      <c r="B684" s="3" t="s">
        <v>685</v>
      </c>
      <c r="C684" s="3" t="str">
        <f>IFERROR(__xludf.DUMMYFUNCTION("GOOGLETRANSLATE(B684,""id"",""en"")"),"['Kasi', 'star', 'a week', 'dropped', 'drastically', 'signal', 'AncoOrrr', 'Suff', 'Customer', 'loyal', 'Gini', 'Original', ' Gedek ',' Recommend ',' Family ',' MANYUN ',' MANYUN ',' Signal ',' Telkomsel ',' Severe ',' Improved ',' Buy ',' Paketan ',' Exp"&amp;"ensive ',' Signal ' , 'Rely on', 'disappointed', 'severe', 'service', 'skrg']")</f>
        <v>['Kasi', 'star', 'a week', 'dropped', 'drastically', 'signal', 'AncoOrrr', 'Suff', 'Customer', 'loyal', 'Gini', 'Original', ' Gedek ',' Recommend ',' Family ',' MANYUN ',' MANYUN ',' Signal ',' Telkomsel ',' Severe ',' Improved ',' Buy ',' Paketan ',' Expensive ',' Signal ' , 'Rely on', 'disappointed', 'severe', 'service', 'skrg']</v>
      </c>
      <c r="D684" s="3">
        <v>1.0</v>
      </c>
    </row>
    <row r="685" ht="15.75" customHeight="1">
      <c r="A685" s="1">
        <v>683.0</v>
      </c>
      <c r="B685" s="3" t="s">
        <v>686</v>
      </c>
      <c r="C685" s="3" t="str">
        <f>IFERROR(__xludf.DUMMYFUNCTION("GOOGLETRANSLATE(B685,""id"",""en"")"),"['Price', 'expensive', 'slow', 'forgiveness',' night ',' network ',' unlimited ',' network ',' slow ',' mending ',' replace ',' provider ',' Stayed ',' Tangerang ',' how ',' remote ', ""]")</f>
        <v>['Price', 'expensive', 'slow', 'forgiveness',' night ',' network ',' unlimited ',' network ',' slow ',' mending ',' replace ',' provider ',' Stayed ',' Tangerang ',' how ',' remote ', "]</v>
      </c>
      <c r="D685" s="3">
        <v>1.0</v>
      </c>
    </row>
    <row r="686" ht="15.75" customHeight="1">
      <c r="A686" s="1">
        <v>684.0</v>
      </c>
      <c r="B686" s="3" t="s">
        <v>687</v>
      </c>
      <c r="C686" s="3" t="str">
        <f>IFERROR(__xludf.DUMMYFUNCTION("GOOGLETRANSLATE(B686,""id"",""en"")"),"['Gikasih', 'Kenceng', 'Buset', 'Delicious',' Really ',' Signal ',' Down ',' Berebelin ',' Notification ',' Auto ',' Direct ',' Change ',' card ',' provider ',' until ',' signal ',' normal ']")</f>
        <v>['Gikasih', 'Kenceng', 'Buset', 'Delicious',' Really ',' Signal ',' Down ',' Berebelin ',' Notification ',' Auto ',' Direct ',' Change ',' card ',' provider ',' until ',' signal ',' normal ']</v>
      </c>
      <c r="D686" s="3">
        <v>4.0</v>
      </c>
    </row>
    <row r="687" ht="15.75" customHeight="1">
      <c r="A687" s="1">
        <v>685.0</v>
      </c>
      <c r="B687" s="3" t="s">
        <v>688</v>
      </c>
      <c r="C687" s="3" t="str">
        <f>IFERROR(__xludf.DUMMYFUNCTION("GOOGLETRANSLATE(B687,""id"",""en"")"),"['Brand', 'BUMN', 'Feet', 'Application', 'Error', 'Network', 'The weakest', 'Class',' Stay ',' Love ',' Star ',' his employees', ' Love ',' Bintang ',' ']")</f>
        <v>['Brand', 'BUMN', 'Feet', 'Application', 'Error', 'Network', 'The weakest', 'Class',' Stay ',' Love ',' Star ',' his employees', ' Love ',' Bintang ',' ']</v>
      </c>
      <c r="D687" s="3">
        <v>1.0</v>
      </c>
    </row>
    <row r="688" ht="15.75" customHeight="1">
      <c r="A688" s="1">
        <v>686.0</v>
      </c>
      <c r="B688" s="3" t="s">
        <v>689</v>
      </c>
      <c r="C688" s="3" t="str">
        <f>IFERROR(__xludf.DUMMYFUNCTION("GOOGLETRANSLATE(B688,""id"",""en"")"),"['Disappointed', 'connection', 'internet', 'Telkomsel', 'bad', 'connection', 'internet', 'loss',' work ',' mess', 'Gara', 'bad', ' Network ',' Internet ',' Telkomsel ',' Please ',' Sorry ',' Say ',' Thank ',' Love ', ""]")</f>
        <v>['Disappointed', 'connection', 'internet', 'Telkomsel', 'bad', 'connection', 'internet', 'loss',' work ',' mess', 'Gara', 'bad', ' Network ',' Internet ',' Telkomsel ',' Please ',' Sorry ',' Say ',' Thank ',' Love ', "]</v>
      </c>
      <c r="D688" s="3">
        <v>1.0</v>
      </c>
    </row>
    <row r="689" ht="15.75" customHeight="1">
      <c r="A689" s="1">
        <v>687.0</v>
      </c>
      <c r="B689" s="3" t="s">
        <v>690</v>
      </c>
      <c r="C689" s="3" t="str">
        <f>IFERROR(__xludf.DUMMYFUNCTION("GOOGLETRANSLATE(B689,""id"",""en"")"),"['Telkomsel', 'please', 'fix', 'network', 'internet', 'switch', 'expensive', 'slow', 'work', 'disrupted', '']")</f>
        <v>['Telkomsel', 'please', 'fix', 'network', 'internet', 'switch', 'expensive', 'slow', 'work', 'disrupted', '']</v>
      </c>
      <c r="D689" s="3">
        <v>1.0</v>
      </c>
    </row>
    <row r="690" ht="15.75" customHeight="1">
      <c r="A690" s="1">
        <v>688.0</v>
      </c>
      <c r="B690" s="3" t="s">
        <v>691</v>
      </c>
      <c r="C690" s="3" t="str">
        <f>IFERROR(__xludf.DUMMYFUNCTION("GOOGLETRANSLATE(B690,""id"",""en"")"),"['Severe', 'Telkomsel', 'buy', 'quota', 'network', 'slow', 'sometimes',' connection ',' internet ',' moved ',' kek ',' gini ',' Profit ',' Doank ',' Gede ',' Customer ',' Customer ',' Quota ',' Gede ',' Powered ',' Discard ',' Want ',' Talk ',' Rough ', "&amp;"""]")</f>
        <v>['Severe', 'Telkomsel', 'buy', 'quota', 'network', 'slow', 'sometimes',' connection ',' internet ',' moved ',' kek ',' gini ',' Profit ',' Doank ',' Gede ',' Customer ',' Customer ',' Quota ',' Gede ',' Powered ',' Discard ',' Want ',' Talk ',' Rough ', "]</v>
      </c>
      <c r="D690" s="3">
        <v>1.0</v>
      </c>
    </row>
    <row r="691" ht="15.75" customHeight="1">
      <c r="A691" s="1">
        <v>689.0</v>
      </c>
      <c r="B691" s="3" t="s">
        <v>692</v>
      </c>
      <c r="C691" s="3" t="str">
        <f>IFERROR(__xludf.DUMMYFUNCTION("GOOGLETRANSLATE(B691,""id"",""en"")"),"['Disappointed', 'because', 'play', 'game', 'signal', 'Selau', 'setabilia', 'missing', 'good', 'already', 'banting', 'because' signal ',' Telkomsel ',' War ',' ping it ',' motion ',' dead ',' rich ',' gini ',' move ',' please ',' concerned ',' take ',' ac"&amp;"tion ' , 'disappointing', 'signal', 'please', 'fix', 'replace', 'Telkomsel', 'already', 'told', 'replace']")</f>
        <v>['Disappointed', 'because', 'play', 'game', 'signal', 'Selau', 'setabilia', 'missing', 'good', 'already', 'banting', 'because' signal ',' Telkomsel ',' War ',' ping it ',' motion ',' dead ',' rich ',' gini ',' move ',' please ',' concerned ',' take ',' action ' , 'disappointing', 'signal', 'please', 'fix', 'replace', 'Telkomsel', 'already', 'told', 'replace']</v>
      </c>
      <c r="D691" s="3">
        <v>1.0</v>
      </c>
    </row>
    <row r="692" ht="15.75" customHeight="1">
      <c r="A692" s="1">
        <v>690.0</v>
      </c>
      <c r="B692" s="3" t="s">
        <v>693</v>
      </c>
      <c r="C692" s="3" t="str">
        <f>IFERROR(__xludf.DUMMYFUNCTION("GOOGLETRANSLATE(B692,""id"",""en"")"),"['Severe', 'Telkomsel', 'in the city', 'signal', 'Lemott', 'buy', 'GB', 'buy', 'cheap', 'quality', 'cheap', 'delevelor', ' Telkomsel ',' management ',' Telkomsel ',' repaired ',' system ',' nyaaa ', ""]")</f>
        <v>['Severe', 'Telkomsel', 'in the city', 'signal', 'Lemott', 'buy', 'GB', 'buy', 'cheap', 'quality', 'cheap', 'delevelor', ' Telkomsel ',' management ',' Telkomsel ',' repaired ',' system ',' nyaaa ', "]</v>
      </c>
      <c r="D692" s="3">
        <v>1.0</v>
      </c>
    </row>
    <row r="693" ht="15.75" customHeight="1">
      <c r="A693" s="1">
        <v>691.0</v>
      </c>
      <c r="B693" s="3" t="s">
        <v>694</v>
      </c>
      <c r="C693" s="3" t="str">
        <f>IFERROR(__xludf.DUMMYFUNCTION("GOOGLETRANSLATE(B693,""id"",""en"")"),"['night', 'smooth', 'network', 'aka', 'slow', 'Maen', 'game', 'Free', 'Fire', 'Ngellag', 'Telkomsel', 'Severe', ' The network ',' smooth ',' slow ',' really ',' severe ',' satisfying ',' recommended ',' ']")</f>
        <v>['night', 'smooth', 'network', 'aka', 'slow', 'Maen', 'game', 'Free', 'Fire', 'Ngellag', 'Telkomsel', 'Severe', ' The network ',' smooth ',' slow ',' really ',' severe ',' satisfying ',' recommended ',' ']</v>
      </c>
      <c r="D693" s="3">
        <v>1.0</v>
      </c>
    </row>
    <row r="694" ht="15.75" customHeight="1">
      <c r="A694" s="1">
        <v>692.0</v>
      </c>
      <c r="B694" s="3" t="s">
        <v>695</v>
      </c>
      <c r="C694" s="3" t="str">
        <f>IFERROR(__xludf.DUMMYFUNCTION("GOOGLETRANSLATE(B694,""id"",""en"")"),"['signal', 'Sometimes',' fast ',' sometimes', 'slow', 'play', 'game', 'browsing', 'pending', 'performance', 'severe', 'disturbed', ' Check ',' Signal ',' Quota ',' Mulu ',' Signal ',' Quota ',' Safe ',' Controlled ',' Please ',' Enhanced ',' Network ',' L"&amp;"ost ',' Card ' , '']")</f>
        <v>['signal', 'Sometimes',' fast ',' sometimes', 'slow', 'play', 'game', 'browsing', 'pending', 'performance', 'severe', 'disturbed', ' Check ',' Signal ',' Quota ',' Mulu ',' Signal ',' Quota ',' Safe ',' Controlled ',' Please ',' Enhanced ',' Network ',' Lost ',' Card ' , '']</v>
      </c>
      <c r="D694" s="3">
        <v>2.0</v>
      </c>
    </row>
    <row r="695" ht="15.75" customHeight="1">
      <c r="A695" s="1">
        <v>693.0</v>
      </c>
      <c r="B695" s="3" t="s">
        <v>696</v>
      </c>
      <c r="C695" s="3" t="str">
        <f>IFERROR(__xludf.DUMMYFUNCTION("GOOGLETRANSLATE(B695,""id"",""en"")"),"['buy', 'quota', 'already', 'directly', 'cave', 'waste', 'disappointed', 'really', 'the network', 'Try', 'told', 'restart', ' cave ',' note ',' plus', 'signal', 'oath', 'cave', 'regret', 'karna', 'already', 'buy', 'loss',' really ',' cheap ' , 'cave', 'di"&amp;"sappointed', 'task', 'requires',' make ',' internet ',' failed ',' internet ',' really ',' right ',' poor ',' uit ',' Really ',' Bener ',' wanted ',' make ',' swear ',' rough ',' provider ']")</f>
        <v>['buy', 'quota', 'already', 'directly', 'cave', 'waste', 'disappointed', 'really', 'the network', 'Try', 'told', 'restart', ' cave ',' note ',' plus', 'signal', 'oath', 'cave', 'regret', 'karna', 'already', 'buy', 'loss',' really ',' cheap ' , 'cave', 'disappointed', 'task', 'requires',' make ',' internet ',' failed ',' internet ',' really ',' right ',' poor ',' uit ',' Really ',' Bener ',' wanted ',' make ',' swear ',' rough ',' provider ']</v>
      </c>
      <c r="D695" s="3">
        <v>1.0</v>
      </c>
    </row>
    <row r="696" ht="15.75" customHeight="1">
      <c r="A696" s="1">
        <v>694.0</v>
      </c>
      <c r="B696" s="3" t="s">
        <v>697</v>
      </c>
      <c r="C696" s="3" t="str">
        <f>IFERROR(__xludf.DUMMYFUNCTION("GOOGLETRANSLATE(B696,""id"",""en"")"),"['Toll', 'sky', 'access', 'fast', 'price', 'expensive', 'in fact', 'hoax', 'quality', 'threat', 'due to' signalblemot ',' hoax ',' expensive ',' rich ',' replace ',' operator ',' decent ',' bought ',' product ']")</f>
        <v>['Toll', 'sky', 'access', 'fast', 'price', 'expensive', 'in fact', 'hoax', 'quality', 'threat', 'due to' signalblemot ',' hoax ',' expensive ',' rich ',' replace ',' operator ',' decent ',' bought ',' product ']</v>
      </c>
      <c r="D696" s="3">
        <v>1.0</v>
      </c>
    </row>
    <row r="697" ht="15.75" customHeight="1">
      <c r="A697" s="1">
        <v>695.0</v>
      </c>
      <c r="B697" s="3" t="s">
        <v>698</v>
      </c>
      <c r="C697" s="3" t="str">
        <f>IFERROR(__xludf.DUMMYFUNCTION("GOOGLETRANSLATE(B697,""id"",""en"")"),"['Star', 'Increase', 'Quality', 'Network', 'Internet', 'Lemot', 'Customer', 'Telkomsel', 'Switch', 'Provider', 'Good', 'Hayoo', ' Increase ']")</f>
        <v>['Star', 'Increase', 'Quality', 'Network', 'Internet', 'Lemot', 'Customer', 'Telkomsel', 'Switch', 'Provider', 'Good', 'Hayoo', ' Increase ']</v>
      </c>
      <c r="D697" s="3">
        <v>1.0</v>
      </c>
    </row>
    <row r="698" ht="15.75" customHeight="1">
      <c r="A698" s="1">
        <v>696.0</v>
      </c>
      <c r="B698" s="3" t="s">
        <v>699</v>
      </c>
      <c r="C698" s="3" t="str">
        <f>IFERROR(__xludf.DUMMYFUNCTION("GOOGLETRANSLATE(B698,""id"",""en"")"),"['Telkomsel', 'bad', 'network', 'disappointed', 'customer', 'loyal', 'package', 'expensive', 'network', 'bad', 'mending', 'replace', ' Cards', 'cheap', 'network', 'Kenceng', '']")</f>
        <v>['Telkomsel', 'bad', 'network', 'disappointed', 'customer', 'loyal', 'package', 'expensive', 'network', 'bad', 'mending', 'replace', ' Cards', 'cheap', 'network', 'Kenceng', '']</v>
      </c>
      <c r="D698" s="3">
        <v>1.0</v>
      </c>
    </row>
    <row r="699" ht="15.75" customHeight="1">
      <c r="A699" s="1">
        <v>697.0</v>
      </c>
      <c r="B699" s="3" t="s">
        <v>700</v>
      </c>
      <c r="C699" s="3" t="str">
        <f>IFERROR(__xludf.DUMMYFUNCTION("GOOGLETRANSLATE(B699,""id"",""en"")"),"['Promo', 'Package', 'Data', 'Different', 'Different', 'Card', 'Ngissin', 'Package', 'Expensive', 'Expensive', 'Auto', 'Change', ' Pradana ',' card ',' rare ',' promo ',' compare ',' output ',' newest ',' Telkomsel ', ""]")</f>
        <v>['Promo', 'Package', 'Data', 'Different', 'Different', 'Card', 'Ngissin', 'Package', 'Expensive', 'Expensive', 'Auto', 'Change', ' Pradana ',' card ',' rare ',' promo ',' compare ',' output ',' newest ',' Telkomsel ', "]</v>
      </c>
      <c r="D699" s="3">
        <v>3.0</v>
      </c>
    </row>
    <row r="700" ht="15.75" customHeight="1">
      <c r="A700" s="1">
        <v>698.0</v>
      </c>
      <c r="B700" s="3" t="s">
        <v>701</v>
      </c>
      <c r="C700" s="3" t="str">
        <f>IFERROR(__xludf.DUMMYFUNCTION("GOOGLETRANSLATE(B700,""id"",""en"")"),"['quota', 'disappointing', 'knp', 'signal', 'Telkomsel', 'used to', 'good', 'VPN', 'good', 'signal', 'please', 'user', ' Telkomsel ',' please ',' Telkomsel ',' fix ',' strength ',' signal ',' broken ',' thank ',' love ', ""]")</f>
        <v>['quota', 'disappointing', 'knp', 'signal', 'Telkomsel', 'used to', 'good', 'VPN', 'good', 'signal', 'please', 'user', ' Telkomsel ',' please ',' Telkomsel ',' fix ',' strength ',' signal ',' broken ',' thank ',' love ', "]</v>
      </c>
      <c r="D700" s="3">
        <v>2.0</v>
      </c>
    </row>
    <row r="701" ht="15.75" customHeight="1">
      <c r="A701" s="1">
        <v>699.0</v>
      </c>
      <c r="B701" s="3" t="s">
        <v>702</v>
      </c>
      <c r="C701" s="3" t="str">
        <f>IFERROR(__xludf.DUMMYFUNCTION("GOOGLETRANSLATE(B701,""id"",""en"")"),"['Where', 'Telkomsel', 'The network', 'slow', 'already', 'buy', 'package', 'expensive', 'sick', 'heart', 'luck', 'Doank', ' Quality ',' Leet ',' ']")</f>
        <v>['Where', 'Telkomsel', 'The network', 'slow', 'already', 'buy', 'package', 'expensive', 'sick', 'heart', 'luck', 'Doank', ' Quality ',' Leet ',' ']</v>
      </c>
      <c r="D701" s="3">
        <v>1.0</v>
      </c>
    </row>
    <row r="702" ht="15.75" customHeight="1">
      <c r="A702" s="1">
        <v>700.0</v>
      </c>
      <c r="B702" s="3" t="s">
        <v>703</v>
      </c>
      <c r="C702" s="3" t="str">
        <f>IFERROR(__xludf.DUMMYFUNCTION("GOOGLETRANSLATE(B702,""id"",""en"")"),"['Network', 'bad', 'bad', 'policy', 'swknow', 'repair', 'admin', 'tuna', 'netra', 'blind', 'deaf', 'listen', ' The teacher ',' Sad ',' Network ',' Telkomsel ', ""]")</f>
        <v>['Network', 'bad', 'bad', 'policy', 'swknow', 'repair', 'admin', 'tuna', 'netra', 'blind', 'deaf', 'listen', ' The teacher ',' Sad ',' Network ',' Telkomsel ', "]</v>
      </c>
      <c r="D702" s="3">
        <v>1.0</v>
      </c>
    </row>
    <row r="703" ht="15.75" customHeight="1">
      <c r="A703" s="1">
        <v>701.0</v>
      </c>
      <c r="B703" s="3" t="s">
        <v>704</v>
      </c>
      <c r="C703" s="3" t="str">
        <f>IFERROR(__xludf.DUMMYFUNCTION("GOOGLETRANSLATE(B703,""id"",""en"")"),"['Bad', 'really', 'provider', 'super', 'slow', 'here', 'right', 'slow', 'signal', 'bad', 'fix', 'expensive', ' Doang ',' quality ',' according to ',' ']")</f>
        <v>['Bad', 'really', 'provider', 'super', 'slow', 'here', 'right', 'slow', 'signal', 'bad', 'fix', 'expensive', ' Doang ',' quality ',' according to ',' ']</v>
      </c>
      <c r="D703" s="3">
        <v>1.0</v>
      </c>
    </row>
    <row r="704" ht="15.75" customHeight="1">
      <c r="A704" s="1">
        <v>702.0</v>
      </c>
      <c r="B704" s="3" t="s">
        <v>705</v>
      </c>
      <c r="C704" s="3" t="str">
        <f>IFERROR(__xludf.DUMMYFUNCTION("GOOGLETRANSLATE(B704,""id"",""en"")"),"['Fix', 'connection', 'internet', 'signal', 'good', 'slow', 'good', 'connection', 'internet', 'me', 'addin', 'bintanganya', ' Tetep ',' I ',' Unistal ',' I ',' Discard ',' The card ',' Move ',' Network ',' Next Next ',' I ']")</f>
        <v>['Fix', 'connection', 'internet', 'signal', 'good', 'slow', 'good', 'connection', 'internet', 'me', 'addin', 'bintanganya', ' Tetep ',' I ',' Unistal ',' I ',' Discard ',' The card ',' Move ',' Network ',' Next Next ',' I ']</v>
      </c>
      <c r="D704" s="3">
        <v>1.0</v>
      </c>
    </row>
    <row r="705" ht="15.75" customHeight="1">
      <c r="A705" s="1">
        <v>703.0</v>
      </c>
      <c r="B705" s="3" t="s">
        <v>706</v>
      </c>
      <c r="C705" s="3" t="str">
        <f>IFERROR(__xludf.DUMMYFUNCTION("GOOGLETRANSLATE(B705,""id"",""en"")"),"['Please', 'admin', 'Telkomsel', 'Indonesia', 'fix', 'network', 'lag', 'Telkomsel', 'package', 'data', 'expensive', 'network', ' Good ',' Laa ',' Package ',' Data ',' Mutah ',' Network ',' Ampas', 'Learning', 'Online', 'Difficult', 'Telkomsel', 'Dimply', "&amp;"'Please' , 'Admin', 'read', 'Need', 'Help', 'Package', 'Ministry of Education and Culture', 'Need', 'Just', 'Network', 'Internet', 'Good', 'People', ' Rich ',' Raya ',' Just ',' buy ',' package ',' data ',' repaired ',' ']")</f>
        <v>['Please', 'admin', 'Telkomsel', 'Indonesia', 'fix', 'network', 'lag', 'Telkomsel', 'package', 'data', 'expensive', 'network', ' Good ',' Laa ',' Package ',' Data ',' Mutah ',' Network ',' Ampas', 'Learning', 'Online', 'Difficult', 'Telkomsel', 'Dimply', 'Please' , 'Admin', 'read', 'Need', 'Help', 'Package', 'Ministry of Education and Culture', 'Need', 'Just', 'Network', 'Internet', 'Good', 'People', ' Rich ',' Raya ',' Just ',' buy ',' package ',' data ',' repaired ',' ']</v>
      </c>
      <c r="D705" s="3">
        <v>1.0</v>
      </c>
    </row>
    <row r="706" ht="15.75" customHeight="1">
      <c r="A706" s="1">
        <v>704.0</v>
      </c>
      <c r="B706" s="3" t="s">
        <v>707</v>
      </c>
      <c r="C706" s="3" t="str">
        <f>IFERROR(__xludf.DUMMYFUNCTION("GOOGLETRANSLATE(B706,""id"",""en"")"),"['Package', 'cheerful', 'expensive', 'active', 'network', 'bad', 'please', 'min', 'customer', 'blur', 'beg', 'action', ' Continue ',' trimakasih ', ""]")</f>
        <v>['Package', 'cheerful', 'expensive', 'active', 'network', 'bad', 'please', 'min', 'customer', 'blur', 'beg', 'action', ' Continue ',' trimakasih ', "]</v>
      </c>
      <c r="D706" s="3">
        <v>1.0</v>
      </c>
    </row>
    <row r="707" ht="15.75" customHeight="1">
      <c r="A707" s="1">
        <v>705.0</v>
      </c>
      <c r="B707" s="3" t="s">
        <v>708</v>
      </c>
      <c r="C707" s="3" t="str">
        <f>IFERROR(__xludf.DUMMYFUNCTION("GOOGLETRANSLATE(B707,""id"",""en"")"),"['satisfying', 'Tissue', 'Telkomsel', 'Daille', 'Indonesia', 'Network', 'Price', 'Package', 'Internet', 'Most expensive', 'Signal', 'Worst', ' card ',' cellular ',' mending ',' closed ',' company ',' Telkomsel ',' defective ',' deh ',' telkomsel ']")</f>
        <v>['satisfying', 'Tissue', 'Telkomsel', 'Daille', 'Indonesia', 'Network', 'Price', 'Package', 'Internet', 'Most expensive', 'Signal', 'Worst', ' card ',' cellular ',' mending ',' closed ',' company ',' Telkomsel ',' defective ',' deh ',' telkomsel ']</v>
      </c>
      <c r="D707" s="3">
        <v>1.0</v>
      </c>
    </row>
    <row r="708" ht="15.75" customHeight="1">
      <c r="A708" s="1">
        <v>706.0</v>
      </c>
      <c r="B708" s="3" t="s">
        <v>709</v>
      </c>
      <c r="C708" s="3" t="str">
        <f>IFERROR(__xludf.DUMMYFUNCTION("GOOGLETRANSLATE(B708,""id"",""en"")"),"['Disappointing', 'Application', 'Telkomsel', 'Top', 'Top', 'Credit', 'Application', 'Link', 'Application', 'Telkomsel', 'Pulses',' Enter ',' balance ',' cut ',' then ',' notification ',' sms', 'transaction', 'success',' right ',' check ',' pulse ',' ente"&amp;"r ',' please ', ""]")</f>
        <v>['Disappointing', 'Application', 'Telkomsel', 'Top', 'Top', 'Credit', 'Application', 'Link', 'Application', 'Telkomsel', 'Pulses',' Enter ',' balance ',' cut ',' then ',' notification ',' sms', 'transaction', 'success',' right ',' check ',' pulse ',' enter ',' please ', "]</v>
      </c>
      <c r="D708" s="3">
        <v>1.0</v>
      </c>
    </row>
    <row r="709" ht="15.75" customHeight="1">
      <c r="A709" s="1">
        <v>707.0</v>
      </c>
      <c r="B709" s="3" t="s">
        <v>710</v>
      </c>
      <c r="C709" s="3" t="str">
        <f>IFERROR(__xludf.DUMMYFUNCTION("GOOGLETRANSLATE(B709,""id"",""en"")"),"['down', 'quality', 'disappointing', 'loss',' buy ',' pulse ',' use ',' slow ',' abiss', 'please', 'read', 'complaint', ' mytelkomsel ',' clock ',' communication ',' signal ',' slow ',' doang ',' solution ', ""]")</f>
        <v>['down', 'quality', 'disappointing', 'loss',' buy ',' pulse ',' use ',' slow ',' abiss', 'please', 'read', 'complaint', ' mytelkomsel ',' clock ',' communication ',' signal ',' slow ',' doang ',' solution ', "]</v>
      </c>
      <c r="D709" s="3">
        <v>2.0</v>
      </c>
    </row>
    <row r="710" ht="15.75" customHeight="1">
      <c r="A710" s="1">
        <v>708.0</v>
      </c>
      <c r="B710" s="3" t="s">
        <v>711</v>
      </c>
      <c r="C710" s="3" t="str">
        <f>IFERROR(__xludf.DUMMYFUNCTION("GOOGLETRANSLATE(B710,""id"",""en"")"),"['coment', 'reply', 'Telkomsel', 'complaints',' main ',' signal ',' told ',' choose ',' star ',' kaga ',' cave ',' choose ',' stars', 'dear', 'forced', 'love', 'star', 'please', 'read', 'coment', 'love', 'provider', 'good', 'replace', 'card' , '']")</f>
        <v>['coment', 'reply', 'Telkomsel', 'complaints',' main ',' signal ',' told ',' choose ',' star ',' kaga ',' cave ',' choose ',' stars', 'dear', 'forced', 'love', 'star', 'please', 'read', 'coment', 'love', 'provider', 'good', 'replace', 'card' , '']</v>
      </c>
      <c r="D710" s="3">
        <v>1.0</v>
      </c>
    </row>
    <row r="711" ht="15.75" customHeight="1">
      <c r="A711" s="1">
        <v>709.0</v>
      </c>
      <c r="B711" s="3" t="s">
        <v>712</v>
      </c>
      <c r="C711" s="3" t="str">
        <f>IFERROR(__xludf.DUMMYFUNCTION("GOOGLETRANSLATE(B711,""id"",""en"")"),"['Want', 'Apasih', 'Telkomsel', 'LGI', 'Maen', 'ping', 'stable', 'lgsung', 'down', 'red', 'already', 'price', ' Quota ',' Jga ',' Longahahal ',' Please ',' Please ',' Fix ',' Quality ',' Signal ',' Disappointing ',' ']")</f>
        <v>['Want', 'Apasih', 'Telkomsel', 'LGI', 'Maen', 'ping', 'stable', 'lgsung', 'down', 'red', 'already', 'price', ' Quota ',' Jga ',' Longahahal ',' Please ',' Please ',' Fix ',' Quality ',' Signal ',' Disappointing ',' ']</v>
      </c>
      <c r="D711" s="3">
        <v>1.0</v>
      </c>
    </row>
    <row r="712" ht="15.75" customHeight="1">
      <c r="A712" s="1">
        <v>710.0</v>
      </c>
      <c r="B712" s="3" t="s">
        <v>713</v>
      </c>
      <c r="C712" s="3" t="str">
        <f>IFERROR(__xludf.DUMMYFUNCTION("GOOGLETRANSLATE(B712,""id"",""en"")"),"['Telkomsel', 'here', 'bad', 'sii', 'quality', 'network', 'disappointed', 'disappointed', 'service', 'network', 'Telkomsel', 'already', ' price ',' quota ',' expensive ',' network ',' rotten ',' sii ',' please ',' beg ',' fix ',' the network ', ""]")</f>
        <v>['Telkomsel', 'here', 'bad', 'sii', 'quality', 'network', 'disappointed', 'disappointed', 'service', 'network', 'Telkomsel', 'already', ' price ',' quota ',' expensive ',' network ',' rotten ',' sii ',' please ',' beg ',' fix ',' the network ', "]</v>
      </c>
      <c r="D712" s="3">
        <v>1.0</v>
      </c>
    </row>
    <row r="713" ht="15.75" customHeight="1">
      <c r="A713" s="1">
        <v>711.0</v>
      </c>
      <c r="B713" s="3" t="s">
        <v>714</v>
      </c>
      <c r="C713" s="3" t="str">
        <f>IFERROR(__xludf.DUMMYFUNCTION("GOOGLETRANSLATE(B713,""id"",""en"")"),"['Telkomsel', 'signal', 'bad', 'Please', 'Donk', 'Fix', 'Cook', 'Famous',' Network ',' Reliable ',' Sekarn ',' Signal ',' Severe ',' bangetttttt ',' lights', 'dead', 'signal', 'internet', 'dead', 'paraaahhhhh', '']")</f>
        <v>['Telkomsel', 'signal', 'bad', 'Please', 'Donk', 'Fix', 'Cook', 'Famous',' Network ',' Reliable ',' Sekarn ',' Signal ',' Severe ',' bangetttttt ',' lights', 'dead', 'signal', 'internet', 'dead', 'paraaahhhhh', '']</v>
      </c>
      <c r="D713" s="3">
        <v>1.0</v>
      </c>
    </row>
    <row r="714" ht="15.75" customHeight="1">
      <c r="A714" s="1">
        <v>712.0</v>
      </c>
      <c r="B714" s="3" t="s">
        <v>715</v>
      </c>
      <c r="C714" s="3" t="str">
        <f>IFERROR(__xludf.DUMMYFUNCTION("GOOGLETRANSLATE(B714,""id"",""en"")"),"['Nyesel', 'really', 'PKX', 'service', 'Telkomsel', 'signal', 'Macem', 'Taii', 'network', 'quota', 'expensive', 'all', ' fill in ',' pulse ',' abis', 'look for', 'money', 'easy', 'pkx', 'mode', 'airplane', 'internet', 'bru', 'smooth', '']")</f>
        <v>['Nyesel', 'really', 'PKX', 'service', 'Telkomsel', 'signal', 'Macem', 'Taii', 'network', 'quota', 'expensive', 'all', ' fill in ',' pulse ',' abis', 'look for', 'money', 'easy', 'pkx', 'mode', 'airplane', 'internet', 'bru', 'smooth', '']</v>
      </c>
      <c r="D714" s="3">
        <v>1.0</v>
      </c>
    </row>
    <row r="715" ht="15.75" customHeight="1">
      <c r="A715" s="1">
        <v>713.0</v>
      </c>
      <c r="B715" s="3" t="s">
        <v>716</v>
      </c>
      <c r="C715" s="3" t="str">
        <f>IFERROR(__xludf.DUMMYFUNCTION("GOOGLETRANSLATE(B715,""id"",""en"")"),"['bad', 'fill', 'pulse', 'hbis',' pdhal ',' pakek ',' quota ',' internet ',' mahall ',' cheap ',' network ',' super ',' Duper ',' Jelekk ',' Times', '']")</f>
        <v>['bad', 'fill', 'pulse', 'hbis',' pdhal ',' pakek ',' quota ',' internet ',' mahall ',' cheap ',' network ',' super ',' Duper ',' Jelekk ',' Times', '']</v>
      </c>
      <c r="D715" s="3">
        <v>1.0</v>
      </c>
    </row>
    <row r="716" ht="15.75" customHeight="1">
      <c r="A716" s="1">
        <v>714.0</v>
      </c>
      <c r="B716" s="3" t="s">
        <v>717</v>
      </c>
      <c r="C716" s="3" t="str">
        <f>IFERROR(__xludf.DUMMYFUNCTION("GOOGLETRANSLATE(B716,""id"",""en"")"),"['bad', 'pulse', 'drained', 'service', 'rent', 'GPRS', 'run out', 'access',' internet ',' wifi ',' chat ',' solution ',' Cutting ',' Service ',' GPRS ',' TSB ',' Please ',' Telkomsel ',' Monopoly ',' Provider ',' Plat ',' Red ',' Drain ',' Credit ', ""]")</f>
        <v>['bad', 'pulse', 'drained', 'service', 'rent', 'GPRS', 'run out', 'access',' internet ',' wifi ',' chat ',' solution ',' Cutting ',' Service ',' GPRS ',' TSB ',' Please ',' Telkomsel ',' Monopoly ',' Provider ',' Plat ',' Red ',' Drain ',' Credit ', "]</v>
      </c>
      <c r="D716" s="3">
        <v>2.0</v>
      </c>
    </row>
    <row r="717" ht="15.75" customHeight="1">
      <c r="A717" s="1">
        <v>715.0</v>
      </c>
      <c r="B717" s="3" t="s">
        <v>718</v>
      </c>
      <c r="C717" s="3" t="str">
        <f>IFERROR(__xludf.DUMMYFUNCTION("GOOGLETRANSLATE(B717,""id"",""en"")"),"['it seems',' comment ',' network ',' customer ',' price ',' expensive ',' quality ',' reduced ',' seriousness', 'Telkomsel', 'improvement', 'quality', ' Worth ',' Tide ',' Price ',' Morning ',' Afternoon ',' Not bad ',' Night ',' Different ',' The differ"&amp;"ence ',' Telkomsel ',' expensive ', ""]")</f>
        <v>['it seems',' comment ',' network ',' customer ',' price ',' expensive ',' quality ',' reduced ',' seriousness', 'Telkomsel', 'improvement', 'quality', ' Worth ',' Tide ',' Price ',' Morning ',' Afternoon ',' Not bad ',' Night ',' Different ',' The difference ',' Telkomsel ',' expensive ', "]</v>
      </c>
      <c r="D717" s="3">
        <v>1.0</v>
      </c>
    </row>
    <row r="718" ht="15.75" customHeight="1">
      <c r="A718" s="1">
        <v>716.0</v>
      </c>
      <c r="B718" s="3" t="s">
        <v>719</v>
      </c>
      <c r="C718" s="3" t="str">
        <f>IFERROR(__xludf.DUMMYFUNCTION("GOOGLETRANSLATE(B718,""id"",""en"")"),"['', 'Felt', 'Kasian', 'friend', 'Sampe', 'slammed', 'Gara', 'Telkomtod', 'wkwkwksk', 'card', 'biggest', 'Indonesia', 'card ',' Worst ',' Indonesia ',' Canda ',' TelkomTod ']")</f>
        <v>['', 'Felt', 'Kasian', 'friend', 'Sampe', 'slammed', 'Gara', 'Telkomtod', 'wkwkwksk', 'card', 'biggest', 'Indonesia', 'card ',' Worst ',' Indonesia ',' Canda ',' TelkomTod ']</v>
      </c>
      <c r="D718" s="3">
        <v>1.0</v>
      </c>
    </row>
    <row r="719" ht="15.75" customHeight="1">
      <c r="A719" s="1">
        <v>717.0</v>
      </c>
      <c r="B719" s="3" t="s">
        <v>720</v>
      </c>
      <c r="C719" s="3" t="str">
        <f>IFERROR(__xludf.DUMMYFUNCTION("GOOGLETRANSLATE(B719,""id"",""en"")"),"['Telkomsel', 'skrang', 'SDAH', 'Skali', 'Severe', 'expensive', 'yes',' weight ',' nil ',' disappointing ',' buy ',' package ',' unlimited ',' youtube ',' open ',' site ',' youtube ',' trsbut ',' blank ',' quota ',' unlimited ',' cheek ',' pulse ',' cut '"&amp;",' packetan ' , 'Unlimited', 'Application', 'Certain', 'Shame', 'Credit', 'Out', 'No "",' Believe ',' Please ',' Try ',' Unfortunate ',' Customer ',' Telkomsel ',' blur ',' ']")</f>
        <v>['Telkomsel', 'skrang', 'SDAH', 'Skali', 'Severe', 'expensive', 'yes',' weight ',' nil ',' disappointing ',' buy ',' package ',' unlimited ',' youtube ',' open ',' site ',' youtube ',' trsbut ',' blank ',' quota ',' unlimited ',' cheek ',' pulse ',' cut ',' packetan ' , 'Unlimited', 'Application', 'Certain', 'Shame', 'Credit', 'Out', 'No ",' Believe ',' Please ',' Try ',' Unfortunate ',' Customer ',' Telkomsel ',' blur ',' ']</v>
      </c>
      <c r="D719" s="3">
        <v>1.0</v>
      </c>
    </row>
    <row r="720" ht="15.75" customHeight="1">
      <c r="A720" s="1">
        <v>718.0</v>
      </c>
      <c r="B720" s="3" t="s">
        <v>721</v>
      </c>
      <c r="C720" s="3" t="str">
        <f>IFERROR(__xludf.DUMMYFUNCTION("GOOGLETRANSLATE(B720,""id"",""en"")"),"['Telkomsel', 'Week', 'Network', 'Visit', 'Improved', 'Severe', 'Watch', 'Video', 'YouTube', 'Open', 'Snap', 'Ngk', ' Come on ',' already ',' expensive ',' buy ',' quota ',' GB ',' Telkomsel ',' Eeh ',' Indosat ',' Bags', 'please', 'Fix', 'YHA' , '']")</f>
        <v>['Telkomsel', 'Week', 'Network', 'Visit', 'Improved', 'Severe', 'Watch', 'Video', 'YouTube', 'Open', 'Snap', 'Ngk', ' Come on ',' already ',' expensive ',' buy ',' quota ',' GB ',' Telkomsel ',' Eeh ',' Indosat ',' Bags', 'please', 'Fix', 'YHA' , '']</v>
      </c>
      <c r="D720" s="3">
        <v>1.0</v>
      </c>
    </row>
    <row r="721" ht="15.75" customHeight="1">
      <c r="A721" s="1">
        <v>719.0</v>
      </c>
      <c r="B721" s="3" t="s">
        <v>722</v>
      </c>
      <c r="C721" s="3" t="str">
        <f>IFERROR(__xludf.DUMMYFUNCTION("GOOGLETRANSLATE(B721,""id"",""en"")"),"['card', 'network', 'severe', 'card', 'card', 'sultan', 'network', 'rich', 'card', 'cheap', 'ngeeleg', 'me', ' Buy ',' quota ',' unlimited ',' max ',' quota ',' internet ',' regular ',' already ',' out ',' quota ',' unlimited ',' APK ']")</f>
        <v>['card', 'network', 'severe', 'card', 'card', 'sultan', 'network', 'rich', 'card', 'cheap', 'ngeeleg', 'me', ' Buy ',' quota ',' unlimited ',' max ',' quota ',' internet ',' regular ',' already ',' out ',' quota ',' unlimited ',' APK ']</v>
      </c>
      <c r="D721" s="3">
        <v>1.0</v>
      </c>
    </row>
    <row r="722" ht="15.75" customHeight="1">
      <c r="A722" s="1">
        <v>720.0</v>
      </c>
      <c r="B722" s="3" t="s">
        <v>723</v>
      </c>
      <c r="C722" s="3" t="str">
        <f>IFERROR(__xludf.DUMMYFUNCTION("GOOGLETRANSLATE(B722,""id"",""en"")"),"['Telkomsel', 'Network', 'Lampung', 'Kec', 'Buay', 'Bahuga', 'Kab', 'Way', 'right', 'Kamp', 'Agung', 'Tower', ' Leet ',' kdangkala ',' area ',' difficult ',' ']")</f>
        <v>['Telkomsel', 'Network', 'Lampung', 'Kec', 'Buay', 'Bahuga', 'Kab', 'Way', 'right', 'Kamp', 'Agung', 'Tower', ' Leet ',' kdangkala ',' area ',' difficult ',' ']</v>
      </c>
      <c r="D722" s="3">
        <v>1.0</v>
      </c>
    </row>
    <row r="723" ht="15.75" customHeight="1">
      <c r="A723" s="1">
        <v>721.0</v>
      </c>
      <c r="B723" s="3" t="s">
        <v>724</v>
      </c>
      <c r="C723" s="3" t="str">
        <f>IFERROR(__xludf.DUMMYFUNCTION("GOOGLETRANSLATE(B723,""id"",""en"")"),"['Trims', 'Service', 'Network', 'Internet', 'Disconnect', 'Connect', 'Recover', 'Buy', 'Package', 'Data', ""]")</f>
        <v>['Trims', 'Service', 'Network', 'Internet', 'Disconnect', 'Connect', 'Recover', 'Buy', 'Package', 'Data', "]</v>
      </c>
      <c r="D723" s="3">
        <v>3.0</v>
      </c>
    </row>
    <row r="724" ht="15.75" customHeight="1">
      <c r="A724" s="1">
        <v>722.0</v>
      </c>
      <c r="B724" s="3" t="s">
        <v>725</v>
      </c>
      <c r="C724" s="3" t="str">
        <f>IFERROR(__xludf.DUMMYFUNCTION("GOOGLETRANSLATE(B724,""id"",""en"")"),"['Telkomsel', 'Please', 'Listen', 'complaints',' repaired ',' quota ',' internet ',' run out ',' automatic ',' suck ',' pulse ',' quality ',' Network ',' Cibitung ',' Cibitung ',' Kabupaten ',' Bekasi ',' Good ',' Lemot ',' Thank you ']")</f>
        <v>['Telkomsel', 'Please', 'Listen', 'complaints',' repaired ',' quota ',' internet ',' run out ',' automatic ',' suck ',' pulse ',' quality ',' Network ',' Cibitung ',' Cibitung ',' Kabupaten ',' Bekasi ',' Good ',' Lemot ',' Thank you ']</v>
      </c>
      <c r="D724" s="3">
        <v>2.0</v>
      </c>
    </row>
    <row r="725" ht="15.75" customHeight="1">
      <c r="A725" s="1">
        <v>723.0</v>
      </c>
      <c r="B725" s="3" t="s">
        <v>726</v>
      </c>
      <c r="C725" s="3" t="str">
        <f>IFERROR(__xludf.DUMMYFUNCTION("GOOGLETRANSLATE(B725,""id"",""en"")"),"['', 'area', 'city', 'bekasi', 'area', 'pekayon', 'signal', 'telkom', 'ugly', 'sometimes',' play ',' game ',' normal ',' Please ',' Fix ',' ']")</f>
        <v>['', 'area', 'city', 'bekasi', 'area', 'pekayon', 'signal', 'telkom', 'ugly', 'sometimes',' play ',' game ',' normal ',' Please ',' Fix ',' ']</v>
      </c>
      <c r="D725" s="3">
        <v>2.0</v>
      </c>
    </row>
    <row r="726" ht="15.75" customHeight="1">
      <c r="A726" s="1">
        <v>724.0</v>
      </c>
      <c r="B726" s="3" t="s">
        <v>727</v>
      </c>
      <c r="C726" s="3" t="str">
        <f>IFERROR(__xludf.DUMMYFUNCTION("GOOGLETRANSLATE(B726,""id"",""en"")"),"['connection', 'data', 'dead', 'credit', 'reduced', 'usage', 'data', 'operator', 'have', 'system', 'sophisticated', 'protect', ' Credit ',' user ',' usage ',' internet ',' package ',' data ',' run out ',' internet ',' automatic ',' disconnected ',' eat ',"&amp;"' pulse ',' wo up ' , 'Operator', 'Plat', 'Red', 'Ternesar', 'Seanero', 'Negeri', 'Telkom', 'System', ""]")</f>
        <v>['connection', 'data', 'dead', 'credit', 'reduced', 'usage', 'data', 'operator', 'have', 'system', 'sophisticated', 'protect', ' Credit ',' user ',' usage ',' internet ',' package ',' data ',' run out ',' internet ',' automatic ',' disconnected ',' eat ',' pulse ',' wo up ' , 'Operator', 'Plat', 'Red', 'Ternesar', 'Seanero', 'Negeri', 'Telkom', 'System', "]</v>
      </c>
      <c r="D726" s="3">
        <v>1.0</v>
      </c>
    </row>
    <row r="727" ht="15.75" customHeight="1">
      <c r="A727" s="1">
        <v>725.0</v>
      </c>
      <c r="B727" s="3" t="s">
        <v>728</v>
      </c>
      <c r="C727" s="3" t="str">
        <f>IFERROR(__xludf.DUMMYFUNCTION("GOOGLETRANSLATE(B727,""id"",""en"")"),"['Application', 'help', 'fix', 'signal', 'package', 'expensive', 'signal', 'ugly', 'report', 'Telkomsel', 'response', 'move']")</f>
        <v>['Application', 'help', 'fix', 'signal', 'package', 'expensive', 'signal', 'ugly', 'report', 'Telkomsel', 'response', 'move']</v>
      </c>
      <c r="D727" s="3">
        <v>1.0</v>
      </c>
    </row>
    <row r="728" ht="15.75" customHeight="1">
      <c r="A728" s="1">
        <v>726.0</v>
      </c>
      <c r="B728" s="3" t="s">
        <v>729</v>
      </c>
      <c r="C728" s="3" t="str">
        <f>IFERROR(__xludf.DUMMYFUNCTION("GOOGLETRANSLATE(B728,""id"",""en"")"),"['Telkomsel', 'severe', 'really', 'signal', 'leg', 'take', 'play', 'game', 'online', 'Telkomsel', 'sell', 'package', ' Kouta ',' Internet ',' expensive ',' Telkomsel ',' attached to ',' customers', 'loyal', 'Different', 'provider']")</f>
        <v>['Telkomsel', 'severe', 'really', 'signal', 'leg', 'take', 'play', 'game', 'online', 'Telkomsel', 'sell', 'package', ' Kouta ',' Internet ',' expensive ',' Telkomsel ',' attached to ',' customers', 'loyal', 'Different', 'provider']</v>
      </c>
      <c r="D728" s="3">
        <v>2.0</v>
      </c>
    </row>
    <row r="729" ht="15.75" customHeight="1">
      <c r="A729" s="1">
        <v>727.0</v>
      </c>
      <c r="B729" s="3" t="s">
        <v>730</v>
      </c>
      <c r="C729" s="3" t="str">
        <f>IFERROR(__xludf.DUMMYFUNCTION("GOOGLETRANSLATE(B729,""id"",""en"")"),"['application', 'smooth', 'Jaya', 'turn', 'play', 'mobile', 'legend', 'ping', 'ms',' mulu ',' telkomsel ',' packetan ',' Expensive ',' quality ',' abal ',' abal ',' ']")</f>
        <v>['application', 'smooth', 'Jaya', 'turn', 'play', 'mobile', 'legend', 'ping', 'ms',' mulu ',' telkomsel ',' packetan ',' Expensive ',' quality ',' abal ',' abal ',' ']</v>
      </c>
      <c r="D729" s="3">
        <v>1.0</v>
      </c>
    </row>
    <row r="730" ht="15.75" customHeight="1">
      <c r="A730" s="1">
        <v>728.0</v>
      </c>
      <c r="B730" s="3" t="s">
        <v>731</v>
      </c>
      <c r="C730" s="3" t="str">
        <f>IFERROR(__xludf.DUMMYFUNCTION("GOOGLETRANSLATE(B730,""id"",""en"")"),"['Disappointed', 'signal', 'slow', 'signal', 'fast', 'already', 'buy', 'package', 'expensive', 'Please', 'fix', 'sinynya']")</f>
        <v>['Disappointed', 'signal', 'slow', 'signal', 'fast', 'already', 'buy', 'package', 'expensive', 'Please', 'fix', 'sinynya']</v>
      </c>
      <c r="D730" s="3">
        <v>1.0</v>
      </c>
    </row>
    <row r="731" ht="15.75" customHeight="1">
      <c r="A731" s="1">
        <v>729.0</v>
      </c>
      <c r="B731" s="3" t="s">
        <v>732</v>
      </c>
      <c r="C731" s="3" t="str">
        <f>IFERROR(__xludf.DUMMYFUNCTION("GOOGLETRANSLATE(B731,""id"",""en"")"),"['satisfying', 'aka', 'disappointing', 'purpose', 'heart', 'contents',' reset ',' pulse ',' extend ',' active ',' card ',' sms', ' Tel ',' Direct ',' Eaten ',' Package ',' Credit ',' Stop ',' Subscribe ',' Process', 'Ribet', 'His name', 'Veronika', 'His a"&amp;"ge', 'difficult' , 'My question', 'Mimin', 'owns',' Veronika ',' name ',' Lina ',' friend ',' my school ',' friend ',' class', 'his name', 'Ujang', ' ']")</f>
        <v>['satisfying', 'aka', 'disappointing', 'purpose', 'heart', 'contents',' reset ',' pulse ',' extend ',' active ',' card ',' sms', ' Tel ',' Direct ',' Eaten ',' Package ',' Credit ',' Stop ',' Subscribe ',' Process', 'Ribet', 'His name', 'Veronika', 'His age', 'difficult' , 'My question', 'Mimin', 'owns',' Veronika ',' name ',' Lina ',' friend ',' my school ',' friend ',' class', 'his name', 'Ujang', ' ']</v>
      </c>
      <c r="D731" s="3">
        <v>1.0</v>
      </c>
    </row>
    <row r="732" ht="15.75" customHeight="1">
      <c r="A732" s="1">
        <v>730.0</v>
      </c>
      <c r="B732" s="3" t="s">
        <v>733</v>
      </c>
      <c r="C732" s="3" t="str">
        <f>IFERROR(__xludf.DUMMYFUNCTION("GOOGLETRANSLATE(B732,""id"",""en"")"),"['suggestion', 'use', 'card', 'Telkomsel', 'signal', 'slow', 'play', 'game', 'lag', 'severe', 'pdhl', 'quota', ' expensive ',' Indosat ',' smooth ',' Telkomsel ',' Telkomsel ',' just ',' looked ',' profit ',' comfort ',' user ',' noticed ',' Candidate ','"&amp;" bankrupt ' ]")</f>
        <v>['suggestion', 'use', 'card', 'Telkomsel', 'signal', 'slow', 'play', 'game', 'lag', 'severe', 'pdhl', 'quota', ' expensive ',' Indosat ',' smooth ',' Telkomsel ',' Telkomsel ',' just ',' looked ',' profit ',' comfort ',' user ',' noticed ',' Candidate ',' bankrupt ' ]</v>
      </c>
      <c r="D732" s="3">
        <v>1.0</v>
      </c>
    </row>
    <row r="733" ht="15.75" customHeight="1">
      <c r="A733" s="1">
        <v>731.0</v>
      </c>
      <c r="B733" s="3" t="s">
        <v>734</v>
      </c>
      <c r="C733" s="3" t="str">
        <f>IFERROR(__xludf.DUMMYFUNCTION("GOOGLETRANSLATE(B733,""id"",""en"")"),"['Upset', 'Performance', 'Network', 'Telkomsel', 'Moving', 'Customer', 'Telkomsel', 'Network', 'Please', 'Name', 'Telkomsel', 'Upgrade', ' The network is ',' Thank "", 'Love',""]")</f>
        <v>['Upset', 'Performance', 'Network', 'Telkomsel', 'Moving', 'Customer', 'Telkomsel', 'Network', 'Please', 'Name', 'Telkomsel', 'Upgrade', ' The network is ',' Thank ", 'Love',"]</v>
      </c>
      <c r="D733" s="3">
        <v>1.0</v>
      </c>
    </row>
    <row r="734" ht="15.75" customHeight="1">
      <c r="A734" s="1">
        <v>732.0</v>
      </c>
      <c r="B734" s="3" t="s">
        <v>735</v>
      </c>
      <c r="C734" s="3" t="str">
        <f>IFERROR(__xludf.DUMMYFUNCTION("GOOGLETRANSLATE(B734,""id"",""en"")"),"['card', 'clown', 'buy', 'quota', 'signal', 'ngadut', 'signal', 'smooth', 'shubuh', 'doank', 'pulp', 'Benerin', ' Donk ',' Signal ',' Severe ',' Bener ',' ']")</f>
        <v>['card', 'clown', 'buy', 'quota', 'signal', 'ngadut', 'signal', 'smooth', 'shubuh', 'doank', 'pulp', 'Benerin', ' Donk ',' Signal ',' Severe ',' Bener ',' ']</v>
      </c>
      <c r="D734" s="3">
        <v>1.0</v>
      </c>
    </row>
    <row r="735" ht="15.75" customHeight="1">
      <c r="A735" s="1">
        <v>733.0</v>
      </c>
      <c r="B735" s="3" t="s">
        <v>736</v>
      </c>
      <c r="C735" s="3" t="str">
        <f>IFERROR(__xludf.DUMMYFUNCTION("GOOGLETRANSLATE(B735,""id"",""en"")"),"['Network', 'like', 'missing', 'missing', 'sudden', 'data', 'cellular', 'dead', 'sudden', 'play', 'game', 'online', ' Network ',' stable ',' Region ',' City ',' Pontianak ', ""]")</f>
        <v>['Network', 'like', 'missing', 'missing', 'sudden', 'data', 'cellular', 'dead', 'sudden', 'play', 'game', 'online', ' Network ',' stable ',' Region ',' City ',' Pontianak ', "]</v>
      </c>
      <c r="D735" s="3">
        <v>1.0</v>
      </c>
    </row>
    <row r="736" ht="15.75" customHeight="1">
      <c r="A736" s="1">
        <v>734.0</v>
      </c>
      <c r="B736" s="3" t="s">
        <v>737</v>
      </c>
      <c r="C736" s="3" t="str">
        <f>IFERROR(__xludf.DUMMYFUNCTION("GOOGLETRANSLATE(B736,""id"",""en"")"),"['expensive', 'Doank', 'signal', 'AFK', 'Mulu', 'Telkom', 'bankrupt', 'yyaaa', 'star', 'change', 'love', 'star', ' aware ',' Change ',' Priority ',' Telkomsel ']")</f>
        <v>['expensive', 'Doank', 'signal', 'AFK', 'Mulu', 'Telkom', 'bankrupt', 'yyaaa', 'star', 'change', 'love', 'star', ' aware ',' Change ',' Priority ',' Telkomsel ']</v>
      </c>
      <c r="D736" s="3">
        <v>1.0</v>
      </c>
    </row>
    <row r="737" ht="15.75" customHeight="1">
      <c r="A737" s="1">
        <v>735.0</v>
      </c>
      <c r="B737" s="3" t="s">
        <v>738</v>
      </c>
      <c r="C737" s="3" t="str">
        <f>IFERROR(__xludf.DUMMYFUNCTION("GOOGLETRANSLATE(B737,""id"",""en"")"),"['many years',' times', 'Disappointed', 'bills',' bepacked ',' confirm ',' PlayStore ',' Telkomsel ',' use ',' buy ',' application ',' Playstore ',' Method ',' Payment ',' Telkomsel ',' Automatic ',' BGitu ',' Cut ',' The Application ',' UDH ',' Removed '"&amp;",' Disappointed ', ""]")</f>
        <v>['many years',' times', 'Disappointed', 'bills',' bepacked ',' confirm ',' PlayStore ',' Telkomsel ',' use ',' buy ',' application ',' Playstore ',' Method ',' Payment ',' Telkomsel ',' Automatic ',' BGitu ',' Cut ',' The Application ',' UDH ',' Removed ',' Disappointed ', "]</v>
      </c>
      <c r="D737" s="3">
        <v>1.0</v>
      </c>
    </row>
    <row r="738" ht="15.75" customHeight="1">
      <c r="A738" s="1">
        <v>736.0</v>
      </c>
      <c r="B738" s="3" t="s">
        <v>739</v>
      </c>
      <c r="C738" s="3" t="str">
        <f>IFERROR(__xludf.DUMMYFUNCTION("GOOGLETRANSLATE(B738,""id"",""en"")"),"['exchange', 'card', 'buy', 'package', 'monthly', 'proof', 'signs',' thank ',' buy ',' item ',' market ',' proof ',' Signs', 'Accept', 'Professional', 'Under', 'Class',' Amateurism ',' Receipt ',' GraPARI ',' Telkomsel ', ""]")</f>
        <v>['exchange', 'card', 'buy', 'package', 'monthly', 'proof', 'signs',' thank ',' buy ',' item ',' market ',' proof ',' Signs', 'Accept', 'Professional', 'Under', 'Class',' Amateurism ',' Receipt ',' GraPARI ',' Telkomsel ', "]</v>
      </c>
      <c r="D738" s="3">
        <v>1.0</v>
      </c>
    </row>
    <row r="739" ht="15.75" customHeight="1">
      <c r="A739" s="1">
        <v>737.0</v>
      </c>
      <c r="B739" s="3" t="s">
        <v>740</v>
      </c>
      <c r="C739" s="3" t="str">
        <f>IFERROR(__xludf.DUMMYFUNCTION("GOOGLETRANSLATE(B739,""id"",""en"")"),"['Buy', 'Credit', 'Telkomsel', 'Posts', 'Points', 'Points', 'Bought', 'Wear', 'Points', 'Please', 'As soon as']")</f>
        <v>['Buy', 'Credit', 'Telkomsel', 'Posts', 'Points', 'Points', 'Bought', 'Wear', 'Points', 'Please', 'As soon as']</v>
      </c>
      <c r="D739" s="3">
        <v>2.0</v>
      </c>
    </row>
    <row r="740" ht="15.75" customHeight="1">
      <c r="A740" s="1">
        <v>738.0</v>
      </c>
      <c r="B740" s="3" t="s">
        <v>741</v>
      </c>
      <c r="C740" s="3" t="str">
        <f>IFERROR(__xludf.DUMMYFUNCTION("GOOGLETRANSLATE(B740,""id"",""en"")"),"['Love', 'star', 'application', 'good', 'repaired', 'signal', 'play', 'game', 'online', 'slow', 'sinya', 'nurun', ' ugly ',' signal ',' beg ',' repaired ',' person ',' happy ',' application ',' so ',' thank ',' love ',' ']")</f>
        <v>['Love', 'star', 'application', 'good', 'repaired', 'signal', 'play', 'game', 'online', 'slow', 'sinya', 'nurun', ' ugly ',' signal ',' beg ',' repaired ',' person ',' happy ',' application ',' so ',' thank ',' love ',' ']</v>
      </c>
      <c r="D740" s="3">
        <v>4.0</v>
      </c>
    </row>
    <row r="741" ht="15.75" customHeight="1">
      <c r="A741" s="1">
        <v>739.0</v>
      </c>
      <c r="B741" s="3" t="s">
        <v>742</v>
      </c>
      <c r="C741" s="3" t="str">
        <f>IFERROR(__xludf.DUMMYFUNCTION("GOOGLETRANSLATE(B741,""id"",""en"")"),"['disappointed', 'severe', 'signal', 'class',' Telkomsel ',' card ',' provider ',' expensive ',' signal ',' difficult ',' guaranteed ',' customer ',' run', '']")</f>
        <v>['disappointed', 'severe', 'signal', 'class',' Telkomsel ',' card ',' provider ',' expensive ',' signal ',' difficult ',' guaranteed ',' customer ',' run', '']</v>
      </c>
      <c r="D741" s="3">
        <v>1.0</v>
      </c>
    </row>
    <row r="742" ht="15.75" customHeight="1">
      <c r="A742" s="1">
        <v>740.0</v>
      </c>
      <c r="B742" s="3" t="s">
        <v>743</v>
      </c>
      <c r="C742" s="3" t="str">
        <f>IFERROR(__xludf.DUMMYFUNCTION("GOOGLETRANSLATE(B742,""id"",""en"")"),"['Customer', 'Telkomsel', 'buy', 'change', 'Telkomsel', 'signal', 'best', 'Feel', 'signal', 'Telkomsel', 'repair', 'signal', ' Telkomsel ',' Customer ',' Moving ',' Provider ']")</f>
        <v>['Customer', 'Telkomsel', 'buy', 'change', 'Telkomsel', 'signal', 'best', 'Feel', 'signal', 'Telkomsel', 'repair', 'signal', ' Telkomsel ',' Customer ',' Moving ',' Provider ']</v>
      </c>
      <c r="D742" s="3">
        <v>1.0</v>
      </c>
    </row>
    <row r="743" ht="15.75" customHeight="1">
      <c r="A743" s="1">
        <v>741.0</v>
      </c>
      <c r="B743" s="3" t="s">
        <v>744</v>
      </c>
      <c r="C743" s="3" t="str">
        <f>IFERROR(__xludf.DUMMYFUNCTION("GOOGLETRANSLATE(B743,""id"",""en"")"),"['Sousal', 'delicious',' package ',' game ',' play ',' game ',' quota ',' please ',' fix ',' Telkomsel ',' buy ',' package ',' Game ',' play ']")</f>
        <v>['Sousal', 'delicious',' package ',' game ',' play ',' game ',' quota ',' please ',' fix ',' Telkomsel ',' buy ',' package ',' Game ',' play ']</v>
      </c>
      <c r="D743" s="3">
        <v>4.0</v>
      </c>
    </row>
    <row r="744" ht="15.75" customHeight="1">
      <c r="A744" s="1">
        <v>742.0</v>
      </c>
      <c r="B744" s="3" t="s">
        <v>745</v>
      </c>
      <c r="C744" s="3" t="str">
        <f>IFERROR(__xludf.DUMMYFUNCTION("GOOGLETRANSLATE(B744,""id"",""en"")"),"['Congratulations',' noon ',' Disappointed ',' Stamp ',' Stamp ',' Quota ',' GB ',' HR ',' Open ',' Application ',' Telkomsel ',' Looking ',' Dayly ',' Check ',' Where ',' Tick ',' Swallow ',' Earth ',' Please ',' Telkomsel ',' Mmg ',' Bonus', 'Quota', 'C"&amp;"ollection', 'Stampel' , 'HRS', 'keep', 'SMP', 'TGL', 'Stampel', 'Dayly', 'Check', 'Eliminate', 'Thank "",' Love ',' Telkomsel ',' Okay ',' very', '']")</f>
        <v>['Congratulations',' noon ',' Disappointed ',' Stamp ',' Stamp ',' Quota ',' GB ',' HR ',' Open ',' Application ',' Telkomsel ',' Looking ',' Dayly ',' Check ',' Where ',' Tick ',' Swallow ',' Earth ',' Please ',' Telkomsel ',' Mmg ',' Bonus', 'Quota', 'Collection', 'Stampel' , 'HRS', 'keep', 'SMP', 'TGL', 'Stampel', 'Dayly', 'Check', 'Eliminate', 'Thank ",' Love ',' Telkomsel ',' Okay ',' very', '']</v>
      </c>
      <c r="D744" s="3">
        <v>4.0</v>
      </c>
    </row>
    <row r="745" ht="15.75" customHeight="1">
      <c r="A745" s="1">
        <v>743.0</v>
      </c>
      <c r="B745" s="3" t="s">
        <v>746</v>
      </c>
      <c r="C745" s="3" t="str">
        <f>IFERROR(__xludf.DUMMYFUNCTION("GOOGLETRANSLATE(B745,""id"",""en"")"),"['application', 'how', 'buy', 'package', 'difficult', 'told', 'check', 'connection', 'internet', 'internet', 'smooth', 'smooth', ' intention', '']")</f>
        <v>['application', 'how', 'buy', 'package', 'difficult', 'told', 'check', 'connection', 'internet', 'internet', 'smooth', 'smooth', ' intention', '']</v>
      </c>
      <c r="D745" s="3">
        <v>1.0</v>
      </c>
    </row>
    <row r="746" ht="15.75" customHeight="1">
      <c r="A746" s="1">
        <v>744.0</v>
      </c>
      <c r="B746" s="3" t="s">
        <v>747</v>
      </c>
      <c r="C746" s="3" t="str">
        <f>IFERROR(__xludf.DUMMYFUNCTION("GOOGLETRANSLATE(B746,""id"",""en"")"),"['Telkomsel', 'bad', 'disappointed', 'loyal', 'school', 'base', 'college', 'use it', 'connection', 'internet', 'danger', 'bad', ' Credit ',' Sucked ',' Activate ',' Package ',' Data ',' Internet ',' Telkomsel ',' Seprti ',' Citra ',' Company ',' Bad ',' F"&amp;"ix ',' Customer ' , 'Switch', 'card', '']")</f>
        <v>['Telkomsel', 'bad', 'disappointed', 'loyal', 'school', 'base', 'college', 'use it', 'connection', 'internet', 'danger', 'bad', ' Credit ',' Sucked ',' Activate ',' Package ',' Data ',' Internet ',' Telkomsel ',' Seprti ',' Citra ',' Company ',' Bad ',' Fix ',' Customer ' , 'Switch', 'card', '']</v>
      </c>
      <c r="D746" s="3">
        <v>1.0</v>
      </c>
    </row>
    <row r="747" ht="15.75" customHeight="1">
      <c r="A747" s="1">
        <v>745.0</v>
      </c>
      <c r="B747" s="3" t="s">
        <v>748</v>
      </c>
      <c r="C747" s="3" t="str">
        <f>IFERROR(__xludf.DUMMYFUNCTION("GOOGLETRANSLATE(B747,""id"",""en"")"),"['signal', 'severe', 'pls',' take ',' still ',' sympathy ',' good ',' knp ',' ugly ',' satisfaction ',' Castumer ',' pay ',' free ',' parahhhhhhh ']")</f>
        <v>['signal', 'severe', 'pls',' take ',' still ',' sympathy ',' good ',' knp ',' ugly ',' satisfaction ',' Castumer ',' pay ',' free ',' parahhhhhhh ']</v>
      </c>
      <c r="D747" s="3">
        <v>2.0</v>
      </c>
    </row>
    <row r="748" ht="15.75" customHeight="1">
      <c r="A748" s="1">
        <v>746.0</v>
      </c>
      <c r="B748" s="3" t="s">
        <v>749</v>
      </c>
      <c r="C748" s="3" t="str">
        <f>IFERROR(__xludf.DUMMYFUNCTION("GOOGLETRANSLATE(B748,""id"",""en"")"),"['Please', 'Success', 'Login', 'Login', 'The Application', 'Telkomsal', 'Buy', 'Package', 'Telkomsel', 'Say', 'Loin']")</f>
        <v>['Please', 'Success', 'Login', 'Login', 'The Application', 'Telkomsal', 'Buy', 'Package', 'Telkomsel', 'Say', 'Loin']</v>
      </c>
      <c r="D748" s="3">
        <v>1.0</v>
      </c>
    </row>
    <row r="749" ht="15.75" customHeight="1">
      <c r="A749" s="1">
        <v>747.0</v>
      </c>
      <c r="B749" s="3" t="s">
        <v>750</v>
      </c>
      <c r="C749" s="3" t="str">
        <f>IFERROR(__xludf.DUMMYFUNCTION("GOOGLETRANSLATE(B749,""id"",""en"")"),"['buy', 'package', 'Interne', 'night', 'TPI', 'KLU', 'already', 'clock', 'night', 'package', 'Interne', 'night', ' Open ',' YouTube ',' Video ',' APK ',' KLU ',' Open ',' Somed ',' Why ',' Gini ',' Deh ',' Hold ',' Conducted ',' Hold ' , 'whole', 'Jga', "&amp;"""]")</f>
        <v>['buy', 'package', 'Interne', 'night', 'TPI', 'KLU', 'already', 'clock', 'night', 'package', 'Interne', 'night', ' Open ',' YouTube ',' Video ',' APK ',' KLU ',' Open ',' Somed ',' Why ',' Gini ',' Deh ',' Hold ',' Conducted ',' Hold ' , 'whole', 'Jga', "]</v>
      </c>
      <c r="D749" s="3">
        <v>1.0</v>
      </c>
    </row>
    <row r="750" ht="15.75" customHeight="1">
      <c r="A750" s="1">
        <v>748.0</v>
      </c>
      <c r="B750" s="3" t="s">
        <v>751</v>
      </c>
      <c r="C750" s="3" t="str">
        <f>IFERROR(__xludf.DUMMYFUNCTION("GOOGLETRANSLATE(B750,""id"",""en"")"),"['signal', 'city', 'metro', 'forgiveness',' dahhh ',' slow ',' abis', 'according to', 'price', 'bought', 'according to', 'name', ' company ',' people ',' stupid ',' survive ',' provider ', ""]")</f>
        <v>['signal', 'city', 'metro', 'forgiveness',' dahhh ',' slow ',' abis', 'according to', 'price', 'bought', 'according to', 'name', ' company ',' people ',' stupid ',' survive ',' provider ', "]</v>
      </c>
      <c r="D750" s="3">
        <v>1.0</v>
      </c>
    </row>
    <row r="751" ht="15.75" customHeight="1">
      <c r="A751" s="1">
        <v>749.0</v>
      </c>
      <c r="B751" s="3" t="s">
        <v>752</v>
      </c>
      <c r="C751" s="3" t="str">
        <f>IFERROR(__xludf.DUMMYFUNCTION("GOOGLETRANSLATE(B751,""id"",""en"")"),"['here', 'signal', 'slow', 'city', 'Papa', 'Telkomsel', 'expensive', 'signal', 'support', 'eh', 'he knows',' Gini ',' ']")</f>
        <v>['here', 'signal', 'slow', 'city', 'Papa', 'Telkomsel', 'expensive', 'signal', 'support', 'eh', 'he knows',' Gini ',' ']</v>
      </c>
      <c r="D751" s="3">
        <v>1.0</v>
      </c>
    </row>
    <row r="752" ht="15.75" customHeight="1">
      <c r="A752" s="1">
        <v>750.0</v>
      </c>
      <c r="B752" s="3" t="s">
        <v>753</v>
      </c>
      <c r="C752" s="3" t="str">
        <f>IFERROR(__xludf.DUMMYFUNCTION("GOOGLETRANSLATE(B752,""id"",""en"")"),"['cmn', 'blng', 'knp', 'love', 'star', 'sya', 'buy', 'package', 'telkomsel', 'pdhl', 'pulse', 'sya', ' ckup ',' Dri ',' ckup ',' knp ',' please ',' help ',' lahhhh ',' telkomsel ']")</f>
        <v>['cmn', 'blng', 'knp', 'love', 'star', 'sya', 'buy', 'package', 'telkomsel', 'pdhl', 'pulse', 'sya', ' ckup ',' Dri ',' ckup ',' knp ',' please ',' help ',' lahhhh ',' telkomsel ']</v>
      </c>
      <c r="D752" s="3">
        <v>1.0</v>
      </c>
    </row>
    <row r="753" ht="15.75" customHeight="1">
      <c r="A753" s="1">
        <v>751.0</v>
      </c>
      <c r="B753" s="3" t="s">
        <v>754</v>
      </c>
      <c r="C753" s="3" t="str">
        <f>IFERROR(__xludf.DUMMYFUNCTION("GOOGLETRANSLATE(B753,""id"",""en"")"),"['Please', 'biary', 'open', 'application', 'free', 'quota', 'let', 'buy', 'check', 'quota', 'application', 'signal', ' "", 'my place', '']")</f>
        <v>['Please', 'biary', 'open', 'application', 'free', 'quota', 'let', 'buy', 'check', 'quota', 'application', 'signal', ' ", 'my place', '']</v>
      </c>
      <c r="D753" s="3">
        <v>4.0</v>
      </c>
    </row>
    <row r="754" ht="15.75" customHeight="1">
      <c r="A754" s="1">
        <v>752.0</v>
      </c>
      <c r="B754" s="3" t="s">
        <v>755</v>
      </c>
      <c r="C754" s="3" t="str">
        <f>IFERROR(__xludf.DUMMYFUNCTION("GOOGLETRANSLATE(B754,""id"",""en"")"),"['Package', 'data', 'bought', 'consumer', 'scorched', 'term', 'begated', 'rights',' consumer ',' trade ',' bad ',' fair ',' Justice ',' Hereafter ',' Zholim ', ""]")</f>
        <v>['Package', 'data', 'bought', 'consumer', 'scorched', 'term', 'begated', 'rights',' consumer ',' trade ',' bad ',' fair ',' Justice ',' Hereafter ',' Zholim ', "]</v>
      </c>
      <c r="D754" s="3">
        <v>1.0</v>
      </c>
    </row>
    <row r="755" ht="15.75" customHeight="1">
      <c r="A755" s="1">
        <v>753.0</v>
      </c>
      <c r="B755" s="3" t="s">
        <v>756</v>
      </c>
      <c r="C755" s="3" t="str">
        <f>IFERROR(__xludf.DUMMYFUNCTION("GOOGLETRANSLATE(B755,""id"",""en"")"),"['Application', 'garbage', 'cheats',' people ',' pulse ',' used ',' cut ',' then ',' mpe ',' abis', 'netting', 'slow', ' according to ',' hrga ',' quality ',' hope ',' cpt ',' die ',' you ',' ttup ',' age ',' country ',' squeeze ',' kmi ',' trusss' , '']")</f>
        <v>['Application', 'garbage', 'cheats',' people ',' pulse ',' used ',' cut ',' then ',' mpe ',' abis', 'netting', 'slow', ' according to ',' hrga ',' quality ',' hope ',' cpt ',' die ',' you ',' ttup ',' age ',' country ',' squeeze ',' kmi ',' trusss' , '']</v>
      </c>
      <c r="D755" s="3">
        <v>1.0</v>
      </c>
    </row>
    <row r="756" ht="15.75" customHeight="1">
      <c r="A756" s="1">
        <v>754.0</v>
      </c>
      <c r="B756" s="3" t="s">
        <v>757</v>
      </c>
      <c r="C756" s="3" t="str">
        <f>IFERROR(__xludf.DUMMYFUNCTION("GOOGLETRANSLATE(B756,""id"",""en"")"),"['Direct', 'Reduce', 'Bintang', 'Karna', 'Telkomsel', 'Network', 'Network', 'Skr', 'Leet', 'just', 'Pentingin', 'Customer', ' Kasi ',' Rating ',' Good ',' Rating ',' Good ',' Customer ',' Begin ',' Network ',' Season ',' ']")</f>
        <v>['Direct', 'Reduce', 'Bintang', 'Karna', 'Telkomsel', 'Network', 'Network', 'Skr', 'Leet', 'just', 'Pentingin', 'Customer', ' Kasi ',' Rating ',' Good ',' Rating ',' Good ',' Customer ',' Begin ',' Network ',' Season ',' ']</v>
      </c>
      <c r="D756" s="3">
        <v>1.0</v>
      </c>
    </row>
    <row r="757" ht="15.75" customHeight="1">
      <c r="A757" s="1">
        <v>755.0</v>
      </c>
      <c r="B757" s="3" t="s">
        <v>758</v>
      </c>
      <c r="C757" s="3" t="str">
        <f>IFERROR(__xludf.DUMMYFUNCTION("GOOGLETRANSLATE(B757,""id"",""en"")"),"['Mending', 'rame', 'rame', 'burn', 'card', 'Telkomsel', 'gaguna', 'already', 'expensive', 'signal', 'ugly', 'service', ' ugly ',' disruption ',' teros', 'gliran', 'complained', 'improvement', 'quality', 'network', 'tetep', 'ugly', 'Telkomsel', 'gajelas',"&amp;"' aying ' , 'Bankrupt', 'Mending']")</f>
        <v>['Mending', 'rame', 'rame', 'burn', 'card', 'Telkomsel', 'gaguna', 'already', 'expensive', 'signal', 'ugly', 'service', ' ugly ',' disruption ',' teros', 'gliran', 'complained', 'improvement', 'quality', 'network', 'tetep', 'ugly', 'Telkomsel', 'gajelas',' aying ' , 'Bankrupt', 'Mending']</v>
      </c>
      <c r="D757" s="3">
        <v>1.0</v>
      </c>
    </row>
    <row r="758" ht="15.75" customHeight="1">
      <c r="A758" s="1">
        <v>756.0</v>
      </c>
      <c r="B758" s="3" t="s">
        <v>759</v>
      </c>
      <c r="C758" s="3" t="str">
        <f>IFERROR(__xludf.DUMMYFUNCTION("GOOGLETRANSLATE(B758,""id"",""en"")"),"['', 'users',' Telkomsel ',' here ',' signal ',' threat ',' a year ',' end ',' right ',' gabisa ',' used ',' morning ',' until ',' malem ',' signal ',' smooth ',' clock ',' morning ',' towards', 'dawn', 'already', 'ngirimi', 'email', 'complaint', 'change'"&amp;", 'expensive', 'doang', 'service', 'kek', 'garbage', 'lose', 'provider', 'cheap', 'gave', 'price', 'below', 'Benefit', 'open ',' Medsos', 'complaints',' gave ',' money ',' change ',' card ',' ']")</f>
        <v>['', 'users',' Telkomsel ',' here ',' signal ',' threat ',' a year ',' end ',' right ',' gabisa ',' used ',' morning ',' until ',' malem ',' signal ',' smooth ',' clock ',' morning ',' towards', 'dawn', 'already', 'ngirimi', 'email', 'complaint', 'change', 'expensive', 'doang', 'service', 'kek', 'garbage', 'lose', 'provider', 'cheap', 'gave', 'price', 'below', 'Benefit', 'open ',' Medsos', 'complaints',' gave ',' money ',' change ',' card ',' ']</v>
      </c>
      <c r="D758" s="3">
        <v>1.0</v>
      </c>
    </row>
    <row r="759" ht="15.75" customHeight="1">
      <c r="A759" s="1">
        <v>757.0</v>
      </c>
      <c r="B759" s="3" t="s">
        <v>760</v>
      </c>
      <c r="C759" s="3" t="str">
        <f>IFERROR(__xludf.DUMMYFUNCTION("GOOGLETRANSLATE(B759,""id"",""en"")"),"['Severe', 'really', 'network', 'severe', 'here', 'down', 'quality', 'free', 'please', 'listen', 'comment', ""]")</f>
        <v>['Severe', 'really', 'network', 'severe', 'here', 'down', 'quality', 'free', 'please', 'listen', 'comment', "]</v>
      </c>
      <c r="D759" s="3">
        <v>1.0</v>
      </c>
    </row>
    <row r="760" ht="15.75" customHeight="1">
      <c r="A760" s="1">
        <v>758.0</v>
      </c>
      <c r="B760" s="3" t="s">
        <v>761</v>
      </c>
      <c r="C760" s="3" t="str">
        <f>IFERROR(__xludf.DUMMYFUNCTION("GOOGLETRANSLATE(B760,""id"",""en"")"),"['fox', 'star', 'star', 'buy', 'quota', 'prime', 'price', 'rb', 'GB', 'signal', 'crash', 'signal', ' LTE ',' said ',' signal ',' Telkomsel ',' best ',' I ',' price ',' that way ',' unlimited ',' btw ',' full ',' internet ',' a month ' , 'Money', 'Rb', 'co"&amp;"nnection', 'lose', 'signal', 'LTE', 'Okay', 'Gays', ""]")</f>
        <v>['fox', 'star', 'star', 'buy', 'quota', 'prime', 'price', 'rb', 'GB', 'signal', 'crash', 'signal', ' LTE ',' said ',' signal ',' Telkomsel ',' best ',' I ',' price ',' that way ',' unlimited ',' btw ',' full ',' internet ',' a month ' , 'Money', 'Rb', 'connection', 'lose', 'signal', 'LTE', 'Okay', 'Gays', "]</v>
      </c>
      <c r="D760" s="3">
        <v>5.0</v>
      </c>
    </row>
    <row r="761" ht="15.75" customHeight="1">
      <c r="A761" s="1">
        <v>759.0</v>
      </c>
      <c r="B761" s="3" t="s">
        <v>762</v>
      </c>
      <c r="C761" s="3" t="str">
        <f>IFERROR(__xludf.DUMMYFUNCTION("GOOGLETRANSLATE(B761,""id"",""en"")"),"['destroyed', 'ugly', 'slow', 'network', 'buffering', 'severe', 'open', 'anything', 'slow', 'severe', 'buy', 'quota', ' Expensive ',' expensive ',' network ',' ugly ',' ']")</f>
        <v>['destroyed', 'ugly', 'slow', 'network', 'buffering', 'severe', 'open', 'anything', 'slow', 'severe', 'buy', 'quota', ' Expensive ',' expensive ',' network ',' ugly ',' ']</v>
      </c>
      <c r="D761" s="3">
        <v>1.0</v>
      </c>
    </row>
    <row r="762" ht="15.75" customHeight="1">
      <c r="A762" s="1">
        <v>760.0</v>
      </c>
      <c r="B762" s="3" t="s">
        <v>763</v>
      </c>
      <c r="C762" s="3" t="str">
        <f>IFERROR(__xludf.DUMMYFUNCTION("GOOGLETRANSLATE(B762,""id"",""en"")"),"['signal', 'ugly', 'slow', 'used', 'game', 'ngelag', 'because', 'ping', 'ping', 'red', 'quality', 'according to' price ',' moved ',' provider ',' real ',' cheap ',' quality ',' signal ',' good ',' star ',' love ',' star ',' provider ',' pulp ' ]")</f>
        <v>['signal', 'ugly', 'slow', 'used', 'game', 'ngelag', 'because', 'ping', 'ping', 'red', 'quality', 'according to' price ',' moved ',' provider ',' real ',' cheap ',' quality ',' signal ',' good ',' star ',' love ',' star ',' provider ',' pulp ' ]</v>
      </c>
      <c r="D762" s="3">
        <v>1.0</v>
      </c>
    </row>
    <row r="763" ht="15.75" customHeight="1">
      <c r="A763" s="1">
        <v>761.0</v>
      </c>
      <c r="B763" s="3" t="s">
        <v>764</v>
      </c>
      <c r="C763" s="3" t="str">
        <f>IFERROR(__xludf.DUMMYFUNCTION("GOOGLETRANSLATE(B763,""id"",""en"")"),"['Disappointed', 'buy', 'package', 'data', 'fit', 'used', 'direct', 'drop', 'signal', 'rich', 'mountain', 'fast', ' signal ',' expensive ',' doang ',' signal ',' slow ',' skarang ',' please ',' increase ',' network ',' user ', ""]")</f>
        <v>['Disappointed', 'buy', 'package', 'data', 'fit', 'used', 'direct', 'drop', 'signal', 'rich', 'mountain', 'fast', ' signal ',' expensive ',' doang ',' signal ',' slow ',' skarang ',' please ',' increase ',' network ',' user ', "]</v>
      </c>
      <c r="D763" s="3">
        <v>1.0</v>
      </c>
    </row>
    <row r="764" ht="15.75" customHeight="1">
      <c r="A764" s="1">
        <v>762.0</v>
      </c>
      <c r="B764" s="3" t="s">
        <v>765</v>
      </c>
      <c r="C764" s="3" t="str">
        <f>IFERROR(__xludf.DUMMYFUNCTION("GOOGLETRANSLATE(B764,""id"",""en"")"),"['signal', 'network', 'stable', 'weekly', 'down', 'kinan', 'just', 'doang', 'heart', 'down', 'so', 'open', ' Status', 'Video', 'Muter', 'Kayak', 'Gangsing']")</f>
        <v>['signal', 'network', 'stable', 'weekly', 'down', 'kinan', 'just', 'doang', 'heart', 'down', 'so', 'open', ' Status', 'Video', 'Muter', 'Kayak', 'Gangsing']</v>
      </c>
      <c r="D764" s="3">
        <v>1.0</v>
      </c>
    </row>
    <row r="765" ht="15.75" customHeight="1">
      <c r="A765" s="1">
        <v>763.0</v>
      </c>
      <c r="B765" s="3" t="s">
        <v>766</v>
      </c>
      <c r="C765" s="3" t="str">
        <f>IFERROR(__xludf.DUMMYFUNCTION("GOOGLETRANSLATE(B765,""id"",""en"")"),"['customers',' Telkomsel ',' reason ',' choose ',' Telkomsel ',' reach ',' broad ',' stable ',' compared ',' competitor ',' rare ',' buy ',' package ',' internet ',' etc. ',' relative ',' expensive ',' example ',' price ',' package ',' rb ',' a week ',' r"&amp;"b ',' strange ',' choice ' , 'Package', 'printed', 'RB', 'pulse', 'truncated', 'switch', 'provider', 'internet', 'cheap', ""]")</f>
        <v>['customers',' Telkomsel ',' reason ',' choose ',' Telkomsel ',' reach ',' broad ',' stable ',' compared ',' competitor ',' rare ',' buy ',' package ',' internet ',' etc. ',' relative ',' expensive ',' example ',' price ',' package ',' rb ',' a week ',' rb ',' strange ',' choice ' , 'Package', 'printed', 'RB', 'pulse', 'truncated', 'switch', 'provider', 'internet', 'cheap', "]</v>
      </c>
      <c r="D765" s="3">
        <v>1.0</v>
      </c>
    </row>
    <row r="766" ht="15.75" customHeight="1">
      <c r="A766" s="1">
        <v>764.0</v>
      </c>
      <c r="B766" s="3" t="s">
        <v>767</v>
      </c>
      <c r="C766" s="3" t="str">
        <f>IFERROR(__xludf.DUMMYFUNCTION("GOOGLETRANSLATE(B766,""id"",""en"")"),"['Disappointed', 'Telkomsel', 'village', 'slow', 'really', 'kayak', 'gini', 'network', 'slow', 'please', 'Telkomsel', 'best', ' Users', 'thank', 'love', 'concern']")</f>
        <v>['Disappointed', 'Telkomsel', 'village', 'slow', 'really', 'kayak', 'gini', 'network', 'slow', 'please', 'Telkomsel', 'best', ' Users', 'thank', 'love', 'concern']</v>
      </c>
      <c r="D766" s="3">
        <v>3.0</v>
      </c>
    </row>
    <row r="767" ht="15.75" customHeight="1">
      <c r="A767" s="1">
        <v>765.0</v>
      </c>
      <c r="B767" s="3" t="s">
        <v>768</v>
      </c>
      <c r="C767" s="3" t="str">
        <f>IFERROR(__xludf.DUMMYFUNCTION("GOOGLETRANSLATE(B767,""id"",""en"")"),"['Telkomsel', 'ugly', 'Open', 'APL', 'Game', 'Network', 'Direct', 'Move', 'Connect', 'Quota', 'Local', 'Unlimited', ' Please ',' Fix ',' Admin ',' Auto ',' Card ',' ']")</f>
        <v>['Telkomsel', 'ugly', 'Open', 'APL', 'Game', 'Network', 'Direct', 'Move', 'Connect', 'Quota', 'Local', 'Unlimited', ' Please ',' Fix ',' Admin ',' Auto ',' Card ',' ']</v>
      </c>
      <c r="D767" s="3">
        <v>1.0</v>
      </c>
    </row>
    <row r="768" ht="15.75" customHeight="1">
      <c r="A768" s="1">
        <v>766.0</v>
      </c>
      <c r="B768" s="3" t="s">
        <v>769</v>
      </c>
      <c r="C768" s="3" t="str">
        <f>IFERROR(__xludf.DUMMYFUNCTION("GOOGLETRANSLATE(B768,""id"",""en"")"),"['Place', 'Kalimantan', 'South', 'Network', 'Leet', 'City', 'Village', 'Please', 'Repair', 'Network', 'Current', 'Difficulties',' studying', '']")</f>
        <v>['Place', 'Kalimantan', 'South', 'Network', 'Leet', 'City', 'Village', 'Please', 'Repair', 'Network', 'Current', 'Difficulties',' studying', '']</v>
      </c>
      <c r="D768" s="3">
        <v>2.0</v>
      </c>
    </row>
    <row r="769" ht="15.75" customHeight="1">
      <c r="A769" s="1">
        <v>767.0</v>
      </c>
      <c r="B769" s="3" t="s">
        <v>770</v>
      </c>
      <c r="C769" s="3" t="str">
        <f>IFERROR(__xludf.DUMMYFUNCTION("GOOGLETRANSLATE(B769,""id"",""en"")"),"['Males',' internet ',' provider ',' network ',' bad ',' play ',' ping ',' ugly ',' download ',' speed ',' slow ',' signal ',' already ',' ojin ',' jin ']")</f>
        <v>['Males',' internet ',' provider ',' network ',' bad ',' play ',' ping ',' ugly ',' download ',' speed ',' slow ',' signal ',' already ',' ojin ',' jin ']</v>
      </c>
      <c r="D769" s="3">
        <v>1.0</v>
      </c>
    </row>
    <row r="770" ht="15.75" customHeight="1">
      <c r="A770" s="1">
        <v>768.0</v>
      </c>
      <c r="B770" s="3" t="s">
        <v>771</v>
      </c>
      <c r="C770" s="3" t="str">
        <f>IFERROR(__xludf.DUMMYFUNCTION("GOOGLETRANSLATE(B770,""id"",""en"")"),"['Telkom', 'emotion', 'signal', 'slow', 'rich', 'snail', 'loss',' pelangan ',' heart ',' emotion ',' connection ',' ugly ',' please ',' fix ',' signal ',' love ',' star ',' disappointed ']")</f>
        <v>['Telkom', 'emotion', 'signal', 'slow', 'rich', 'snail', 'loss',' pelangan ',' heart ',' emotion ',' connection ',' ugly ',' please ',' fix ',' signal ',' love ',' star ',' disappointed ']</v>
      </c>
      <c r="D770" s="3">
        <v>1.0</v>
      </c>
    </row>
    <row r="771" ht="15.75" customHeight="1">
      <c r="A771" s="1">
        <v>769.0</v>
      </c>
      <c r="B771" s="3" t="s">
        <v>772</v>
      </c>
      <c r="C771" s="3" t="str">
        <f>IFERROR(__xludf.DUMMYFUNCTION("GOOGLETRANSLATE(B771,""id"",""en"")"),"['Place', 'signal', 'strong', 'signal', 'down', 'really', 'lose', 'card', 'Telkomsel', 'emang', 'spoken', 'attachiage', ' Comfort ',' Customer ',' Hopefully ',' Company ',' Fire ',' Easy ',' Hopefully ',' Bankrupt ',' ']")</f>
        <v>['Place', 'signal', 'strong', 'signal', 'down', 'really', 'lose', 'card', 'Telkomsel', 'emang', 'spoken', 'attachiage', ' Comfort ',' Customer ',' Hopefully ',' Company ',' Fire ',' Easy ',' Hopefully ',' Bankrupt ',' ']</v>
      </c>
      <c r="D771" s="3">
        <v>1.0</v>
      </c>
    </row>
    <row r="772" ht="15.75" customHeight="1">
      <c r="A772" s="1">
        <v>770.0</v>
      </c>
      <c r="B772" s="3" t="s">
        <v>773</v>
      </c>
      <c r="C772" s="3" t="str">
        <f>IFERROR(__xludf.DUMMYFUNCTION("GOOGLETRANSLATE(B772,""id"",""en"")"),"['difficult', 'sinynyal', 'just', 'play', 'game', 'application', 'sosmed', 'difficult', 'entry', 'price', 'package', 'internet', ' expensive ',' network ',' BURIK ',' disappointing ']")</f>
        <v>['difficult', 'sinynyal', 'just', 'play', 'game', 'application', 'sosmed', 'difficult', 'entry', 'price', 'package', 'internet', ' expensive ',' network ',' BURIK ',' disappointing ']</v>
      </c>
      <c r="D772" s="3">
        <v>5.0</v>
      </c>
    </row>
    <row r="773" ht="15.75" customHeight="1">
      <c r="A773" s="1">
        <v>771.0</v>
      </c>
      <c r="B773" s="3" t="s">
        <v>774</v>
      </c>
      <c r="C773" s="3" t="str">
        <f>IFERROR(__xludf.DUMMYFUNCTION("GOOGLETRANSLATE(B773,""id"",""en"")"),"['Package', 'Sepcial', 'for', 'You', 'APK', 'Telkomsel', 'Different', 'Package', 'Cheerful', 'SMS', 'Package', 'Ceria', ' navigate ',' reply ',' message ',' send ',' buy ',' apk ',' Telkomsel ',' apk ',' telkomsel ',' persuhit ',' card ',' telkomsel ',' n"&amp;"gelamin ' , 'Kayak', 'gini', 'make it difficult', 'customer', 'cave', 'igu', 'repair']")</f>
        <v>['Package', 'Sepcial', 'for', 'You', 'APK', 'Telkomsel', 'Different', 'Package', 'Cheerful', 'SMS', 'Package', 'Ceria', ' navigate ',' reply ',' message ',' send ',' buy ',' apk ',' Telkomsel ',' apk ',' telkomsel ',' persuhit ',' card ',' telkomsel ',' ngelamin ' , 'Kayak', 'gini', 'make it difficult', 'customer', 'cave', 'igu', 'repair']</v>
      </c>
      <c r="D773" s="3">
        <v>2.0</v>
      </c>
    </row>
    <row r="774" ht="15.75" customHeight="1">
      <c r="A774" s="1">
        <v>772.0</v>
      </c>
      <c r="B774" s="3" t="s">
        <v>775</v>
      </c>
      <c r="C774" s="3" t="str">
        <f>IFERROR(__xludf.DUMMYFUNCTION("GOOGLETRANSLATE(B774,""id"",""en"")"),"['Astaghfirullah', 'signal', 'blood', 'package', 'the most expensive', 'class',' love ',' service ',' upgrade ',' maintenance ',' care ',' signal ',' Stable ',' Plat ',' Red ',' Suitable ',' Given ',' One ',' Star ',' Service ',' Bad ',' Signal ',' Unstab"&amp;"le ', ""]")</f>
        <v>['Astaghfirullah', 'signal', 'blood', 'package', 'the most expensive', 'class',' love ',' service ',' upgrade ',' maintenance ',' care ',' signal ',' Stable ',' Plat ',' Red ',' Suitable ',' Given ',' One ',' Star ',' Service ',' Bad ',' Signal ',' Unstable ', "]</v>
      </c>
      <c r="D774" s="3">
        <v>1.0</v>
      </c>
    </row>
    <row r="775" ht="15.75" customHeight="1">
      <c r="A775" s="1">
        <v>773.0</v>
      </c>
      <c r="B775" s="3" t="s">
        <v>776</v>
      </c>
      <c r="C775" s="3" t="str">
        <f>IFERROR(__xludf.DUMMYFUNCTION("GOOGLETRANSLATE(B775,""id"",""en"")"),"['', 'Legitimate', 'Telkomsel', 'buy', 'package', 'slow', 'signal', 'satisfying', 'fix', 'network', 'price', 'package', 'data ',' expensive ',' Seindonesia ',' Raya ',' brain ',' chat ',' customer ',' service ',' satisfying ',' response ',' signal ',' kay"&amp;"ak ',' taik ', 'Kayak', 'pepej']")</f>
        <v>['', 'Legitimate', 'Telkomsel', 'buy', 'package', 'slow', 'signal', 'satisfying', 'fix', 'network', 'price', 'package', 'data ',' expensive ',' Seindonesia ',' Raya ',' brain ',' chat ',' customer ',' service ',' satisfying ',' response ',' signal ',' kayak ',' taik ', 'Kayak', 'pepej']</v>
      </c>
      <c r="D775" s="3">
        <v>1.0</v>
      </c>
    </row>
    <row r="776" ht="15.75" customHeight="1">
      <c r="A776" s="1">
        <v>774.0</v>
      </c>
      <c r="B776" s="3" t="s">
        <v>777</v>
      </c>
      <c r="C776" s="3" t="str">
        <f>IFERROR(__xludf.DUMMYFUNCTION("GOOGLETRANSLATE(B776,""id"",""en"")"),"['how', 'enter', 'voucher', 'application', 'mah', 'poor', 'rich', 'apk', 'next door', 'stay', 'barcode', 'direct', ' Fill ',' love ',' star ',' disappointing ']")</f>
        <v>['how', 'enter', 'voucher', 'application', 'mah', 'poor', 'rich', 'apk', 'next door', 'stay', 'barcode', 'direct', ' Fill ',' love ',' star ',' disappointing ']</v>
      </c>
      <c r="D776" s="3">
        <v>2.0</v>
      </c>
    </row>
    <row r="777" ht="15.75" customHeight="1">
      <c r="A777" s="1">
        <v>775.0</v>
      </c>
      <c r="B777" s="3" t="s">
        <v>778</v>
      </c>
      <c r="C777" s="3" t="str">
        <f>IFERROR(__xludf.DUMMYFUNCTION("GOOGLETRANSLATE(B777,""id"",""en"")"),"['Telokmsel', 'signal', 'rotten', 'lose', 'installed', 'tower', 'rotten', 'most', 'corruption']")</f>
        <v>['Telokmsel', 'signal', 'rotten', 'lose', 'installed', 'tower', 'rotten', 'most', 'corruption']</v>
      </c>
      <c r="D777" s="3">
        <v>1.0</v>
      </c>
    </row>
    <row r="778" ht="15.75" customHeight="1">
      <c r="A778" s="1">
        <v>776.0</v>
      </c>
      <c r="B778" s="3" t="s">
        <v>779</v>
      </c>
      <c r="C778" s="3" t="str">
        <f>IFERROR(__xludf.DUMMYFUNCTION("GOOGLETRANSLATE(B778,""id"",""en"")"),"['Telkomsel', 'junior high school', 'skrg', 'udh', 'yrs',' moved ',' operator ',' network ',' telkomsel ',' sick ',' heart ',' ugly ',' The network is']")</f>
        <v>['Telkomsel', 'junior high school', 'skrg', 'udh', 'yrs',' moved ',' operator ',' network ',' telkomsel ',' sick ',' heart ',' ugly ',' The network is']</v>
      </c>
      <c r="D778" s="3">
        <v>1.0</v>
      </c>
    </row>
    <row r="779" ht="15.75" customHeight="1">
      <c r="A779" s="1">
        <v>777.0</v>
      </c>
      <c r="B779" s="3" t="s">
        <v>780</v>
      </c>
      <c r="C779" s="3" t="str">
        <f>IFERROR(__xludf.DUMMYFUNCTION("GOOGLETRANSLATE(B779,""id"",""en"")"),"['The application', 'gabisa', 'replace', 'service', 'cheap', 'service', 'Telkomsel', 'poor', 'sms',' full ',' ad ',' eat ',' Memory ',' ']")</f>
        <v>['The application', 'gabisa', 'replace', 'service', 'cheap', 'service', 'Telkomsel', 'poor', 'sms',' full ',' ad ',' eat ',' Memory ',' ']</v>
      </c>
      <c r="D779" s="3">
        <v>1.0</v>
      </c>
    </row>
    <row r="780" ht="15.75" customHeight="1">
      <c r="A780" s="1">
        <v>778.0</v>
      </c>
      <c r="B780" s="3" t="s">
        <v>781</v>
      </c>
      <c r="C780" s="3" t="str">
        <f>IFERROR(__xludf.DUMMYFUNCTION("GOOGLETRANSLATE(B780,""id"",""en"")"),"['customers',' Telkomsel ',' here ',' signal ',' ugly ',' play ',' game ',' package ',' promo ',' buy ',' pdhl ',' please ',' Admin ',' Help ',' already ',' times', 'pulse', 'missing', 'kirain', 'package', 'promo', 'already', 'active']")</f>
        <v>['customers',' Telkomsel ',' here ',' signal ',' ugly ',' play ',' game ',' package ',' promo ',' buy ',' pdhl ',' please ',' Admin ',' Help ',' already ',' times', 'pulse', 'missing', 'kirain', 'package', 'promo', 'already', 'active']</v>
      </c>
      <c r="D780" s="3">
        <v>3.0</v>
      </c>
    </row>
    <row r="781" ht="15.75" customHeight="1">
      <c r="A781" s="1">
        <v>779.0</v>
      </c>
      <c r="B781" s="3" t="s">
        <v>782</v>
      </c>
      <c r="C781" s="3" t="str">
        <f>IFERROR(__xludf.DUMMYFUNCTION("GOOGLETRANSLATE(B781,""id"",""en"")"),"['use', 'card', 'Hello', 'Sinyal', 'bad', 'use', 'package', 'internet', 'combo', 'Sakti', 'severe', 'sorry', ' Stars', 'emang', 'decent', '']")</f>
        <v>['use', 'card', 'Hello', 'Sinyal', 'bad', 'use', 'package', 'internet', 'combo', 'Sakti', 'severe', 'sorry', ' Stars', 'emang', 'decent', '']</v>
      </c>
      <c r="D781" s="3">
        <v>1.0</v>
      </c>
    </row>
    <row r="782" ht="15.75" customHeight="1">
      <c r="A782" s="1">
        <v>780.0</v>
      </c>
      <c r="B782" s="3" t="s">
        <v>783</v>
      </c>
      <c r="C782" s="3" t="str">
        <f>IFERROR(__xludf.DUMMYFUNCTION("GOOGLETRANSLATE(B782,""id"",""en"")"),"['users',' Telkkmsel ',' disappointed ',' network ',' Telkomsel ',' bad ',' price ',' quota ',' expensive ',' fix ',' network ',' Telkomsel ',' Merugi ',' quota ',' expensive ',' ']")</f>
        <v>['users',' Telkkmsel ',' disappointed ',' network ',' Telkomsel ',' bad ',' price ',' quota ',' expensive ',' fix ',' network ',' Telkomsel ',' Merugi ',' quota ',' expensive ',' ']</v>
      </c>
      <c r="D782" s="3">
        <v>1.0</v>
      </c>
    </row>
    <row r="783" ht="15.75" customHeight="1">
      <c r="A783" s="1">
        <v>781.0</v>
      </c>
      <c r="B783" s="3" t="s">
        <v>784</v>
      </c>
      <c r="C783" s="3" t="str">
        <f>IFERROR(__xludf.DUMMYFUNCTION("GOOGLETRANSLATE(B783,""id"",""en"")"),"['The network', 'bad', 'open', 'youtube', 'quality', 'ngelag', 'right', 'play', 'game', 'online', 'signal', 'red', ' Yellow ',' stable ',' already ',' a month ',' network ',' ugly ',' open ',' slow ',' really ', ""]")</f>
        <v>['The network', 'bad', 'open', 'youtube', 'quality', 'ngelag', 'right', 'play', 'game', 'online', 'signal', 'red', ' Yellow ',' stable ',' already ',' a month ',' network ',' ugly ',' open ',' slow ',' really ', "]</v>
      </c>
      <c r="D783" s="3">
        <v>1.0</v>
      </c>
    </row>
    <row r="784" ht="15.75" customHeight="1">
      <c r="A784" s="1">
        <v>782.0</v>
      </c>
      <c r="B784" s="3" t="s">
        <v>785</v>
      </c>
      <c r="C784" s="3" t="str">
        <f>IFERROR(__xludf.DUMMYFUNCTION("GOOGLETRANSLATE(B784,""id"",""en"")"),"['Woy', 'comment', 'Hargain', 'Song', 'Signal', 'Error', 'Snyl', 'Kali', 'Error', 'Signal', 'Knp', 'Price', ' Telkomsel ',' Nambah ',' expensive ',' Cheap ',' Napa ',' expensive ',' Sorry ',' Lasih ',' star ', ""]")</f>
        <v>['Woy', 'comment', 'Hargain', 'Song', 'Signal', 'Error', 'Snyl', 'Kali', 'Error', 'Signal', 'Knp', 'Price', ' Telkomsel ',' Nambah ',' expensive ',' Cheap ',' Napa ',' expensive ',' Sorry ',' Lasih ',' star ', "]</v>
      </c>
      <c r="D784" s="3">
        <v>4.0</v>
      </c>
    </row>
    <row r="785" ht="15.75" customHeight="1">
      <c r="A785" s="1">
        <v>783.0</v>
      </c>
      <c r="B785" s="3" t="s">
        <v>786</v>
      </c>
      <c r="C785" s="3" t="str">
        <f>IFERROR(__xludf.DUMMYFUNCTION("GOOGLETRANSLATE(B785,""id"",""en"")"),"['happy', 'really', 'application', 'buy', 'package', 'check', 'pulse', 'nga', 'tired', 'type', 'open', 'my apk', ' reload phone credit']")</f>
        <v>['happy', 'really', 'application', 'buy', 'package', 'check', 'pulse', 'nga', 'tired', 'type', 'open', 'my apk', ' reload phone credit']</v>
      </c>
      <c r="D785" s="3">
        <v>5.0</v>
      </c>
    </row>
    <row r="786" ht="15.75" customHeight="1">
      <c r="A786" s="1">
        <v>784.0</v>
      </c>
      <c r="B786" s="3" t="s">
        <v>787</v>
      </c>
      <c r="C786" s="3" t="str">
        <f>IFERROR(__xludf.DUMMYFUNCTION("GOOGLETRANSLATE(B786,""id"",""en"")"),"['times',' buy ',' credit ',' directly ',' Abis', 'left', 'blom', 'appain', 'pulse', 'udeh', 'missing', 'aje', ' celamitan ',' Telkomsel ',' people ',' need ',' really ',' people ',' annoyed ',' aje ', ""]")</f>
        <v>['times',' buy ',' credit ',' directly ',' Abis', 'left', 'blom', 'appain', 'pulse', 'udeh', 'missing', 'aje', ' celamitan ',' Telkomsel ',' people ',' need ',' really ',' people ',' annoyed ',' aje ', "]</v>
      </c>
      <c r="D786" s="3">
        <v>1.0</v>
      </c>
    </row>
    <row r="787" ht="15.75" customHeight="1">
      <c r="A787" s="1">
        <v>785.0</v>
      </c>
      <c r="B787" s="3" t="s">
        <v>788</v>
      </c>
      <c r="C787" s="3" t="str">
        <f>IFERROR(__xludf.DUMMYFUNCTION("GOOGLETRANSLATE(B787,""id"",""en"")"),"['bad', 'kayak', 'gini', 'user', 'moved', 'provider', 'price', 'package', 'enter', 'sense', 'barengi', 'network', ' good']")</f>
        <v>['bad', 'kayak', 'gini', 'user', 'moved', 'provider', 'price', 'package', 'enter', 'sense', 'barengi', 'network', ' good']</v>
      </c>
      <c r="D787" s="3">
        <v>1.0</v>
      </c>
    </row>
    <row r="788" ht="15.75" customHeight="1">
      <c r="A788" s="1">
        <v>786.0</v>
      </c>
      <c r="B788" s="3" t="s">
        <v>789</v>
      </c>
      <c r="C788" s="3" t="str">
        <f>IFERROR(__xludf.DUMMYFUNCTION("GOOGLETRANSLATE(B788,""id"",""en"")"),"['Please', 'see', 'Telkomsel', 'Membuat', 'The application', 'bug', 'fix', 'buy', 'package', 'price', 'keuang', 'already', ' Buy ',' BLM ',' Enter ',' pulse ',' pulse ',' application ',' Simcard ',' Error ',' Network ',' Udh ',' Bener ',' The application "&amp;"']")</f>
        <v>['Please', 'see', 'Telkomsel', 'Membuat', 'The application', 'bug', 'fix', 'buy', 'package', 'price', 'keuang', 'already', ' Buy ',' BLM ',' Enter ',' pulse ',' pulse ',' application ',' Simcard ',' Error ',' Network ',' Udh ',' Bener ',' The application ']</v>
      </c>
      <c r="D788" s="3">
        <v>1.0</v>
      </c>
    </row>
    <row r="789" ht="15.75" customHeight="1">
      <c r="A789" s="1">
        <v>787.0</v>
      </c>
      <c r="B789" s="3" t="s">
        <v>790</v>
      </c>
      <c r="C789" s="3" t="str">
        <f>IFERROR(__xludf.DUMMYFUNCTION("GOOGLETRANSLATE(B789,""id"",""en"")"),"['expensive', 'Doank', 'buy', 'package', 'prank', 'buy', 'quota', 'TBA', 'quota', 'local', 'complement', 'complicated', ' selling ',' better ',' signal ',' as good ',' waste ',' money ',' doank ',' card ',' telkom ',' buy ',' package ',' prank ',' taii ' "&amp;", 'Nyari', 'money', 'date', 'metik', 'disappointing', '']")</f>
        <v>['expensive', 'Doank', 'buy', 'package', 'prank', 'buy', 'quota', 'TBA', 'quota', 'local', 'complement', 'complicated', ' selling ',' better ',' signal ',' as good ',' waste ',' money ',' doank ',' card ',' telkom ',' buy ',' package ',' prank ',' taii ' , 'Nyari', 'money', 'date', 'metik', 'disappointing', '']</v>
      </c>
      <c r="D789" s="3">
        <v>1.0</v>
      </c>
    </row>
    <row r="790" ht="15.75" customHeight="1">
      <c r="A790" s="1">
        <v>788.0</v>
      </c>
      <c r="B790" s="3" t="s">
        <v>791</v>
      </c>
      <c r="C790" s="3" t="str">
        <f>IFERROR(__xludf.DUMMYFUNCTION("GOOGLETRANSLATE(B790,""id"",""en"")"),"['', 'th', 'loyal', 'use', 'Telkomsel', 'get', 'promo', 'right', 'promo', 'package', 'internet', 'price', 'expensive ',' Package ',' Promo ',' ']")</f>
        <v>['', 'th', 'loyal', 'use', 'Telkomsel', 'get', 'promo', 'right', 'promo', 'package', 'internet', 'price', 'expensive ',' Package ',' Promo ',' ']</v>
      </c>
      <c r="D790" s="3">
        <v>1.0</v>
      </c>
    </row>
    <row r="791" ht="15.75" customHeight="1">
      <c r="A791" s="1">
        <v>789.0</v>
      </c>
      <c r="B791" s="3" t="s">
        <v>792</v>
      </c>
      <c r="C791" s="3" t="str">
        <f>IFERROR(__xludf.DUMMYFUNCTION("GOOGLETRANSLATE(B791,""id"",""en"")"),"['Telkomsel', 'Login', 'Enter', 'Telkomsel', 'Hard', 'Knp', 'Login', 'Facebook', 'Google', 'Success',' Writing ',' Code ',' OTP ',' expiration ',' minutes']")</f>
        <v>['Telkomsel', 'Login', 'Enter', 'Telkomsel', 'Hard', 'Knp', 'Login', 'Facebook', 'Google', 'Success',' Writing ',' Code ',' OTP ',' expiration ',' minutes']</v>
      </c>
      <c r="D791" s="3">
        <v>1.0</v>
      </c>
    </row>
    <row r="792" ht="15.75" customHeight="1">
      <c r="A792" s="1">
        <v>790.0</v>
      </c>
      <c r="B792" s="3" t="s">
        <v>793</v>
      </c>
      <c r="C792" s="3" t="str">
        <f>IFERROR(__xludf.DUMMYFUNCTION("GOOGLETRANSLATE(B792,""id"",""en"")"),"['signal', 'stable', 'reason', 'improvement', 'improvement', 'reason', 'factor', 'topografy', 'area', 'flat', 'blocked', 'hill', ' The reason is', 'strength', 'signal', 'play', 'pubg']")</f>
        <v>['signal', 'stable', 'reason', 'improvement', 'improvement', 'reason', 'factor', 'topografy', 'area', 'flat', 'blocked', 'hill', ' The reason is', 'strength', 'signal', 'play', 'pubg']</v>
      </c>
      <c r="D792" s="3">
        <v>1.0</v>
      </c>
    </row>
    <row r="793" ht="15.75" customHeight="1">
      <c r="A793" s="1">
        <v>791.0</v>
      </c>
      <c r="B793" s="3" t="s">
        <v>794</v>
      </c>
      <c r="C793" s="3" t="str">
        <f>IFERROR(__xludf.DUMMYFUNCTION("GOOGLETRANSLATE(B793,""id"",""en"")"),"['customer', 'loyal', 'Telkomsel', 'Network', 'Main', 'Game', 'Ngping', 'Network', 'Kayak', 'Gini', 'Move', 'Subscription', ' So ']")</f>
        <v>['customer', 'loyal', 'Telkomsel', 'Network', 'Main', 'Game', 'Ngping', 'Network', 'Kayak', 'Gini', 'Move', 'Subscription', ' So ']</v>
      </c>
      <c r="D793" s="3">
        <v>1.0</v>
      </c>
    </row>
    <row r="794" ht="15.75" customHeight="1">
      <c r="A794" s="1">
        <v>792.0</v>
      </c>
      <c r="B794" s="3" t="s">
        <v>795</v>
      </c>
      <c r="C794" s="3" t="str">
        <f>IFERROR(__xludf.DUMMYFUNCTION("GOOGLETRANSLATE(B794,""id"",""en"")"),"['here', 'slow', 'ganguan', 'signal', 'Telkomsel', 'package', 'internet', 'might', 'expensive', 'network', 'disorder', 'smooth', ' Please '""Fix']")</f>
        <v>['here', 'slow', 'ganguan', 'signal', 'Telkomsel', 'package', 'internet', 'might', 'expensive', 'network', 'disorder', 'smooth', ' Please '"Fix']</v>
      </c>
      <c r="D794" s="3">
        <v>1.0</v>
      </c>
    </row>
    <row r="795" ht="15.75" customHeight="1">
      <c r="A795" s="1">
        <v>793.0</v>
      </c>
      <c r="B795" s="3" t="s">
        <v>796</v>
      </c>
      <c r="C795" s="3" t="str">
        <f>IFERROR(__xludf.DUMMYFUNCTION("GOOGLETRANSLATE(B795,""id"",""en"")"),"['please', 'fix', 'slow', 'network', 'trs',' difficult ',' learn ',' online ',' open ',' medsos', 'slow', 'tlong', ' Fix ',' users', 'Telkomsel', 'disappointed']")</f>
        <v>['please', 'fix', 'slow', 'network', 'trs',' difficult ',' learn ',' online ',' open ',' medsos', 'slow', 'tlong', ' Fix ',' users', 'Telkomsel', 'disappointed']</v>
      </c>
      <c r="D795" s="3">
        <v>1.0</v>
      </c>
    </row>
    <row r="796" ht="15.75" customHeight="1">
      <c r="A796" s="1">
        <v>794.0</v>
      </c>
      <c r="B796" s="3" t="s">
        <v>797</v>
      </c>
      <c r="C796" s="3" t="str">
        <f>IFERROR(__xludf.DUMMYFUNCTION("GOOGLETRANSLATE(B796,""id"",""en"")"),"['', 'Telkomsel', 'please', 'read', 'Review', 'quota', 'Kemendikbud', 'open', 'apk', 'Instagram', 'pulse', 'sucked', 'dipake ',' APK ',' kesallllll ',' ']")</f>
        <v>['', 'Telkomsel', 'please', 'read', 'Review', 'quota', 'Kemendikbud', 'open', 'apk', 'Instagram', 'pulse', 'sucked', 'dipake ',' APK ',' kesallllll ',' ']</v>
      </c>
      <c r="D796" s="3">
        <v>1.0</v>
      </c>
    </row>
    <row r="797" ht="15.75" customHeight="1">
      <c r="A797" s="1">
        <v>795.0</v>
      </c>
      <c r="B797" s="3" t="s">
        <v>798</v>
      </c>
      <c r="C797" s="3" t="str">
        <f>IFERROR(__xludf.DUMMYFUNCTION("GOOGLETRANSLATE(B797,""id"",""en"")"),"['bad', 'network', 'buy', 'package', 'gamesmax', 'special', 'mobile', 'legend', 'maen', 'game', 'gabisa', 'login', ' games', 'difficult', 'sometimes',' network ',' ilang ',' strange ',' entry ',' application ',' mytelkomsel ',' repaired ',' shy ',' alread"&amp;"y ',' paketan ' , 'Price', 'expensive', 'network', 'bad']")</f>
        <v>['bad', 'network', 'buy', 'package', 'gamesmax', 'special', 'mobile', 'legend', 'maen', 'game', 'gabisa', 'login', ' games', 'difficult', 'sometimes',' network ',' ilang ',' strange ',' entry ',' application ',' mytelkomsel ',' repaired ',' shy ',' already ',' paketan ' , 'Price', 'expensive', 'network', 'bad']</v>
      </c>
      <c r="D797" s="3">
        <v>1.0</v>
      </c>
    </row>
    <row r="798" ht="15.75" customHeight="1">
      <c r="A798" s="1">
        <v>796.0</v>
      </c>
      <c r="B798" s="3" t="s">
        <v>799</v>
      </c>
      <c r="C798" s="3" t="str">
        <f>IFERROR(__xludf.DUMMYFUNCTION("GOOGLETRANSLATE(B798,""id"",""en"")"),"['heart', 'heart', 'package', 'data', 'cheats',' last night ',' buy ',' package ',' data ',' pulse ',' already ',' drained ',' Package ',' Data ',' No ',' Enter ',' Please ',' HOLDA ',' The answer ',' Telkomsel ', ""]")</f>
        <v>['heart', 'heart', 'package', 'data', 'cheats',' last night ',' buy ',' package ',' data ',' pulse ',' already ',' drained ',' Package ',' Data ',' No ',' Enter ',' Please ',' HOLDA ',' The answer ',' Telkomsel ', "]</v>
      </c>
      <c r="D798" s="3">
        <v>1.0</v>
      </c>
    </row>
    <row r="799" ht="15.75" customHeight="1">
      <c r="A799" s="1">
        <v>797.0</v>
      </c>
      <c r="B799" s="3" t="s">
        <v>800</v>
      </c>
      <c r="C799" s="3" t="str">
        <f>IFERROR(__xludf.DUMMYFUNCTION("GOOGLETRANSLATE(B799,""id"",""en"")"),"['run out', 'buy', 'pulse', 'run out', 'nggk', 'ngactive', 'data', 'internet', 'lost', 'pulse', 'ngerugin', 'really', ' Customers', 'Please', 'Explanation', '']")</f>
        <v>['run out', 'buy', 'pulse', 'run out', 'nggk', 'ngactive', 'data', 'internet', 'lost', 'pulse', 'ngerugin', 'really', ' Customers', 'Please', 'Explanation', '']</v>
      </c>
      <c r="D799" s="3">
        <v>1.0</v>
      </c>
    </row>
    <row r="800" ht="15.75" customHeight="1">
      <c r="A800" s="1">
        <v>798.0</v>
      </c>
      <c r="B800" s="3" t="s">
        <v>801</v>
      </c>
      <c r="C800" s="3" t="str">
        <f>IFERROR(__xludf.DUMMYFUNCTION("GOOGLETRANSLATE(B800,""id"",""en"")"),"['rating', 'above', 'below', 'show', 'quality', 'application', 'Telkomsel', 'complain', 'download', 'uninstall']")</f>
        <v>['rating', 'above', 'below', 'show', 'quality', 'application', 'Telkomsel', 'complain', 'download', 'uninstall']</v>
      </c>
      <c r="D800" s="3">
        <v>3.0</v>
      </c>
    </row>
    <row r="801" ht="15.75" customHeight="1">
      <c r="A801" s="1">
        <v>799.0</v>
      </c>
      <c r="B801" s="3" t="s">
        <v>802</v>
      </c>
      <c r="C801" s="3" t="str">
        <f>IFERROR(__xludf.DUMMYFUNCTION("GOOGLETRANSLATE(B801,""id"",""en"")"),"['Yesterday', 'data', 'balance', 'leftover', 'right', 'check', 'leftover', 'transaction', 'anything']")</f>
        <v>['Yesterday', 'data', 'balance', 'leftover', 'right', 'check', 'leftover', 'transaction', 'anything']</v>
      </c>
      <c r="D801" s="3">
        <v>1.0</v>
      </c>
    </row>
    <row r="802" ht="15.75" customHeight="1">
      <c r="A802" s="1">
        <v>800.0</v>
      </c>
      <c r="B802" s="3" t="s">
        <v>803</v>
      </c>
      <c r="C802" s="3" t="str">
        <f>IFERROR(__xludf.DUMMYFUNCTION("GOOGLETRANSLATE(B802,""id"",""en"")"),"['Enhanced', 'service', 'info', 'area', 'Sawoo', 'kab', 'ponorogo', 'jatim', 'transmitter', 'pairs',' battery ',' electricity ',' dead ',' signal ',' ilang ',' activity ',' paralyzed ',' total ',' until ',' electricity ',' on ',' pdhl ',' location ',' eve"&amp;"nt ',' pln ' , 'go out', 'because', 'trees',' fallen ',' happen ',' cable ',' electricity ',' beg ',' policy ',' Telkomsel ',' spy ',' service ',' lbh ',' steady ',' observe ',' lbh ',' user ',' telkomsel ',' sktr ',' location ',' ']")</f>
        <v>['Enhanced', 'service', 'info', 'area', 'Sawoo', 'kab', 'ponorogo', 'jatim', 'transmitter', 'pairs',' battery ',' electricity ',' dead ',' signal ',' ilang ',' activity ',' paralyzed ',' total ',' until ',' electricity ',' on ',' pdhl ',' location ',' event ',' pln ' , 'go out', 'because', 'trees',' fallen ',' happen ',' cable ',' electricity ',' beg ',' policy ',' Telkomsel ',' spy ',' service ',' lbh ',' steady ',' observe ',' lbh ',' user ',' telkomsel ',' sktr ',' location ',' ']</v>
      </c>
      <c r="D802" s="3">
        <v>5.0</v>
      </c>
    </row>
    <row r="803" ht="15.75" customHeight="1">
      <c r="A803" s="1">
        <v>801.0</v>
      </c>
      <c r="B803" s="3" t="s">
        <v>804</v>
      </c>
      <c r="C803" s="3" t="str">
        <f>IFERROR(__xludf.DUMMYFUNCTION("GOOGLETRANSLATE(B803,""id"",""en"")"),"['Please', 'Sorry', 'Belik', 'Package', 'Telkomsel', 'Take', 'Finish', 'Package', 'Enter', 'Credit', 'Drain', 'Sampek', ' run out ',' please ',' solution ',' child ',' boarding ',' money ',' snack ',' package ',' college ',' abis', 'that's',' disappointed"&amp;" ',' good ' , 'Money', 'Belik', 'Eat', '']")</f>
        <v>['Please', 'Sorry', 'Belik', 'Package', 'Telkomsel', 'Take', 'Finish', 'Package', 'Enter', 'Credit', 'Drain', 'Sampek', ' run out ',' please ',' solution ',' child ',' boarding ',' money ',' snack ',' package ',' college ',' abis', 'that's',' disappointed ',' good ' , 'Money', 'Belik', 'Eat', '']</v>
      </c>
      <c r="D803" s="3">
        <v>1.0</v>
      </c>
    </row>
    <row r="804" ht="15.75" customHeight="1">
      <c r="A804" s="1">
        <v>802.0</v>
      </c>
      <c r="B804" s="3" t="s">
        <v>805</v>
      </c>
      <c r="C804" s="3" t="str">
        <f>IFERROR(__xludf.DUMMYFUNCTION("GOOGLETRANSLATE(B804,""id"",""en"")"),"['application', 'limit', 'choice', 'consumer', 'product', 'sales',' consumer ',' forced ',' choose ',' product ',' limited ',' tends', ' Disight ',' Consumers', 'Choice', 'Products',' Expensive ',' ']")</f>
        <v>['application', 'limit', 'choice', 'consumer', 'product', 'sales',' consumer ',' forced ',' choose ',' product ',' limited ',' tends', ' Disight ',' Consumers', 'Choice', 'Products',' Expensive ',' ']</v>
      </c>
      <c r="D804" s="3">
        <v>1.0</v>
      </c>
    </row>
    <row r="805" ht="15.75" customHeight="1">
      <c r="A805" s="1">
        <v>803.0</v>
      </c>
      <c r="B805" s="3" t="s">
        <v>806</v>
      </c>
      <c r="C805" s="3" t="str">
        <f>IFERROR(__xludf.DUMMYFUNCTION("GOOGLETRANSLATE(B805,""id"",""en"")"),"['entry', 'application', 'Google', 'stop', 'face', 'stop', 'stop', 'log', 'out', 'restart', 'please', 'fix', ' Application ',' Telkomsel ',' Thank ',' Love ']")</f>
        <v>['entry', 'application', 'Google', 'stop', 'face', 'stop', 'stop', 'log', 'out', 'restart', 'please', 'fix', ' Application ',' Telkomsel ',' Thank ',' Love ']</v>
      </c>
      <c r="D805" s="3">
        <v>1.0</v>
      </c>
    </row>
    <row r="806" ht="15.75" customHeight="1">
      <c r="A806" s="1">
        <v>804.0</v>
      </c>
      <c r="B806" s="3" t="s">
        <v>807</v>
      </c>
      <c r="C806" s="3" t="str">
        <f>IFERROR(__xludf.DUMMYFUNCTION("GOOGLETRANSLATE(B806,""id"",""en"")"),"['Network', 'Telkomsel', 'Region', 'Waru', 'Sidoarjo', 'East', 'Severe', 'Signal', 'Exit', 'just', 'Please', ' Fix ',' Thank you ',' Telkomsel ',' Indonesia ',' Rangken ', ""]")</f>
        <v>['Network', 'Telkomsel', 'Region', 'Waru', 'Sidoarjo', 'East', 'Severe', 'Signal', 'Exit', 'just', 'Please', ' Fix ',' Thank you ',' Telkomsel ',' Indonesia ',' Rangken ', "]</v>
      </c>
      <c r="D806" s="3">
        <v>5.0</v>
      </c>
    </row>
    <row r="807" ht="15.75" customHeight="1">
      <c r="A807" s="1">
        <v>805.0</v>
      </c>
      <c r="B807" s="3" t="s">
        <v>808</v>
      </c>
      <c r="C807" s="3" t="str">
        <f>IFERROR(__xludf.DUMMYFUNCTION("GOOGLETRANSLATE(B807,""id"",""en"")"),"['Mantul', 'Program', 'Products',' HRS ',' Making ',' Customers', 'user', 'benefit', 'minimum', 'rights',' as', 'Customer', ' HRS ',' transparent ',' partnership ',' Win ',' Win ',' solution ',' program ',' promotion ',' hrs', 'detailed', 'considered', 'r"&amp;"ealized', 'package' , 'Quota', 'Internet', 'Tel', 'SMS', 'Divided', 'SMS', 'Chat', 'Success', 'Telkomsel', ""]")</f>
        <v>['Mantul', 'Program', 'Products',' HRS ',' Making ',' Customers', 'user', 'benefit', 'minimum', 'rights',' as', 'Customer', ' HRS ',' transparent ',' partnership ',' Win ',' Win ',' solution ',' program ',' promotion ',' hrs', 'detailed', 'considered', 'realized', 'package' , 'Quota', 'Internet', 'Tel', 'SMS', 'Divided', 'SMS', 'Chat', 'Success', 'Telkomsel', "]</v>
      </c>
      <c r="D807" s="3">
        <v>5.0</v>
      </c>
    </row>
    <row r="808" ht="15.75" customHeight="1">
      <c r="A808" s="1">
        <v>806.0</v>
      </c>
      <c r="B808" s="3" t="s">
        <v>809</v>
      </c>
      <c r="C808" s="3" t="str">
        <f>IFERROR(__xludf.DUMMYFUNCTION("GOOGLETRANSLATE(B808,""id"",""en"")"),"['signal', 'maknyus',' Telkomsel ',' UDH ',' Recommended ',' Network ',' Down ',' Ojol ',' Signal ',' SRG ',' Stable ',' Lost ',' PKE ',' SmartFrend ',' confused ',' talking ',' Telkomsel ',' plg ',' expensive ',' network ',' smkin ',' bad ',' wil ',' bej"&amp;"i ',' depok ' , 'Jabar', 'Leet', '']")</f>
        <v>['signal', 'maknyus',' Telkomsel ',' UDH ',' Recommended ',' Network ',' Down ',' Ojol ',' Signal ',' SRG ',' Stable ',' Lost ',' PKE ',' SmartFrend ',' confused ',' talking ',' Telkomsel ',' plg ',' expensive ',' network ',' smkin ',' bad ',' wil ',' beji ',' depok ' , 'Jabar', 'Leet', '']</v>
      </c>
      <c r="D808" s="3">
        <v>3.0</v>
      </c>
    </row>
    <row r="809" ht="15.75" customHeight="1">
      <c r="A809" s="1">
        <v>807.0</v>
      </c>
      <c r="B809" s="3" t="s">
        <v>810</v>
      </c>
      <c r="C809" s="3" t="str">
        <f>IFERROR(__xludf.DUMMYFUNCTION("GOOGLETRANSLATE(B809,""id"",""en"")"),"['Telkomsel', 'Please', 'Help', 'Buy', 'Card', 'Perdana', 'Telkomsel', 'Registration', 'Notification', 'Registration', 'Success',' Check ',' quota ',' skali ',' data ']")</f>
        <v>['Telkomsel', 'Please', 'Help', 'Buy', 'Card', 'Perdana', 'Telkomsel', 'Registration', 'Notification', 'Registration', 'Success',' Check ',' quota ',' skali ',' data ']</v>
      </c>
      <c r="D809" s="3">
        <v>1.0</v>
      </c>
    </row>
    <row r="810" ht="15.75" customHeight="1">
      <c r="A810" s="1">
        <v>808.0</v>
      </c>
      <c r="B810" s="3" t="s">
        <v>811</v>
      </c>
      <c r="C810" s="3" t="str">
        <f>IFERROR(__xludf.DUMMYFUNCTION("GOOGLETRANSLATE(B810,""id"",""en"")"),"['Sorry', 'Love', 'Star', 'Network', 'Telkomsel', 'Decreases',' Please ',' Strengthen ',' Network ',' Special ',' Region ',' Plosok ',' Kalimantan ',' West ',' already ',' Good ',' Network ',' Disappointing ',' Customer ',' Telkomsel ',' Thank you ']")</f>
        <v>['Sorry', 'Love', 'Star', 'Network', 'Telkomsel', 'Decreases',' Please ',' Strengthen ',' Network ',' Special ',' Region ',' Plosok ',' Kalimantan ',' West ',' already ',' Good ',' Network ',' Disappointing ',' Customer ',' Telkomsel ',' Thank you ']</v>
      </c>
      <c r="D810" s="3">
        <v>1.0</v>
      </c>
    </row>
    <row r="811" ht="15.75" customHeight="1">
      <c r="A811" s="1">
        <v>809.0</v>
      </c>
      <c r="B811" s="3" t="s">
        <v>812</v>
      </c>
      <c r="C811" s="3" t="str">
        <f>IFERROR(__xludf.DUMMYFUNCTION("GOOGLETRANSLATE(B811,""id"",""en"")"),"['signal', 'here', 'kacaw', 'play', 'game', 'online', 'many years',' use ',' Telkomsel ',' here ',' signal ',' severe ',' Please, 'Fix', 'The Network', 'Thanks', '']")</f>
        <v>['signal', 'here', 'kacaw', 'play', 'game', 'online', 'many years',' use ',' Telkomsel ',' here ',' signal ',' severe ',' Please, 'Fix', 'The Network', 'Thanks', '']</v>
      </c>
      <c r="D811" s="3">
        <v>2.0</v>
      </c>
    </row>
    <row r="812" ht="15.75" customHeight="1">
      <c r="A812" s="1">
        <v>810.0</v>
      </c>
      <c r="B812" s="3" t="s">
        <v>813</v>
      </c>
      <c r="C812" s="3" t="str">
        <f>IFERROR(__xludf.DUMMYFUNCTION("GOOGLETRANSLATE(B812,""id"",""en"")"),"['Severe', 'parahhhhh', 'inconvenient', 'Telkomsel', 'already', 'package', 'expensive', 'expensive', 'signal', 'ala', 'level', 'card', ' Best ',' Ngegame ',' Halahhh ',' Stay ',' City ',' Signal ',' Rich ',' Jarann ​​',' Severe ',' Severe ',' Disappointed"&amp;" ',' Disappointed ',' Tekomsel ' , 'Tomorrow', 'Tomorrow', 'Make', 'Card', '']")</f>
        <v>['Severe', 'parahhhhh', 'inconvenient', 'Telkomsel', 'already', 'package', 'expensive', 'expensive', 'signal', 'ala', 'level', 'card', ' Best ',' Ngegame ',' Halahhh ',' Stay ',' City ',' Signal ',' Rich ',' Jarann ​​',' Severe ',' Severe ',' Disappointed ',' Disappointed ',' Tekomsel ' , 'Tomorrow', 'Tomorrow', 'Make', 'Card', '']</v>
      </c>
      <c r="D812" s="3">
        <v>1.0</v>
      </c>
    </row>
    <row r="813" ht="15.75" customHeight="1">
      <c r="A813" s="1">
        <v>811.0</v>
      </c>
      <c r="B813" s="3" t="s">
        <v>814</v>
      </c>
      <c r="C813" s="3" t="str">
        <f>IFERROR(__xludf.DUMMYFUNCTION("GOOGLETRANSLATE(B813,""id"",""en"")"),"['Just', 'Klau', 'Tlkomsel', 'Free', 'Live', 'APK', 'Eating', 'pls',' TDI ',' remaining ',' quota ',' internet ',' pulses', 'thousand', 'dftr', 'internet', 'price', 'activated', 'data', 'data', 'internet', 'leftover', 'pulses',' thousand ',' sure ' , 'Cut"&amp;"ting', 'Register', 'Just', 'Sorry', 'deviating']")</f>
        <v>['Just', 'Klau', 'Tlkomsel', 'Free', 'Live', 'APK', 'Eating', 'pls',' TDI ',' remaining ',' quota ',' internet ',' pulses', 'thousand', 'dftr', 'internet', 'price', 'activated', 'data', 'data', 'internet', 'leftover', 'pulses',' thousand ',' sure ' , 'Cutting', 'Register', 'Just', 'Sorry', 'deviating']</v>
      </c>
      <c r="D813" s="3">
        <v>5.0</v>
      </c>
    </row>
    <row r="814" ht="15.75" customHeight="1">
      <c r="A814" s="1">
        <v>812.0</v>
      </c>
      <c r="B814" s="3" t="s">
        <v>815</v>
      </c>
      <c r="C814" s="3" t="str">
        <f>IFERROR(__xludf.DUMMYFUNCTION("GOOGLETRANSLATE(B814,""id"",""en"")"),"['Please', 'repaired', 'Signal', 'Tangerang', 'Civilian', 'Cikupa', 'Citra', 'Raya', 'Mekar', 'Asri', 'Gokil', 'Tsel', ' Here ',' Rich ',' Three ',' era ',' Three ',' Uda ',' Progress', 'Skrg', 'Signal', 'Diplick', 'Uda', 'Dapet', 'Different' , 'Tsel', 'h"&amp;"ere', 'bad', '']")</f>
        <v>['Please', 'repaired', 'Signal', 'Tangerang', 'Civilian', 'Cikupa', 'Citra', 'Raya', 'Mekar', 'Asri', 'Gokil', 'Tsel', ' Here ',' Rich ',' Three ',' era ',' Three ',' Uda ',' Progress', 'Skrg', 'Signal', 'Diplick', 'Uda', 'Dapet', 'Different' , 'Tsel', 'here', 'bad', '']</v>
      </c>
      <c r="D814" s="3">
        <v>1.0</v>
      </c>
    </row>
    <row r="815" ht="15.75" customHeight="1">
      <c r="A815" s="1">
        <v>813.0</v>
      </c>
      <c r="B815" s="3" t="s">
        <v>816</v>
      </c>
      <c r="C815" s="3" t="str">
        <f>IFERROR(__xludf.DUMMYFUNCTION("GOOGLETRANSLATE(B815,""id"",""en"")"),"['Disappointed', 'really', 'late', 'grace', 'already', 'filled', 'pulse', 'please', 'how', 'replace', 'replace', 'card', ' Active ',' Pay ',' ']")</f>
        <v>['Disappointed', 'really', 'late', 'grace', 'already', 'filled', 'pulse', 'please', 'how', 'replace', 'replace', 'card', ' Active ',' Pay ',' ']</v>
      </c>
      <c r="D815" s="3">
        <v>1.0</v>
      </c>
    </row>
    <row r="816" ht="15.75" customHeight="1">
      <c r="A816" s="1">
        <v>814.0</v>
      </c>
      <c r="B816" s="3" t="s">
        <v>817</v>
      </c>
      <c r="C816" s="3" t="str">
        <f>IFERROR(__xludf.DUMMYFUNCTION("GOOGLETRANSLATE(B816,""id"",""en"")"),"['Telkomsel', 'as soon as',' cut ',' credit ',' customer ',' approval ',' SMS ',' Premium ',' confirm ',' already ',' complement ',' solution ',' Kapok ',' Daah ',' Telkomsel ', ""]")</f>
        <v>['Telkomsel', 'as soon as',' cut ',' credit ',' customer ',' approval ',' SMS ',' Premium ',' confirm ',' already ',' complement ',' solution ',' Kapok ',' Daah ',' Telkomsel ', "]</v>
      </c>
      <c r="D816" s="3">
        <v>1.0</v>
      </c>
    </row>
    <row r="817" ht="15.75" customHeight="1">
      <c r="A817" s="1">
        <v>815.0</v>
      </c>
      <c r="B817" s="3" t="s">
        <v>818</v>
      </c>
      <c r="C817" s="3" t="str">
        <f>IFERROR(__xludf.DUMMYFUNCTION("GOOGLETRANSLATE(B817,""id"",""en"")"),"['Telkomsel', 'drunk', 'how', 'yes',' download ',' mobile ',' legend ',' minute ',' already ',' promotion ',' sms', 'vigorous',' kek ',' spam ',' buy ',' quota ',' network ',' kek ',' gini ',' wait ',' president ',' plan ',' use ',' telkomsel ',' kah ' , "&amp;"'repaired', 'network', '']")</f>
        <v>['Telkomsel', 'drunk', 'how', 'yes',' download ',' mobile ',' legend ',' minute ',' already ',' promotion ',' sms', 'vigorous',' kek ',' spam ',' buy ',' quota ',' network ',' kek ',' gini ',' wait ',' president ',' plan ',' use ',' telkomsel ',' kah ' , 'repaired', 'network', '']</v>
      </c>
      <c r="D817" s="3">
        <v>1.0</v>
      </c>
    </row>
    <row r="818" ht="15.75" customHeight="1">
      <c r="A818" s="1">
        <v>816.0</v>
      </c>
      <c r="B818" s="3" t="s">
        <v>819</v>
      </c>
      <c r="C818" s="3" t="str">
        <f>IFERROR(__xludf.DUMMYFUNCTION("GOOGLETRANSLATE(B818,""id"",""en"")"),"['Telkomsel', 'temple', 'network', 'slow', 'citizens',' indo ',' moved ',' operator ',' download ',' google ',' play ',' store ',' in the city']")</f>
        <v>['Telkomsel', 'temple', 'network', 'slow', 'citizens',' indo ',' moved ',' operator ',' download ',' google ',' play ',' store ',' in the city']</v>
      </c>
      <c r="D818" s="3">
        <v>1.0</v>
      </c>
    </row>
    <row r="819" ht="15.75" customHeight="1">
      <c r="A819" s="1">
        <v>817.0</v>
      </c>
      <c r="B819" s="3" t="s">
        <v>820</v>
      </c>
      <c r="C819" s="3" t="str">
        <f>IFERROR(__xludf.DUMMYFUNCTION("GOOGLETRANSLATE(B819,""id"",""en"")"),"['package', 'promo', 'network', 'promo', 'promo', 'network', 'bad', 'represent', 'gamers', 'then', 'utamain', ""]")</f>
        <v>['package', 'promo', 'network', 'promo', 'promo', 'network', 'bad', 'represent', 'gamers', 'then', 'utamain', "]</v>
      </c>
      <c r="D819" s="3">
        <v>2.0</v>
      </c>
    </row>
    <row r="820" ht="15.75" customHeight="1">
      <c r="A820" s="1">
        <v>818.0</v>
      </c>
      <c r="B820" s="3" t="s">
        <v>821</v>
      </c>
      <c r="C820" s="3" t="str">
        <f>IFERROR(__xludf.DUMMYFUNCTION("GOOGLETRANSLATE(B820,""id"",""en"")"),"['Lemot', 'Application', 'updated', 'slow', 'network', 'PDAVY', 'Compressed', 'Simple', 'Application', 'Quota', 'Out', 'DIRECT', ' Cut ',' Pulse ',' Donk ',' Lock ',' Lock ',' Pulse ',' Kyak ',' Provider ',' Next "", 'Kitanya', 'Ngatur', 'Expenditures', '"&amp;"Pulses' , '']")</f>
        <v>['Lemot', 'Application', 'updated', 'slow', 'network', 'PDAVY', 'Compressed', 'Simple', 'Application', 'Quota', 'Out', 'DIRECT', ' Cut ',' Pulse ',' Donk ',' Lock ',' Lock ',' Pulse ',' Kyak ',' Provider ',' Next ", 'Kitanya', 'Ngatur', 'Expenditures', 'Pulses' , '']</v>
      </c>
      <c r="D820" s="3">
        <v>2.0</v>
      </c>
    </row>
    <row r="821" ht="15.75" customHeight="1">
      <c r="A821" s="1">
        <v>819.0</v>
      </c>
      <c r="B821" s="3" t="s">
        <v>822</v>
      </c>
      <c r="C821" s="3" t="str">
        <f>IFERROR(__xludf.DUMMYFUNCTION("GOOGLETRANSLATE(B821,""id"",""en"")"),"['try', 'package', 'card', 'hello', 'package', 'internet', 'tends',' expensive ',' compared ',' package ',' pre ',' pay ',' Promo ',' Decision ',' Divert ',' Nomer ',' Pre ',' Pay ',' Package ',' Card ',' Hello ',' Profitable ',' Season ',' Trap ',' Marke"&amp;"ting ' , 'Wait', 'offer', 'interesting', '']")</f>
        <v>['try', 'package', 'card', 'hello', 'package', 'internet', 'tends',' expensive ',' compared ',' package ',' pre ',' pay ',' Promo ',' Decision ',' Divert ',' Nomer ',' Pre ',' Pay ',' Package ',' Card ',' Hello ',' Profitable ',' Season ',' Trap ',' Marketing ' , 'Wait', 'offer', 'interesting', '']</v>
      </c>
      <c r="D821" s="3">
        <v>1.0</v>
      </c>
    </row>
    <row r="822" ht="15.75" customHeight="1">
      <c r="A822" s="1">
        <v>820.0</v>
      </c>
      <c r="B822" s="3" t="s">
        <v>823</v>
      </c>
      <c r="C822" s="3" t="str">
        <f>IFERROR(__xludf.DUMMYFUNCTION("GOOGLETRANSLATE(B822,""id"",""en"")"),"['No', 'Telkomsel', 'City', 'Javanese', 'East', 'signal', 'Kek', 'Siputt', 'Severe', 'Kek', 'Kolbuntet', 'repair', ' invaders', 'at home', 'sendrii', 'price', 'pketan', 'exorbitant', 'service', 'kek', 'buriikk']")</f>
        <v>['No', 'Telkomsel', 'City', 'Javanese', 'East', 'signal', 'Kek', 'Siputt', 'Severe', 'Kek', 'Kolbuntet', 'repair', ' invaders', 'at home', 'sendrii', 'price', 'pketan', 'exorbitant', 'service', 'kek', 'buriikk']</v>
      </c>
      <c r="D822" s="3">
        <v>1.0</v>
      </c>
    </row>
    <row r="823" ht="15.75" customHeight="1">
      <c r="A823" s="1">
        <v>821.0</v>
      </c>
      <c r="B823" s="3" t="s">
        <v>824</v>
      </c>
      <c r="C823" s="3" t="str">
        <f>IFERROR(__xludf.DUMMYFUNCTION("GOOGLETRANSLATE(B823,""id"",""en"")"),"['Card', 'Telkomsel', 'expensive', 'expensive', 'slow', 'Lagg', 'Please', 'Telkomsel', 'Pay', 'expensive', 'expensive', 'slow', ' lagg ',' solution ',' play ',' game ',' signal ',' red ',' motion ',' oyy ',' min ',' moon ',' slow ',' sihhh ',' night ' , '"&amp;"signal', 'good', 'slow', 'astagaaaaa']")</f>
        <v>['Card', 'Telkomsel', 'expensive', 'expensive', 'slow', 'Lagg', 'Please', 'Telkomsel', 'Pay', 'expensive', 'expensive', 'slow', ' lagg ',' solution ',' play ',' game ',' signal ',' red ',' motion ',' oyy ',' min ',' moon ',' slow ',' sihhh ',' night ' , 'signal', 'good', 'slow', 'astagaaaaa']</v>
      </c>
      <c r="D823" s="3">
        <v>1.0</v>
      </c>
    </row>
    <row r="824" ht="15.75" customHeight="1">
      <c r="A824" s="1">
        <v>822.0</v>
      </c>
      <c r="B824" s="3" t="s">
        <v>825</v>
      </c>
      <c r="C824" s="3" t="str">
        <f>IFERROR(__xludf.DUMMYFUNCTION("GOOGLETRANSLATE(B824,""id"",""en"")"),"['Report', 'Telkomsel', 'Bls',' tired ',' UDH ',' Telkomsel ',' disappointing ',' network ',' destroyed ',' network ',' Indonesia ',' TPI ',' network ',' kyk ',' garbage ',' gini ',' city ',' TPI ',' network ',' destroyed ',' really ',' use ',' Telkomsel "&amp;"',' loss', 'work' , 'delayed', 'Gara', 'Network']")</f>
        <v>['Report', 'Telkomsel', 'Bls',' tired ',' UDH ',' Telkomsel ',' disappointing ',' network ',' destroyed ',' network ',' Indonesia ',' TPI ',' network ',' kyk ',' garbage ',' gini ',' city ',' TPI ',' network ',' destroyed ',' really ',' use ',' Telkomsel ',' loss', 'work' , 'delayed', 'Gara', 'Network']</v>
      </c>
      <c r="D824" s="3">
        <v>1.0</v>
      </c>
    </row>
    <row r="825" ht="15.75" customHeight="1">
      <c r="A825" s="1">
        <v>823.0</v>
      </c>
      <c r="B825" s="3" t="s">
        <v>826</v>
      </c>
      <c r="C825" s="3" t="str">
        <f>IFERROR(__xludf.DUMMYFUNCTION("GOOGLETRANSLATE(B825,""id"",""en"")"),"['Hmmm', 'users',' Telkomsel ',' TH ',' Disappointed ',' Quality ',' Network ',' Telkomsel ',' Priority ',' Use ',' Internet ',' Johnaan ',' Tetep ',' good ',' times', 'meet', 'bug', 'application', 'buy', 'package', 'khsus',' lahh ',' blom ',' buy ',' rig"&amp;"ht ' , 'Doly "",' improve ',' quality ',' ']")</f>
        <v>['Hmmm', 'users',' Telkomsel ',' TH ',' Disappointed ',' Quality ',' Network ',' Telkomsel ',' Priority ',' Use ',' Internet ',' Johnaan ',' Tetep ',' good ',' times', 'meet', 'bug', 'application', 'buy', 'package', 'khsus',' lahh ',' blom ',' buy ',' right ' , 'Doly ",' improve ',' quality ',' ']</v>
      </c>
      <c r="D825" s="3">
        <v>1.0</v>
      </c>
    </row>
    <row r="826" ht="15.75" customHeight="1">
      <c r="A826" s="1">
        <v>824.0</v>
      </c>
      <c r="B826" s="3" t="s">
        <v>827</v>
      </c>
      <c r="C826" s="3" t="str">
        <f>IFERROR(__xludf.DUMMYFUNCTION("GOOGLETRANSLATE(B826,""id"",""en"")"),"['buy', 'maxstream', 'gala', 'giga', 'watch', 'hbo', 'ehhh', 'pulses',' package ',' data ',' internet ',' multimedian ',' Full ',' Wonked ',' already ',' all day ',' watch ',' he mean ',' yaaaaa ',' strangehhhhh ',' ']")</f>
        <v>['buy', 'maxstream', 'gala', 'giga', 'watch', 'hbo', 'ehhh', 'pulses',' package ',' data ',' internet ',' multimedian ',' Full ',' Wonked ',' already ',' all day ',' watch ',' he mean ',' yaaaaa ',' strangehhhhh ',' ']</v>
      </c>
      <c r="D826" s="3">
        <v>1.0</v>
      </c>
    </row>
    <row r="827" ht="15.75" customHeight="1">
      <c r="A827" s="1">
        <v>825.0</v>
      </c>
      <c r="B827" s="3" t="s">
        <v>828</v>
      </c>
      <c r="C827" s="3" t="str">
        <f>IFERROR(__xludf.DUMMYFUNCTION("GOOGLETRANSLATE(B827,""id"",""en"")"),"['Price', 'Paketan', 'Changed', 'Changed', 'Package', 'Appears',' Disappointed ',' Price ',' Expensive ',' Guarantee ',' Signal ',' Good ',' ']")</f>
        <v>['Price', 'Paketan', 'Changed', 'Changed', 'Package', 'Appears',' Disappointed ',' Price ',' Expensive ',' Guarantee ',' Signal ',' Good ',' ']</v>
      </c>
      <c r="D827" s="3">
        <v>1.0</v>
      </c>
    </row>
    <row r="828" ht="15.75" customHeight="1">
      <c r="A828" s="1">
        <v>826.0</v>
      </c>
      <c r="B828" s="3" t="s">
        <v>829</v>
      </c>
      <c r="C828" s="3" t="str">
        <f>IFERROR(__xludf.DUMMYFUNCTION("GOOGLETRANSLATE(B828,""id"",""en"")"),"['Damn', 'UDH', 'HMPR', 'PKAI', 'Telkomsel', 'Leet', 'Expensive', 'Try', 'PKai', 'Use', 'Telkomsel', 'The Network', ' Damn ',' destroyed ',' honest ',' regret ',' disappointed ',' dlu ',' smpai ',' skrg ',' swear ',' internet ',' pkai ',' Telkomsel ', ""]")</f>
        <v>['Damn', 'UDH', 'HMPR', 'PKAI', 'Telkomsel', 'Leet', 'Expensive', 'Try', 'PKai', 'Use', 'Telkomsel', 'The Network', ' Damn ',' destroyed ',' honest ',' regret ',' disappointed ',' dlu ',' smpai ',' skrg ',' swear ',' internet ',' pkai ',' Telkomsel ', "]</v>
      </c>
      <c r="D828" s="3">
        <v>1.0</v>
      </c>
    </row>
    <row r="829" ht="15.75" customHeight="1">
      <c r="A829" s="1">
        <v>827.0</v>
      </c>
      <c r="B829" s="3" t="s">
        <v>830</v>
      </c>
      <c r="C829" s="3" t="str">
        <f>IFERROR(__xludf.DUMMYFUNCTION("GOOGLETRANSLATE(B829,""id"",""en"")"),"['telkosmel', 'stingy', 'delete', 'quota', 'combo', 'wrong', 'quata', 'save', 'at the same time', 'pandemic', 'imperitated', ' Data ',' operator ',' Telkomsel ',' Seindah ',' Mahaaalll ']")</f>
        <v>['telkosmel', 'stingy', 'delete', 'quota', 'combo', 'wrong', 'quata', 'save', 'at the same time', 'pandemic', 'imperitated', ' Data ',' operator ',' Telkomsel ',' Seindah ',' Mahaaalll ']</v>
      </c>
      <c r="D829" s="3">
        <v>1.0</v>
      </c>
    </row>
    <row r="830" ht="15.75" customHeight="1">
      <c r="A830" s="1">
        <v>828.0</v>
      </c>
      <c r="B830" s="3" t="s">
        <v>831</v>
      </c>
      <c r="C830" s="3" t="str">
        <f>IFERROR(__xludf.DUMMYFUNCTION("GOOGLETRANSLATE(B830,""id"",""en"")"),"['Please', 'polite', 'polite', 'MyTelkomsel', 'MyTelkomsel', 'Hopefully', 'Success', 'Amin', ""]")</f>
        <v>['Please', 'polite', 'polite', 'MyTelkomsel', 'MyTelkomsel', 'Hopefully', 'Success', 'Amin', "]</v>
      </c>
      <c r="D830" s="3">
        <v>5.0</v>
      </c>
    </row>
    <row r="831" ht="15.75" customHeight="1">
      <c r="A831" s="1">
        <v>829.0</v>
      </c>
      <c r="B831" s="3" t="s">
        <v>832</v>
      </c>
      <c r="C831" s="3" t="str">
        <f>IFERROR(__xludf.DUMMYFUNCTION("GOOGLETRANSLATE(B831,""id"",""en"")"),"['Try', 'User', 'Card', 'Hello', 'Limit', 'Call', 'SMS', 'Operator', 'Telkomsel', 'Mengeming', 'Suggestion', 'Guys',' ']")</f>
        <v>['Try', 'User', 'Card', 'Hello', 'Limit', 'Call', 'SMS', 'Operator', 'Telkomsel', 'Mengeming', 'Suggestion', 'Guys',' ']</v>
      </c>
      <c r="D831" s="3">
        <v>1.0</v>
      </c>
    </row>
    <row r="832" ht="15.75" customHeight="1">
      <c r="A832" s="1">
        <v>830.0</v>
      </c>
      <c r="B832" s="3" t="s">
        <v>833</v>
      </c>
      <c r="C832" s="3" t="str">
        <f>IFERROR(__xludf.DUMMYFUNCTION("GOOGLETRANSLATE(B832,""id"",""en"")"),"['Please', 'Tell', 'Knp', 'Credit', 'Reduced', 'Internet', 'Aza', 'WiFi', 'Call', 'Prnh', 'Activein', 'Data', ' cellular ',' already ',' that's', 'Telkomsel', 'check', 'use', 'pulse', 'knp', 'now', 'gada', 'wonder', 'gemes',' solution ' , 'How', '']")</f>
        <v>['Please', 'Tell', 'Knp', 'Credit', 'Reduced', 'Internet', 'Aza', 'WiFi', 'Call', 'Prnh', 'Activein', 'Data', ' cellular ',' already ',' that's', 'Telkomsel', 'check', 'use', 'pulse', 'knp', 'now', 'gada', 'wonder', 'gemes',' solution ' , 'How', '']</v>
      </c>
      <c r="D832" s="3">
        <v>3.0</v>
      </c>
    </row>
    <row r="833" ht="15.75" customHeight="1">
      <c r="A833" s="1">
        <v>831.0</v>
      </c>
      <c r="B833" s="3" t="s">
        <v>834</v>
      </c>
      <c r="C833" s="3" t="str">
        <f>IFERROR(__xludf.DUMMYFUNCTION("GOOGLETRANSLATE(B833,""id"",""en"")"),"['waaaah', 'severe', 'application', 'Telkomsel', 'here', 'slow', 'rich', 'snail', 'slow', 'like', 'application', 'process',' transaction ',' purchase ',' promo ',' exchange ',' point ',' like ',' error ',' lazy ',' application ',' Telkomsel ',' delete ','"&amp;" android ',' simcard ' , 'Telkomsel', '']")</f>
        <v>['waaaah', 'severe', 'application', 'Telkomsel', 'here', 'slow', 'rich', 'snail', 'slow', 'like', 'application', 'process',' transaction ',' purchase ',' promo ',' exchange ',' point ',' like ',' error ',' lazy ',' application ',' Telkomsel ',' delete ',' android ',' simcard ' , 'Telkomsel', '']</v>
      </c>
      <c r="D833" s="3">
        <v>1.0</v>
      </c>
    </row>
    <row r="834" ht="15.75" customHeight="1">
      <c r="A834" s="1">
        <v>832.0</v>
      </c>
      <c r="B834" s="3" t="s">
        <v>835</v>
      </c>
      <c r="C834" s="3" t="str">
        <f>IFERROR(__xludf.DUMMYFUNCTION("GOOGLETRANSLATE(B834,""id"",""en"")"),"['bgs', 'bet', 'emang', 'really', 'good']")</f>
        <v>['bgs', 'bet', 'emang', 'really', 'good']</v>
      </c>
      <c r="D834" s="3">
        <v>5.0</v>
      </c>
    </row>
    <row r="835" ht="15.75" customHeight="1">
      <c r="A835" s="1">
        <v>833.0</v>
      </c>
      <c r="B835" s="3" t="s">
        <v>836</v>
      </c>
      <c r="C835" s="3" t="str">
        <f>IFERROR(__xludf.DUMMYFUNCTION("GOOGLETRANSLATE(B835,""id"",""en"")"),"['', 'Telkomsel', 'open', 'already', 'update', 'open', 'then' delete ',' install ',' open ',' beg ',' help ',' mytelkomsel ', 'open']")</f>
        <v>['', 'Telkomsel', 'open', 'already', 'update', 'open', 'then' delete ',' install ',' open ',' beg ',' help ',' mytelkomsel ', 'open']</v>
      </c>
      <c r="D835" s="3">
        <v>1.0</v>
      </c>
    </row>
    <row r="836" ht="15.75" customHeight="1">
      <c r="A836" s="1">
        <v>834.0</v>
      </c>
      <c r="B836" s="3" t="s">
        <v>837</v>
      </c>
      <c r="C836" s="3" t="str">
        <f>IFERROR(__xludf.DUMMYFUNCTION("GOOGLETRANSLATE(B836,""id"",""en"")"),"['min', 'every time', 'buy', 'quota', 'failed', 'system', 'error', 'blah', 'blah', 'blah', 'wait', 'minutes',' try ',' try ',' trs', 'ampe', 'wait', 'repay', 'please', 'pulse', 'sumps',' thousand ',' gara ',' because ',' yaaa ' , '']")</f>
        <v>['min', 'every time', 'buy', 'quota', 'failed', 'system', 'error', 'blah', 'blah', 'blah', 'wait', 'minutes',' try ',' try ',' trs', 'ampe', 'wait', 'repay', 'please', 'pulse', 'sumps',' thousand ',' gara ',' because ',' yaaa ' , '']</v>
      </c>
      <c r="D836" s="3">
        <v>1.0</v>
      </c>
    </row>
    <row r="837" ht="15.75" customHeight="1">
      <c r="A837" s="1">
        <v>835.0</v>
      </c>
      <c r="B837" s="3" t="s">
        <v>838</v>
      </c>
      <c r="C837" s="3" t="str">
        <f>IFERROR(__xludf.DUMMYFUNCTION("GOOGLETRANSLATE(B837,""id"",""en"")"),"['Severe', 'nich', 'signal', 'rain', 'threat', 'really', 'open', 'sosmed', 'rich', 'fast', 'please', 'fix', ' loyal customers', '']")</f>
        <v>['Severe', 'nich', 'signal', 'rain', 'threat', 'really', 'open', 'sosmed', 'rich', 'fast', 'please', 'fix', ' loyal customers', '']</v>
      </c>
      <c r="D837" s="3">
        <v>1.0</v>
      </c>
    </row>
    <row r="838" ht="15.75" customHeight="1">
      <c r="A838" s="1">
        <v>836.0</v>
      </c>
      <c r="B838" s="3" t="s">
        <v>839</v>
      </c>
      <c r="C838" s="3" t="str">
        <f>IFERROR(__xludf.DUMMYFUNCTION("GOOGLETRANSLATE(B838,""id"",""en"")"),"['pulse', 'lost', 'use', 'heart', 'contents',' pulse ',' quota ',' internet ',' wasteful ',' GB ',' YouTube ',' minutes', ' After ',' Package ',' SMS ',' BLM ',' Used ',' Lost ',' Package ',' Trusted ',' Customer ',' Repaired ',' System ',' Ambush ', ""]")</f>
        <v>['pulse', 'lost', 'use', 'heart', 'contents',' pulse ',' quota ',' internet ',' wasteful ',' GB ',' YouTube ',' minutes', ' After ',' Package ',' SMS ',' BLM ',' Used ',' Lost ',' Package ',' Trusted ',' Customer ',' Repaired ',' System ',' Ambush ', "]</v>
      </c>
      <c r="D838" s="3">
        <v>1.0</v>
      </c>
    </row>
    <row r="839" ht="15.75" customHeight="1">
      <c r="A839" s="1">
        <v>837.0</v>
      </c>
      <c r="B839" s="3" t="s">
        <v>840</v>
      </c>
      <c r="C839" s="3" t="str">
        <f>IFERROR(__xludf.DUMMYFUNCTION("GOOGLETRANSLATE(B839,""id"",""en"")"),"['Please', 'Sorry', 'Telkomsel', 'Telephone', 'SMS', 'Access',' Internet ',' Decide ',' Move ',' Provider ',' Network ',' Internet ',' Telkomsel ',' bad ',' according to ',' price ',' expensive ',' paid ',' play ',' game ',' down ',' repair ',' contact ',"&amp;"' thank ',' love ' ]")</f>
        <v>['Please', 'Sorry', 'Telkomsel', 'Telephone', 'SMS', 'Access',' Internet ',' Decide ',' Move ',' Provider ',' Network ',' Internet ',' Telkomsel ',' bad ',' according to ',' price ',' expensive ',' paid ',' play ',' game ',' down ',' repair ',' contact ',' thank ',' love ' ]</v>
      </c>
      <c r="D839" s="3">
        <v>1.0</v>
      </c>
    </row>
    <row r="840" ht="15.75" customHeight="1">
      <c r="A840" s="1">
        <v>838.0</v>
      </c>
      <c r="B840" s="3" t="s">
        <v>841</v>
      </c>
      <c r="C840" s="3" t="str">
        <f>IFERROR(__xludf.DUMMYFUNCTION("GOOGLETRANSLATE(B840,""id"",""en"")"),"['application', 'please', 'note', 'disruption', 'enter', 'application', 'open', 'watch', 'youtube', 'smooth', 'open', 'application', ' MyTelkomsel ',' bad ',' application ',' used ',' maximum ',' embarrassing ',' ']")</f>
        <v>['application', 'please', 'note', 'disruption', 'enter', 'application', 'open', 'watch', 'youtube', 'smooth', 'open', 'application', ' MyTelkomsel ',' bad ',' application ',' used ',' maximum ',' embarrassing ',' ']</v>
      </c>
      <c r="D840" s="3">
        <v>1.0</v>
      </c>
    </row>
    <row r="841" ht="15.75" customHeight="1">
      <c r="A841" s="1">
        <v>839.0</v>
      </c>
      <c r="B841" s="3" t="s">
        <v>842</v>
      </c>
      <c r="C841" s="3" t="str">
        <f>IFERROR(__xludf.DUMMYFUNCTION("GOOGLETRANSLATE(B841,""id"",""en"")"),"['update', 'slow', 'enter', 'contact', 'strange', 'data', 'contact', 'taken', 'upload', 'Telkomsel', 'kah', 'criminal', ' ']")</f>
        <v>['update', 'slow', 'enter', 'contact', 'strange', 'data', 'contact', 'taken', 'upload', 'Telkomsel', 'kah', 'criminal', ' ']</v>
      </c>
      <c r="D841" s="3">
        <v>1.0</v>
      </c>
    </row>
    <row r="842" ht="15.75" customHeight="1">
      <c r="A842" s="1">
        <v>840.0</v>
      </c>
      <c r="B842" s="3" t="s">
        <v>843</v>
      </c>
      <c r="C842" s="3" t="str">
        <f>IFERROR(__xludf.DUMMYFUNCTION("GOOGLETRANSLATE(B842,""id"",""en"")"),"['Help', 'apk', 'logout', 'login', 'reset', 'hope', 'fix', 'quality', 'apk', 'thank', 'love', ""]")</f>
        <v>['Help', 'apk', 'logout', 'login', 'reset', 'hope', 'fix', 'quality', 'apk', 'thank', 'love', "]</v>
      </c>
      <c r="D842" s="3">
        <v>3.0</v>
      </c>
    </row>
    <row r="843" ht="15.75" customHeight="1">
      <c r="A843" s="1">
        <v>841.0</v>
      </c>
      <c r="B843" s="3" t="s">
        <v>844</v>
      </c>
      <c r="C843" s="3" t="str">
        <f>IFERROR(__xludf.DUMMYFUNCTION("GOOGLETRANSLATE(B843,""id"",""en"")"),"['Disappointed', 'knp', 'app', 'promo', 'gtu', 'ehh', 'right', 'bought', 'kgk', 'udh', 'for days', 'try' tuk ',' buy ',' package ',' ehh ',' pdahal ',' pulse ',' dri ',' feels', 'php', 'promo', 'published', 'delete', 'jdi' , 'Bela', 'org', 'fill', 'pulse'"&amp;", 'TPI', 'bought', '']")</f>
        <v>['Disappointed', 'knp', 'app', 'promo', 'gtu', 'ehh', 'right', 'bought', 'kgk', 'udh', 'for days', 'try' tuk ',' buy ',' package ',' ehh ',' pdahal ',' pulse ',' dri ',' feels', 'php', 'promo', 'published', 'delete', 'jdi' , 'Bela', 'org', 'fill', 'pulse', 'TPI', 'bought', '']</v>
      </c>
      <c r="D843" s="3">
        <v>2.0</v>
      </c>
    </row>
    <row r="844" ht="15.75" customHeight="1">
      <c r="A844" s="1">
        <v>842.0</v>
      </c>
      <c r="B844" s="3" t="s">
        <v>845</v>
      </c>
      <c r="C844" s="3" t="str">
        <f>IFERROR(__xludf.DUMMYFUNCTION("GOOGLETRANSLATE(B844,""id"",""en"")"),"['complaints', 'fix', 'comment', 'help', 'input', 'expensive', 'consumer', 'sensitive', ""]")</f>
        <v>['complaints', 'fix', 'comment', 'help', 'input', 'expensive', 'consumer', 'sensitive', "]</v>
      </c>
      <c r="D844" s="3">
        <v>1.0</v>
      </c>
    </row>
    <row r="845" ht="15.75" customHeight="1">
      <c r="A845" s="1">
        <v>843.0</v>
      </c>
      <c r="B845" s="3" t="s">
        <v>846</v>
      </c>
      <c r="C845" s="3" t="str">
        <f>IFERROR(__xludf.DUMMYFUNCTION("GOOGLETRANSLATE(B845,""id"",""en"")"),"['disappointed', 'tere', 'package', 'cave', 'GB', 'knapa', 'message', 'package', 'hbis',' knapa ',' cave ',' use ',' Internet ',' PDAH ',' CENTRALLY ',' ']")</f>
        <v>['disappointed', 'tere', 'package', 'cave', 'GB', 'knapa', 'message', 'package', 'hbis',' knapa ',' cave ',' use ',' Internet ',' PDAH ',' CENTRALLY ',' ']</v>
      </c>
      <c r="D845" s="3">
        <v>1.0</v>
      </c>
    </row>
    <row r="846" ht="15.75" customHeight="1">
      <c r="A846" s="1">
        <v>844.0</v>
      </c>
      <c r="B846" s="3" t="s">
        <v>847</v>
      </c>
      <c r="C846" s="3" t="str">
        <f>IFERROR(__xludf.DUMMYFUNCTION("GOOGLETRANSLATE(B846,""id"",""en"")"),"['Please', 'Fix', 'Operation', 'System', 'One', 'Samsung', 'Cause', 'Crash', 'Samsung', 'Galaxy', 'Update', 'Version', ' Application ',' Latest ',' Mentok ',' ']")</f>
        <v>['Please', 'Fix', 'Operation', 'System', 'One', 'Samsung', 'Cause', 'Crash', 'Samsung', 'Galaxy', 'Update', 'Version', ' Application ',' Latest ',' Mentok ',' ']</v>
      </c>
      <c r="D846" s="3">
        <v>3.0</v>
      </c>
    </row>
    <row r="847" ht="15.75" customHeight="1">
      <c r="A847" s="1">
        <v>845.0</v>
      </c>
      <c r="B847" s="3" t="s">
        <v>848</v>
      </c>
      <c r="C847" s="3" t="str">
        <f>IFERROR(__xludf.DUMMYFUNCTION("GOOGLETRANSLATE(B847,""id"",""en"")"),"['already', 'package', 'Telkomsel', 'emng', 'signal', 'rada', 'gemes',' calculated ',' smooth ',' try ',' ngactive ',' package ',' Extend ',' active ',' no ',' pulse ',' already ',' reduced ',' lho ',' please ',' love ',' explanation ',' miin ', ""]")</f>
        <v>['already', 'package', 'Telkomsel', 'emng', 'signal', 'rada', 'gemes',' calculated ',' smooth ',' try ',' ngactive ',' package ',' Extend ',' active ',' no ',' pulse ',' already ',' reduced ',' lho ',' please ',' love ',' explanation ',' miin ', "]</v>
      </c>
      <c r="D847" s="3">
        <v>3.0</v>
      </c>
    </row>
    <row r="848" ht="15.75" customHeight="1">
      <c r="A848" s="1">
        <v>846.0</v>
      </c>
      <c r="B848" s="3" t="s">
        <v>849</v>
      </c>
      <c r="C848" s="3" t="str">
        <f>IFERROR(__xludf.DUMMYFUNCTION("GOOGLETRANSLATE(B848,""id"",""en"")"),"['quota', 'expensive', 'price', 'apply', 'according to', 'sometimes',' package ',' change ',' as good as', 'udel', 'quota', 'Tiktok', ' Useful ',' nation ',' state ',' impressed ',' help ',' damage ',' generation ',' young ',' child ',' signal ',' bad ','"&amp;" sometimes', 'missing' , 'Sometimes', 'slow', 'Worth', '']")</f>
        <v>['quota', 'expensive', 'price', 'apply', 'according to', 'sometimes',' package ',' change ',' as good as', 'udel', 'quota', 'Tiktok', ' Useful ',' nation ',' state ',' impressed ',' help ',' damage ',' generation ',' young ',' child ',' signal ',' bad ',' sometimes', 'missing' , 'Sometimes', 'slow', 'Worth', '']</v>
      </c>
      <c r="D848" s="3">
        <v>1.0</v>
      </c>
    </row>
    <row r="849" ht="15.75" customHeight="1">
      <c r="A849" s="1">
        <v>847.0</v>
      </c>
      <c r="B849" s="3" t="s">
        <v>850</v>
      </c>
      <c r="C849" s="3" t="str">
        <f>IFERROR(__xludf.DUMMYFUNCTION("GOOGLETRANSLATE(B849,""id"",""en"")"),"['love', 'bonus',' a day ',' like ',' axis', 'high school', 'bonus',' apk ',' telkomsel ',' bonus', 'udh', 'quota', ' Cepet ',' Abis', 'Bonus',' Gblokk ',' Card ',' Sultan ']")</f>
        <v>['love', 'bonus',' a day ',' like ',' axis', 'high school', 'bonus',' apk ',' telkomsel ',' bonus', 'udh', 'quota', ' Cepet ',' Abis', 'Bonus',' Gblokk ',' Card ',' Sultan ']</v>
      </c>
      <c r="D849" s="3">
        <v>1.0</v>
      </c>
    </row>
    <row r="850" ht="15.75" customHeight="1">
      <c r="A850" s="1">
        <v>848.0</v>
      </c>
      <c r="B850" s="3" t="s">
        <v>851</v>
      </c>
      <c r="C850" s="3" t="str">
        <f>IFERROR(__xludf.DUMMYFUNCTION("GOOGLETRANSLATE(B850,""id"",""en"")"),"['package', 'quota', 'expensive', 'unlimitute', 'cloud', 'max', 'package', 'cheerful', 'network', 'slow', 'area', 'citayem', ' Please, 'Fix', 'User', 'Telkomsel', 'Fix', 'Trimaxi']")</f>
        <v>['package', 'quota', 'expensive', 'unlimitute', 'cloud', 'max', 'package', 'cheerful', 'network', 'slow', 'area', 'citayem', ' Please, 'Fix', 'User', 'Telkomsel', 'Fix', 'Trimaxi']</v>
      </c>
      <c r="D850" s="3">
        <v>1.0</v>
      </c>
    </row>
    <row r="851" ht="15.75" customHeight="1">
      <c r="A851" s="1">
        <v>849.0</v>
      </c>
      <c r="B851" s="3" t="s">
        <v>852</v>
      </c>
      <c r="C851" s="3" t="str">
        <f>IFERROR(__xludf.DUMMYFUNCTION("GOOGLETRANSLATE(B851,""id"",""en"")"),"['disappointing', 'already', 'buy', 'package', 'expensive', 'signal', 'my place', 'signal', 'good', 'really', 'Telkomsel', 'here' disappointing ',' already ',' confirm ',' email ',' already ',' a month ',' no ',' bales', 'jokes',' bales', 'baluan', 'do', "&amp;"'deh' , 'Min', '']")</f>
        <v>['disappointing', 'already', 'buy', 'package', 'expensive', 'signal', 'my place', 'signal', 'good', 'really', 'Telkomsel', 'here' disappointing ',' already ',' confirm ',' email ',' already ',' a month ',' no ',' bales', 'jokes',' bales', 'baluan', 'do', 'deh' , 'Min', '']</v>
      </c>
      <c r="D851" s="3">
        <v>1.0</v>
      </c>
    </row>
    <row r="852" ht="15.75" customHeight="1">
      <c r="A852" s="1">
        <v>850.0</v>
      </c>
      <c r="B852" s="3" t="s">
        <v>853</v>
      </c>
      <c r="C852" s="3" t="str">
        <f>IFERROR(__xludf.DUMMYFUNCTION("GOOGLETRANSLATE(B852,""id"",""en"")"),"['Sorry', 'Reduce', 'Star', 'Star', 'Telkomsel', 'Disorders',' After ',' Disruption ',' Eat ',' Apalg ',' Electricity ',' Dead ',' Slalu ',' signal ',' Telkomsel ',' dead ',' disappointing ',' ']")</f>
        <v>['Sorry', 'Reduce', 'Star', 'Star', 'Telkomsel', 'Disorders',' After ',' Disruption ',' Eat ',' Apalg ',' Electricity ',' Dead ',' Slalu ',' signal ',' Telkomsel ',' dead ',' disappointing ',' ']</v>
      </c>
      <c r="D852" s="3">
        <v>1.0</v>
      </c>
    </row>
    <row r="853" ht="15.75" customHeight="1">
      <c r="A853" s="1">
        <v>851.0</v>
      </c>
      <c r="B853" s="3" t="s">
        <v>854</v>
      </c>
      <c r="C853" s="3" t="str">
        <f>IFERROR(__xludf.DUMMYFUNCTION("GOOGLETRANSLATE(B853,""id"",""en"")"),"['Feature', 'interesting', 'users',' Telkomsel ',' Satisfied ',' Network ',' Ngelag ',' That's', 'Telkomsel', 'Trying', 'Service', 'Best', ' Thank you ',' Telkomsel ',' ']")</f>
        <v>['Feature', 'interesting', 'users',' Telkomsel ',' Satisfied ',' Network ',' Ngelag ',' That's', 'Telkomsel', 'Trying', 'Service', 'Best', ' Thank you ',' Telkomsel ',' ']</v>
      </c>
      <c r="D853" s="3">
        <v>5.0</v>
      </c>
    </row>
    <row r="854" ht="15.75" customHeight="1">
      <c r="A854" s="1">
        <v>852.0</v>
      </c>
      <c r="B854" s="3" t="s">
        <v>855</v>
      </c>
      <c r="C854" s="3" t="str">
        <f>IFERROR(__xludf.DUMMYFUNCTION("GOOGLETRANSLATE(B854,""id"",""en"")"),"['What's',' Telkomsel ',' slow ',' fast ',' network ',' expensive ',' buy ',' package ',' connection ',' hard ',' vain ',' love ',' Stars', 'love', 'star']")</f>
        <v>['What's',' Telkomsel ',' slow ',' fast ',' network ',' expensive ',' buy ',' package ',' connection ',' hard ',' vain ',' love ',' Stars', 'love', 'star']</v>
      </c>
      <c r="D854" s="3">
        <v>1.0</v>
      </c>
    </row>
    <row r="855" ht="15.75" customHeight="1">
      <c r="A855" s="1">
        <v>853.0</v>
      </c>
      <c r="B855" s="3" t="s">
        <v>856</v>
      </c>
      <c r="C855" s="3" t="str">
        <f>IFERROR(__xludf.DUMMYFUNCTION("GOOGLETRANSLATE(B855,""id"",""en"")"),"['Telkomsel', 'Ngaco', 'Ngelag', 'Open', 'Application', 'right', 'Rank', 'missing', 'connection', 'missing', 'signal', 'Mending', ' Gnti ',' ']")</f>
        <v>['Telkomsel', 'Ngaco', 'Ngelag', 'Open', 'Application', 'right', 'Rank', 'missing', 'connection', 'missing', 'signal', 'Mending', ' Gnti ',' ']</v>
      </c>
      <c r="D855" s="3">
        <v>1.0</v>
      </c>
    </row>
    <row r="856" ht="15.75" customHeight="1">
      <c r="A856" s="1">
        <v>854.0</v>
      </c>
      <c r="B856" s="3" t="s">
        <v>857</v>
      </c>
      <c r="C856" s="3" t="str">
        <f>IFERROR(__xludf.DUMMYFUNCTION("GOOGLETRANSLATE(B856,""id"",""en"")"),"['Consuming', 'data', 'Try', 'wifi', 'data', 'take', 'GB', 'run', 'user', 'gatau', 'data', 'download']")</f>
        <v>['Consuming', 'data', 'Try', 'wifi', 'data', 'take', 'GB', 'run', 'user', 'gatau', 'data', 'download']</v>
      </c>
      <c r="D856" s="3">
        <v>1.0</v>
      </c>
    </row>
    <row r="857" ht="15.75" customHeight="1">
      <c r="A857" s="1">
        <v>855.0</v>
      </c>
      <c r="B857" s="3" t="s">
        <v>858</v>
      </c>
      <c r="C857" s="3" t="str">
        <f>IFERROR(__xludf.DUMMYFUNCTION("GOOGLETRANSLATE(B857,""id"",""en"")"),"['signal', 'ugly', 'play', 'game', 'ngelek', 'klau', 'noon', 'hadeh', 'emotion', 'open', 'application', 'difficult', ' Benerr ',' KLW ',' Package ',' Data ',' UDH ',' Live ',' Lag ',' Severe ']")</f>
        <v>['signal', 'ugly', 'play', 'game', 'ngelek', 'klau', 'noon', 'hadeh', 'emotion', 'open', 'application', 'difficult', ' Benerr ',' KLW ',' Package ',' Data ',' UDH ',' Live ',' Lag ',' Severe ']</v>
      </c>
      <c r="D857" s="3">
        <v>1.0</v>
      </c>
    </row>
    <row r="858" ht="15.75" customHeight="1">
      <c r="A858" s="1">
        <v>856.0</v>
      </c>
      <c r="B858" s="3" t="s">
        <v>859</v>
      </c>
      <c r="C858" s="3" t="str">
        <f>IFERROR(__xludf.DUMMYFUNCTION("GOOGLETRANSLATE(B858,""id"",""en"")"),"['Love', 'Bintang', 'Karna', 'Disappointed', 'Network', 'Internet', 'Slow', 'Dozens',' Taun ',' Wear ',' Telkomsel ',' Auto ',' Change ',' card ',' Karna ',' Telkomsel ',' slow ']")</f>
        <v>['Love', 'Bintang', 'Karna', 'Disappointed', 'Network', 'Internet', 'Slow', 'Dozens',' Taun ',' Wear ',' Telkomsel ',' Auto ',' Change ',' card ',' Karna ',' Telkomsel ',' slow ']</v>
      </c>
      <c r="D858" s="3">
        <v>1.0</v>
      </c>
    </row>
    <row r="859" ht="15.75" customHeight="1">
      <c r="A859" s="1">
        <v>857.0</v>
      </c>
      <c r="B859" s="3" t="s">
        <v>860</v>
      </c>
      <c r="C859" s="3" t="str">
        <f>IFERROR(__xludf.DUMMYFUNCTION("GOOGLETRANSLATE(B859,""id"",""en"")"),"['Dear', 'Telkomsel', 'number', 'Yesterday', 'Saturday', 'Lost', 'Signal', 'Padah', 'Friday', 'Telfon', 'SMS', 'A Week', ' Fill ',' Application ',' Pulses', 'Bible', 'Provider', 'Solution', 'Notification', 'Non', 'Activate', 'Numbers',' Activate ',' Mendi"&amp;"ng ',' Provider ' , 'repeat', 'Genesis', '']")</f>
        <v>['Dear', 'Telkomsel', 'number', 'Yesterday', 'Saturday', 'Lost', 'Signal', 'Padah', 'Friday', 'Telfon', 'SMS', 'A Week', ' Fill ',' Application ',' Pulses', 'Bible', 'Provider', 'Solution', 'Notification', 'Non', 'Activate', 'Numbers',' Activate ',' Mending ',' Provider ' , 'repeat', 'Genesis', '']</v>
      </c>
      <c r="D859" s="3">
        <v>1.0</v>
      </c>
    </row>
    <row r="860" ht="15.75" customHeight="1">
      <c r="A860" s="1">
        <v>858.0</v>
      </c>
      <c r="B860" s="3" t="s">
        <v>861</v>
      </c>
      <c r="C860" s="3" t="str">
        <f>IFERROR(__xludf.DUMMYFUNCTION("GOOGLETRANSLATE(B860,""id"",""en"")"),"['pulse', 'lost', 'sincere', 'it happened', 'times', 'many', 'times', 'expect', 'accountability', 'Telkomsel']")</f>
        <v>['pulse', 'lost', 'sincere', 'it happened', 'times', 'many', 'times', 'expect', 'accountability', 'Telkomsel']</v>
      </c>
      <c r="D860" s="3">
        <v>1.0</v>
      </c>
    </row>
    <row r="861" ht="15.75" customHeight="1">
      <c r="A861" s="1">
        <v>859.0</v>
      </c>
      <c r="B861" s="3" t="s">
        <v>862</v>
      </c>
      <c r="C861" s="3" t="str">
        <f>IFERROR(__xludf.DUMMYFUNCTION("GOOGLETRANSLATE(B861,""id"",""en"")"),"['signal', 'bad', 'network', 'TPI', 'rich', 'life', 'era', 'edge', 'era', 'advanced', 'modern', 'signal', ' Fast ',' limited ',' ']")</f>
        <v>['signal', 'bad', 'network', 'TPI', 'rich', 'life', 'era', 'edge', 'era', 'advanced', 'modern', 'signal', ' Fast ',' limited ',' ']</v>
      </c>
      <c r="D861" s="3">
        <v>1.0</v>
      </c>
    </row>
    <row r="862" ht="15.75" customHeight="1">
      <c r="A862" s="1">
        <v>860.0</v>
      </c>
      <c r="B862" s="3" t="s">
        <v>863</v>
      </c>
      <c r="C862" s="3" t="str">
        <f>IFERROR(__xludf.DUMMYFUNCTION("GOOGLETRANSLATE(B862,""id"",""en"")"),"['Tide', 'voucher', 'operator', 'Sorry', 'System', 'Busy', 'Wait', 'right', 'already', 'Wait', 'clock', 'right', ' Install ',' operator ',' please ',' love ',' solution ',' ']")</f>
        <v>['Tide', 'voucher', 'operator', 'Sorry', 'System', 'Busy', 'Wait', 'right', 'already', 'Wait', 'clock', 'right', ' Install ',' operator ',' please ',' love ',' solution ',' ']</v>
      </c>
      <c r="D862" s="3">
        <v>1.0</v>
      </c>
    </row>
    <row r="863" ht="15.75" customHeight="1">
      <c r="A863" s="1">
        <v>861.0</v>
      </c>
      <c r="B863" s="3" t="s">
        <v>864</v>
      </c>
      <c r="C863" s="3" t="str">
        <f>IFERROR(__xludf.DUMMYFUNCTION("GOOGLETRANSLATE(B863,""id"",""en"")"),"['Honest', 'price', 'package', 'expensive', 'TPI', 'Tida', 'suits',' network ',' good ',' cheap ',' price ',' package ',' Telkomsel ',' TPI ',' expensive ',' slow ']")</f>
        <v>['Honest', 'price', 'package', 'expensive', 'TPI', 'Tida', 'suits',' network ',' good ',' cheap ',' price ',' package ',' Telkomsel ',' TPI ',' expensive ',' slow ']</v>
      </c>
      <c r="D863" s="3">
        <v>2.0</v>
      </c>
    </row>
    <row r="864" ht="15.75" customHeight="1">
      <c r="A864" s="1">
        <v>862.0</v>
      </c>
      <c r="B864" s="3" t="s">
        <v>865</v>
      </c>
      <c r="C864" s="3" t="str">
        <f>IFERROR(__xludf.DUMMYFUNCTION("GOOGLETRANSLATE(B864,""id"",""en"")"),"['quota', 'just', 'Bukak', 'WhatsApp', 'YouTube', 'Doang', 'open', 'browser', 'slow', 'open', 'open', 'automatic', ' mode ',' data ',' free ',' click ',' use ',' data ',' notif ',' data ',' internet ',' run out ',' buy ',' packetan ']")</f>
        <v>['quota', 'just', 'Bukak', 'WhatsApp', 'YouTube', 'Doang', 'open', 'browser', 'slow', 'open', 'open', 'automatic', ' mode ',' data ',' free ',' click ',' use ',' data ',' notif ',' data ',' internet ',' run out ',' buy ',' packetan ']</v>
      </c>
      <c r="D864" s="3">
        <v>1.0</v>
      </c>
    </row>
    <row r="865" ht="15.75" customHeight="1">
      <c r="A865" s="1">
        <v>863.0</v>
      </c>
      <c r="B865" s="3" t="s">
        <v>866</v>
      </c>
      <c r="C865" s="3" t="str">
        <f>IFERROR(__xludf.DUMMYFUNCTION("GOOGLETRANSLATE(B865,""id"",""en"")"),"['Telkomsel', 'please', 'nagih', 'card', 'hello', 'check', 'nagih', 'orng', 'stop', 'card', 'hello', 'letter', ' GranPari ',' people ',' Telkomsel ',' Nagih ',' number ',' people ',' old ',' panic ',' collect ',' demand ',' concerned ', ""]")</f>
        <v>['Telkomsel', 'please', 'nagih', 'card', 'hello', 'check', 'nagih', 'orng', 'stop', 'card', 'hello', 'letter', ' GranPari ',' people ',' Telkomsel ',' Nagih ',' number ',' people ',' old ',' panic ',' collect ',' demand ',' concerned ', "]</v>
      </c>
      <c r="D865" s="3">
        <v>1.0</v>
      </c>
    </row>
    <row r="866" ht="15.75" customHeight="1">
      <c r="A866" s="1">
        <v>864.0</v>
      </c>
      <c r="B866" s="3" t="s">
        <v>867</v>
      </c>
      <c r="C866" s="3" t="str">
        <f>IFERROR(__xludf.DUMMYFUNCTION("GOOGLETRANSLATE(B866,""id"",""en"")"),"['Disappointed', 'Application', 'Telkomsen', 'Cheats',' Already ',' Pay ',' Credit ',' Package ',' Notification ',' Credit ',' Cutting ',' Already ',' times', 'hope', 'fix']")</f>
        <v>['Disappointed', 'Application', 'Telkomsen', 'Cheats',' Already ',' Pay ',' Credit ',' Package ',' Notification ',' Credit ',' Cutting ',' Already ',' times', 'hope', 'fix']</v>
      </c>
      <c r="D866" s="3">
        <v>1.0</v>
      </c>
    </row>
    <row r="867" ht="15.75" customHeight="1">
      <c r="A867" s="1">
        <v>865.0</v>
      </c>
      <c r="B867" s="3" t="s">
        <v>868</v>
      </c>
      <c r="C867" s="3" t="str">
        <f>IFERROR(__xludf.DUMMYFUNCTION("GOOGLETRANSLATE(B867,""id"",""en"")"),"['Apikan', 'Application', 'Telkomsel', 'Error', 'Update', 'Version', 'Latest', 'Install', 'Uninstall', 'Install', 'Error', 'Difficulties',' Buy ',' Package ',' Internet ',' Please ',' Enlightenment ',' Thank you ', ""]")</f>
        <v>['Apikan', 'Application', 'Telkomsel', 'Error', 'Update', 'Version', 'Latest', 'Install', 'Uninstall', 'Install', 'Error', 'Difficulties',' Buy ',' Package ',' Internet ',' Please ',' Enlightenment ',' Thank you ', "]</v>
      </c>
      <c r="D867" s="3">
        <v>3.0</v>
      </c>
    </row>
    <row r="868" ht="15.75" customHeight="1">
      <c r="A868" s="1">
        <v>866.0</v>
      </c>
      <c r="B868" s="3" t="s">
        <v>869</v>
      </c>
      <c r="C868" s="3" t="str">
        <f>IFERROR(__xludf.DUMMYFUNCTION("GOOGLETRANSLATE(B868,""id"",""en"")"),"['application', 'MyTelkomsel', 'check', 'kouta', 'left', 'easy', 'point', 'get', 'contents',' reset ',' use ',' lottery ',' Hold ',' MyTelkomsel ',' Thank you ',' MyTelkomsel ', ""]")</f>
        <v>['application', 'MyTelkomsel', 'check', 'kouta', 'left', 'easy', 'point', 'get', 'contents',' reset ',' use ',' lottery ',' Hold ',' MyTelkomsel ',' Thank you ',' MyTelkomsel ', "]</v>
      </c>
      <c r="D868" s="3">
        <v>5.0</v>
      </c>
    </row>
    <row r="869" ht="15.75" customHeight="1">
      <c r="A869" s="1">
        <v>867.0</v>
      </c>
      <c r="B869" s="3" t="s">
        <v>870</v>
      </c>
      <c r="C869" s="3" t="str">
        <f>IFERROR(__xludf.DUMMYFUNCTION("GOOGLETRANSLATE(B869,""id"",""en"")"),"['Prank', 'prank', 'Telkomsel', 'quota', 'entertainment', 'use', 'quota', 'regular', 'brti', 'buy', 'quota', 'enterterimen', ' Delivering ',' Doank ',' Kagak ',' Use ',' Punyq ',' Quota ',' Regular ',' Understand ', ""]")</f>
        <v>['Prank', 'prank', 'Telkomsel', 'quota', 'entertainment', 'use', 'quota', 'regular', 'brti', 'buy', 'quota', 'enterterimen', ' Delivering ',' Doank ',' Kagak ',' Use ',' Punyq ',' Quota ',' Regular ',' Understand ', "]</v>
      </c>
      <c r="D869" s="3">
        <v>1.0</v>
      </c>
    </row>
    <row r="870" ht="15.75" customHeight="1">
      <c r="A870" s="1">
        <v>868.0</v>
      </c>
      <c r="B870" s="3" t="s">
        <v>871</v>
      </c>
      <c r="C870" s="3" t="str">
        <f>IFERROR(__xludf.DUMMYFUNCTION("GOOGLETRANSLATE(B870,""id"",""en"")"),"['Dear', 'Telkomsel', 'Please', 'Explanation', 'Buy', 'Package', 'Unlimited', 'YouTube', 'Hope', 'Satisfied', 'See', 'Video', ' drain ',' quota ',' main ',' available ',' quota ',' unlimited ',' youtube ',' telkomsel ',' active ',' data ',' main ',' reduc"&amp;"ed ',' unlimited ' , 'What's', 'tlg', 'evaluation', 'trmksh']")</f>
        <v>['Dear', 'Telkomsel', 'Please', 'Explanation', 'Buy', 'Package', 'Unlimited', 'YouTube', 'Hope', 'Satisfied', 'See', 'Video', ' drain ',' quota ',' main ',' available ',' quota ',' unlimited ',' youtube ',' telkomsel ',' active ',' data ',' main ',' reduced ',' unlimited ' , 'What's', 'tlg', 'evaluation', 'trmksh']</v>
      </c>
      <c r="D870" s="3">
        <v>2.0</v>
      </c>
    </row>
    <row r="871" ht="15.75" customHeight="1">
      <c r="A871" s="1">
        <v>869.0</v>
      </c>
      <c r="B871" s="3" t="s">
        <v>872</v>
      </c>
      <c r="C871" s="3" t="str">
        <f>IFERROR(__xludf.DUMMYFUNCTION("GOOGLETRANSLATE(B871,""id"",""en"")"),"['Sorry', 'user', 'loyal', 'Telkomsel', 'disappointed', 'Stamp', 'Collect', 'missing', 'repeated', 'Stamp', 'Not bad', 'exchange', ' Quota ',' Wonder ',' Try ',' Nukar ',' Quota ',' aka ',' Locked ',' Switch ',' gradual ',' default ',' until ']")</f>
        <v>['Sorry', 'user', 'loyal', 'Telkomsel', 'disappointed', 'Stamp', 'Collect', 'missing', 'repeated', 'Stamp', 'Not bad', 'exchange', ' Quota ',' Wonder ',' Try ',' Nukar ',' Quota ',' aka ',' Locked ',' Switch ',' gradual ',' default ',' until ']</v>
      </c>
      <c r="D871" s="3">
        <v>2.0</v>
      </c>
    </row>
    <row r="872" ht="15.75" customHeight="1">
      <c r="A872" s="1">
        <v>870.0</v>
      </c>
      <c r="B872" s="3" t="s">
        <v>873</v>
      </c>
      <c r="C872" s="3" t="str">
        <f>IFERROR(__xludf.DUMMYFUNCTION("GOOGLETRANSLATE(B872,""id"",""en"")"),"['special', 'Telkomsel', 'listen', 'promo', 'doang', 'signal', 'troublesome', 'person', 'signal', 'Telkomsel', 'Not bad', 'expensive', ' signal ',' people ',' confused ',' causes', 'PHP', 'KPD', 'Customer', 'Best', 'bad', ""]")</f>
        <v>['special', 'Telkomsel', 'listen', 'promo', 'doang', 'signal', 'troublesome', 'person', 'signal', 'Telkomsel', 'Not bad', 'expensive', ' signal ',' people ',' confused ',' causes', 'PHP', 'KPD', 'Customer', 'Best', 'bad', "]</v>
      </c>
      <c r="D872" s="3">
        <v>1.0</v>
      </c>
    </row>
    <row r="873" ht="15.75" customHeight="1">
      <c r="A873" s="1">
        <v>871.0</v>
      </c>
      <c r="B873" s="3" t="s">
        <v>874</v>
      </c>
      <c r="C873" s="3" t="str">
        <f>IFERROR(__xludf.DUMMYFUNCTION("GOOGLETRANSLATE(B873,""id"",""en"")"),"['complaints',' network ',' open ',' access', 'medsos',' lag ',' forgiveness', 'dahlah', 'telkomsel', 'broken', 'yes',' indonesia ',' Kek ',' gini ',' boong ',' dahlah ',' pokonya ',' disappointed ',' service ',' Telkomsel ',' ']")</f>
        <v>['complaints',' network ',' open ',' access', 'medsos',' lag ',' forgiveness', 'dahlah', 'telkomsel', 'broken', 'yes',' indonesia ',' Kek ',' gini ',' boong ',' dahlah ',' pokonya ',' disappointed ',' service ',' Telkomsel ',' ']</v>
      </c>
      <c r="D873" s="3">
        <v>1.0</v>
      </c>
    </row>
    <row r="874" ht="15.75" customHeight="1">
      <c r="A874" s="1">
        <v>872.0</v>
      </c>
      <c r="B874" s="3" t="s">
        <v>875</v>
      </c>
      <c r="C874" s="3" t="str">
        <f>IFERROR(__xludf.DUMMYFUNCTION("GOOGLETRANSLATE(B874,""id"",""en"")"),"['disappointing', 'network', 'good', 'right', 'open', 'Telkomsel', 'slow', 'tip', 'end', 'system', 'busy', 'disappointing', ' ']")</f>
        <v>['disappointing', 'network', 'good', 'right', 'open', 'Telkomsel', 'slow', 'tip', 'end', 'system', 'busy', 'disappointing', ' ']</v>
      </c>
      <c r="D874" s="3">
        <v>1.0</v>
      </c>
    </row>
    <row r="875" ht="15.75" customHeight="1">
      <c r="A875" s="1">
        <v>873.0</v>
      </c>
      <c r="B875" s="3" t="s">
        <v>876</v>
      </c>
      <c r="C875" s="3" t="str">
        <f>IFERROR(__xludf.DUMMYFUNCTION("GOOGLETRANSLATE(B875,""id"",""en"")"),"['network', 'Telkomsel', 'stable', 'slow', 'please', 'Increase', 'quality', 'network', 'Telkomsel', 'fix', 'slow', 'stable', ' network']")</f>
        <v>['network', 'Telkomsel', 'stable', 'slow', 'please', 'Increase', 'quality', 'network', 'Telkomsel', 'fix', 'slow', 'stable', ' network']</v>
      </c>
      <c r="D875" s="3">
        <v>1.0</v>
      </c>
    </row>
    <row r="876" ht="15.75" customHeight="1">
      <c r="A876" s="1">
        <v>874.0</v>
      </c>
      <c r="B876" s="3" t="s">
        <v>877</v>
      </c>
      <c r="C876" s="3" t="str">
        <f>IFERROR(__xludf.DUMMYFUNCTION("GOOGLETRANSLATE(B876,""id"",""en"")"),"['Disappointed', 'Telkomsel', 'Network', 'Dipelek', 'Please', 'Mendelek', 'Zoom', 'Out', 'Please', 'Really', 'Signal']")</f>
        <v>['Disappointed', 'Telkomsel', 'Network', 'Dipelek', 'Please', 'Mendelek', 'Zoom', 'Out', 'Please', 'Really', 'Signal']</v>
      </c>
      <c r="D876" s="3">
        <v>1.0</v>
      </c>
    </row>
    <row r="877" ht="15.75" customHeight="1">
      <c r="A877" s="1">
        <v>875.0</v>
      </c>
      <c r="B877" s="3" t="s">
        <v>878</v>
      </c>
      <c r="C877" s="3" t="str">
        <f>IFERROR(__xludf.DUMMYFUNCTION("GOOGLETRANSLATE(B877,""id"",""en"")"),"['Org', 'difficult', 'buy', 'pulse', 'fooled', 'schedule', 'package', 'active', 'bner', 'jan', 'culuci', 'person', ' said ',' strategy ',' marketing ',' Ngegein ',' consumer ',' Kasian ',' satisfied ',' bngett ',' service ',' Telkomsel ',' sincere ',' pul"&amp;"ses', 'ilang' , 'Gara', 'Strategy', 'Marketing', 'Doang', 'Ngerugin', 'Consumers',' sincere ',' Money ',' ilang ',' Please ',' Telkomsel ',' Nipu ',' Consumers', 'services',' bad ',' ']")</f>
        <v>['Org', 'difficult', 'buy', 'pulse', 'fooled', 'schedule', 'package', 'active', 'bner', 'jan', 'culuci', 'person', ' said ',' strategy ',' marketing ',' Ngegein ',' consumer ',' Kasian ',' satisfied ',' bngett ',' service ',' Telkomsel ',' sincere ',' pulses', 'ilang' , 'Gara', 'Strategy', 'Marketing', 'Doang', 'Ngerugin', 'Consumers',' sincere ',' Money ',' ilang ',' Please ',' Telkomsel ',' Nipu ',' Consumers', 'services',' bad ',' ']</v>
      </c>
      <c r="D877" s="3">
        <v>5.0</v>
      </c>
    </row>
    <row r="878" ht="15.75" customHeight="1">
      <c r="A878" s="1">
        <v>876.0</v>
      </c>
      <c r="B878" s="3" t="s">
        <v>879</v>
      </c>
      <c r="C878" s="3" t="str">
        <f>IFERROR(__xludf.DUMMYFUNCTION("GOOGLETRANSLATE(B878,""id"",""en"")"),"['Uda', 'Region', 'Sumatran', 'North', 'City', 'Medan', 'Tembung', 'Network', 'Telkomsel', 'Bad', 'Difficult', 'Towards',' night ',' brother ',' friend ',' friend ',' feel ',' bad ',' signal ',' Telkomsel ',' must ',' move ',' network ',' data ',' essence"&amp;" ' , 'Disappointed', 'Telkomsel', 'card', 'Perdana', 'expensive', 'package', 'data', 'expensive', 'net', 'as good', 'uda', 'kayak', ' network ',' card ',' cheap ']")</f>
        <v>['Uda', 'Region', 'Sumatran', 'North', 'City', 'Medan', 'Tembung', 'Network', 'Telkomsel', 'Bad', 'Difficult', 'Towards',' night ',' brother ',' friend ',' friend ',' feel ',' bad ',' signal ',' Telkomsel ',' must ',' move ',' network ',' data ',' essence ' , 'Disappointed', 'Telkomsel', 'card', 'Perdana', 'expensive', 'package', 'data', 'expensive', 'net', 'as good', 'uda', 'kayak', ' network ',' card ',' cheap ']</v>
      </c>
      <c r="D878" s="3">
        <v>1.0</v>
      </c>
    </row>
    <row r="879" ht="15.75" customHeight="1">
      <c r="A879" s="1">
        <v>877.0</v>
      </c>
      <c r="B879" s="3" t="s">
        <v>880</v>
      </c>
      <c r="C879" s="3" t="str">
        <f>IFERROR(__xludf.DUMMYFUNCTION("GOOGLETRANSLATE(B879,""id"",""en"")"),"['Aah', 'enter', 'apk', 'Telkomsel', 'Wait', 'really', 'writing', 'Telkomsel', 'Responding', 'please', 'fix', 'error', ' right ',' fix ',' kasi ',' star ',' ']")</f>
        <v>['Aah', 'enter', 'apk', 'Telkomsel', 'Wait', 'really', 'writing', 'Telkomsel', 'Responding', 'please', 'fix', 'error', ' right ',' fix ',' kasi ',' star ',' ']</v>
      </c>
      <c r="D879" s="3">
        <v>1.0</v>
      </c>
    </row>
    <row r="880" ht="15.75" customHeight="1">
      <c r="A880" s="1">
        <v>878.0</v>
      </c>
      <c r="B880" s="3" t="s">
        <v>881</v>
      </c>
      <c r="C880" s="3" t="str">
        <f>IFERROR(__xludf.DUMMYFUNCTION("GOOGLETRANSLATE(B880,""id"",""en"")"),"['network', 'bad', 'play', 'games',' jumping ',' mulu ',' access', 'youtube', 'stable', 'please', 'repair', 'signal', ' the area ',' bekasi ',' south ',' Cikunir ',' disappointed ',' already ',' contents', 'package', 'expensive', 'expensive', 'rotten', 'n"&amp;"etwork', ""]")</f>
        <v>['network', 'bad', 'play', 'games',' jumping ',' mulu ',' access', 'youtube', 'stable', 'please', 'repair', 'signal', ' the area ',' bekasi ',' south ',' Cikunir ',' disappointed ',' already ',' contents', 'package', 'expensive', 'expensive', 'rotten', 'network', "]</v>
      </c>
      <c r="D880" s="3">
        <v>1.0</v>
      </c>
    </row>
    <row r="881" ht="15.75" customHeight="1">
      <c r="A881" s="1">
        <v>879.0</v>
      </c>
      <c r="B881" s="3" t="s">
        <v>882</v>
      </c>
      <c r="C881" s="3" t="str">
        <f>IFERROR(__xludf.DUMMYFUNCTION("GOOGLETRANSLATE(B881,""id"",""en"")"),"['Network', 'slow', 'Looks',' AFK ',' Network ',' air ',' myself ',' buy ',' Voucher ',' thousands', 'buy', 'quota', ' Guedee ',' smooth ',' Helloooo ',' Hot ',' Bales', 'Mimin', ""]")</f>
        <v>['Network', 'slow', 'Looks',' AFK ',' Network ',' air ',' myself ',' buy ',' Voucher ',' thousands', 'buy', 'quota', ' Guedee ',' smooth ',' Helloooo ',' Hot ',' Bales', 'Mimin', "]</v>
      </c>
      <c r="D881" s="3">
        <v>1.0</v>
      </c>
    </row>
    <row r="882" ht="15.75" customHeight="1">
      <c r="A882" s="1">
        <v>880.0</v>
      </c>
      <c r="B882" s="3" t="s">
        <v>883</v>
      </c>
      <c r="C882" s="3" t="str">
        <f>IFERROR(__xludf.DUMMYFUNCTION("GOOGLETRANSLATE(B882,""id"",""en"")"),"['Do', 'solution', 'Move', 'mode', 'network', 'fix it', 'network', 'lose', 'provider', 'next door', 'star', 'fix', ' network ',' application ',' ']")</f>
        <v>['Do', 'solution', 'Move', 'mode', 'network', 'fix it', 'network', 'lose', 'provider', 'next door', 'star', 'fix', ' network ',' application ',' ']</v>
      </c>
      <c r="D882" s="3">
        <v>1.0</v>
      </c>
    </row>
    <row r="883" ht="15.75" customHeight="1">
      <c r="A883" s="1">
        <v>881.0</v>
      </c>
      <c r="B883" s="3" t="s">
        <v>884</v>
      </c>
      <c r="C883" s="3" t="str">
        <f>IFERROR(__xludf.DUMMYFUNCTION("GOOGLETRANSLATE(B883,""id"",""en"")"),"['Woyy', 'Telkomsel', 'signal', 'ugly', 'in the area', 'Cikarang', 'outskirts',' no ',' good ',' package ',' expensive ',' doang ',' Signal ',' Bad ',' Disappointed ',' Provider ',' ']")</f>
        <v>['Woyy', 'Telkomsel', 'signal', 'ugly', 'in the area', 'Cikarang', 'outskirts',' no ',' good ',' package ',' expensive ',' doang ',' Signal ',' Bad ',' Disappointed ',' Provider ',' ']</v>
      </c>
      <c r="D883" s="3">
        <v>1.0</v>
      </c>
    </row>
    <row r="884" ht="15.75" customHeight="1">
      <c r="A884" s="1">
        <v>882.0</v>
      </c>
      <c r="B884" s="3" t="s">
        <v>885</v>
      </c>
      <c r="C884" s="3" t="str">
        <f>IFERROR(__xludf.DUMMYFUNCTION("GOOGLETRANSLATE(B884,""id"",""en"")"),"['Devloer', 'Telkomsel', 'Seberner', 'intention', 'Nganjangin', 'ugly', 'quality', 'network', 'signal', 'signal', 'disturbance', 'replaced', ' mode ',' manual ',' then ',' back ',' automatic ',' signal ',' BERIK ',' disappointed ',' heavy ',' buy ',' pack"&amp;"age ',' expensive ',' BURIK ' , 'signal', '']")</f>
        <v>['Devloer', 'Telkomsel', 'Seberner', 'intention', 'Nganjangin', 'ugly', 'quality', 'network', 'signal', 'signal', 'disturbance', 'replaced', ' mode ',' manual ',' then ',' back ',' automatic ',' signal ',' BERIK ',' disappointed ',' heavy ',' buy ',' package ',' expensive ',' BURIK ' , 'signal', '']</v>
      </c>
      <c r="D884" s="3">
        <v>1.0</v>
      </c>
    </row>
    <row r="885" ht="15.75" customHeight="1">
      <c r="A885" s="1">
        <v>883.0</v>
      </c>
      <c r="B885" s="3" t="s">
        <v>886</v>
      </c>
      <c r="C885" s="3" t="str">
        <f>IFERROR(__xludf.DUMMYFUNCTION("GOOGLETRANSLATE(B885,""id"",""en"")"),"['update', 'troossss',' signal ',' weak ',' promo ',' package ',' cheap ',' rare ',' then ',' claims', 'bonus',' quota ',' Daily ',' Check ',' She ',' Quota ',' Roli ', ""]")</f>
        <v>['update', 'troossss',' signal ',' weak ',' promo ',' package ',' cheap ',' rare ',' then ',' claims', 'bonus',' quota ',' Daily ',' Check ',' She ',' Quota ',' Roli ', "]</v>
      </c>
      <c r="D885" s="3">
        <v>1.0</v>
      </c>
    </row>
    <row r="886" ht="15.75" customHeight="1">
      <c r="A886" s="1">
        <v>884.0</v>
      </c>
      <c r="B886" s="3" t="s">
        <v>887</v>
      </c>
      <c r="C886" s="3" t="str">
        <f>IFERROR(__xludf.DUMMYFUNCTION("GOOGLETRANSLATE(B886,""id"",""en"")"),"['Disappointed', 'Network', 'Telkomsel', 'Good', 'Damaged', 'Severe', 'Kayak', 'Work', 'People', 'Telkomsel', 'Complaints',' Responded ',' Buy ',' Package ',' Expensive ',' Network ',' Bad ',' Indosat ',' Telkomsel ', ""]")</f>
        <v>['Disappointed', 'Network', 'Telkomsel', 'Good', 'Damaged', 'Severe', 'Kayak', 'Work', 'People', 'Telkomsel', 'Complaints',' Responded ',' Buy ',' Package ',' Expensive ',' Network ',' Bad ',' Indosat ',' Telkomsel ', "]</v>
      </c>
      <c r="D886" s="3">
        <v>1.0</v>
      </c>
    </row>
    <row r="887" ht="15.75" customHeight="1">
      <c r="A887" s="1">
        <v>885.0</v>
      </c>
      <c r="B887" s="3" t="s">
        <v>888</v>
      </c>
      <c r="C887" s="3" t="str">
        <f>IFERROR(__xludf.DUMMYFUNCTION("GOOGLETRANSLATE(B887,""id"",""en"")"),"['yeah', 'slow', 'switch', 'help', 'level', 'jngn', 'until', 'rich', 'already', 'subscribe', 'until', 'brp', ' Thn ',' signal ',' ugly ',' lose ',' product ',' price ',' cheap ']")</f>
        <v>['yeah', 'slow', 'switch', 'help', 'level', 'jngn', 'until', 'rich', 'already', 'subscribe', 'until', 'brp', ' Thn ',' signal ',' ugly ',' lose ',' product ',' price ',' cheap ']</v>
      </c>
      <c r="D887" s="3">
        <v>1.0</v>
      </c>
    </row>
    <row r="888" ht="15.75" customHeight="1">
      <c r="A888" s="1">
        <v>886.0</v>
      </c>
      <c r="B888" s="3" t="s">
        <v>889</v>
      </c>
      <c r="C888" s="3" t="str">
        <f>IFERROR(__xludf.DUMMYFUNCTION("GOOGLETRANSLATE(B888,""id"",""en"")"),"['Use', 'card', 'already', 'Not bad', 'signal', 'slow', 'printed', 'open', 'yutup', 'like', 'slow', 'open', ' Sopi ',' Ngelag ',' Chat ',' Like ',' Lost ',' Signal ',' Please ',' Semoha ',' Repaired ',' Sousal ',' Season ',' Kayak ',' Gini ' , 'loyal', 'u"&amp;"se', 'Telkomsel', 'because', 'signal', 'good', 'price', 'expensive', 'compared to', 'operator', 'like', 'gini', ' Mending ',' Change ',' Cheap ',' ']")</f>
        <v>['Use', 'card', 'already', 'Not bad', 'signal', 'slow', 'printed', 'open', 'yutup', 'like', 'slow', 'open', ' Sopi ',' Ngelag ',' Chat ',' Like ',' Lost ',' Signal ',' Please ',' Semoha ',' Repaired ',' Sousal ',' Season ',' Kayak ',' Gini ' , 'loyal', 'use', 'Telkomsel', 'because', 'signal', 'good', 'price', 'expensive', 'compared to', 'operator', 'like', 'gini', ' Mending ',' Change ',' Cheap ',' ']</v>
      </c>
      <c r="D888" s="3">
        <v>1.0</v>
      </c>
    </row>
    <row r="889" ht="15.75" customHeight="1">
      <c r="A889" s="1">
        <v>887.0</v>
      </c>
      <c r="B889" s="3" t="s">
        <v>890</v>
      </c>
      <c r="C889" s="3" t="str">
        <f>IFERROR(__xludf.DUMMYFUNCTION("GOOGLETRANSLATE(B889,""id"",""en"")"),"['Disappointed', 'Telkomsel', 'bad', 'signal', 'UDH', ''S unound', 'Telkomsel', 'times',' disappointed ',' mah ',' package ',' expensive ',' the network ',' slow ',' replace ',' card ',' cave ',' please ',' fix ',' ']")</f>
        <v>['Disappointed', 'Telkomsel', 'bad', 'signal', 'UDH', ''S unound', 'Telkomsel', 'times',' disappointed ',' mah ',' package ',' expensive ',' the network ',' slow ',' replace ',' card ',' cave ',' please ',' fix ',' ']</v>
      </c>
      <c r="D889" s="3">
        <v>1.0</v>
      </c>
    </row>
    <row r="890" ht="15.75" customHeight="1">
      <c r="A890" s="1">
        <v>888.0</v>
      </c>
      <c r="B890" s="3" t="s">
        <v>891</v>
      </c>
      <c r="C890" s="3" t="str">
        <f>IFERROR(__xludf.DUMMYFUNCTION("GOOGLETRANSLATE(B890,""id"",""en"")"),"['Telkomsel', 'Network', 'Good', 'All', 'Telkomsel', 'skrg', 'ugly', 'klw', 'dead', 'lights',' signal ',' ilang ',' ']")</f>
        <v>['Telkomsel', 'Network', 'Good', 'All', 'Telkomsel', 'skrg', 'ugly', 'klw', 'dead', 'lights',' signal ',' ilang ',' ']</v>
      </c>
      <c r="D890" s="3">
        <v>1.0</v>
      </c>
    </row>
    <row r="891" ht="15.75" customHeight="1">
      <c r="A891" s="1">
        <v>889.0</v>
      </c>
      <c r="B891" s="3" t="s">
        <v>892</v>
      </c>
      <c r="C891" s="3" t="str">
        <f>IFERROR(__xludf.DUMMYFUNCTION("GOOGLETRANSLATE(B891,""id"",""en"")"),"['Telkomsel', 'here', 'bad', 'signal', 'right', 'play', 'game', 'pubg', 'car', 'legend', 'ping', 'ms',' Sometimes', 'MS', 'Provider', 'Indosat', 'Smartfren', 'Change', 'Provider', 'Speedtest', 'Results',' Mbps', 'Dang', 'Sometimes',' signal ' , 'signal', "&amp;"'good', 'clock', 'WIB', 'please', 'enhanced', 'fix', 'hope', 'full']")</f>
        <v>['Telkomsel', 'here', 'bad', 'signal', 'right', 'play', 'game', 'pubg', 'car', 'legend', 'ping', 'ms',' Sometimes', 'MS', 'Provider', 'Indosat', 'Smartfren', 'Change', 'Provider', 'Speedtest', 'Results',' Mbps', 'Dang', 'Sometimes',' signal ' , 'signal', 'good', 'clock', 'WIB', 'please', 'enhanced', 'fix', 'hope', 'full']</v>
      </c>
      <c r="D891" s="3">
        <v>1.0</v>
      </c>
    </row>
    <row r="892" ht="15.75" customHeight="1">
      <c r="A892" s="1">
        <v>890.0</v>
      </c>
      <c r="B892" s="3" t="s">
        <v>893</v>
      </c>
      <c r="C892" s="3" t="str">
        <f>IFERROR(__xludf.DUMMYFUNCTION("GOOGLETRANSLATE(B892,""id"",""en"")"),"['What', 'Network', 'Telkomsel', 'Bener', 'Kek', 'Gini', 'Males',' Telkomsel ',' Moving ',' Next to ',' Ngegame ',' Difficult ',' Ouch, 'Please', 'Telkomsel', 'Fix', 'The Network', '']")</f>
        <v>['What', 'Network', 'Telkomsel', 'Bener', 'Kek', 'Gini', 'Males',' Telkomsel ',' Moving ',' Next to ',' Ngegame ',' Difficult ',' Ouch, 'Please', 'Telkomsel', 'Fix', 'The Network', '']</v>
      </c>
      <c r="D892" s="3">
        <v>1.0</v>
      </c>
    </row>
    <row r="893" ht="15.75" customHeight="1">
      <c r="A893" s="1">
        <v>891.0</v>
      </c>
      <c r="B893" s="3" t="s">
        <v>894</v>
      </c>
      <c r="C893" s="3" t="str">
        <f>IFERROR(__xludf.DUMMYFUNCTION("GOOGLETRANSLATE(B893,""id"",""en"")"),"['expensive', 'doang', 'signal', 'according to', 'price', 'down', 'fix', 'rich', 'gini', 'replace', 'card', 'disappointed', ' TELKOM ',' Tour ',' Game ',' Down ',' Sousal ',' Telkomsel ',' Number ',' Signal ',' Rich ',' Gini ',' Appropriate ',' star ',' z"&amp;"ero ' , 'Love', 'star', 'zero', 'ngepain', 'tells', 'twitter', 'admin', 'help', 'what' do ',' sampe ',' contents ',' disappointment ',' complained ',' Kisah ',' Handle ',' told ',' Twitter ']")</f>
        <v>['expensive', 'doang', 'signal', 'according to', 'price', 'down', 'fix', 'rich', 'gini', 'replace', 'card', 'disappointed', ' TELKOM ',' Tour ',' Game ',' Down ',' Sousal ',' Telkomsel ',' Number ',' Signal ',' Rich ',' Gini ',' Appropriate ',' star ',' zero ' , 'Love', 'star', 'zero', 'ngepain', 'tells', 'twitter', 'admin', 'help', 'what' do ',' sampe ',' contents ',' disappointment ',' complained ',' Kisah ',' Handle ',' told ',' Twitter ']</v>
      </c>
      <c r="D893" s="3">
        <v>1.0</v>
      </c>
    </row>
    <row r="894" ht="15.75" customHeight="1">
      <c r="A894" s="1">
        <v>892.0</v>
      </c>
      <c r="B894" s="3" t="s">
        <v>895</v>
      </c>
      <c r="C894" s="3" t="str">
        <f>IFERROR(__xludf.DUMMYFUNCTION("GOOGLETRANSLATE(B894,""id"",""en"")"),"['waw', 'signal', 'full', 'dear', 'speed', 'internet', 'kb', 'brousing', 'slow', 'really', 'open', 'see', ' Photos', 'difficult', 'hope', 'in the future', 'slow', 'slow', 'GPP', 'Fertiud', 'honest']")</f>
        <v>['waw', 'signal', 'full', 'dear', 'speed', 'internet', 'kb', 'brousing', 'slow', 'really', 'open', 'see', ' Photos', 'difficult', 'hope', 'in the future', 'slow', 'slow', 'GPP', 'Fertiud', 'honest']</v>
      </c>
      <c r="D894" s="3">
        <v>1.0</v>
      </c>
    </row>
    <row r="895" ht="15.75" customHeight="1">
      <c r="A895" s="1">
        <v>893.0</v>
      </c>
      <c r="B895" s="3" t="s">
        <v>896</v>
      </c>
      <c r="C895" s="3" t="str">
        <f>IFERROR(__xludf.DUMMYFUNCTION("GOOGLETRANSLATE(B895,""id"",""en"")"),"['signal', 'ugly', 'severe', 'slow', 'expensive', 'according to', 'Try', 'test', 'use', 'Telkomsel', 'operator', 'ugly', ' The signal ',' tariff ',' expensive ',' ugly ',' signal ',' ']")</f>
        <v>['signal', 'ugly', 'severe', 'slow', 'expensive', 'according to', 'Try', 'test', 'use', 'Telkomsel', 'operator', 'ugly', ' The signal ',' tariff ',' expensive ',' ugly ',' signal ',' ']</v>
      </c>
      <c r="D895" s="3">
        <v>1.0</v>
      </c>
    </row>
    <row r="896" ht="15.75" customHeight="1">
      <c r="A896" s="1">
        <v>894.0</v>
      </c>
      <c r="B896" s="3" t="s">
        <v>897</v>
      </c>
      <c r="C896" s="3" t="str">
        <f>IFERROR(__xludf.DUMMYFUNCTION("GOOGLETRANSLATE(B896,""id"",""en"")"),"['Geratitision', 'Mendonglod', 'Application', 'Ethapi', 'Bong', 'Hayuk']")</f>
        <v>['Geratitision', 'Mendonglod', 'Application', 'Ethapi', 'Bong', 'Hayuk']</v>
      </c>
      <c r="D896" s="3">
        <v>5.0</v>
      </c>
    </row>
    <row r="897" ht="15.75" customHeight="1">
      <c r="A897" s="1">
        <v>895.0</v>
      </c>
      <c r="B897" s="3" t="s">
        <v>898</v>
      </c>
      <c r="C897" s="3" t="str">
        <f>IFERROR(__xludf.DUMMYFUNCTION("GOOGLETRANSLATE(B897,""id"",""en"")"),"['Credit', 'Reduced', 'Intention', 'Saved', 'Buy', 'Package', 'Week', 'Reduced', 'Filling', 'Credit', 'Yesterday', 'Make', ' Calls', 'DSB', 'Reduced', 'Please', 'check', 'TTG', 'Thank', 'Love']")</f>
        <v>['Credit', 'Reduced', 'Intention', 'Saved', 'Buy', 'Package', 'Week', 'Reduced', 'Filling', 'Credit', 'Yesterday', 'Make', ' Calls', 'DSB', 'Reduced', 'Please', 'check', 'TTG', 'Thank', 'Love']</v>
      </c>
      <c r="D897" s="3">
        <v>2.0</v>
      </c>
    </row>
    <row r="898" ht="15.75" customHeight="1">
      <c r="A898" s="1">
        <v>896.0</v>
      </c>
      <c r="B898" s="3" t="s">
        <v>899</v>
      </c>
      <c r="C898" s="3" t="str">
        <f>IFERROR(__xludf.DUMMYFUNCTION("GOOGLETRANSLATE(B898,""id"",""en"")"),"['unlimited', 'unlimited', 'disappointed', 'Telkomsel', 'card', 'person', 'quota', 'expensive', 'sultan', 'signal', 'emotion', 'stable', ' Skali ',' stable ']")</f>
        <v>['unlimited', 'unlimited', 'disappointed', 'Telkomsel', 'card', 'person', 'quota', 'expensive', 'sultan', 'signal', 'emotion', 'stable', ' Skali ',' stable ']</v>
      </c>
      <c r="D898" s="3">
        <v>1.0</v>
      </c>
    </row>
    <row r="899" ht="15.75" customHeight="1">
      <c r="A899" s="1">
        <v>897.0</v>
      </c>
      <c r="B899" s="3" t="s">
        <v>900</v>
      </c>
      <c r="C899" s="3" t="str">
        <f>IFERROR(__xludf.DUMMYFUNCTION("GOOGLETRANSLATE(B899,""id"",""en"")"),"['Telkomsel', 'Mantul', 'Boong', 'Often', 'Credit', 'Disbursed', 'Out', 'For', 'Notification', 'Appears',' Credit ',' Out ',' Cutting ',' User ',' Package ',' Thinking ',' Daily ',' Package ',' Out ',' Routine ',' Filling ',' In fact ',' Out ',' Cutting '"&amp;",' Protection ' , 'Package', 'data', 'run out', 'notif', 'runs',' tends', 'pulse', 'truncated', 'beg', 'protection', 'package', 'data', ' Out ',' impressions', 'use', 'pulses',' customers', 'loyal', 'camprettto', '']")</f>
        <v>['Telkomsel', 'Mantul', 'Boong', 'Often', 'Credit', 'Disbursed', 'Out', 'For', 'Notification', 'Appears',' Credit ',' Out ',' Cutting ',' User ',' Package ',' Thinking ',' Daily ',' Package ',' Out ',' Routine ',' Filling ',' In fact ',' Out ',' Cutting ',' Protection ' , 'Package', 'data', 'run out', 'notif', 'runs',' tends', 'pulse', 'truncated', 'beg', 'protection', 'package', 'data', ' Out ',' impressions', 'use', 'pulses',' customers', 'loyal', 'camprettto', '']</v>
      </c>
      <c r="D899" s="3">
        <v>1.0</v>
      </c>
    </row>
    <row r="900" ht="15.75" customHeight="1">
      <c r="A900" s="1">
        <v>898.0</v>
      </c>
      <c r="B900" s="3" t="s">
        <v>901</v>
      </c>
      <c r="C900" s="3" t="str">
        <f>IFERROR(__xludf.DUMMYFUNCTION("GOOGLETRANSLATE(B900,""id"",""en"")"),"['signal', 'Telkomsel', 'KNPA', 'here', 'slow', 'signal', 'Telkom', 'Good', 'Indosat', 'Indosat', 'Good', 'Sinyal', ' plus', 'price', 'package', 'cheap', 'Telkomsel', 'knpa', 'disappointed', 'bngt', 'permission', 'stop', 'card', 'Telkomsel', ""]")</f>
        <v>['signal', 'Telkomsel', 'KNPA', 'here', 'slow', 'signal', 'Telkom', 'Good', 'Indosat', 'Indosat', 'Good', 'Sinyal', ' plus', 'price', 'package', 'cheap', 'Telkomsel', 'knpa', 'disappointed', 'bngt', 'permission', 'stop', 'card', 'Telkomsel', "]</v>
      </c>
      <c r="D900" s="3">
        <v>1.0</v>
      </c>
    </row>
    <row r="901" ht="15.75" customHeight="1">
      <c r="A901" s="1">
        <v>899.0</v>
      </c>
      <c r="B901" s="3" t="s">
        <v>902</v>
      </c>
      <c r="C901" s="3" t="str">
        <f>IFERROR(__xludf.DUMMYFUNCTION("GOOGLETRANSLATE(B901,""id"",""en"")"),"['pulse', 'run out', 'yaa', 'filled', 'week', 'pakek', 'data', 'ngembariin', 'wifi', 'tpi', 'knpa', 'pulse', ' Take out ',' please ',' explained ',' knpaa ', ""]")</f>
        <v>['pulse', 'run out', 'yaa', 'filled', 'week', 'pakek', 'data', 'ngembariin', 'wifi', 'tpi', 'knpa', 'pulse', ' Take out ',' please ',' explained ',' knpaa ', "]</v>
      </c>
      <c r="D901" s="3">
        <v>1.0</v>
      </c>
    </row>
    <row r="902" ht="15.75" customHeight="1">
      <c r="A902" s="1">
        <v>900.0</v>
      </c>
      <c r="B902" s="3" t="s">
        <v>903</v>
      </c>
      <c r="C902" s="3" t="str">
        <f>IFERROR(__xludf.DUMMYFUNCTION("GOOGLETRANSLATE(B902,""id"",""en"")"),"['use', 'Telkomsel', 'good', 'network', 'internet', 'super', 'slow', 'please', 'noticed', 'brave', 'buy', 'quota', ' Different ',' expensive ',' price ',' oprator ',' Telkomsel ',' silent ',' silent ',' bae ',' pelangan ',' Telkomsel ',' blur ',' ']")</f>
        <v>['use', 'Telkomsel', 'good', 'network', 'internet', 'super', 'slow', 'please', 'noticed', 'brave', 'buy', 'quota', ' Different ',' expensive ',' price ',' oprator ',' Telkomsel ',' silent ',' silent ',' bae ',' pelangan ',' Telkomsel ',' blur ',' ']</v>
      </c>
      <c r="D902" s="3">
        <v>4.0</v>
      </c>
    </row>
    <row r="903" ht="15.75" customHeight="1">
      <c r="A903" s="1">
        <v>901.0</v>
      </c>
      <c r="B903" s="3" t="s">
        <v>904</v>
      </c>
      <c r="C903" s="3" t="str">
        <f>IFERROR(__xludf.DUMMYFUNCTION("GOOGLETRANSLATE(B903,""id"",""en"")"),"['Knp', 'card', 'Telkomsel', 'slow', 'please', 'center', 'Telkomsel', 'Benerin', 'The network', 'college', 'Ngelag', 'YouTube', ' lag ',' ngeleg ',' apk ',' Telkomsel ',' good ',' coment ',' benerin ',' network ',' telkomsel ',' thanks', 'please', 'repair"&amp;"', 'comfortable' , 'really', 'signal', 'skrg']")</f>
        <v>['Knp', 'card', 'Telkomsel', 'slow', 'please', 'center', 'Telkomsel', 'Benerin', 'The network', 'college', 'Ngelag', 'YouTube', ' lag ',' ngeleg ',' apk ',' Telkomsel ',' good ',' coment ',' benerin ',' network ',' telkomsel ',' thanks', 'please', 'repair', 'comfortable' , 'really', 'signal', 'skrg']</v>
      </c>
      <c r="D903" s="3">
        <v>1.0</v>
      </c>
    </row>
    <row r="904" ht="15.75" customHeight="1">
      <c r="A904" s="1">
        <v>902.0</v>
      </c>
      <c r="B904" s="3" t="s">
        <v>905</v>
      </c>
      <c r="C904" s="3" t="str">
        <f>IFERROR(__xludf.DUMMYFUNCTION("GOOGLETRANSLATE(B904,""id"",""en"")"),"['complaints',' quota ',' internet ',' Kemendikbud ',' read ',' quota ',' internet ',' quota ',' learn ',' use ',' pulse ',' full ',' quota ',' internet ',' reduced ',' week ',' use ',' quota ',' reduced ',' MB ',' leftover ',' pulse ',' sucked ',' thousa"&amp;"nd ',' warning ' , 'notification', 'pulse', 'sucked', 'thousand', 'pretty good', 'buy', 'quota', 'scorched', 'sia', ""]")</f>
        <v>['complaints',' quota ',' internet ',' Kemendikbud ',' read ',' quota ',' internet ',' quota ',' learn ',' use ',' pulse ',' full ',' quota ',' internet ',' reduced ',' week ',' use ',' quota ',' reduced ',' MB ',' leftover ',' pulse ',' sucked ',' thousand ',' warning ' , 'notification', 'pulse', 'sucked', 'thousand', 'pretty good', 'buy', 'quota', 'scorched', 'sia', "]</v>
      </c>
      <c r="D904" s="3">
        <v>1.0</v>
      </c>
    </row>
    <row r="905" ht="15.75" customHeight="1">
      <c r="A905" s="1">
        <v>903.0</v>
      </c>
      <c r="B905" s="3" t="s">
        <v>906</v>
      </c>
      <c r="C905" s="3" t="str">
        <f>IFERROR(__xludf.DUMMYFUNCTION("GOOGLETRANSLATE(B905,""id"",""en"")"),"['KPD', 'YTH', 'Telkomsel', 'Great', 'Knp', 'Come', 'Network', 'ugly', 'sucked', 'pulse', 'Ampe', 'run out', ' Open ',' Application ',' Telkomsel ',' Open ',' Application ',' Free ',' Belongs', 'then', 'Package', 'Stay', 'Buy', 'Credit', 'Rb' , 'buy', 'da"&amp;"ta', 'lapse', 'data', 'run out', 'run out', 'leftover', 'pulses',' buy ',' lap ',' youtube ',' difficult ',' Open ',' YouTube ',' Often ',' No "", 'Open', 'YouTube', 'Out', 'Mulu', 'Alms',""]")</f>
        <v>['KPD', 'YTH', 'Telkomsel', 'Great', 'Knp', 'Come', 'Network', 'ugly', 'sucked', 'pulse', 'Ampe', 'run out', ' Open ',' Application ',' Telkomsel ',' Open ',' Application ',' Free ',' Belongs', 'then', 'Package', 'Stay', 'Buy', 'Credit', 'Rb' , 'buy', 'data', 'lapse', 'data', 'run out', 'run out', 'leftover', 'pulses',' buy ',' lap ',' youtube ',' difficult ',' Open ',' YouTube ',' Often ',' No ", 'Open', 'YouTube', 'Out', 'Mulu', 'Alms',"]</v>
      </c>
      <c r="D905" s="3">
        <v>1.0</v>
      </c>
    </row>
    <row r="906" ht="15.75" customHeight="1">
      <c r="A906" s="1">
        <v>904.0</v>
      </c>
      <c r="B906" s="3" t="s">
        <v>907</v>
      </c>
      <c r="C906" s="3" t="str">
        <f>IFERROR(__xludf.DUMMYFUNCTION("GOOGLETRANSLATE(B906,""id"",""en"")"),"['already', 'good', 'signal', 'sometimes', 'ilang', 'buy', 'package', 'telkomsel', 'fit', 'use', 'signal', 'place' Gatau ',' suggestion ',' hope ',' in the future ',' signal ',' full ',' buy ',' quota ',' Telkomsel ',' package ',' data ',' most ',' afraid"&amp;" ' , 'keuang', 'active', 'card', 'Telkomsel']")</f>
        <v>['already', 'good', 'signal', 'sometimes', 'ilang', 'buy', 'package', 'telkomsel', 'fit', 'use', 'signal', 'place' Gatau ',' suggestion ',' hope ',' in the future ',' signal ',' full ',' buy ',' quota ',' Telkomsel ',' package ',' data ',' most ',' afraid ' , 'keuang', 'active', 'card', 'Telkomsel']</v>
      </c>
      <c r="D906" s="3">
        <v>4.0</v>
      </c>
    </row>
    <row r="907" ht="15.75" customHeight="1">
      <c r="A907" s="1">
        <v>905.0</v>
      </c>
      <c r="B907" s="3" t="s">
        <v>908</v>
      </c>
      <c r="C907" s="3" t="str">
        <f>IFERROR(__xludf.DUMMYFUNCTION("GOOGLETRANSLATE(B907,""id"",""en"")"),"['Change', 'service', 'Telkomsel', 'Hello', 'according to', 'advertising', 'dapet', 'internet', 'main', 'unlimited', 'application', 'mention', ' operator ',' offer ',' according to ',' unlimited ',' whatsap ',' application ',' useful ',' cheated ',' pleas"&amp;"e ',' service ',' fix ',' jiga ',' fix ' , 'Making', 'Bill', 'Terimaksih']")</f>
        <v>['Change', 'service', 'Telkomsel', 'Hello', 'according to', 'advertising', 'dapet', 'internet', 'main', 'unlimited', 'application', 'mention', ' operator ',' offer ',' according to ',' unlimited ',' whatsap ',' application ',' useful ',' cheated ',' please ',' service ',' fix ',' jiga ',' fix ' , 'Making', 'Bill', 'Terimaksih']</v>
      </c>
      <c r="D907" s="3">
        <v>1.0</v>
      </c>
    </row>
    <row r="908" ht="15.75" customHeight="1">
      <c r="A908" s="1">
        <v>906.0</v>
      </c>
      <c r="B908" s="3" t="s">
        <v>909</v>
      </c>
      <c r="C908" s="3" t="str">
        <f>IFERROR(__xludf.DUMMYFUNCTION("GOOGLETRANSLATE(B908,""id"",""en"")"),"['Charging', 'reset', 'card', 'Tatap', 'Please', 'Activate', 'As soon as possible', 'On', 'card', 'as soon as possible,' ']")</f>
        <v>['Charging', 'reset', 'card', 'Tatap', 'Please', 'Activate', 'As soon as possible', 'On', 'card', 'as soon as possible,' ']</v>
      </c>
      <c r="D908" s="3">
        <v>1.0</v>
      </c>
    </row>
    <row r="909" ht="15.75" customHeight="1">
      <c r="A909" s="1">
        <v>907.0</v>
      </c>
      <c r="B909" s="3" t="s">
        <v>910</v>
      </c>
      <c r="C909" s="3" t="str">
        <f>IFERROR(__xludf.DUMMYFUNCTION("GOOGLETRANSLATE(B909,""id"",""en"")"),"['thank', 'love', 'Telkomsel', 'slow', 'check', 'quota', 'thank', 'love', 'the application', 'error', 'login', 'advantages',' Promotion ',' Points', 'Lost']")</f>
        <v>['thank', 'love', 'Telkomsel', 'slow', 'check', 'quota', 'thank', 'love', 'the application', 'error', 'login', 'advantages',' Promotion ',' Points', 'Lost']</v>
      </c>
      <c r="D909" s="3">
        <v>1.0</v>
      </c>
    </row>
    <row r="910" ht="15.75" customHeight="1">
      <c r="A910" s="1">
        <v>908.0</v>
      </c>
      <c r="B910" s="3" t="s">
        <v>911</v>
      </c>
      <c r="C910" s="3" t="str">
        <f>IFERROR(__xludf.DUMMYFUNCTION("GOOGLETRANSLATE(B910,""id"",""en"")"),"['Come', 'Not bad', 'quality', 'network', 'okay', 'promo', 'okay', 'updaan', 'can', 'package', 'cheerful', 'a month', ' In the future ',' Love ',' Tsel ',' Lnjut ',' Uldtab ',' Sinyanl ',' Bar ',' Leet ',' Forgiveness', 'Severe', 'Move', 'Kesinyal', 'Full"&amp;"' , 'barr', 'ttp', 'slow', 'city', 'terrain', 'network', 'slow', 'severe', 'open', 'Stori', 'buffing', 'Nontn', ' Severe ',' Crazy ',' Lelattttttt ',' Percumaya ',' PLAT ',' Red ',' LBH ',' Light ',' Tri ',' Stable ', ""]")</f>
        <v>['Come', 'Not bad', 'quality', 'network', 'okay', 'promo', 'okay', 'updaan', 'can', 'package', 'cheerful', 'a month', ' In the future ',' Love ',' Tsel ',' Lnjut ',' Uldtab ',' Sinyanl ',' Bar ',' Leet ',' Forgiveness', 'Severe', 'Move', 'Kesinyal', 'Full' , 'barr', 'ttp', 'slow', 'city', 'terrain', 'network', 'slow', 'severe', 'open', 'Stori', 'buffing', 'Nontn', ' Severe ',' Crazy ',' Lelattttttt ',' Percumaya ',' PLAT ',' Red ',' LBH ',' Light ',' Tri ',' Stable ', "]</v>
      </c>
      <c r="D910" s="3">
        <v>1.0</v>
      </c>
    </row>
    <row r="911" ht="15.75" customHeight="1">
      <c r="A911" s="1">
        <v>909.0</v>
      </c>
      <c r="B911" s="3" t="s">
        <v>912</v>
      </c>
      <c r="C911" s="3" t="str">
        <f>IFERROR(__xludf.DUMMYFUNCTION("GOOGLETRANSLATE(B911,""id"",""en"")"),"['Bguss',' buy ',' quota ',' notification ',' blum ',' contents', 'tlong', 'pdhl', 'kmrin', 'error', 'pulse', 'internet', ' good ',' tdak ',' fill in ',' notification ',' jdi ',' how ',' tlng ',' prbaiki ',' mksi ']")</f>
        <v>['Bguss',' buy ',' quota ',' notification ',' blum ',' contents', 'tlong', 'pdhl', 'kmrin', 'error', 'pulse', 'internet', ' good ',' tdak ',' fill in ',' notification ',' jdi ',' how ',' tlng ',' prbaiki ',' mksi ']</v>
      </c>
      <c r="D911" s="3">
        <v>3.0</v>
      </c>
    </row>
    <row r="912" ht="15.75" customHeight="1">
      <c r="A912" s="1">
        <v>910.0</v>
      </c>
      <c r="B912" s="3" t="s">
        <v>913</v>
      </c>
      <c r="C912" s="3" t="str">
        <f>IFERROR(__xludf.DUMMYFUNCTION("GOOGLETRANSLATE(B912,""id"",""en"")"),"['strange', 'really', 'Login', 'Must', 'Many', 'Try', 'Come', 'with', 'Application', 'Make Easy', 'Login', 'Must', ' Repeat ',' times', 'Haduuuuuhhh', 'disappointing']")</f>
        <v>['strange', 'really', 'Login', 'Must', 'Many', 'Try', 'Come', 'with', 'Application', 'Make Easy', 'Login', 'Must', ' Repeat ',' times', 'Haduuuuuhhh', 'disappointing']</v>
      </c>
      <c r="D912" s="3">
        <v>1.0</v>
      </c>
    </row>
    <row r="913" ht="15.75" customHeight="1">
      <c r="A913" s="1">
        <v>911.0</v>
      </c>
      <c r="B913" s="3" t="s">
        <v>914</v>
      </c>
      <c r="C913" s="3" t="str">
        <f>IFERROR(__xludf.DUMMYFUNCTION("GOOGLETRANSLATE(B913,""id"",""en"")"),"['application', 'fraud', 'cook', 'cave', 'buy', 'package', 'write', 'geratis',' tomorrow ',' notification ',' bill ',' pay ',' Quota ',' play ',' like ',' Gelag ',' Telkom ',' Telkom ']")</f>
        <v>['application', 'fraud', 'cook', 'cave', 'buy', 'package', 'write', 'geratis',' tomorrow ',' notification ',' bill ',' pay ',' Quota ',' play ',' like ',' Gelag ',' Telkom ',' Telkom ']</v>
      </c>
      <c r="D913" s="3">
        <v>1.0</v>
      </c>
    </row>
    <row r="914" ht="15.75" customHeight="1">
      <c r="A914" s="1">
        <v>912.0</v>
      </c>
      <c r="B914" s="3" t="s">
        <v>915</v>
      </c>
      <c r="C914" s="3" t="str">
        <f>IFERROR(__xludf.DUMMYFUNCTION("GOOGLETRANSLATE(B914,""id"",""en"")"),"['Honest', 'Disappointed', 'Sie', 'Telkomsel', 'Action', 'Crime', 'Abuse', 'Nomer', 'Telephone', 'Enter', 'Number', 'Phone', ' know ',' admitted ',' admit ',' friend ',' relatives', 'sodara', 'know', 'save', 'numbers',' beg ',' action ',' system ',' secur"&amp;"ity ' , 'Disturbed', 'Sie', 'Genesis', 'already', 'repeat', 'times', ""]")</f>
        <v>['Honest', 'Disappointed', 'Sie', 'Telkomsel', 'Action', 'Crime', 'Abuse', 'Nomer', 'Telephone', 'Enter', 'Number', 'Phone', ' know ',' admitted ',' admit ',' friend ',' relatives', 'sodara', 'know', 'save', 'numbers',' beg ',' action ',' system ',' security ' , 'Disturbed', 'Sie', 'Genesis', 'already', 'repeat', 'times', "]</v>
      </c>
      <c r="D914" s="3">
        <v>1.0</v>
      </c>
    </row>
    <row r="915" ht="15.75" customHeight="1">
      <c r="A915" s="1">
        <v>913.0</v>
      </c>
      <c r="B915" s="3" t="s">
        <v>916</v>
      </c>
      <c r="C915" s="3" t="str">
        <f>IFERROR(__xludf.DUMMYFUNCTION("GOOGLETRANSLATE(B915,""id"",""en"")"),"['Please', 'KNP', 'Signal', 'Wrapped', 'JLS', 'UDH', 'Telkomsel', 'Signal', 'BURIK', 'UDH', 'Please', 'Fix', ' Update ',' apk ',' Telkomsel ',' Give ',' Away ',' yng ',' signal ',' good ',' kid ',' mythical ',' glory ',' udh ',' kid ' , 'Down', 'Season', "&amp;"'Allah', 'Love', 'Udh', 'Telkomsel']")</f>
        <v>['Please', 'KNP', 'Signal', 'Wrapped', 'JLS', 'UDH', 'Telkomsel', 'Signal', 'BURIK', 'UDH', 'Please', 'Fix', ' Update ',' apk ',' Telkomsel ',' Give ',' Away ',' yng ',' signal ',' good ',' kid ',' mythical ',' glory ',' udh ',' kid ' , 'Down', 'Season', 'Allah', 'Love', 'Udh', 'Telkomsel']</v>
      </c>
      <c r="D915" s="3">
        <v>4.0</v>
      </c>
    </row>
    <row r="916" ht="15.75" customHeight="1">
      <c r="A916" s="1">
        <v>914.0</v>
      </c>
      <c r="B916" s="3" t="s">
        <v>917</v>
      </c>
      <c r="C916" s="3" t="str">
        <f>IFERROR(__xludf.DUMMYFUNCTION("GOOGLETRANSLATE(B916,""id"",""en"")"),"['network', 'fart', 'dead', 'life', 'please', 'repaired', 'Telkomsel', 'bad', 'compared', '']")</f>
        <v>['network', 'fart', 'dead', 'life', 'please', 'repaired', 'Telkomsel', 'bad', 'compared', '']</v>
      </c>
      <c r="D916" s="3">
        <v>1.0</v>
      </c>
    </row>
    <row r="917" ht="15.75" customHeight="1">
      <c r="A917" s="1">
        <v>915.0</v>
      </c>
      <c r="B917" s="3" t="s">
        <v>918</v>
      </c>
      <c r="C917" s="3" t="str">
        <f>IFERROR(__xludf.DUMMYFUNCTION("GOOGLETRANSLATE(B917,""id"",""en"")"),"['fit', 'check', 'menu', 'daily', 'check', 'lost', 'tomorrow', 'gatherin', 'stamp', 'zero', 'dilapidated', 'dilapidated', ' Intention ',' Kasih ',' Reward ',' Min ',' Mending ',' Sell ',' Quotes', 'Money', ""]")</f>
        <v>['fit', 'check', 'menu', 'daily', 'check', 'lost', 'tomorrow', 'gatherin', 'stamp', 'zero', 'dilapidated', 'dilapidated', ' Intention ',' Kasih ',' Reward ',' Min ',' Mending ',' Sell ',' Quotes', 'Money', "]</v>
      </c>
      <c r="D917" s="3">
        <v>1.0</v>
      </c>
    </row>
    <row r="918" ht="15.75" customHeight="1">
      <c r="A918" s="1">
        <v>916.0</v>
      </c>
      <c r="B918" s="3" t="s">
        <v>919</v>
      </c>
      <c r="C918" s="3" t="str">
        <f>IFERROR(__xludf.DUMMYFUNCTION("GOOGLETRANSLATE(B918,""id"",""en"")"),"['Love', 'Features',' Restrictions', 'Use', 'Data', 'Package', 'Out', 'Credit', 'Eaten', 'Block', 'Use', 'Data', ' Sometimes', 'notif', 'leftover', 'package', 'Telkomsel', 'late', 'pulse', 'already', 'pulses',' notification ', ""]")</f>
        <v>['Love', 'Features',' Restrictions', 'Use', 'Data', 'Package', 'Out', 'Credit', 'Eaten', 'Block', 'Use', 'Data', ' Sometimes', 'notif', 'leftover', 'package', 'Telkomsel', 'late', 'pulse', 'already', 'pulses',' notification ', "]</v>
      </c>
      <c r="D918" s="3">
        <v>1.0</v>
      </c>
    </row>
    <row r="919" ht="15.75" customHeight="1">
      <c r="A919" s="1">
        <v>917.0</v>
      </c>
      <c r="B919" s="3" t="s">
        <v>920</v>
      </c>
      <c r="C919" s="3" t="str">
        <f>IFERROR(__xludf.DUMMYFUNCTION("GOOGLETRANSLATE(B919,""id"",""en"")"),"['Teruntuk', 'Telkomsel', 'please', 'adjust', 'package', 'gamemax', 'according to', 'speed', 'ngegame', 'like', 'diprop', 'sometimes' ping ',' down ',' is', 'Flash', 'good', 'just', 'obstacles',' dead ',' lights', 'electricity', 'like', 'getting', 'opinio"&amp;"n' , 'Package', 'Gamemax', 'Speed', 'like', 'Dgedrop', 'Ngegame', ""]")</f>
        <v>['Teruntuk', 'Telkomsel', 'please', 'adjust', 'package', 'gamemax', 'according to', 'speed', 'ngegame', 'like', 'diprop', 'sometimes' ping ',' down ',' is', 'Flash', 'good', 'just', 'obstacles',' dead ',' lights', 'electricity', 'like', 'getting', 'opinion' , 'Package', 'Gamemax', 'Speed', 'like', 'Dgedrop', 'Ngegame', "]</v>
      </c>
      <c r="D919" s="3">
        <v>1.0</v>
      </c>
    </row>
    <row r="920" ht="15.75" customHeight="1">
      <c r="A920" s="1">
        <v>918.0</v>
      </c>
      <c r="B920" s="3" t="s">
        <v>921</v>
      </c>
      <c r="C920" s="3" t="str">
        <f>IFERROR(__xludf.DUMMYFUNCTION("GOOGLETRANSLATE(B920,""id"",""en"")"),"['UDH', 'Check', 'UDH', 'DPT', 'Stamp', 'The next day', 'Check', 'Skrng', 'Check', 'Sixth', 'repeated', 'DPT', ' Stamp ',' GMN ',' DPT ',' Rewards', 'KLW', 'That's',' Disappointed ',' Euy ',' Mid-made ',' Season ',' Sinyal ',' Strange ',' Open ' , 'YouTub"&amp;"e', 'smooth', 'turn', 'open', 'until', 'skrng', 'TTP', 'Males', 'type', ""]")</f>
        <v>['UDH', 'Check', 'UDH', 'DPT', 'Stamp', 'The next day', 'Check', 'Skrng', 'Check', 'Sixth', 'repeated', 'DPT', ' Stamp ',' GMN ',' DPT ',' Rewards', 'KLW', 'That's',' Disappointed ',' Euy ',' Mid-made ',' Season ',' Sinyal ',' Strange ',' Open ' , 'YouTube', 'smooth', 'turn', 'open', 'until', 'skrng', 'TTP', 'Males', 'type', "]</v>
      </c>
      <c r="D920" s="3">
        <v>1.0</v>
      </c>
    </row>
    <row r="921" ht="15.75" customHeight="1">
      <c r="A921" s="1">
        <v>919.0</v>
      </c>
      <c r="B921" s="3" t="s">
        <v>922</v>
      </c>
      <c r="C921" s="3" t="str">
        <f>IFERROR(__xludf.DUMMYFUNCTION("GOOGLETRANSLATE(B921,""id"",""en"")"),"['Hello', 'Sis',' min ',' quality ',' signal ',' area ',' good ',' price ',' package ',' fair ',' expensive ',' Telkomsel ',' Like ',' divided ',' model ',' quota ',' need ',' package ',' regular ',' cost ',' affordable ',' fair ',' expensive ',' area ','"&amp;" Flores' , 'week', 'package', 'run out', 'customer', 'loyal', 'Telkomsel', 'pity', 'expenditure', 'run out', 'pulses', ""]")</f>
        <v>['Hello', 'Sis',' min ',' quality ',' signal ',' area ',' good ',' price ',' package ',' fair ',' expensive ',' Telkomsel ',' Like ',' divided ',' model ',' quota ',' need ',' package ',' regular ',' cost ',' affordable ',' fair ',' expensive ',' area ',' Flores' , 'week', 'package', 'run out', 'customer', 'loyal', 'Telkomsel', 'pity', 'expenditure', 'run out', 'pulses', "]</v>
      </c>
      <c r="D921" s="3">
        <v>3.0</v>
      </c>
    </row>
    <row r="922" ht="15.75" customHeight="1">
      <c r="A922" s="1">
        <v>920.0</v>
      </c>
      <c r="B922" s="3" t="s">
        <v>923</v>
      </c>
      <c r="C922" s="3" t="str">
        <f>IFERROR(__xludf.DUMMYFUNCTION("GOOGLETRANSLATE(B922,""id"",""en"")"),"['bug', 'error', 'contents',' pulse ',' add to ',' active ',' card ',' please ',' solution ',' edited ',' reply ',' please ',' Check ',' email ',' min ',' send ',' along with ',' proof ',' ']")</f>
        <v>['bug', 'error', 'contents',' pulse ',' add to ',' active ',' card ',' please ',' solution ',' edited ',' reply ',' please ',' Check ',' email ',' min ',' send ',' along with ',' proof ',' ']</v>
      </c>
      <c r="D922" s="3">
        <v>3.0</v>
      </c>
    </row>
    <row r="923" ht="15.75" customHeight="1">
      <c r="A923" s="1">
        <v>921.0</v>
      </c>
      <c r="B923" s="3" t="s">
        <v>924</v>
      </c>
      <c r="C923" s="3" t="str">
        <f>IFERROR(__xludf.DUMMYFUNCTION("GOOGLETRANSLATE(B923,""id"",""en"")"),"['Disappointed', 'Changed', 'Policy', 'Package', 'Kombo', 'Sakti', 'Price', 'Package', 'Kombo', 'Sakti', 'Come', 'DPAT', ' sms', 'cell', 'told', 'pairs',' package ',' combo ',' magic ',' right ',' buy ',' how ',' boss', 'ber', 'change' , 'policy', 'packag"&amp;"e', 'money', 'right', 'need', 'package', 'save', 'thank', 'love']")</f>
        <v>['Disappointed', 'Changed', 'Policy', 'Package', 'Kombo', 'Sakti', 'Price', 'Package', 'Kombo', 'Sakti', 'Come', 'DPAT', ' sms', 'cell', 'told', 'pairs',' package ',' combo ',' magic ',' right ',' buy ',' how ',' boss', 'ber', 'change' , 'policy', 'package', 'money', 'right', 'need', 'package', 'save', 'thank', 'love']</v>
      </c>
      <c r="D923" s="3">
        <v>1.0</v>
      </c>
    </row>
    <row r="924" ht="15.75" customHeight="1">
      <c r="A924" s="1">
        <v>922.0</v>
      </c>
      <c r="B924" s="3" t="s">
        <v>925</v>
      </c>
      <c r="C924" s="3" t="str">
        <f>IFERROR(__xludf.DUMMYFUNCTION("GOOGLETRANSLATE(B924,""id"",""en"")"),"['Sorry', 'A LIVE', 'LIFE', 'MOVING', 'CARD', 'HALO', 'Pay', 'QUALITY', 'ENDING', 'Babelan', 'Bekasi', 'Free', ' Bereficially ',' Pay ',' card ',' choice ',' except ',' resigned ']")</f>
        <v>['Sorry', 'A LIVE', 'LIFE', 'MOVING', 'CARD', 'HALO', 'Pay', 'QUALITY', 'ENDING', 'Babelan', 'Bekasi', 'Free', ' Bereficially ',' Pay ',' card ',' choice ',' except ',' resigned ']</v>
      </c>
      <c r="D924" s="3">
        <v>1.0</v>
      </c>
    </row>
    <row r="925" ht="15.75" customHeight="1">
      <c r="A925" s="1">
        <v>923.0</v>
      </c>
      <c r="B925" s="3" t="s">
        <v>926</v>
      </c>
      <c r="C925" s="3" t="str">
        <f>IFERROR(__xludf.DUMMYFUNCTION("GOOGLETRANSLATE(B925,""id"",""en"")"),"['Hello', 'admin', 'network', 'slow', 'tower', 'wherever', 'network', 'top', 'network', 'good', 'city', 'city', ' little ',' network ',' EVDO ',' Ca n'ten ',' people ',' already ',' card ',' Telkomsel ',' promo ',' package ',' data ',' nelfon ',' sms' , '"&amp;"cheap', 'already', 'Telkomsel', 'expensive', 'cheap', 'card', 'replace', '']")</f>
        <v>['Hello', 'admin', 'network', 'slow', 'tower', 'wherever', 'network', 'top', 'network', 'good', 'city', 'city', ' little ',' network ',' EVDO ',' Ca n'ten ',' people ',' already ',' card ',' Telkomsel ',' promo ',' package ',' data ',' nelfon ',' sms' , 'cheap', 'already', 'Telkomsel', 'expensive', 'cheap', 'card', 'replace', '']</v>
      </c>
      <c r="D925" s="3">
        <v>2.0</v>
      </c>
    </row>
    <row r="926" ht="15.75" customHeight="1">
      <c r="A926" s="1">
        <v>924.0</v>
      </c>
      <c r="B926" s="3" t="s">
        <v>927</v>
      </c>
      <c r="C926" s="3" t="str">
        <f>IFERROR(__xludf.DUMMYFUNCTION("GOOGLETRANSLATE(B926,""id"",""en"")"),"['disappointed', 'upset', 'buy', 'package', 'application', 'Telkomsel', 'many', 'fail', 'top', 'pulse', 'buy', 'package', ' Please ',' explanation ',' Min ',' ']")</f>
        <v>['disappointed', 'upset', 'buy', 'package', 'application', 'Telkomsel', 'many', 'fail', 'top', 'pulse', 'buy', 'package', ' Please ',' explanation ',' Min ',' ']</v>
      </c>
      <c r="D926" s="3">
        <v>1.0</v>
      </c>
    </row>
    <row r="927" ht="15.75" customHeight="1">
      <c r="A927" s="1">
        <v>925.0</v>
      </c>
      <c r="B927" s="3" t="s">
        <v>928</v>
      </c>
      <c r="C927" s="3" t="str">
        <f>IFERROR(__xludf.DUMMYFUNCTION("GOOGLETRANSLATE(B927,""id"",""en"")"),"['Please', 'Teemen', 'friend', 'Janga', 'buy', 'package', 'internet', 'thousand', 'fist', 'tired', 'tired', 'buy', ' package ',' in ',' fooling ',' please ',' isal ',' APK ',' Sergomael ',' ']")</f>
        <v>['Please', 'Teemen', 'friend', 'Janga', 'buy', 'package', 'internet', 'thousand', 'fist', 'tired', 'tired', 'buy', ' package ',' in ',' fooling ',' please ',' isal ',' APK ',' Sergomael ',' ']</v>
      </c>
      <c r="D927" s="3">
        <v>1.0</v>
      </c>
    </row>
    <row r="928" ht="15.75" customHeight="1">
      <c r="A928" s="1">
        <v>926.0</v>
      </c>
      <c r="B928" s="3" t="s">
        <v>929</v>
      </c>
      <c r="C928" s="3" t="str">
        <f>IFERROR(__xludf.DUMMYFUNCTION("GOOGLETRANSLATE(B928,""id"",""en"")"),"['Disappointed', 'Check', 'Quata', 'Telephone', 'SMS', 'emergues', 'Telkomsel', 'Network', 'Like', 'Drop', 'Package', 'Telkomsel']")</f>
        <v>['Disappointed', 'Check', 'Quata', 'Telephone', 'SMS', 'emergues', 'Telkomsel', 'Network', 'Like', 'Drop', 'Package', 'Telkomsel']</v>
      </c>
      <c r="D928" s="3">
        <v>1.0</v>
      </c>
    </row>
    <row r="929" ht="15.75" customHeight="1">
      <c r="A929" s="1">
        <v>927.0</v>
      </c>
      <c r="B929" s="3" t="s">
        <v>930</v>
      </c>
      <c r="C929" s="3" t="str">
        <f>IFERROR(__xludf.DUMMYFUNCTION("GOOGLETRANSLATE(B929,""id"",""en"")"),"['Telkomsel', 'intend', 'offer', 'promo', 'offer', 'offer', 'promo', 'package', 'unlimited', 'buy', 'told', 'check', ' Connection ',' Connection ',' Safe ',' Safe ',' ']")</f>
        <v>['Telkomsel', 'intend', 'offer', 'promo', 'offer', 'offer', 'promo', 'package', 'unlimited', 'buy', 'told', 'check', ' Connection ',' Connection ',' Safe ',' Safe ',' ']</v>
      </c>
      <c r="D929" s="3">
        <v>2.0</v>
      </c>
    </row>
    <row r="930" ht="15.75" customHeight="1">
      <c r="A930" s="1">
        <v>928.0</v>
      </c>
      <c r="B930" s="3" t="s">
        <v>931</v>
      </c>
      <c r="C930" s="3" t="str">
        <f>IFERROR(__xludf.DUMMYFUNCTION("GOOGLETRANSLATE(B930,""id"",""en"")"),"['Slmat', 'noon', 'sorry', 'Telkomsel', 'buy', 'number', 'call', 'TPI', 'mave', 'name', 'person', 'jdi', ' Comfortable ',' skrng ']")</f>
        <v>['Slmat', 'noon', 'sorry', 'Telkomsel', 'buy', 'number', 'call', 'TPI', 'mave', 'name', 'person', 'jdi', ' Comfortable ',' skrng ']</v>
      </c>
      <c r="D930" s="3">
        <v>2.0</v>
      </c>
    </row>
    <row r="931" ht="15.75" customHeight="1">
      <c r="A931" s="1">
        <v>929.0</v>
      </c>
      <c r="B931" s="3" t="s">
        <v>932</v>
      </c>
      <c r="C931" s="3" t="str">
        <f>IFERROR(__xludf.DUMMYFUNCTION("GOOGLETRANSLATE(B931,""id"",""en"")"),"['Yesterday', 'check', 'Day', 'missing', 'menu', 'check', 'right', 'a day', 'opened', 'ehhh', 'already', 'appears',' Check ',' Prizes', 'Claim', '']")</f>
        <v>['Yesterday', 'check', 'Day', 'missing', 'menu', 'check', 'right', 'a day', 'opened', 'ehhh', 'already', 'appears',' Check ',' Prizes', 'Claim', '']</v>
      </c>
      <c r="D931" s="3">
        <v>2.0</v>
      </c>
    </row>
    <row r="932" ht="15.75" customHeight="1">
      <c r="A932" s="1">
        <v>930.0</v>
      </c>
      <c r="B932" s="3" t="s">
        <v>933</v>
      </c>
      <c r="C932" s="3" t="str">
        <f>IFERROR(__xludf.DUMMYFUNCTION("GOOGLETRANSLATE(B932,""id"",""en"")"),"['Telkomsel', 'boss',' card ',' Sultan ',' package ',' expensive ',' signal ',' Tipu ',' Stay ',' City ',' Serasa ',' Forest ',' uda ',' miss', 'card', 'child', 'school', 'rich', 'three', 'IM', 'etc.', 'network', 'stable', 'report', 'complaint' , 'Bales',"&amp;" 'Boot', 'Connect', 'Already', 'Mending', 'Change', 'Card', 'Citizens', 'Prabumulih']")</f>
        <v>['Telkomsel', 'boss',' card ',' Sultan ',' package ',' expensive ',' signal ',' Tipu ',' Stay ',' City ',' Serasa ',' Forest ',' uda ',' miss', 'card', 'child', 'school', 'rich', 'three', 'IM', 'etc.', 'network', 'stable', 'report', 'complaint' , 'Bales', 'Boot', 'Connect', 'Already', 'Mending', 'Change', 'Card', 'Citizens', 'Prabumulih']</v>
      </c>
      <c r="D932" s="3">
        <v>1.0</v>
      </c>
    </row>
    <row r="933" ht="15.75" customHeight="1">
      <c r="A933" s="1">
        <v>931.0</v>
      </c>
      <c r="B933" s="3" t="s">
        <v>934</v>
      </c>
      <c r="C933" s="3" t="str">
        <f>IFERROR(__xludf.DUMMYFUNCTION("GOOGLETRANSLATE(B933,""id"",""en"")"),"['Wrong', 'Application', 'Times',' Try ',' Install ',' App ',' Times', 'APP', 'APLKSI', 'System', 'Android', 'MJD', ' FulnerABL ',' heavy ',' scored ',' class', 'Google', 'chrome', 'lbih', 'open', 'browser', 'chrome', '']")</f>
        <v>['Wrong', 'Application', 'Times',' Try ',' Install ',' App ',' Times', 'APP', 'APLKSI', 'System', 'Android', 'MJD', ' FulnerABL ',' heavy ',' scored ',' class', 'Google', 'chrome', 'lbih', 'open', 'browser', 'chrome', '']</v>
      </c>
      <c r="D933" s="3">
        <v>1.0</v>
      </c>
    </row>
    <row r="934" ht="15.75" customHeight="1">
      <c r="A934" s="1">
        <v>932.0</v>
      </c>
      <c r="B934" s="3" t="s">
        <v>935</v>
      </c>
      <c r="C934" s="3" t="str">
        <f>IFERROR(__xludf.DUMMYFUNCTION("GOOGLETRANSLATE(B934,""id"",""en"")"),"['Thank you', 'Telkomselll', 'thanks',' pulses', 'thousand', 'run out', 'left', 'stay', 'silver', 'thank you', 'Telkomsel', 'hope', ' card ',' Telkom ',' sucked ',' pulses', 'because', 'fun', '']")</f>
        <v>['Thank you', 'Telkomselll', 'thanks',' pulses', 'thousand', 'run out', 'left', 'stay', 'silver', 'thank you', 'Telkomsel', 'hope', ' card ',' Telkom ',' sucked ',' pulses', 'because', 'fun', '']</v>
      </c>
      <c r="D934" s="3">
        <v>1.0</v>
      </c>
    </row>
    <row r="935" ht="15.75" customHeight="1">
      <c r="A935" s="1">
        <v>933.0</v>
      </c>
      <c r="B935" s="3" t="s">
        <v>936</v>
      </c>
      <c r="C935" s="3" t="str">
        <f>IFERROR(__xludf.DUMMYFUNCTION("GOOGLETRANSLATE(B935,""id"",""en"")"),"['Provider', 'Indo', 'Network', 'Severe', 'Network', 'ilang', 'Stable', 'Forced', 'High School', 'Quality', 'Her Line', 'Severe', ' very', '']")</f>
        <v>['Provider', 'Indo', 'Network', 'Severe', 'Network', 'ilang', 'Stable', 'Forced', 'High School', 'Quality', 'Her Line', 'Severe', ' very', '']</v>
      </c>
      <c r="D935" s="3">
        <v>1.0</v>
      </c>
    </row>
    <row r="936" ht="15.75" customHeight="1">
      <c r="A936" s="1">
        <v>934.0</v>
      </c>
      <c r="B936" s="3" t="s">
        <v>937</v>
      </c>
      <c r="C936" s="3" t="str">
        <f>IFERROR(__xludf.DUMMYFUNCTION("GOOGLETRANSLATE(B936,""id"",""en"")"),"['quota', 'expensive', 'doang', 'cave', 'just', 'buy', 'quota', 'youtube', 'unlimited', 'price', 'imagined', 'how', ' Loading ',' Loading ',' Mulu ',' Cave ',' Udh ',' Buy ',' Pulses', 'Udh', 'Reduced', 'Please', 'Telkom']")</f>
        <v>['quota', 'expensive', 'doang', 'cave', 'just', 'buy', 'quota', 'youtube', 'unlimited', 'price', 'imagined', 'how', ' Loading ',' Loading ',' Mulu ',' Cave ',' Udh ',' Buy ',' Pulses', 'Udh', 'Reduced', 'Please', 'Telkom']</v>
      </c>
      <c r="D936" s="3">
        <v>2.0</v>
      </c>
    </row>
    <row r="937" ht="15.75" customHeight="1">
      <c r="A937" s="1">
        <v>935.0</v>
      </c>
      <c r="B937" s="3" t="s">
        <v>938</v>
      </c>
      <c r="C937" s="3" t="str">
        <f>IFERROR(__xludf.DUMMYFUNCTION("GOOGLETRANSLATE(B937,""id"",""en"")"),"['Please', 'min', 'unlimited', 'kagak', 'please', 'min', 'buy', 'in month', 'January', 'buy', 'package', 'unlimited', ' Min ']")</f>
        <v>['Please', 'min', 'unlimited', 'kagak', 'please', 'min', 'buy', 'in month', 'January', 'buy', 'package', 'unlimited', ' Min ']</v>
      </c>
      <c r="D937" s="3">
        <v>1.0</v>
      </c>
    </row>
    <row r="938" ht="15.75" customHeight="1">
      <c r="A938" s="1">
        <v>936.0</v>
      </c>
      <c r="B938" s="3" t="s">
        <v>939</v>
      </c>
      <c r="C938" s="3" t="str">
        <f>IFERROR(__xludf.DUMMYFUNCTION("GOOGLETRANSLATE(B938,""id"",""en"")"),"['Excellence', 'InternetMax', 'cheap', 'resident', 'buy', 'internet', 'omg', 'etc.', 'tidk', 'network', 'signal', 'Telkomsel', ' please ',' please ',' Telkomsel ',' msaharakat ',' sell ',' internet ',' price ',' tejangkau ',' msaharakat ',' finance ',' li"&amp;"mited ',' trimakasih ']")</f>
        <v>['Excellence', 'InternetMax', 'cheap', 'resident', 'buy', 'internet', 'omg', 'etc.', 'tidk', 'network', 'signal', 'Telkomsel', ' please ',' please ',' Telkomsel ',' msaharakat ',' sell ',' internet ',' price ',' tejangkau ',' msaharakat ',' finance ',' limited ',' trimakasih ']</v>
      </c>
      <c r="D938" s="3">
        <v>1.0</v>
      </c>
    </row>
    <row r="939" ht="15.75" customHeight="1">
      <c r="A939" s="1">
        <v>937.0</v>
      </c>
      <c r="B939" s="3" t="s">
        <v>940</v>
      </c>
      <c r="C939" s="3" t="str">
        <f>IFERROR(__xludf.DUMMYFUNCTION("GOOGLETRANSLATE(B939,""id"",""en"")"),"['emang', 'intention', 'love', 'exchange', 'point', 'please', 'customer', 'care', 'direct', 'update', 'telkomsel', 'concerned', ' Direct ',' close ',' phone ',' pay ',' ']")</f>
        <v>['emang', 'intention', 'love', 'exchange', 'point', 'please', 'customer', 'care', 'direct', 'update', 'telkomsel', 'concerned', ' Direct ',' close ',' phone ',' pay ',' ']</v>
      </c>
      <c r="D939" s="3">
        <v>1.0</v>
      </c>
    </row>
    <row r="940" ht="15.75" customHeight="1">
      <c r="A940" s="1">
        <v>938.0</v>
      </c>
      <c r="B940" s="3" t="s">
        <v>941</v>
      </c>
      <c r="C940" s="3" t="str">
        <f>IFERROR(__xludf.DUMMYFUNCTION("GOOGLETRANSLATE(B940,""id"",""en"")"),"['Gimanasi', 'MyTelkomsell', 'Buy', 'Kuotaa', 'Yesterday', 'Transaction', 'Failed', 'Muluu', 'Please', 'Try', 'Minutes', 'That's' ajaa ',' continued ',' gimanasih ',' payment ',' funds', 'link', 'ajaa', 'can', 'balance', 'already', 'sufficient', 'bangett'"&amp;", 'wonder' , 'deh', '']")</f>
        <v>['Gimanasi', 'MyTelkomsell', 'Buy', 'Kuotaa', 'Yesterday', 'Transaction', 'Failed', 'Muluu', 'Please', 'Try', 'Minutes', 'That's' ajaa ',' continued ',' gimanasih ',' payment ',' funds', 'link', 'ajaa', 'can', 'balance', 'already', 'sufficient', 'bangett', 'wonder' , 'deh', '']</v>
      </c>
      <c r="D940" s="3">
        <v>1.0</v>
      </c>
    </row>
    <row r="941" ht="15.75" customHeight="1">
      <c r="A941" s="1">
        <v>939.0</v>
      </c>
      <c r="B941" s="3" t="s">
        <v>942</v>
      </c>
      <c r="C941" s="3" t="str">
        <f>IFERROR(__xludf.DUMMYFUNCTION("GOOGLETRANSLATE(B941,""id"",""en"")"),"['Serigeration', 'Decrease', 'Speed', 'Telkomsel', 'Love', 'Star', 'Experience', 'Comfort', 'Customer', 'Threshold', 'Boredom', 'Speed', ' Internet ',' Telkomsel ',' slow ',' Hopefully ',' improved ',' BTW ',' Region ',' Kec ',' Grobogan ',' Telkomsel ','"&amp;" Severe ',' Abissss', ""]")</f>
        <v>['Serigeration', 'Decrease', 'Speed', 'Telkomsel', 'Love', 'Star', 'Experience', 'Comfort', 'Customer', 'Threshold', 'Boredom', 'Speed', ' Internet ',' Telkomsel ',' slow ',' Hopefully ',' improved ',' BTW ',' Region ',' Kec ',' Grobogan ',' Telkomsel ',' Severe ',' Abissss', "]</v>
      </c>
      <c r="D941" s="3">
        <v>1.0</v>
      </c>
    </row>
    <row r="942" ht="15.75" customHeight="1">
      <c r="A942" s="1">
        <v>940.0</v>
      </c>
      <c r="B942" s="3" t="s">
        <v>943</v>
      </c>
      <c r="C942" s="3" t="str">
        <f>IFERROR(__xludf.DUMMYFUNCTION("GOOGLETRANSLATE(B942,""id"",""en"")"),"['pulse', 'already', 'provider', 'expensive', 'service', 'quality', 'low', 'signal', 'gambal', 'hope', 'provider', 'defeat' Telkomsel ',' ugly ']")</f>
        <v>['pulse', 'already', 'provider', 'expensive', 'service', 'quality', 'low', 'signal', 'gambal', 'hope', 'provider', 'defeat' Telkomsel ',' ugly ']</v>
      </c>
      <c r="D942" s="3">
        <v>1.0</v>
      </c>
    </row>
    <row r="943" ht="15.75" customHeight="1">
      <c r="A943" s="1">
        <v>941.0</v>
      </c>
      <c r="B943" s="3" t="s">
        <v>944</v>
      </c>
      <c r="C943" s="3" t="str">
        <f>IFERROR(__xludf.DUMMYFUNCTION("GOOGLETRANSLATE(B943,""id"",""en"")"),"['MyTelkomsel', 'Please', 'Consider', 'Review', 'Open', 'APK', 'WhatsApp', 'Quota', 'Ministry of Education and Culture', 'Credit', 'Sucked', 'Annoyed', ' Please ',' Make ',' Feature ',' Lock ',' Credit ',' APK ',' AXISNET ',' PERE "", 'Comparing', 'Featur"&amp;"e', 'Locking', 'Credit', 'User' , 'Card', 'Telkomsel', 'experience', 'loss', ""]")</f>
        <v>['MyTelkomsel', 'Please', 'Consider', 'Review', 'Open', 'APK', 'WhatsApp', 'Quota', 'Ministry of Education and Culture', 'Credit', 'Sucked', 'Annoyed', ' Please ',' Make ',' Feature ',' Lock ',' Credit ',' APK ',' AXISNET ',' PERE ", 'Comparing', 'Feature', 'Locking', 'Credit', 'User' , 'Card', 'Telkomsel', 'experience', 'loss', "]</v>
      </c>
      <c r="D943" s="3">
        <v>4.0</v>
      </c>
    </row>
    <row r="944" ht="15.75" customHeight="1">
      <c r="A944" s="1">
        <v>942.0</v>
      </c>
      <c r="B944" s="3" t="s">
        <v>945</v>
      </c>
      <c r="C944" s="3" t="str">
        <f>IFERROR(__xludf.DUMMYFUNCTION("GOOGLETRANSLATE(B944,""id"",""en"")"),"['card', 'upgrade', 'tetep', 'slow', 'appears',' notification ',' connected ',' internet ',' download ',' video ',' failed ',' check ',' operator ',' normal ',' card ',' normal ',' upgrade ',' told ',' buy ',' quota ',' kepakai ',' transfer ',' card ',' m"&amp;"ax ',' transfer ' , 'Transfer', 'times', 'transfer', 'fees', 'Telkomsel', 'please', 'transfer', 'quota', 'dlm', 'dlm', 'transfer']")</f>
        <v>['card', 'upgrade', 'tetep', 'slow', 'appears',' notification ',' connected ',' internet ',' download ',' video ',' failed ',' check ',' operator ',' normal ',' card ',' normal ',' upgrade ',' told ',' buy ',' quota ',' kepakai ',' transfer ',' card ',' max ',' transfer ' , 'Transfer', 'times', 'transfer', 'fees', 'Telkomsel', 'please', 'transfer', 'quota', 'dlm', 'dlm', 'transfer']</v>
      </c>
      <c r="D944" s="3">
        <v>1.0</v>
      </c>
    </row>
    <row r="945" ht="15.75" customHeight="1">
      <c r="A945" s="1">
        <v>943.0</v>
      </c>
      <c r="B945" s="3" t="s">
        <v>946</v>
      </c>
      <c r="C945" s="3" t="str">
        <f>IFERROR(__xludf.DUMMYFUNCTION("GOOGLETRANSLATE(B945,""id"",""en"")"),"['Pliss',' repay ',' signal ',' Telkomsel ',' live ',' signal ',' data ',' missing ',' lost ',' signal ',' strange ',' signal ',' Lost ',' seconds', 'Kek', 'That's',' What ',' Nikmatin ',' Quota ',' Telkomsel ',' Change ', ""]")</f>
        <v>['Pliss',' repay ',' signal ',' Telkomsel ',' live ',' signal ',' data ',' missing ',' lost ',' signal ',' strange ',' signal ',' Lost ',' seconds', 'Kek', 'That's',' What ',' Nikmatin ',' Quota ',' Telkomsel ',' Change ', "]</v>
      </c>
      <c r="D945" s="3">
        <v>1.0</v>
      </c>
    </row>
    <row r="946" ht="15.75" customHeight="1">
      <c r="A946" s="1">
        <v>944.0</v>
      </c>
      <c r="B946" s="3" t="s">
        <v>947</v>
      </c>
      <c r="C946" s="3" t="str">
        <f>IFERROR(__xludf.DUMMYFUNCTION("GOOGLETRANSLATE(B946,""id"",""en"")"),"['pulse', 'fair', 'expensive', 'quality', 'signal', 'notif', 'quota', 'run out', 'late', 'quota', 'run out', ' NOTIF ',' pulse ',' Sumpot ',' On ',' Like ',' System ',' Check ',' Points', ""]")</f>
        <v>['pulse', 'fair', 'expensive', 'quality', 'signal', 'notif', 'quota', 'run out', 'late', 'quota', 'run out', ' NOTIF ',' pulse ',' Sumpot ',' On ',' Like ',' System ',' Check ',' Points', "]</v>
      </c>
      <c r="D946" s="3">
        <v>3.0</v>
      </c>
    </row>
    <row r="947" ht="15.75" customHeight="1">
      <c r="A947" s="1">
        <v>945.0</v>
      </c>
      <c r="B947" s="3" t="s">
        <v>948</v>
      </c>
      <c r="C947" s="3" t="str">
        <f>IFERROR(__xludf.DUMMYFUNCTION("GOOGLETRANSLATE(B947,""id"",""en"")"),"['Tampaking', 'Trutama', 'Package', 'Internet', 'LBH', 'Cheap', 'Jangn', 'Lost', 'Card', 'Compens',' Promo ',' Limb ',' Heee ',' Hamir ',' Mkai ',' Internet ']")</f>
        <v>['Tampaking', 'Trutama', 'Package', 'Internet', 'LBH', 'Cheap', 'Jangn', 'Lost', 'Card', 'Compens',' Promo ',' Limb ',' Heee ',' Hamir ',' Mkai ',' Internet ']</v>
      </c>
      <c r="D947" s="3">
        <v>5.0</v>
      </c>
    </row>
    <row r="948" ht="15.75" customHeight="1">
      <c r="A948" s="1">
        <v>946.0</v>
      </c>
      <c r="B948" s="3" t="s">
        <v>949</v>
      </c>
      <c r="C948" s="3" t="str">
        <f>IFERROR(__xludf.DUMMYFUNCTION("GOOGLETRANSLATE(B948,""id"",""en"")"),"['Hello', 'provider', 'best', 'understand', 'buy', 'voucher', 'quota', 'internet', 'local', 'purchase', 'quota', 'internet', ' Combo ',' OMG ',' Application ',' MyTelkomsel ',' Quota ',' Internet ',' Local ',' GB ',' Internet ',' GB ',' Quota ',' Internet"&amp;" ',' Local ' , 'used', 'purchase', 'application', 'voucher', 'activation', 'internet', 'voucher', 'purchase', 'application', 'at home', 'where', 'internet', ' Local ',' used ',' area ',' activation ',' darling ',' money ']")</f>
        <v>['Hello', 'provider', 'best', 'understand', 'buy', 'voucher', 'quota', 'internet', 'local', 'purchase', 'quota', 'internet', ' Combo ',' OMG ',' Application ',' MyTelkomsel ',' Quota ',' Internet ',' Local ',' GB ',' Internet ',' GB ',' Quota ',' Internet ',' Local ' , 'used', 'purchase', 'application', 'voucher', 'activation', 'internet', 'voucher', 'purchase', 'application', 'at home', 'where', 'internet', ' Local ',' used ',' area ',' activation ',' darling ',' money ']</v>
      </c>
      <c r="D948" s="3">
        <v>1.0</v>
      </c>
    </row>
    <row r="949" ht="15.75" customHeight="1">
      <c r="A949" s="1">
        <v>947.0</v>
      </c>
      <c r="B949" s="3" t="s">
        <v>950</v>
      </c>
      <c r="C949" s="3" t="str">
        <f>IFERROR(__xludf.DUMMYFUNCTION("GOOGLETRANSLATE(B949,""id"",""en"")"),"['complain', 'Telkomsel', 'responding', 'serious', 'complains', 'run', 'Telkomsel', 'just', 'win', 'network', 'broad', 'quality']")</f>
        <v>['complain', 'Telkomsel', 'responding', 'serious', 'complains', 'run', 'Telkomsel', 'just', 'win', 'network', 'broad', 'quality']</v>
      </c>
      <c r="D949" s="3">
        <v>1.0</v>
      </c>
    </row>
    <row r="950" ht="15.75" customHeight="1">
      <c r="A950" s="1">
        <v>948.0</v>
      </c>
      <c r="B950" s="3" t="s">
        <v>951</v>
      </c>
      <c r="C950" s="3" t="str">
        <f>IFERROR(__xludf.DUMMYFUNCTION("GOOGLETRANSLATE(B950,""id"",""en"")"),"['Disappointed', 'User', 'Service', 'Telkomsel', 'Network', 'Telkomsel', 'Main', 'Game', 'Free', 'Fire', 'Sousal', 'ugly', ' Really ',' Mengelek ',' Selek ',' YouTube ',' Difficult ',' Region ',' Bandar ',' Lampung ',' Please ',' Fix ',' Network ',' Telko"&amp;"msel ',' Thank you ' , '']")</f>
        <v>['Disappointed', 'User', 'Service', 'Telkomsel', 'Network', 'Telkomsel', 'Main', 'Game', 'Free', 'Fire', 'Sousal', 'ugly', ' Really ',' Mengelek ',' Selek ',' YouTube ',' Difficult ',' Region ',' Bandar ',' Lampung ',' Please ',' Fix ',' Network ',' Telkomsel ',' Thank you ' , '']</v>
      </c>
      <c r="D950" s="3">
        <v>1.0</v>
      </c>
    </row>
    <row r="951" ht="15.75" customHeight="1">
      <c r="A951" s="1">
        <v>949.0</v>
      </c>
      <c r="B951" s="3" t="s">
        <v>952</v>
      </c>
      <c r="C951" s="3" t="str">
        <f>IFERROR(__xludf.DUMMYFUNCTION("GOOGLETRANSLATE(B951,""id"",""en"")"),"['Quality', 'Internet', 'Please', 'Enhanced', 'User', 'Hallo', 'A Month', 'Assessing', 'Quality', 'Internet', 'Telkomsel', 'Lemot', ' Hard ',' access', 'internet', 'failed', 'access',' experience ',' card ',' Hello ',' hopefully ',' Telkomsel ',' ahead ',"&amp;"' pay attention ',' user ' , 'card', 'Hallo', 'trims', '']")</f>
        <v>['Quality', 'Internet', 'Please', 'Enhanced', 'User', 'Hallo', 'A Month', 'Assessing', 'Quality', 'Internet', 'Telkomsel', 'Lemot', ' Hard ',' access', 'internet', 'failed', 'access',' experience ',' card ',' Hello ',' hopefully ',' Telkomsel ',' ahead ',' pay attention ',' user ' , 'card', 'Hallo', 'trims', '']</v>
      </c>
      <c r="D951" s="3">
        <v>3.0</v>
      </c>
    </row>
    <row r="952" ht="15.75" customHeight="1">
      <c r="A952" s="1">
        <v>950.0</v>
      </c>
      <c r="B952" s="3" t="s">
        <v>953</v>
      </c>
      <c r="C952" s="3" t="str">
        <f>IFERROR(__xludf.DUMMYFUNCTION("GOOGLETRANSLATE(B952,""id"",""en"")"),"['disappointed', 'quality', 'network', 'internet', 'Telkomsel', 'bad', 'sucks',' bar ',' signal ',' full ',' speed ',' low ',' Open ',' browser ',' loading ',' quota ',' expensive ',' network ',' according to ',' nominal ',' pay ',' Please ',' noticed ','"&amp;" quality ',' network ' , 'in the area']")</f>
        <v>['disappointed', 'quality', 'network', 'internet', 'Telkomsel', 'bad', 'sucks',' bar ',' signal ',' full ',' speed ',' low ',' Open ',' browser ',' loading ',' quota ',' expensive ',' network ',' according to ',' nominal ',' pay ',' Please ',' noticed ',' quality ',' network ' , 'in the area']</v>
      </c>
      <c r="D952" s="3">
        <v>1.0</v>
      </c>
    </row>
    <row r="953" ht="15.75" customHeight="1">
      <c r="A953" s="1">
        <v>951.0</v>
      </c>
      <c r="B953" s="3" t="s">
        <v>954</v>
      </c>
      <c r="C953" s="3" t="str">
        <f>IFERROR(__xludf.DUMMYFUNCTION("GOOGLETRANSLATE(B953,""id"",""en"")"),"['dev', 'please', 'app', 'plus',' feature ',' night ',' mode ',' dark ',' mode ',' open ',' dark ',' delicious', ' His eyes', 'Please', 'Dev', 'Features',' Add ',' Thank you ',' ']")</f>
        <v>['dev', 'please', 'app', 'plus',' feature ',' night ',' mode ',' dark ',' mode ',' open ',' dark ',' delicious', ' His eyes', 'Please', 'Dev', 'Features',' Add ',' Thank you ',' ']</v>
      </c>
      <c r="D953" s="3">
        <v>4.0</v>
      </c>
    </row>
    <row r="954" ht="15.75" customHeight="1">
      <c r="A954" s="1">
        <v>952.0</v>
      </c>
      <c r="B954" s="3" t="s">
        <v>955</v>
      </c>
      <c r="C954" s="3" t="str">
        <f>IFERROR(__xludf.DUMMYFUNCTION("GOOGLETRANSLATE(B954,""id"",""en"")"),"['NETNNNN', 'Apost', 'Apos',' yaaaa ',' no ',' open ',' hop ',' sorry ',' bangg ',' patience ',' terpersss', 'already', ' package ',' expensive ',' pulse ',' expensive ',' card ',' expensive ',' try ',' card ',' thisIIII ',' network ',' slow ',' tired ','"&amp;" Telkomsel ' , 'Delete', 'Indonesia', 'World']")</f>
        <v>['NETNNNN', 'Apost', 'Apos',' yaaaa ',' no ',' open ',' hop ',' sorry ',' bangg ',' patience ',' terpersss', 'already', ' package ',' expensive ',' pulse ',' expensive ',' card ',' expensive ',' try ',' card ',' thisIIII ',' network ',' slow ',' tired ',' Telkomsel ' , 'Delete', 'Indonesia', 'World']</v>
      </c>
      <c r="D954" s="3">
        <v>1.0</v>
      </c>
    </row>
    <row r="955" ht="15.75" customHeight="1">
      <c r="A955" s="1">
        <v>953.0</v>
      </c>
      <c r="B955" s="3" t="s">
        <v>956</v>
      </c>
      <c r="C955" s="3" t="str">
        <f>IFERROR(__xludf.DUMMYFUNCTION("GOOGLETRANSLATE(B955,""id"",""en"")"),"['network', 'palingan', 'destroyed', 'detrimental', 'customer', 'package', 'wasted', 'network', 'error', 'package', 'then', 'network', ' Normal ',' tactics', 'Really', 'disappointing', 'star', 'Sudi', ""]")</f>
        <v>['network', 'palingan', 'destroyed', 'detrimental', 'customer', 'package', 'wasted', 'network', 'error', 'package', 'then', 'network', ' Normal ',' tactics', 'Really', 'disappointing', 'star', 'Sudi', "]</v>
      </c>
      <c r="D955" s="3">
        <v>1.0</v>
      </c>
    </row>
    <row r="956" ht="15.75" customHeight="1">
      <c r="A956" s="1">
        <v>954.0</v>
      </c>
      <c r="B956" s="3" t="s">
        <v>957</v>
      </c>
      <c r="C956" s="3" t="str">
        <f>IFERROR(__xludf.DUMMYFUNCTION("GOOGLETRANSLATE(B956,""id"",""en"")"),"['cuih', 'cuih', 'cuih', 'application', 'card', 'bangts',' play ',' game ',' lag ',' forgiveness', 'smooth', 'play', ' network ',' disconnected ',' Gara ',' card ',' auto ',' burn ',' card ',' bankrupt ',' bankrupt ',' anjng ',' sampe ',' network ',' limi"&amp;"ted ' , '']")</f>
        <v>['cuih', 'cuih', 'cuih', 'application', 'card', 'bangts',' play ',' game ',' lag ',' forgiveness', 'smooth', 'play', ' network ',' disconnected ',' Gara ',' card ',' auto ',' burn ',' card ',' bankrupt ',' bankrupt ',' anjng ',' sampe ',' network ',' limited ' , '']</v>
      </c>
      <c r="D956" s="3">
        <v>1.0</v>
      </c>
    </row>
    <row r="957" ht="15.75" customHeight="1">
      <c r="A957" s="1">
        <v>955.0</v>
      </c>
      <c r="B957" s="3" t="s">
        <v>958</v>
      </c>
      <c r="C957" s="3" t="str">
        <f>IFERROR(__xludf.DUMMYFUNCTION("GOOGLETRANSLATE(B957,""id"",""en"")"),"['Please', 'Telkomsel', 'Network', 'disappointing', 'slow', 'operator', 'expensive', 'nggk', 'useful', 'intention', 'disband', 'boss',' Consumers', 'Disappointed']")</f>
        <v>['Please', 'Telkomsel', 'Network', 'disappointing', 'slow', 'operator', 'expensive', 'nggk', 'useful', 'intention', 'disband', 'boss',' Consumers', 'Disappointed']</v>
      </c>
      <c r="D957" s="3">
        <v>1.0</v>
      </c>
    </row>
    <row r="958" ht="15.75" customHeight="1">
      <c r="A958" s="1">
        <v>956.0</v>
      </c>
      <c r="B958" s="3" t="s">
        <v>959</v>
      </c>
      <c r="C958" s="3" t="str">
        <f>IFERROR(__xludf.DUMMYFUNCTION("GOOGLETRANSLATE(B958,""id"",""en"")"),"['application', 'stop', 'buy', 'package', 'subscribe', 'package', 'automatic', 'provider', 'speed', 'internet', 'decline', ""]")</f>
        <v>['application', 'stop', 'buy', 'package', 'subscribe', 'package', 'automatic', 'provider', 'speed', 'internet', 'decline', "]</v>
      </c>
      <c r="D958" s="3">
        <v>1.0</v>
      </c>
    </row>
    <row r="959" ht="15.75" customHeight="1">
      <c r="A959" s="1">
        <v>957.0</v>
      </c>
      <c r="B959" s="3" t="s">
        <v>960</v>
      </c>
      <c r="C959" s="3" t="str">
        <f>IFERROR(__xludf.DUMMYFUNCTION("GOOGLETRANSLATE(B959,""id"",""en"")"),"['Signal', 'Telkomsel', 'COLLECTION', 'Internet', 'Region', 'Muara', 'Bulian', 'Really', 'Disappointing', '']")</f>
        <v>['Signal', 'Telkomsel', 'COLLECTION', 'Internet', 'Region', 'Muara', 'Bulian', 'Really', 'Disappointing', '']</v>
      </c>
      <c r="D959" s="3">
        <v>1.0</v>
      </c>
    </row>
    <row r="960" ht="15.75" customHeight="1">
      <c r="A960" s="1">
        <v>958.0</v>
      </c>
      <c r="B960" s="3" t="s">
        <v>961</v>
      </c>
      <c r="C960" s="3" t="str">
        <f>IFERROR(__xludf.DUMMYFUNCTION("GOOGLETRANSLATE(B960,""id"",""en"")"),"['Kalii', 'feel', 'annoyed', 'service', 'Telkomsel', 'Gini', 'yesterday', 'buy', 'Package', 'Telkomsel', 'Keku', 'already', ' times', 'SMS', 'already', 'enter', 'then', 'right', 'live', 'data', 'pulse', 'sumps',' confused ',' hopefully ',' Telkom ' , '']")</f>
        <v>['Kalii', 'feel', 'annoyed', 'service', 'Telkomsel', 'Gini', 'yesterday', 'buy', 'Package', 'Telkomsel', 'Keku', 'already', ' times', 'SMS', 'already', 'enter', 'then', 'right', 'live', 'data', 'pulse', 'sumps',' confused ',' hopefully ',' Telkom ' , '']</v>
      </c>
      <c r="D960" s="3">
        <v>1.0</v>
      </c>
    </row>
    <row r="961" ht="15.75" customHeight="1">
      <c r="A961" s="1">
        <v>959.0</v>
      </c>
      <c r="B961" s="3" t="s">
        <v>962</v>
      </c>
      <c r="C961" s="3" t="str">
        <f>IFERROR(__xludf.DUMMYFUNCTION("GOOGLETRANSLATE(B961,""id"",""en"")"),"['Please', 'admin', 'Telkomsel', 'Network', 'Uda', 'Sunday', 'Drop', 'Hamlet', 'Bay', 'Bagus',' Village ',' Bayasa ',' Jaya ',' Kec ',' Kempas', 'Kab', 'Indra', 'Giri', 'Downstream', 'Province', 'Riau', 'Please', 'Telkomsel', 'Buy', 'Package' , 'expensive"&amp;"', 'expensive', 'satisfied', 'results', 'so', 'terbimah', 'love']")</f>
        <v>['Please', 'admin', 'Telkomsel', 'Network', 'Uda', 'Sunday', 'Drop', 'Hamlet', 'Bay', 'Bagus',' Village ',' Bayasa ',' Jaya ',' Kec ',' Kempas', 'Kab', 'Indra', 'Giri', 'Downstream', 'Province', 'Riau', 'Please', 'Telkomsel', 'Buy', 'Package' , 'expensive', 'expensive', 'satisfied', 'results', 'so', 'terbimah', 'love']</v>
      </c>
      <c r="D961" s="3">
        <v>1.0</v>
      </c>
    </row>
    <row r="962" ht="15.75" customHeight="1">
      <c r="A962" s="1">
        <v>960.0</v>
      </c>
      <c r="B962" s="3" t="s">
        <v>963</v>
      </c>
      <c r="C962" s="3" t="str">
        <f>IFERROR(__xludf.DUMMYFUNCTION("GOOGLETRANSLATE(B962,""id"",""en"")"),"['Telkomsel', 'Dear', 'buy', 'card', 'prime', 'application', 'MyTelkomsel', 'fill', 'form', 'found', 'city', 'destination', ' MyTelkomsel ',' Update ',' Latest ',' ']")</f>
        <v>['Telkomsel', 'Dear', 'buy', 'card', 'prime', 'application', 'MyTelkomsel', 'fill', 'form', 'found', 'city', 'destination', ' MyTelkomsel ',' Update ',' Latest ',' ']</v>
      </c>
      <c r="D962" s="3">
        <v>1.0</v>
      </c>
    </row>
    <row r="963" ht="15.75" customHeight="1">
      <c r="A963" s="1">
        <v>961.0</v>
      </c>
      <c r="B963" s="3" t="s">
        <v>964</v>
      </c>
      <c r="C963" s="3" t="str">
        <f>IFERROR(__xludf.DUMMYFUNCTION("GOOGLETRANSLATE(B963,""id"",""en"")"),"['Please', 'indeed', 'package', 'emergency', 'bug', 'activates it', 'active', 'demgan', 'please', 'repaired', 'high school', 'paying', ' useful']")</f>
        <v>['Please', 'indeed', 'package', 'emergency', 'bug', 'activates it', 'active', 'demgan', 'please', 'repaired', 'high school', 'paying', ' useful']</v>
      </c>
      <c r="D963" s="3">
        <v>1.0</v>
      </c>
    </row>
    <row r="964" ht="15.75" customHeight="1">
      <c r="A964" s="1">
        <v>962.0</v>
      </c>
      <c r="B964" s="3" t="s">
        <v>965</v>
      </c>
      <c r="C964" s="3" t="str">
        <f>IFERROR(__xludf.DUMMYFUNCTION("GOOGLETRANSLATE(B964,""id"",""en"")"),"['Wonder', 'APK', 'MyTelkomsel', 'buy', 'credit', 'buy', 'package', 'telephone', 'daily', 'price', 'turn', 'Nelp', ' people ',' sorry ',' credit ',' sufficient ',' counter ',' buy ',' pulse ',' credit ',' sufficient ',' nelp ',' please ',' Telkomsel ',' r"&amp;"einforced ' , 'Perfered', 'Look', 'System', 'Nelp', 'Gabisa', 'Wonder']")</f>
        <v>['Wonder', 'APK', 'MyTelkomsel', 'buy', 'credit', 'buy', 'package', 'telephone', 'daily', 'price', 'turn', 'Nelp', ' people ',' sorry ',' credit ',' sufficient ',' counter ',' buy ',' pulse ',' credit ',' sufficient ',' nelp ',' please ',' Telkomsel ',' reinforced ' , 'Perfered', 'Look', 'System', 'Nelp', 'Gabisa', 'Wonder']</v>
      </c>
      <c r="D964" s="3">
        <v>1.0</v>
      </c>
    </row>
    <row r="965" ht="15.75" customHeight="1">
      <c r="A965" s="1">
        <v>963.0</v>
      </c>
      <c r="B965" s="3" t="s">
        <v>966</v>
      </c>
      <c r="C965" s="3" t="str">
        <f>IFERROR(__xludf.DUMMYFUNCTION("GOOGLETRANSLATE(B965,""id"",""en"")"),"['expensive', 'really', 'price', 'quota', 'forced', 'buy', 'just', 'Telkomsel', 'good', 'fine', 'Alhamdulillah', 'for a while' Tower ',' provider ',' built ',' in place ',' price ',' quota ',' cheap ',' Telkomsel ', ""]")</f>
        <v>['expensive', 'really', 'price', 'quota', 'forced', 'buy', 'just', 'Telkomsel', 'good', 'fine', 'Alhamdulillah', 'for a while' Tower ',' provider ',' built ',' in place ',' price ',' quota ',' cheap ',' Telkomsel ', "]</v>
      </c>
      <c r="D965" s="3">
        <v>1.0</v>
      </c>
    </row>
    <row r="966" ht="15.75" customHeight="1">
      <c r="A966" s="1">
        <v>964.0</v>
      </c>
      <c r="B966" s="3" t="s">
        <v>967</v>
      </c>
      <c r="C966" s="3" t="str">
        <f>IFERROR(__xludf.DUMMYFUNCTION("GOOGLETRANSLATE(B966,""id"",""en"")"),"['Dear', 'Telkomsel', 'use', 'Telkomsel', 'already', 'speed', 'slow', 'Abis',' Ujan ',' signal ',' stay ',' disturbed ',' Please ',' fix it ',' byk ',' move ',' ']")</f>
        <v>['Dear', 'Telkomsel', 'use', 'Telkomsel', 'already', 'speed', 'slow', 'Abis',' Ujan ',' signal ',' stay ',' disturbed ',' Please ',' fix it ',' byk ',' move ',' ']</v>
      </c>
      <c r="D966" s="3">
        <v>2.0</v>
      </c>
    </row>
    <row r="967" ht="15.75" customHeight="1">
      <c r="A967" s="1">
        <v>965.0</v>
      </c>
      <c r="B967" s="3" t="s">
        <v>968</v>
      </c>
      <c r="C967" s="3" t="str">
        <f>IFERROR(__xludf.DUMMYFUNCTION("GOOGLETRANSLATE(B967,""id"",""en"")"),"['Congratulations', 'Telkomsel', 'added', 'poor', 'service', 'network', 'hope', 'success', 'network', 'worst', 'diindonesia', ""]")</f>
        <v>['Congratulations', 'Telkomsel', 'added', 'poor', 'service', 'network', 'hope', 'success', 'network', 'worst', 'diindonesia', "]</v>
      </c>
      <c r="D967" s="3">
        <v>1.0</v>
      </c>
    </row>
    <row r="968" ht="15.75" customHeight="1">
      <c r="A968" s="1">
        <v>966.0</v>
      </c>
      <c r="B968" s="3" t="s">
        <v>969</v>
      </c>
      <c r="C968" s="3" t="str">
        <f>IFERROR(__xludf.DUMMYFUNCTION("GOOGLETRANSLATE(B968,""id"",""en"")"),"['Disappointed', 'Telkomsel', 'network', 'browsing', 'please', 'make it difficult', 'customer', 'price', 'package', 'data', 'expensive', 'balance', ' Speed ​​',' Fortunately ',' Nurkins', 'Network', 'Network', 'Where', 'Current', 'Network', 'Where', 'Diff"&amp;"icult', ""]")</f>
        <v>['Disappointed', 'Telkomsel', 'network', 'browsing', 'please', 'make it difficult', 'customer', 'price', 'package', 'data', 'expensive', 'balance', ' Speed ​​',' Fortunately ',' Nurkins', 'Network', 'Network', 'Where', 'Current', 'Network', 'Where', 'Difficult', "]</v>
      </c>
      <c r="D968" s="3">
        <v>1.0</v>
      </c>
    </row>
    <row r="969" ht="15.75" customHeight="1">
      <c r="A969" s="1">
        <v>967.0</v>
      </c>
      <c r="B969" s="3" t="s">
        <v>970</v>
      </c>
      <c r="C969" s="3" t="str">
        <f>IFERROR(__xludf.DUMMYFUNCTION("GOOGLETRANSLATE(B969,""id"",""en"")"),"['Customer', 'Telkomsel', 'Disappointed', 'here', 'Telkomsel', 'The network', 'Bad', 'Fix', 'Move', 'Operator', ""]")</f>
        <v>['Customer', 'Telkomsel', 'Disappointed', 'here', 'Telkomsel', 'The network', 'Bad', 'Fix', 'Move', 'Operator', "]</v>
      </c>
      <c r="D969" s="3">
        <v>1.0</v>
      </c>
    </row>
    <row r="970" ht="15.75" customHeight="1">
      <c r="A970" s="1">
        <v>968.0</v>
      </c>
      <c r="B970" s="3" t="s">
        <v>971</v>
      </c>
      <c r="C970" s="3" t="str">
        <f>IFERROR(__xludf.DUMMYFUNCTION("GOOGLETRANSLATE(B970,""id"",""en"")"),"['Lucky', 'in the city', 'sell', 'promo', 'internet', 'card', 'Telkomsel', 'likes',' streaming ',' ball ',' basketball ',' card ',' already ',' Try ',' Telkomsel ',' rare ',' really ',' ngelag ',' hypocritical ',' provider ',' best ',' continue ', ""]")</f>
        <v>['Lucky', 'in the city', 'sell', 'promo', 'internet', 'card', 'Telkomsel', 'likes',' streaming ',' ball ',' basketball ',' card ',' already ',' Try ',' Telkomsel ',' rare ',' really ',' ngelag ',' hypocritical ',' provider ',' best ',' continue ', "]</v>
      </c>
      <c r="D970" s="3">
        <v>5.0</v>
      </c>
    </row>
    <row r="971" ht="15.75" customHeight="1">
      <c r="A971" s="1">
        <v>969.0</v>
      </c>
      <c r="B971" s="3" t="s">
        <v>972</v>
      </c>
      <c r="C971" s="3" t="str">
        <f>IFERROR(__xludf.DUMMYFUNCTION("GOOGLETRANSLATE(B971,""id"",""en"")"),"['signal', 'slow', 'gapapa', 'oath', 'gapapa', 'alex', 'oath', 'gapapa', 'think', 'play', 'sosmed', 'game', ' Browsing ',' slow ',' Allah ',' want ',' slamming ',' remember ',' buy ',' package ',' data ',' sometimes', 'owe', 'buy', 'price' , 'expensive', "&amp;"'signal', 'blur', 'rich', 'friend', 'tags', 'debt', '']")</f>
        <v>['signal', 'slow', 'gapapa', 'oath', 'gapapa', 'alex', 'oath', 'gapapa', 'think', 'play', 'sosmed', 'game', ' Browsing ',' slow ',' Allah ',' want ',' slamming ',' remember ',' buy ',' package ',' data ',' sometimes', 'owe', 'buy', 'price' , 'expensive', 'signal', 'blur', 'rich', 'friend', 'tags', 'debt', '']</v>
      </c>
      <c r="D971" s="3">
        <v>1.0</v>
      </c>
    </row>
    <row r="972" ht="15.75" customHeight="1">
      <c r="A972" s="1">
        <v>970.0</v>
      </c>
      <c r="B972" s="3" t="s">
        <v>973</v>
      </c>
      <c r="C972" s="3" t="str">
        <f>IFERROR(__xludf.DUMMYFUNCTION("GOOGLETRANSLATE(B972,""id"",""en"")"),"['buy', 'package', 'credit', 'sufficient', 'Please', 'repaired', 'week', 'buy', 'package', 'school', 'please', 'repaired', ' as soon as possible', '']")</f>
        <v>['buy', 'package', 'credit', 'sufficient', 'Please', 'repaired', 'week', 'buy', 'package', 'school', 'please', 'repaired', ' as soon as possible', '']</v>
      </c>
      <c r="D972" s="3">
        <v>2.0</v>
      </c>
    </row>
    <row r="973" ht="15.75" customHeight="1">
      <c r="A973" s="1">
        <v>971.0</v>
      </c>
      <c r="B973" s="3" t="s">
        <v>974</v>
      </c>
      <c r="C973" s="3" t="str">
        <f>IFERROR(__xludf.DUMMYFUNCTION("GOOGLETRANSLATE(B973,""id"",""en"")"),"['system', 'bad', 'pulse', 'lost', 'usage', 'second', 'pulse', 'sucked', 'please', 'repair', 'system', 'oath', ' The system ',' ugly ',' really ',' service ',' please ',' repaired ',' ']")</f>
        <v>['system', 'bad', 'pulse', 'lost', 'usage', 'second', 'pulse', 'sucked', 'please', 'repair', 'system', 'oath', ' The system ',' ugly ',' really ',' service ',' please ',' repaired ',' ']</v>
      </c>
      <c r="D973" s="3">
        <v>1.0</v>
      </c>
    </row>
    <row r="974" ht="15.75" customHeight="1">
      <c r="A974" s="1">
        <v>972.0</v>
      </c>
      <c r="B974" s="3" t="s">
        <v>975</v>
      </c>
      <c r="C974" s="3" t="str">
        <f>IFERROR(__xludf.DUMMYFUNCTION("GOOGLETRANSLATE(B974,""id"",""en"")"),"['likes',' Telkomsel ',' expensive ',' network ',' good ',' skrg ',' down ',' hope ',' future ',' network ',' fix ',' rich ',' Gini ',' Mending ',' Move ',' Card ',' ']")</f>
        <v>['likes',' Telkomsel ',' expensive ',' network ',' good ',' skrg ',' down ',' hope ',' future ',' network ',' fix ',' rich ',' Gini ',' Mending ',' Move ',' Card ',' ']</v>
      </c>
      <c r="D974" s="3">
        <v>1.0</v>
      </c>
    </row>
    <row r="975" ht="15.75" customHeight="1">
      <c r="A975" s="1">
        <v>973.0</v>
      </c>
      <c r="B975" s="3" t="s">
        <v>976</v>
      </c>
      <c r="C975" s="3" t="str">
        <f>IFERROR(__xludf.DUMMYFUNCTION("GOOGLETRANSLATE(B975,""id"",""en"")"),"['Card', 'Telkom', 'Use', 'Kab', 'Signal', 'Skot', 'Sis',' City ',' Signal ',' Good ',' Really ',' Cepet ',' card ',' Telkom ',' Hello ',' Please ',' Help ']")</f>
        <v>['Card', 'Telkom', 'Use', 'Kab', 'Signal', 'Skot', 'Sis',' City ',' Signal ',' Good ',' Really ',' Cepet ',' card ',' Telkom ',' Hello ',' Please ',' Help ']</v>
      </c>
      <c r="D975" s="3">
        <v>3.0</v>
      </c>
    </row>
    <row r="976" ht="15.75" customHeight="1">
      <c r="A976" s="1">
        <v>974.0</v>
      </c>
      <c r="B976" s="3" t="s">
        <v>977</v>
      </c>
      <c r="C976" s="3" t="str">
        <f>IFERROR(__xludf.DUMMYFUNCTION("GOOGLETRANSLATE(B976,""id"",""en"")"),"['signal', 'already', 'week', 'ugly', 'bantul', 'Yogyakarta', 'smooth', 'data', 'quota', 'unli', 'buy', 'quota', ' main ',' cave ',' that's']")</f>
        <v>['signal', 'already', 'week', 'ugly', 'bantul', 'Yogyakarta', 'smooth', 'data', 'quota', 'unli', 'buy', 'quota', ' main ',' cave ',' that's']</v>
      </c>
      <c r="D976" s="3">
        <v>1.0</v>
      </c>
    </row>
    <row r="977" ht="15.75" customHeight="1">
      <c r="A977" s="1">
        <v>975.0</v>
      </c>
      <c r="B977" s="3" t="s">
        <v>978</v>
      </c>
      <c r="C977" s="3" t="str">
        <f>IFERROR(__xludf.DUMMYFUNCTION("GOOGLETRANSLATE(B977,""id"",""en"")"),"['Telkomsel', 'cheating', 'really', 'cook', 'told', 'Daily', 'check', 'right', 'claim', 'reward', 'bonus',' quota ',' GB ',' Button ',' Daily ',' Check ',' Diivenin ',' Woooiii ',' Telkomsel ',' Sousal ',' Hard ',' Kayak ',' Mantep ',' Huuuu ', ""]")</f>
        <v>['Telkomsel', 'cheating', 'really', 'cook', 'told', 'Daily', 'check', 'right', 'claim', 'reward', 'bonus',' quota ',' GB ',' Button ',' Daily ',' Check ',' Diivenin ',' Woooiii ',' Telkomsel ',' Sousal ',' Hard ',' Kayak ',' Mantep ',' Huuuu ', "]</v>
      </c>
      <c r="D977" s="3">
        <v>2.0</v>
      </c>
    </row>
    <row r="978" ht="15.75" customHeight="1">
      <c r="A978" s="1">
        <v>976.0</v>
      </c>
      <c r="B978" s="3" t="s">
        <v>979</v>
      </c>
      <c r="C978" s="3" t="str">
        <f>IFERROR(__xludf.DUMMYFUNCTION("GOOGLETRANSLATE(B978,""id"",""en"")"),"['Telkomsel', 'severe', 'data', 'internet', 'slow', 'really', 'open', 'facebook', 'need', 'struggle', 'please', 'fix', ' good', '']")</f>
        <v>['Telkomsel', 'severe', 'data', 'internet', 'slow', 'really', 'open', 'facebook', 'need', 'struggle', 'please', 'fix', ' good', '']</v>
      </c>
      <c r="D978" s="3">
        <v>1.0</v>
      </c>
    </row>
    <row r="979" ht="15.75" customHeight="1">
      <c r="A979" s="1">
        <v>977.0</v>
      </c>
      <c r="B979" s="3" t="s">
        <v>980</v>
      </c>
      <c r="C979" s="3" t="str">
        <f>IFERROR(__xludf.DUMMYFUNCTION("GOOGLETRANSLATE(B979,""id"",""en"")"),"['hate', 'Telkomsel', 'cave', 'turn on', 'package', 'data', 'right', 'cave', 'internet', 'appears',' sms', 'internet', ' rates', 'non', 'packages',' as a result ',' pulse ',' sumps', 'loss',' pulses', 'thousand', '']")</f>
        <v>['hate', 'Telkomsel', 'cave', 'turn on', 'package', 'data', 'right', 'cave', 'internet', 'appears',' sms', 'internet', ' rates', 'non', 'packages',' as a result ',' pulse ',' sumps', 'loss',' pulses', 'thousand', '']</v>
      </c>
      <c r="D979" s="3">
        <v>1.0</v>
      </c>
    </row>
    <row r="980" ht="15.75" customHeight="1">
      <c r="A980" s="1">
        <v>978.0</v>
      </c>
      <c r="B980" s="3" t="s">
        <v>981</v>
      </c>
      <c r="C980" s="3" t="str">
        <f>IFERROR(__xludf.DUMMYFUNCTION("GOOGLETRANSLATE(B980,""id"",""en"")"),"['It's easy', 'purchase', 'package', 'tranquility', 'quota', 'Telkomsel', 'skrng', 'signal', 'kutamg', 'good', 'yaa', 'quota', ' Sinyal ',' good ',' TPI ',' taste ',' card ',' Telkomsel ',' Hopefully ',' Telkomsel ',' fix ',' complaints', 'customer', ""]")</f>
        <v>['It's easy', 'purchase', 'package', 'tranquility', 'quota', 'Telkomsel', 'skrng', 'signal', 'kutamg', 'good', 'yaa', 'quota', ' Sinyal ',' good ',' TPI ',' taste ',' card ',' Telkomsel ',' Hopefully ',' Telkomsel ',' fix ',' complaints', 'customer', "]</v>
      </c>
      <c r="D980" s="3">
        <v>4.0</v>
      </c>
    </row>
    <row r="981" ht="15.75" customHeight="1">
      <c r="A981" s="1">
        <v>979.0</v>
      </c>
      <c r="B981" s="3" t="s">
        <v>982</v>
      </c>
      <c r="C981" s="3" t="str">
        <f>IFERROR(__xludf.DUMMYFUNCTION("GOOGLETRANSLATE(B981,""id"",""en"")"),"['already', 'week', 'check', 'right', 'check', 'check', 'stamp', 'ilang', 'original', 'tricked', 'spent', 'quota', ' Steady ',' Tipu ']")</f>
        <v>['already', 'week', 'check', 'right', 'check', 'check', 'stamp', 'ilang', 'original', 'tricked', 'spent', 'quota', ' Steady ',' Tipu ']</v>
      </c>
      <c r="D981" s="3">
        <v>5.0</v>
      </c>
    </row>
    <row r="982" ht="15.75" customHeight="1">
      <c r="A982" s="1">
        <v>980.0</v>
      </c>
      <c r="B982" s="3" t="s">
        <v>983</v>
      </c>
      <c r="C982" s="3" t="str">
        <f>IFERROR(__xludf.DUMMYFUNCTION("GOOGLETRANSLATE(B982,""id"",""en"")"),"['user', 'card', 'heart', 'charred', 'recharge', 'Disable', 'sell', 'Different', 'next door', 'scorched', 'fix', 'change', ' After postpaid ',' disappointing ']")</f>
        <v>['user', 'card', 'heart', 'charred', 'recharge', 'Disable', 'sell', 'Different', 'next door', 'scorched', 'fix', 'change', ' After postpaid ',' disappointing ']</v>
      </c>
      <c r="D982" s="3">
        <v>1.0</v>
      </c>
    </row>
    <row r="983" ht="15.75" customHeight="1">
      <c r="A983" s="1">
        <v>981.0</v>
      </c>
      <c r="B983" s="3" t="s">
        <v>984</v>
      </c>
      <c r="C983" s="3" t="str">
        <f>IFERROR(__xludf.DUMMYFUNCTION("GOOGLETRANSLATE(B983,""id"",""en"")"),"['Telkomsel', 'package', 'expensive', 'network', 'good', 'emank', 'network', 'right', 'try', 'play', 'watch', 'ngeleq', ' Delay ',' Plissss', 'Network', 'please', 'Conducts', ""]")</f>
        <v>['Telkomsel', 'package', 'expensive', 'network', 'good', 'emank', 'network', 'right', 'try', 'play', 'watch', 'ngeleq', ' Delay ',' Plissss', 'Network', 'please', 'Conducts', "]</v>
      </c>
      <c r="D983" s="3">
        <v>1.0</v>
      </c>
    </row>
    <row r="984" ht="15.75" customHeight="1">
      <c r="A984" s="1">
        <v>982.0</v>
      </c>
      <c r="B984" s="3" t="s">
        <v>985</v>
      </c>
      <c r="C984" s="3" t="str">
        <f>IFERROR(__xludf.DUMMYFUNCTION("GOOGLETRANSLATE(B984,""id"",""en"")"),"['', 'Telkom', 'Severe', 'Fill', 'Credit', 'Matiin', 'Data', 'Cellular', 'Direct', 'Disappear', 'Theft', 'Smooth', 'anjrit ',' already ',' times', 'that's',' access', 'WhatsApp', 'second', 'doang', 'disappointed', '']")</f>
        <v>['', 'Telkom', 'Severe', 'Fill', 'Credit', 'Matiin', 'Data', 'Cellular', 'Direct', 'Disappear', 'Theft', 'Smooth', 'anjrit ',' already ',' times', 'that's',' access', 'WhatsApp', 'second', 'doang', 'disappointed', '']</v>
      </c>
      <c r="D984" s="3">
        <v>1.0</v>
      </c>
    </row>
    <row r="985" ht="15.75" customHeight="1">
      <c r="A985" s="1">
        <v>983.0</v>
      </c>
      <c r="B985" s="3" t="s">
        <v>986</v>
      </c>
      <c r="C985" s="3" t="str">
        <f>IFERROR(__xludf.DUMMYFUNCTION("GOOGLETRANSLATE(B985,""id"",""en"")"),"['Please', 'given', 'Additional', 'Features',' Locking ',' Credit ',' Pulse ',' Sumpot ',' Kouta ',' Data ',' Disappear ',' Really ',' late ',' minutes', 'pulse', 'directly', 'Ludes',' Out ',' Pliss', 'Plusin', 'Features',' Padlock ',' pulses', ""]")</f>
        <v>['Please', 'given', 'Additional', 'Features',' Locking ',' Credit ',' Pulse ',' Sumpot ',' Kouta ',' Data ',' Disappear ',' Really ',' late ',' minutes', 'pulse', 'directly', 'Ludes',' Out ',' Pliss', 'Plusin', 'Features',' Padlock ',' pulses', "]</v>
      </c>
      <c r="D985" s="3">
        <v>3.0</v>
      </c>
    </row>
    <row r="986" ht="15.75" customHeight="1">
      <c r="A986" s="1">
        <v>984.0</v>
      </c>
      <c r="B986" s="3" t="s">
        <v>987</v>
      </c>
      <c r="C986" s="3" t="str">
        <f>IFERROR(__xludf.DUMMYFUNCTION("GOOGLETRANSLATE(B986,""id"",""en"")"),"['Network', 'unlimited', 'slow', 'quota', 'abis',' sosmed ',' play ',' game ',' kek ',' jaringa ',' expensive ',' doang ',' The network is', 'kagak', 'stable']")</f>
        <v>['Network', 'unlimited', 'slow', 'quota', 'abis',' sosmed ',' play ',' game ',' kek ',' jaringa ',' expensive ',' doang ',' The network is', 'kagak', 'stable']</v>
      </c>
      <c r="D986" s="3">
        <v>3.0</v>
      </c>
    </row>
    <row r="987" ht="15.75" customHeight="1">
      <c r="A987" s="1">
        <v>985.0</v>
      </c>
      <c r="B987" s="3" t="s">
        <v>988</v>
      </c>
      <c r="C987" s="3" t="str">
        <f>IFERROR(__xludf.DUMMYFUNCTION("GOOGLETRANSLATE(B987,""id"",""en"")"),"['quota', 'internet', 'actip', 'signal', 'city', 'village', 'really', 'tormented', 'read', 'Grafari', 'closest', 'replace', ' card ',' registered ',' school ',' complicated ',' change ',' signal ',' beg ',' fix ',' comfortable ', ""]")</f>
        <v>['quota', 'internet', 'actip', 'signal', 'city', 'village', 'really', 'tormented', 'read', 'Grafari', 'closest', 'replace', ' card ',' registered ',' school ',' complicated ',' change ',' signal ',' beg ',' fix ',' comfortable ', "]</v>
      </c>
      <c r="D987" s="3">
        <v>3.0</v>
      </c>
    </row>
    <row r="988" ht="15.75" customHeight="1">
      <c r="A988" s="1">
        <v>986.0</v>
      </c>
      <c r="B988" s="3" t="s">
        <v>989</v>
      </c>
      <c r="C988" s="3" t="str">
        <f>IFERROR(__xludf.DUMMYFUNCTION("GOOGLETRANSLATE(B988,""id"",""en"")"),"['Min', 'quota', 'YouTube', 'GB', 'Sumpot', 'pulses',' thousand ',' leftover ',' thousand ',' back ',' sincerely ',' star ',' Select ',' Star ',' application ',' given ',' star ',' ']")</f>
        <v>['Min', 'quota', 'YouTube', 'GB', 'Sumpot', 'pulses',' thousand ',' leftover ',' thousand ',' back ',' sincerely ',' star ',' Select ',' Star ',' application ',' given ',' star ',' ']</v>
      </c>
      <c r="D988" s="3">
        <v>1.0</v>
      </c>
    </row>
    <row r="989" ht="15.75" customHeight="1">
      <c r="A989" s="1">
        <v>987.0</v>
      </c>
      <c r="B989" s="3" t="s">
        <v>990</v>
      </c>
      <c r="C989" s="3" t="str">
        <f>IFERROR(__xludf.DUMMYFUNCTION("GOOGLETRANSLATE(B989,""id"",""en"")"),"['Actually', 'network', 'Telkomsel', 'good', 'dear', 'slow', 'weather', 'bad', 'try', 'fix', 'stability', 'network', ' Customer ',' comfortable ',' network ',' thank you ']")</f>
        <v>['Actually', 'network', 'Telkomsel', 'good', 'dear', 'slow', 'weather', 'bad', 'try', 'fix', 'stability', 'network', ' Customer ',' comfortable ',' network ',' thank you ']</v>
      </c>
      <c r="D989" s="3">
        <v>5.0</v>
      </c>
    </row>
    <row r="990" ht="15.75" customHeight="1">
      <c r="A990" s="1">
        <v>988.0</v>
      </c>
      <c r="B990" s="3" t="s">
        <v>991</v>
      </c>
      <c r="C990" s="3" t="str">
        <f>IFERROR(__xludf.DUMMYFUNCTION("GOOGLETRANSLATE(B990,""id"",""en"")"),"['Disappointed', 'Quality', 'Signal', 'Telkomsel', 'User', 'Faithful', 'Telkomsel', 'Signal', 'Good', 'TPI', 'Signal', 'Telkomsel', ' bad ',' price ',' quality ',' network ',' bad ',' hope ',' improvement ',' as soon as possible ',' Telkomsel ',' user ','"&amp;" loyal ',' Telkomsel ',' switch ' ]")</f>
        <v>['Disappointed', 'Quality', 'Signal', 'Telkomsel', 'User', 'Faithful', 'Telkomsel', 'Signal', 'Good', 'TPI', 'Signal', 'Telkomsel', ' bad ',' price ',' quality ',' network ',' bad ',' hope ',' improvement ',' as soon as possible ',' Telkomsel ',' user ',' loyal ',' Telkomsel ',' switch ' ]</v>
      </c>
      <c r="D990" s="3">
        <v>1.0</v>
      </c>
    </row>
    <row r="991" ht="15.75" customHeight="1">
      <c r="A991" s="1">
        <v>989.0</v>
      </c>
      <c r="B991" s="3" t="s">
        <v>992</v>
      </c>
      <c r="C991" s="3" t="str">
        <f>IFERROR(__xludf.DUMMYFUNCTION("GOOGLETRANSLATE(B991,""id"",""en"")"),"['Please', 'Sis',' Fix ',' Signal ',' Telkomsel ',' Signal ',' Telkomsel ',' Bad ',' Region ',' Region ',' Ciamis', 'Please', ' Fire ',' signal ',' troubling ',' Main ',' Gane ', ""]")</f>
        <v>['Please', 'Sis',' Fix ',' Signal ',' Telkomsel ',' Signal ',' Telkomsel ',' Bad ',' Region ',' Region ',' Ciamis', 'Please', ' Fire ',' signal ',' troubling ',' Main ',' Gane ', "]</v>
      </c>
      <c r="D991" s="3">
        <v>1.0</v>
      </c>
    </row>
    <row r="992" ht="15.75" customHeight="1">
      <c r="A992" s="1">
        <v>990.0</v>
      </c>
      <c r="B992" s="3" t="s">
        <v>993</v>
      </c>
      <c r="C992" s="3" t="str">
        <f>IFERROR(__xludf.DUMMYFUNCTION("GOOGLETRANSLATE(B992,""id"",""en"")"),"['Card', 'Telkomsel', 'smooth', 'ajh', 'obstacles',' lag ',' signal ',' data ',' dead ',' buy ',' quota ',' unlimited ',' Max ',' GB ',' accessed ',' buy ',' accessed ',' waste ',' money ',' ajh ',' please ',' Telkomsel ',' repaired ',' please ""]")</f>
        <v>['Card', 'Telkomsel', 'smooth', 'ajh', 'obstacles',' lag ',' signal ',' data ',' dead ',' buy ',' quota ',' unlimited ',' Max ',' GB ',' accessed ',' buy ',' accessed ',' waste ',' money ',' ajh ',' please ',' Telkomsel ',' repaired ',' please "]</v>
      </c>
      <c r="D992" s="3">
        <v>3.0</v>
      </c>
    </row>
    <row r="993" ht="15.75" customHeight="1">
      <c r="A993" s="1">
        <v>991.0</v>
      </c>
      <c r="B993" s="3" t="s">
        <v>994</v>
      </c>
      <c r="C993" s="3" t="str">
        <f>IFERROR(__xludf.DUMMYFUNCTION("GOOGLETRANSLATE(B993,""id"",""en"")"),"['Download', 'Application', 'Verification', 'Link', 'Link', 'Expired', 'Trus', 'Errr', 'Kah', 'Application', '']")</f>
        <v>['Download', 'Application', 'Verification', 'Link', 'Link', 'Expired', 'Trus', 'Errr', 'Kah', 'Application', '']</v>
      </c>
      <c r="D993" s="3">
        <v>1.0</v>
      </c>
    </row>
    <row r="994" ht="15.75" customHeight="1">
      <c r="A994" s="1">
        <v>992.0</v>
      </c>
      <c r="B994" s="3" t="s">
        <v>995</v>
      </c>
      <c r="C994" s="3" t="str">
        <f>IFERROR(__xludf.DUMMYFUNCTION("GOOGLETRANSLATE(B994,""id"",""en"")"),"['Open', 'App', 'Loading', 'TRS', 'Signal', 'Full', 'Content', 'Credit', 'App', 'Response', 'System', 'Disruption', ' Check ',' pulse ',' knp ',' please ',' ']")</f>
        <v>['Open', 'App', 'Loading', 'TRS', 'Signal', 'Full', 'Content', 'Credit', 'App', 'Response', 'System', 'Disruption', ' Check ',' pulse ',' knp ',' please ',' ']</v>
      </c>
      <c r="D994" s="3">
        <v>1.0</v>
      </c>
    </row>
    <row r="995" ht="15.75" customHeight="1">
      <c r="A995" s="1">
        <v>993.0</v>
      </c>
      <c r="B995" s="3" t="s">
        <v>996</v>
      </c>
      <c r="C995" s="3" t="str">
        <f>IFERROR(__xludf.DUMMYFUNCTION("GOOGLETRANSLATE(B995,""id"",""en"")"),"['quota', 'internet', 'notice', 'wear', 'access',' non ',' package ',' cheek ',' deh ',' pulseku ',' lost ',' thousand ',' where to', '']")</f>
        <v>['quota', 'internet', 'notice', 'wear', 'access',' non ',' package ',' cheek ',' deh ',' pulseku ',' lost ',' thousand ',' where to', '']</v>
      </c>
      <c r="D995" s="3">
        <v>1.0</v>
      </c>
    </row>
    <row r="996" ht="15.75" customHeight="1">
      <c r="A996" s="1">
        <v>994.0</v>
      </c>
      <c r="B996" s="3" t="s">
        <v>997</v>
      </c>
      <c r="C996" s="3" t="str">
        <f>IFERROR(__xludf.DUMMYFUNCTION("GOOGLETRANSLATE(B996,""id"",""en"")"),"['Yesterday', 'buy', 'package', 'RB', 'access',' Disney ',' Hotstar ',' right ',' watch ',' leftover ',' package ',' GB ',' gabisa ',' access', 'please', 'telkom', 'gmn']")</f>
        <v>['Yesterday', 'buy', 'package', 'RB', 'access',' Disney ',' Hotstar ',' right ',' watch ',' leftover ',' package ',' GB ',' gabisa ',' access', 'please', 'telkom', 'gmn']</v>
      </c>
      <c r="D996" s="3">
        <v>2.0</v>
      </c>
    </row>
    <row r="997" ht="15.75" customHeight="1">
      <c r="A997" s="1">
        <v>995.0</v>
      </c>
      <c r="B997" s="3" t="s">
        <v>998</v>
      </c>
      <c r="C997" s="3" t="str">
        <f>IFERROR(__xludf.DUMMYFUNCTION("GOOGLETRANSLATE(B997,""id"",""en"")"),"['play', 'game', 'mobile', 'Legends',' data ',' wifi ',' pulses', 'sucked', 'have', 'quota', 'games',' GB ',' Please ',' Expert ',' Karna ',' Send ',' Email ',' responded to ',' Over ',' Thank "", 'Love']")</f>
        <v>['play', 'game', 'mobile', 'Legends',' data ',' wifi ',' pulses', 'sucked', 'have', 'quota', 'games',' GB ',' Please ',' Expert ',' Karna ',' Send ',' Email ',' responded to ',' Over ',' Thank ", 'Love']</v>
      </c>
      <c r="D997" s="3">
        <v>1.0</v>
      </c>
    </row>
    <row r="998" ht="15.75" customHeight="1">
      <c r="A998" s="1">
        <v>996.0</v>
      </c>
      <c r="B998" s="3" t="s">
        <v>999</v>
      </c>
      <c r="C998" s="3" t="str">
        <f>IFERROR(__xludf.DUMMYFUNCTION("GOOGLETRANSLATE(B998,""id"",""en"")"),"['application', 'opened', 'gmna', 'network', 'difficult', 'really', 'satellite', 'earth', 'flat', 'mandaway', 'space', 'vacuum', ' Surround ',' Sun ',' wkwkw ']")</f>
        <v>['application', 'opened', 'gmna', 'network', 'difficult', 'really', 'satellite', 'earth', 'flat', 'mandaway', 'space', 'vacuum', ' Surround ',' Sun ',' wkwkw ']</v>
      </c>
      <c r="D998" s="3">
        <v>1.0</v>
      </c>
    </row>
    <row r="999" ht="15.75" customHeight="1">
      <c r="A999" s="1">
        <v>997.0</v>
      </c>
      <c r="B999" s="3" t="s">
        <v>1000</v>
      </c>
      <c r="C999" s="3" t="str">
        <f>IFERROR(__xludf.DUMMYFUNCTION("GOOGLETRANSLATE(B999,""id"",""en"")"),"['Combo', 'Sakti', 'Free', 'Medsos',' Games', 'Etc.', 'Free', 'What', 'Credit', 'Detinent', 'Quota', 'Call', ' road ',' abisin ',' quota ',' internet ',' free ',' medsos', 'games',' road ',' signal ',' love ',' severe ',' really ',' offer ' , 'Great', 'Te"&amp;"lkomsel', '']")</f>
        <v>['Combo', 'Sakti', 'Free', 'Medsos',' Games', 'Etc.', 'Free', 'What', 'Credit', 'Detinent', 'Quota', 'Call', ' road ',' abisin ',' quota ',' internet ',' free ',' medsos', 'games',' road ',' signal ',' love ',' severe ',' really ',' offer ' , 'Great', 'Telkomsel', '']</v>
      </c>
      <c r="D999" s="3">
        <v>1.0</v>
      </c>
    </row>
    <row r="1000" ht="15.75" customHeight="1">
      <c r="A1000" s="1">
        <v>998.0</v>
      </c>
      <c r="B1000" s="3" t="s">
        <v>1001</v>
      </c>
      <c r="C1000" s="3" t="str">
        <f>IFERROR(__xludf.DUMMYFUNCTION("GOOGLETRANSLATE(B1000,""id"",""en"")"),"['', 'Kampung', 'Signal', 'internet', 'Nida', 'stable', 'Kampung', 'Fahudu', 'Island', 'Hiri', 'Maluku', 'North', 'Please ',' See ',' expect ',' for ',' education ',' ']")</f>
        <v>['', 'Kampung', 'Signal', 'internet', 'Nida', 'stable', 'Kampung', 'Fahudu', 'Island', 'Hiri', 'Maluku', 'North', 'Please ',' See ',' expect ',' for ',' education ',' ']</v>
      </c>
      <c r="D1000" s="3">
        <v>3.0</v>
      </c>
    </row>
    <row r="1001" ht="15.75" customHeight="1">
      <c r="A1001" s="1">
        <v>999.0</v>
      </c>
      <c r="B1001" s="3" t="s">
        <v>1002</v>
      </c>
      <c r="C1001" s="3" t="str">
        <f>IFERROR(__xludf.DUMMYFUNCTION("GOOGLETRANSLATE(B1001,""id"",""en"")"),"['Light', 'Network', 'Internet', 'Telkomsel', 'Severe', 'Please', 'Fix', 'Offer', 'Package', 'Internet', 'Network', 'Leet', ' Greetings', 'Ternate', 'Maluku', 'North']")</f>
        <v>['Light', 'Network', 'Internet', 'Telkomsel', 'Severe', 'Please', 'Fix', 'Offer', 'Package', 'Internet', 'Network', 'Leet', ' Greetings', 'Ternate', 'Maluku', 'North']</v>
      </c>
      <c r="D1001" s="3">
        <v>1.0</v>
      </c>
    </row>
    <row r="1002" ht="15.75" customHeight="1">
      <c r="A1002" s="1">
        <v>1000.0</v>
      </c>
      <c r="B1002" s="3" t="s">
        <v>1003</v>
      </c>
      <c r="C1002" s="3" t="str">
        <f>IFERROR(__xludf.DUMMYFUNCTION("GOOGLETRANSLATE(B1002,""id"",""en"")"),"['Disappointed', 'really', 'cave', 'ama', 'Telkomsel', 'price', 'quota', 'doang', 'expensive', 'kaga', 'gunain', 'cave', ' Udh ',' buy ',' quota ',' unlimitied ',' rb ',' quota ',' unlimitied ',' youtube ',' right ',' quota ',' main ',' out ',' quota ' , "&amp;"'Unlimitied', 'Kaga', 'Disappointed', 'Bat', 'Cave', 'Kaga', 'Gunain', ""]")</f>
        <v>['Disappointed', 'really', 'cave', 'ama', 'Telkomsel', 'price', 'quota', 'doang', 'expensive', 'kaga', 'gunain', 'cave', ' Udh ',' buy ',' quota ',' unlimitied ',' rb ',' quota ',' unlimitied ',' youtube ',' right ',' quota ',' main ',' out ',' quota ' , 'Unlimitied', 'Kaga', 'Disappointed', 'Bat', 'Cave', 'Kaga', 'Gunain', "]</v>
      </c>
      <c r="D1002" s="3">
        <v>1.0</v>
      </c>
    </row>
    <row r="1003" ht="15.75" customHeight="1">
      <c r="A1003" s="1">
        <v>1001.0</v>
      </c>
      <c r="B1003" s="3" t="s">
        <v>1004</v>
      </c>
      <c r="C1003" s="3" t="str">
        <f>IFERROR(__xludf.DUMMYFUNCTION("GOOGLETRANSLATE(B1003,""id"",""en"")"),"['please', 'Telkomsel', 'fix', 'network', 'slow', 'really', 'different', 'next door', 'open', 'application', 'bnget', 'card', ' Most expensive ',' Quality ',' Network ',' Best ',' Please ',' Fix ',' ']")</f>
        <v>['please', 'Telkomsel', 'fix', 'network', 'slow', 'really', 'different', 'next door', 'open', 'application', 'bnget', 'card', ' Most expensive ',' Quality ',' Network ',' Best ',' Please ',' Fix ',' ']</v>
      </c>
      <c r="D1003" s="3">
        <v>1.0</v>
      </c>
    </row>
    <row r="1004" ht="15.75" customHeight="1">
      <c r="A1004" s="1">
        <v>1002.0</v>
      </c>
      <c r="B1004" s="3" t="s">
        <v>1005</v>
      </c>
      <c r="C1004" s="3" t="str">
        <f>IFERROR(__xludf.DUMMYFUNCTION("GOOGLETRANSLATE(B1004,""id"",""en"")"),"['Yesterday', 'Register', 'Telfon', 'Helloooo', 'Telkomsel', 'Kaabar', 'Fix', '']")</f>
        <v>['Yesterday', 'Register', 'Telfon', 'Helloooo', 'Telkomsel', 'Kaabar', 'Fix', '']</v>
      </c>
      <c r="D1004" s="3">
        <v>2.0</v>
      </c>
    </row>
    <row r="1005" ht="15.75" customHeight="1">
      <c r="A1005" s="1">
        <v>1003.0</v>
      </c>
      <c r="B1005" s="3" t="s">
        <v>1006</v>
      </c>
      <c r="C1005" s="3" t="str">
        <f>IFERROR(__xludf.DUMMYFUNCTION("GOOGLETRANSLATE(B1005,""id"",""en"")"),"['weak', 'network', 'slow', 'use', 'game', 'every hour', 'noon', 'clock', 'clock', 'night', 'weak', ' Used ',' Please ',' The Network ',' Spirit ',' ']")</f>
        <v>['weak', 'network', 'slow', 'use', 'game', 'every hour', 'noon', 'clock', 'clock', 'night', 'weak', ' Used ',' Please ',' The Network ',' Spirit ',' ']</v>
      </c>
      <c r="D1005" s="3">
        <v>1.0</v>
      </c>
    </row>
    <row r="1006" ht="15.75" customHeight="1">
      <c r="A1006" s="1">
        <v>1004.0</v>
      </c>
      <c r="B1006" s="3" t="s">
        <v>1007</v>
      </c>
      <c r="C1006" s="3" t="str">
        <f>IFERROR(__xludf.DUMMYFUNCTION("GOOGLETRANSLATE(B1006,""id"",""en"")"),"['network', 'Telkomsel', 'Kyk', 'disappointed', 'cave', 'Padaha', 'cave', 'already', 'telkomsel', 'package', 'dri', 'kerna', ' SKRNG ',' Price ',' Quota ',' Lower ',' Network ',' Kyk ',' Shows', 'GB', 'Cave', 'A Week', 'Abis',' Buy ',' a month ' , 'Belom'"&amp;", 'run out', 'package', 'disappointed', 'cave', 'change', 'package', 'jingan', 'ANCCUR', 'cave', 'need', 'strieming', ' Coy ',' Please ',' Restore ',' Price ',' Normal ',' Leave ',' Hrga ',' Telkomsel ',' Quality ',' Network ', ""]")</f>
        <v>['network', 'Telkomsel', 'Kyk', 'disappointed', 'cave', 'Padaha', 'cave', 'already', 'telkomsel', 'package', 'dri', 'kerna', ' SKRNG ',' Price ',' Quota ',' Lower ',' Network ',' Kyk ',' Shows', 'GB', 'Cave', 'A Week', 'Abis',' Buy ',' a month ' , 'Belom', 'run out', 'package', 'disappointed', 'cave', 'change', 'package', 'jingan', 'ANCCUR', 'cave', 'need', 'strieming', ' Coy ',' Please ',' Restore ',' Price ',' Normal ',' Leave ',' Hrga ',' Telkomsel ',' Quality ',' Network ', "]</v>
      </c>
      <c r="D1006" s="3">
        <v>1.0</v>
      </c>
    </row>
    <row r="1007" ht="15.75" customHeight="1">
      <c r="A1007" s="1">
        <v>1005.0</v>
      </c>
      <c r="B1007" s="3" t="s">
        <v>1008</v>
      </c>
      <c r="C1007" s="3" t="str">
        <f>IFERROR(__xludf.DUMMYFUNCTION("GOOGLETRANSLATE(B1007,""id"",""en"")"),"['Minus',' star ',' Telkomsel ',' satisfying ',' network ',' intered ',' slow ',' slow ',' stagnant ',' goat ',' connects', 'connects',' Disbaned ',' card ',' exsis', 'connection', 'fast', 'connected', 'Telkomsel', 'satisfying', 'minimal', 'stop', 'use', "&amp;"'Telkomsel']")</f>
        <v>['Minus',' star ',' Telkomsel ',' satisfying ',' network ',' intered ',' slow ',' slow ',' stagnant ',' goat ',' connects', 'connects',' Disbaned ',' card ',' exsis', 'connection', 'fast', 'connected', 'Telkomsel', 'satisfying', 'minimal', 'stop', 'use', 'Telkomsel']</v>
      </c>
      <c r="D1007" s="3">
        <v>1.0</v>
      </c>
    </row>
    <row r="1008" ht="15.75" customHeight="1">
      <c r="A1008" s="1">
        <v>1006.0</v>
      </c>
      <c r="B1008" s="3" t="s">
        <v>1009</v>
      </c>
      <c r="C1008" s="3" t="str">
        <f>IFERROR(__xludf.DUMMYFUNCTION("GOOGLETRANSLATE(B1008,""id"",""en"")"),"['company', 'class',' BUMN ',' national ',' abal ',' abal ',' sorry ',' complaint ',' blah ',' blah ',' blah ',' bleh ',' already ',' price ',' expensive ',' network ',' slow ',' number ',' telkomselku ',' lbh ',' yes', 'network', 'lbh', 'smooth', 'drpd' "&amp;", 'Current', 'Plisss', 'Your', 'Price', 'Doesn', 'Match', 'WITH', 'YOUR', 'QUALITY', '']")</f>
        <v>['company', 'class',' BUMN ',' national ',' abal ',' abal ',' sorry ',' complaint ',' blah ',' blah ',' blah ',' bleh ',' already ',' price ',' expensive ',' network ',' slow ',' number ',' telkomselku ',' lbh ',' yes', 'network', 'lbh', 'smooth', 'drpd' , 'Current', 'Plisss', 'Your', 'Price', 'Doesn', 'Match', 'WITH', 'YOUR', 'QUALITY', '']</v>
      </c>
      <c r="D1008" s="3">
        <v>1.0</v>
      </c>
    </row>
    <row r="1009" ht="15.75" customHeight="1">
      <c r="A1009" s="1">
        <v>1007.0</v>
      </c>
      <c r="B1009" s="3" t="s">
        <v>1010</v>
      </c>
      <c r="C1009" s="3" t="str">
        <f>IFERROR(__xludf.DUMMYFUNCTION("GOOGLETRANSLATE(B1009,""id"",""en"")"),"['date', 'March', 'moved', 'Indosat', 'network', 'waits',' repairs', 'network', 'internet', 'complaints',' user ',' sympathy ',' In the area ',' Live ',' Blum ',' repairs', 'use', 'sympathy', 'Blum', 'Happy', 'May', 'Telkomsel', 'fast', 'fix it', 'dear' ,"&amp;" 'Use', 'Karawang', 'West', 'Kerta', 'Earth', 'Karawang', 'Kulon', ""]")</f>
        <v>['date', 'March', 'moved', 'Indosat', 'network', 'waits',' repairs', 'network', 'internet', 'complaints',' user ',' sympathy ',' In the area ',' Live ',' Blum ',' repairs', 'use', 'sympathy', 'Blum', 'Happy', 'May', 'Telkomsel', 'fast', 'fix it', 'dear' , 'Use', 'Karawang', 'West', 'Kerta', 'Earth', 'Karawang', 'Kulon', "]</v>
      </c>
      <c r="D1009" s="3">
        <v>1.0</v>
      </c>
    </row>
    <row r="1010" ht="15.75" customHeight="1">
      <c r="A1010" s="1">
        <v>1008.0</v>
      </c>
      <c r="B1010" s="3" t="s">
        <v>1011</v>
      </c>
      <c r="C1010" s="3" t="str">
        <f>IFERROR(__xludf.DUMMYFUNCTION("GOOGLETRANSLATE(B1010,""id"",""en"")"),"['user', 'apk', 'Telkomsel', 'thanks',' promo ',' daily ',' chak ',' patient ',' quota ',' help ',' relieve ',' use ',' quota', '']")</f>
        <v>['user', 'apk', 'Telkomsel', 'thanks',' promo ',' daily ',' chak ',' patient ',' quota ',' help ',' relieve ',' use ',' quota', '']</v>
      </c>
      <c r="D1010" s="3">
        <v>5.0</v>
      </c>
    </row>
    <row r="1011" ht="15.75" customHeight="1">
      <c r="A1011" s="1">
        <v>1009.0</v>
      </c>
      <c r="B1011" s="3" t="s">
        <v>1012</v>
      </c>
      <c r="C1011" s="3" t="str">
        <f>IFERROR(__xludf.DUMMYFUNCTION("GOOGLETRANSLATE(B1011,""id"",""en"")"),"['Disappointed', 'Telkomsel', 'pulse', 'masul', 'thousand', 'leftover', 'buy', 'coin', 'webtoon', 'the rest', 'kqn', 'kepake', ' sms', 'Rupian', 'thousands',' doooooong ',' leftover ',' the rest ',' where ',' crazy ',' yaa ',' telkomsel ',' take ',' pulse"&amp;"s', 'really' , 'quota', 'expensive', 'fast', 'run out', 'pulak', 'severe', 'severe', 'severe', ""]")</f>
        <v>['Disappointed', 'Telkomsel', 'pulse', 'masul', 'thousand', 'leftover', 'buy', 'coin', 'webtoon', 'the rest', 'kqn', 'kepake', ' sms', 'Rupian', 'thousands',' doooooong ',' leftover ',' the rest ',' where ',' crazy ',' yaa ',' telkomsel ',' take ',' pulses', 'really' , 'quota', 'expensive', 'fast', 'run out', 'pulak', 'severe', 'severe', 'severe', "]</v>
      </c>
      <c r="D1011" s="3">
        <v>1.0</v>
      </c>
    </row>
    <row r="1012" ht="15.75" customHeight="1">
      <c r="A1012" s="1">
        <v>1010.0</v>
      </c>
      <c r="B1012" s="3" t="s">
        <v>1013</v>
      </c>
      <c r="C1012" s="3" t="str">
        <f>IFERROR(__xludf.DUMMYFUNCTION("GOOGLETRANSLATE(B1012,""id"",""en"")"),"['Unreg', 'unsubscribe', 'Package', 'Tel', 'Monthly', 'How', 'Follow', 'Veronica', 'unsubscribe', 'Unreg', 'Please', 'info']")</f>
        <v>['Unreg', 'unsubscribe', 'Package', 'Tel', 'Monthly', 'How', 'Follow', 'Veronica', 'unsubscribe', 'Unreg', 'Please', 'info']</v>
      </c>
      <c r="D1012" s="3">
        <v>1.0</v>
      </c>
    </row>
    <row r="1013" ht="15.75" customHeight="1">
      <c r="A1013" s="1">
        <v>1011.0</v>
      </c>
      <c r="B1013" s="3" t="s">
        <v>1014</v>
      </c>
      <c r="C1013" s="3" t="str">
        <f>IFERROR(__xludf.DUMMYFUNCTION("GOOGLETRANSLATE(B1013,""id"",""en"")"),"['Telkomsel', 'Purpose', 'Communication', 'Where', 'Limited', 'Reach', 'Stability', 'Signal', 'Mumpuni', 'Telkomsel', 'friend', 'Abadi', ' Serve ',' nusa ',' nation ', ""]")</f>
        <v>['Telkomsel', 'Purpose', 'Communication', 'Where', 'Limited', 'Reach', 'Stability', 'Signal', 'Mumpuni', 'Telkomsel', 'friend', 'Abadi', ' Serve ',' nusa ',' nation ', "]</v>
      </c>
      <c r="D1013" s="3">
        <v>5.0</v>
      </c>
    </row>
    <row r="1014" ht="15.75" customHeight="1">
      <c r="A1014" s="1">
        <v>1012.0</v>
      </c>
      <c r="B1014" s="3" t="s">
        <v>1015</v>
      </c>
      <c r="C1014" s="3" t="str">
        <f>IFERROR(__xludf.DUMMYFUNCTION("GOOGLETRANSLATE(B1014,""id"",""en"")"),"['Read', 'Review', 'Customer', 'Majority', 'Satisfied', 'Service', 'Telkomsel', 'Price', 'Paketan', 'Expensive', 'Signal', 'Super', ' slow ',' lost ',' sucked ',' pulse ',' lied to ',' fooled ',' cheating ',' Telkomsel ',' Telkomsel ',' listen ',' complai"&amp;"nts', 'usually', 'please' , 'CONTACT', 'MIMIN', 'BLA', 'BLA', 'BLA', 'Action', 'Advanced', 'Already', 'Closed', 'For Sale', ""]")</f>
        <v>['Read', 'Review', 'Customer', 'Majority', 'Satisfied', 'Service', 'Telkomsel', 'Price', 'Paketan', 'Expensive', 'Signal', 'Super', ' slow ',' lost ',' sucked ',' pulse ',' lied to ',' fooled ',' cheating ',' Telkomsel ',' Telkomsel ',' listen ',' complaints', 'usually', 'please' , 'CONTACT', 'MIMIN', 'BLA', 'BLA', 'BLA', 'Action', 'Advanced', 'Already', 'Closed', 'For Sale', "]</v>
      </c>
      <c r="D1014" s="3">
        <v>1.0</v>
      </c>
    </row>
    <row r="1015" ht="15.75" customHeight="1">
      <c r="A1015" s="1">
        <v>1013.0</v>
      </c>
      <c r="B1015" s="3" t="s">
        <v>1016</v>
      </c>
      <c r="C1015" s="3" t="str">
        <f>IFERROR(__xludf.DUMMYFUNCTION("GOOGLETRANSLATE(B1015,""id"",""en"")"),"['pulse', 'must', 'reduced', 'card', 'Diemin', 'no', 'dipake', 'data', 'no', 'turned on', 'must', 'reduced', ' Pulsaku ',' already ',' annual ',' gini ',' disappointed ',' ']")</f>
        <v>['pulse', 'must', 'reduced', 'card', 'Diemin', 'no', 'dipake', 'data', 'no', 'turned on', 'must', 'reduced', ' Pulsaku ',' already ',' annual ',' gini ',' disappointed ',' ']</v>
      </c>
      <c r="D1015" s="3">
        <v>1.0</v>
      </c>
    </row>
    <row r="1016" ht="15.75" customHeight="1">
      <c r="A1016" s="1">
        <v>1014.0</v>
      </c>
      <c r="B1016" s="3" t="s">
        <v>1017</v>
      </c>
      <c r="C1016" s="3" t="str">
        <f>IFERROR(__xludf.DUMMYFUNCTION("GOOGLETRANSLATE(B1016,""id"",""en"")"),"['Chanel', 'YouTube', 'name', 'Borneo', 'Vlogs',' use ',' SIM ',' card ',' TTG ',' uploud ',' video ',' slow ',' forgiveness', 'ngeselin', 'really', 'ngab', 'use', 'tsel', 'uploud', 'video', 'youtube', 'count', 'minute', 'success',' upload ' , 'subcreb', "&amp;"'chanelku', 'use', 'tsel', 'fast', 'subcrebe', 'chanelku', 'thank', 'love', 'tsel']")</f>
        <v>['Chanel', 'YouTube', 'name', 'Borneo', 'Vlogs',' use ',' SIM ',' card ',' TTG ',' uploud ',' video ',' slow ',' forgiveness', 'ngeselin', 'really', 'ngab', 'use', 'tsel', 'uploud', 'video', 'youtube', 'count', 'minute', 'success',' upload ' , 'subcreb', 'chanelku', 'use', 'tsel', 'fast', 'subcrebe', 'chanelku', 'thank', 'love', 'tsel']</v>
      </c>
      <c r="D1016" s="3">
        <v>5.0</v>
      </c>
    </row>
    <row r="1017" ht="15.75" customHeight="1">
      <c r="A1017" s="1">
        <v>1015.0</v>
      </c>
      <c r="B1017" s="3" t="s">
        <v>1018</v>
      </c>
      <c r="C1017" s="3" t="str">
        <f>IFERROR(__xludf.DUMMYFUNCTION("GOOGLETRANSLATE(B1017,""id"",""en"")"),"['ugly', 'bad', 'severe', 'telephony', 'data', 'strange', 'signal', 'full', 'connect', 'reset', 'turn', 'open', ' Yutup ',' application ',' smooth ',' Jaya ',' strange ',' really ',' original ',' understand ',' original ',' Alex ',' Alex ']")</f>
        <v>['ugly', 'bad', 'severe', 'telephony', 'data', 'strange', 'signal', 'full', 'connect', 'reset', 'turn', 'open', ' Yutup ',' application ',' smooth ',' Jaya ',' strange ',' really ',' original ',' understand ',' original ',' Alex ',' Alex ']</v>
      </c>
      <c r="D1017" s="3">
        <v>1.0</v>
      </c>
    </row>
    <row r="1018" ht="15.75" customHeight="1">
      <c r="A1018" s="1">
        <v>1016.0</v>
      </c>
      <c r="B1018" s="3" t="s">
        <v>1019</v>
      </c>
      <c r="C1018" s="3" t="str">
        <f>IFERROR(__xludf.DUMMYFUNCTION("GOOGLETRANSLATE(B1018,""id"",""en"")"),"['access',' enter ',' difficult ',' link ',' send ',' already ',' many ',' times', 'tried', 'signal', 'Telkomsel', 'melemot', ' How ',' upgrade ',' fix ',' ']")</f>
        <v>['access',' enter ',' difficult ',' link ',' send ',' already ',' many ',' times', 'tried', 'signal', 'Telkomsel', 'melemot', ' How ',' upgrade ',' fix ',' ']</v>
      </c>
      <c r="D1018" s="3">
        <v>2.0</v>
      </c>
    </row>
    <row r="1019" ht="15.75" customHeight="1">
      <c r="A1019" s="1">
        <v>1017.0</v>
      </c>
      <c r="B1019" s="3" t="s">
        <v>1020</v>
      </c>
      <c r="C1019" s="3" t="str">
        <f>IFERROR(__xludf.DUMMYFUNCTION("GOOGLETRANSLATE(B1019,""id"",""en"")"),"['Yesterday', 'loss',' Mobile ',' go ',' GraPARI ',' take care ',' card ',' Kenowomor ',' card ',' hello ',' paid ',' loss', ' card ',' blocked ',' please ',' helpu ']")</f>
        <v>['Yesterday', 'loss',' Mobile ',' go ',' GraPARI ',' take care ',' card ',' Kenowomor ',' card ',' hello ',' paid ',' loss', ' card ',' blocked ',' please ',' helpu ']</v>
      </c>
      <c r="D1019" s="3">
        <v>3.0</v>
      </c>
    </row>
    <row r="1020" ht="15.75" customHeight="1">
      <c r="A1020" s="1">
        <v>1018.0</v>
      </c>
      <c r="B1020" s="3" t="s">
        <v>1021</v>
      </c>
      <c r="C1020" s="3" t="str">
        <f>IFERROR(__xludf.DUMMYFUNCTION("GOOGLETRANSLATE(B1020,""id"",""en"")"),"['Reccomended', 'really', 'users',' Telkomsel ',' suggest ',' users', 'tekomsel', 'contents',' reset ',' package ',' apk ',' bner ',' work ',' really ',' bnyak ',' bnget ',' offer ',' special ',' telkomsel ',' yesterday ',' got ',' promo ',' special ',' G"&amp;"B ',' darling ' , 'week', 'good', 'just', 'daily', 'surprise', 'there', 'gift', 'relax', 'claim', 'darling', 'already', 'get', ' Stamp ',' bnyak ',' gift ',' ilang ',' that's', '']")</f>
        <v>['Reccomended', 'really', 'users',' Telkomsel ',' suggest ',' users', 'tekomsel', 'contents',' reset ',' package ',' apk ',' bner ',' work ',' really ',' bnyak ',' bnget ',' offer ',' special ',' telkomsel ',' yesterday ',' got ',' promo ',' special ',' GB ',' darling ' , 'week', 'good', 'just', 'daily', 'surprise', 'there', 'gift', 'relax', 'claim', 'darling', 'already', 'get', ' Stamp ',' bnyak ',' gift ',' ilang ',' that's', '']</v>
      </c>
      <c r="D1020" s="3">
        <v>5.0</v>
      </c>
    </row>
    <row r="1021" ht="15.75" customHeight="1">
      <c r="A1021" s="1">
        <v>1019.0</v>
      </c>
      <c r="B1021" s="3" t="s">
        <v>1022</v>
      </c>
      <c r="C1021" s="3" t="str">
        <f>IFERROR(__xludf.DUMMYFUNCTION("GOOGLETRANSLATE(B1021,""id"",""en"")"),"['fill', 'pulse', 'rb', 'contents',' pulse ',' rb ',' already ',' rb ',' buy ',' wifi ',' telkomsel ',' kebangeretan ',' already ',' expensive ',' like ',' sucked ',' pulses', '']")</f>
        <v>['fill', 'pulse', 'rb', 'contents',' pulse ',' rb ',' already ',' rb ',' buy ',' wifi ',' telkomsel ',' kebangeretan ',' already ',' expensive ',' like ',' sucked ',' pulses', '']</v>
      </c>
      <c r="D1021" s="3">
        <v>1.0</v>
      </c>
    </row>
    <row r="1022" ht="15.75" customHeight="1">
      <c r="A1022" s="1">
        <v>1020.0</v>
      </c>
      <c r="B1022" s="3" t="s">
        <v>1023</v>
      </c>
      <c r="C1022" s="3" t="str">
        <f>IFERROR(__xludf.DUMMYFUNCTION("GOOGLETRANSLATE(B1022,""id"",""en"")"),"['huhuhu', 'good', 'ngsequences',' opened ',' severe ',' really ',' open ',' times', 'direct', 'response', 'slow', 'doang', ' Then ',' Verification ',' Link ',' Link ',' Opened ',' Minute ',' SMS ',' Link ',' Until ',' right ',' Minute ',' Wait ',' Plis' "&amp;", 'Service', 'Telkomsel', 'Fixed', 'user', 'comfortable', '']")</f>
        <v>['huhuhu', 'good', 'ngsequences',' opened ',' severe ',' really ',' open ',' times', 'direct', 'response', 'slow', 'doang', ' Then ',' Verification ',' Link ',' Link ',' Opened ',' Minute ',' SMS ',' Link ',' Until ',' right ',' Minute ',' Wait ',' Plis' , 'Service', 'Telkomsel', 'Fixed', 'user', 'comfortable', '']</v>
      </c>
      <c r="D1022" s="3">
        <v>1.0</v>
      </c>
    </row>
    <row r="1023" ht="15.75" customHeight="1">
      <c r="A1023" s="1">
        <v>1021.0</v>
      </c>
      <c r="B1023" s="3" t="s">
        <v>1024</v>
      </c>
      <c r="C1023" s="3" t="str">
        <f>IFERROR(__xludf.DUMMYFUNCTION("GOOGLETRANSLATE(B1023,""id"",""en"")"),"['package', 'expensive', 'package', 'education', 'expensive', 'then', 'quota', 'lap', 'main', 'what', 'already', 'era', ' Rich ',' Gini ',' Mahalin ',' ']")</f>
        <v>['package', 'expensive', 'package', 'education', 'expensive', 'then', 'quota', 'lap', 'main', 'what', 'already', 'era', ' Rich ',' Gini ',' Mahalin ',' ']</v>
      </c>
      <c r="D1023" s="3">
        <v>2.0</v>
      </c>
    </row>
    <row r="1024" ht="15.75" customHeight="1">
      <c r="A1024" s="1">
        <v>1022.0</v>
      </c>
      <c r="B1024" s="3" t="s">
        <v>1025</v>
      </c>
      <c r="C1024" s="3" t="str">
        <f>IFERROR(__xludf.DUMMYFUNCTION("GOOGLETRANSLATE(B1024,""id"",""en"")"),"['Telkomsel', 'Missing', 'Rates',' Non ',' Package ',' Save ',' Litu ',' Out ',' Buy ',' Credit ',' Suck ',' Internett ',' Function ',' Pulse ',' Telephone ',' SMS ',' Purchase ',' Internet ',' Quota ',' Internet ',' Out ',' Out ',' Use ',' Credit ',' Net"&amp;"work ' , 'Internet', 'Lose', 'Provider', 'Indosat', 'Program', 'Credit', 'Safe', ""]")</f>
        <v>['Telkomsel', 'Missing', 'Rates',' Non ',' Package ',' Save ',' Litu ',' Out ',' Buy ',' Credit ',' Suck ',' Internett ',' Function ',' Pulse ',' Telephone ',' SMS ',' Purchase ',' Internet ',' Quota ',' Internet ',' Out ',' Out ',' Use ',' Credit ',' Network ' , 'Internet', 'Lose', 'Provider', 'Indosat', 'Program', 'Credit', 'Safe', "]</v>
      </c>
      <c r="D1024" s="3">
        <v>3.0</v>
      </c>
    </row>
    <row r="1025" ht="15.75" customHeight="1">
      <c r="A1025" s="1">
        <v>1023.0</v>
      </c>
      <c r="B1025" s="3" t="s">
        <v>1026</v>
      </c>
      <c r="C1025" s="3" t="str">
        <f>IFERROR(__xludf.DUMMYFUNCTION("GOOGLETRANSLATE(B1025,""id"",""en"")"),"['Connect', 'MyTelkomsel', 'Application', 'Fund', 'System', 'Busy', 'Cook', 'Yes',' Try ',' FEEL ',' WEEK ',' System ',' Busy ',' employees', 'Telkomsel', 'Cuna', 'Doang', 'Please', 'fix', 'woiiiiiii', 'card', 'already', 'expensive', 'signal', 'ugly' , 'P"&amp;"lus']")</f>
        <v>['Connect', 'MyTelkomsel', 'Application', 'Fund', 'System', 'Busy', 'Cook', 'Yes',' Try ',' FEEL ',' WEEK ',' System ',' Busy ',' employees', 'Telkomsel', 'Cuna', 'Doang', 'Please', 'fix', 'woiiiiiii', 'card', 'already', 'expensive', 'signal', 'ugly' , 'Plus']</v>
      </c>
      <c r="D1025" s="3">
        <v>1.0</v>
      </c>
    </row>
    <row r="1026" ht="15.75" customHeight="1">
      <c r="A1026" s="1">
        <v>1024.0</v>
      </c>
      <c r="B1026" s="3" t="s">
        <v>1027</v>
      </c>
      <c r="C1026" s="3" t="str">
        <f>IFERROR(__xludf.DUMMYFUNCTION("GOOGLETRANSLATE(B1026,""id"",""en"")"),"['Dear', 'Telkomsel', 'user', 'Android', 'Difficulty', 'SMS', 'Link', 'Available', 'Choice', 'Copy', 'Please', 'Simatable', ' Login ',' Application ',' Try ',' Method ',' Email ',' Google ',' Registered ',' ']")</f>
        <v>['Dear', 'Telkomsel', 'user', 'Android', 'Difficulty', 'SMS', 'Link', 'Available', 'Choice', 'Copy', 'Please', 'Simatable', ' Login ',' Application ',' Try ',' Method ',' Email ',' Google ',' Registered ',' ']</v>
      </c>
      <c r="D1026" s="3">
        <v>4.0</v>
      </c>
    </row>
    <row r="1027" ht="15.75" customHeight="1">
      <c r="A1027" s="1">
        <v>1025.0</v>
      </c>
      <c r="B1027" s="3" t="s">
        <v>1028</v>
      </c>
      <c r="C1027" s="3" t="str">
        <f>IFERROR(__xludf.DUMMYFUNCTION("GOOGLETRANSLATE(B1027,""id"",""en"")"),"['Severe', 'speed', 'no', 'sampe', 'kbps', 'quota', 'midnight', 'regret', 'buy', 'severe', 'gmna', ""]")</f>
        <v>['Severe', 'speed', 'no', 'sampe', 'kbps', 'quota', 'midnight', 'regret', 'buy', 'severe', 'gmna', "]</v>
      </c>
      <c r="D1027" s="3">
        <v>1.0</v>
      </c>
    </row>
    <row r="1028" ht="15.75" customHeight="1">
      <c r="A1028" s="1">
        <v>1026.0</v>
      </c>
      <c r="B1028" s="3" t="s">
        <v>1029</v>
      </c>
      <c r="C1028" s="3" t="str">
        <f>IFERROR(__xludf.DUMMYFUNCTION("GOOGLETRANSLATE(B1028,""id"",""en"")"),"['Please', 'sympathy', 'Java', 'starch', 'please', 'update', 'network', 'difficult', 'village', 'sub-district', 'Jaken', 'starch', ' thank you']")</f>
        <v>['Please', 'sympathy', 'Java', 'starch', 'please', 'update', 'network', 'difficult', 'village', 'sub-district', 'Jaken', 'starch', ' thank you']</v>
      </c>
      <c r="D1028" s="3">
        <v>2.0</v>
      </c>
    </row>
    <row r="1029" ht="15.75" customHeight="1">
      <c r="A1029" s="1">
        <v>1027.0</v>
      </c>
      <c r="B1029" s="3" t="s">
        <v>1030</v>
      </c>
      <c r="C1029" s="3" t="str">
        <f>IFERROR(__xludf.DUMMYFUNCTION("GOOGLETRANSLATE(B1029,""id"",""en"")"),"['Please', 'fix', 'the network', 'delay', 'already', 'slow', 'please', 'thorough', 'person', 'move', ""]")</f>
        <v>['Please', 'fix', 'the network', 'delay', 'already', 'slow', 'please', 'thorough', 'person', 'move', "]</v>
      </c>
      <c r="D1029" s="3">
        <v>1.0</v>
      </c>
    </row>
    <row r="1030" ht="15.75" customHeight="1">
      <c r="A1030" s="1">
        <v>1028.0</v>
      </c>
      <c r="B1030" s="3" t="s">
        <v>1031</v>
      </c>
      <c r="C1030" s="3" t="str">
        <f>IFERROR(__xludf.DUMMYFUNCTION("GOOGLETRANSLATE(B1030,""id"",""en"")"),"['application', 'open', 'already', 'Install', 'reset', 'hbs', 'data', 'please', 'fix', 'service', 'thanks']")</f>
        <v>['application', 'open', 'already', 'Install', 'reset', 'hbs', 'data', 'please', 'fix', 'service', 'thanks']</v>
      </c>
      <c r="D1030" s="3">
        <v>2.0</v>
      </c>
    </row>
    <row r="1031" ht="15.75" customHeight="1">
      <c r="A1031" s="1">
        <v>1029.0</v>
      </c>
      <c r="B1031" s="3" t="s">
        <v>1032</v>
      </c>
      <c r="C1031" s="3" t="str">
        <f>IFERROR(__xludf.DUMMYFUNCTION("GOOGLETRANSLATE(B1031,""id"",""en"")"),"['Claim', 'bonus',' quota ',' daily ',' check ',' signal ',' threat ',' gini ',' min ',' intention ',' gave ',' free ',' MAH ',' NGADAIN ',' Event ',' Gituan ',' bother ',' ']")</f>
        <v>['Claim', 'bonus',' quota ',' daily ',' check ',' signal ',' threat ',' gini ',' min ',' intention ',' gave ',' free ',' MAH ',' NGADAIN ',' Event ',' Gituan ',' bother ',' ']</v>
      </c>
      <c r="D1031" s="3">
        <v>1.0</v>
      </c>
    </row>
    <row r="1032" ht="15.75" customHeight="1">
      <c r="A1032" s="1">
        <v>1030.0</v>
      </c>
      <c r="B1032" s="3" t="s">
        <v>1033</v>
      </c>
      <c r="C1032" s="3" t="str">
        <f>IFERROR(__xludf.DUMMYFUNCTION("GOOGLETRANSLATE(B1032,""id"",""en"")"),"['love', 'because' 'card', 'package', 'expensive', 'long', 'buy', 'package', 'internet', 'cheap', 'kayak', 'person', ' ']")</f>
        <v>['love', 'because' 'card', 'package', 'expensive', 'long', 'buy', 'package', 'internet', 'cheap', 'kayak', 'person', ' ']</v>
      </c>
      <c r="D1032" s="3">
        <v>2.0</v>
      </c>
    </row>
    <row r="1033" ht="15.75" customHeight="1">
      <c r="A1033" s="1">
        <v>1031.0</v>
      </c>
      <c r="B1033" s="3" t="s">
        <v>1034</v>
      </c>
      <c r="C1033" s="3" t="str">
        <f>IFERROR(__xludf.DUMMYFUNCTION("GOOGLETRANSLATE(B1033,""id"",""en"")"),"['likes',' application ',' Telkomsel ',' easy ',' buy ',' pulse ',' package ',' data ',' pulse ',' call ',' sms', 'choice', ' else ',' easy ',' get ',' easy ',' exchange ',' point ',' follow ',' lottery ',' hope ',' point ',' exchange ',' weeks' , 'Chosen"&amp;"', 'Success', 'Selllalu', 'Telkomsel', ""]")</f>
        <v>['likes',' application ',' Telkomsel ',' easy ',' buy ',' pulse ',' package ',' data ',' pulse ',' call ',' sms', 'choice', ' else ',' easy ',' get ',' easy ',' exchange ',' point ',' follow ',' lottery ',' hope ',' point ',' exchange ',' weeks' , 'Chosen', 'Success', 'Selllalu', 'Telkomsel', "]</v>
      </c>
      <c r="D1033" s="3">
        <v>5.0</v>
      </c>
    </row>
    <row r="1034" ht="15.75" customHeight="1">
      <c r="A1034" s="1">
        <v>1032.0</v>
      </c>
      <c r="B1034" s="3" t="s">
        <v>1035</v>
      </c>
      <c r="C1034" s="3" t="str">
        <f>IFERROR(__xludf.DUMMYFUNCTION("GOOGLETRANSLATE(B1034,""id"",""en"")"),"['Since', 'MyTelkomsel', 'buy', 'pulse', 'package', 'data', 'jdi', 'easy', 'alternating', 'counter', 'pulses',' already ',' Look, ',' watch ',' film ',' Disney ',' Hotstar ',' signal ',' smooth ', ""]")</f>
        <v>['Since', 'MyTelkomsel', 'buy', 'pulse', 'package', 'data', 'jdi', 'easy', 'alternating', 'counter', 'pulses',' already ',' Look, ',' watch ',' film ',' Disney ',' Hotstar ',' signal ',' smooth ', "]</v>
      </c>
      <c r="D1034" s="3">
        <v>5.0</v>
      </c>
    </row>
    <row r="1035" ht="15.75" customHeight="1">
      <c r="A1035" s="1">
        <v>1033.0</v>
      </c>
      <c r="B1035" s="3" t="s">
        <v>1036</v>
      </c>
      <c r="C1035" s="3" t="str">
        <f>IFERROR(__xludf.DUMMYFUNCTION("GOOGLETRANSLATE(B1035,""id"",""en"")"),"['signal', 'severe', 'here', 'severe', 'data', 'internet', 'bapuk', 'area', 'solid', 'resident', 'good', 'make', ' Telkomsel ',' expensive ',' doang ',' service ',' ugly ',' ']")</f>
        <v>['signal', 'severe', 'here', 'severe', 'data', 'internet', 'bapuk', 'area', 'solid', 'resident', 'good', 'make', ' Telkomsel ',' expensive ',' doang ',' service ',' ugly ',' ']</v>
      </c>
      <c r="D1035" s="3">
        <v>1.0</v>
      </c>
    </row>
    <row r="1036" ht="15.75" customHeight="1">
      <c r="A1036" s="1">
        <v>1034.0</v>
      </c>
      <c r="B1036" s="3" t="s">
        <v>1037</v>
      </c>
      <c r="C1036" s="3" t="str">
        <f>IFERROR(__xludf.DUMMYFUNCTION("GOOGLETRANSLATE(B1036,""id"",""en"")"),"['payment', 'DisneyHotstar', 'Application', 'status', 'BLM', 'subscription', 'Why', 'pulse', 'Cut', 'have', '']")</f>
        <v>['payment', 'DisneyHotstar', 'Application', 'status', 'BLM', 'subscription', 'Why', 'pulse', 'Cut', 'have', '']</v>
      </c>
      <c r="D1036" s="3">
        <v>1.0</v>
      </c>
    </row>
    <row r="1037" ht="15.75" customHeight="1">
      <c r="A1037" s="1">
        <v>1035.0</v>
      </c>
      <c r="B1037" s="3" t="s">
        <v>1038</v>
      </c>
      <c r="C1037" s="3" t="str">
        <f>IFERROR(__xludf.DUMMYFUNCTION("GOOGLETRANSLATE(B1037,""id"",""en"")"),"['Kasi', 'Bintang', 'intention', 'because', 'already', 'believes',' Peformas', 'Telkomsel', 'just', 'home', 'network', 'Leet', ' really ',' full ',' search ',' task ',' thesis', 'difficult', 'really', 'telkomsel', 'please', 'fix', 'kasi', 'star']")</f>
        <v>['Kasi', 'Bintang', 'intention', 'because', 'already', 'believes',' Peformas', 'Telkomsel', 'just', 'home', 'network', 'Leet', ' really ',' full ',' search ',' task ',' thesis', 'difficult', 'really', 'telkomsel', 'please', 'fix', 'kasi', 'star']</v>
      </c>
      <c r="D1037" s="3">
        <v>1.0</v>
      </c>
    </row>
    <row r="1038" ht="15.75" customHeight="1">
      <c r="A1038" s="1">
        <v>1036.0</v>
      </c>
      <c r="B1038" s="3" t="s">
        <v>1039</v>
      </c>
      <c r="C1038" s="3" t="str">
        <f>IFERROR(__xludf.DUMMYFUNCTION("GOOGLETRANSLATE(B1038,""id"",""en"")"),"['Application', 'Sangt', 'Good', 'Displays',' Pilhan ',' Menu ',' PKET ',' Data ',' Internet ',' Complete ',' Different ',' Come ',' Application ',' fast ',' donlod ',' Play ',' Store ',' ']")</f>
        <v>['Application', 'Sangt', 'Good', 'Displays',' Pilhan ',' Menu ',' PKET ',' Data ',' Internet ',' Complete ',' Different ',' Come ',' Application ',' fast ',' donlod ',' Play ',' Store ',' ']</v>
      </c>
      <c r="D1038" s="3">
        <v>5.0</v>
      </c>
    </row>
    <row r="1039" ht="15.75" customHeight="1">
      <c r="A1039" s="1">
        <v>1037.0</v>
      </c>
      <c r="B1039" s="3" t="s">
        <v>1040</v>
      </c>
      <c r="C1039" s="3" t="str">
        <f>IFERROR(__xludf.DUMMYFUNCTION("GOOGLETRANSLATE(B1039,""id"",""en"")"),"['Ass',' card ',' promo ',' quota ',' internet ',' expensive ',' expensive ',' GB ',' Rb ',' please ',' min ',' love ',' Promo ',' GB ',' Unlimited ',' Rb ',' ']")</f>
        <v>['Ass',' card ',' promo ',' quota ',' internet ',' expensive ',' expensive ',' GB ',' Rb ',' please ',' min ',' love ',' Promo ',' GB ',' Unlimited ',' Rb ',' ']</v>
      </c>
      <c r="D1039" s="3">
        <v>5.0</v>
      </c>
    </row>
    <row r="1040" ht="15.75" customHeight="1">
      <c r="A1040" s="1">
        <v>1038.0</v>
      </c>
      <c r="B1040" s="3" t="s">
        <v>1041</v>
      </c>
      <c r="C1040" s="3" t="str">
        <f>IFERROR(__xludf.DUMMYFUNCTION("GOOGLETRANSLATE(B1040,""id"",""en"")"),"['network', 'Telkomsel', 'slow', 'bangeeettttt', 'like', 'ilang', 'signal', 'quota', 'connection', 'rich', 'so', 'until', ' Move ',' Provider ',' Grgr ',' Network ',' ugly ',' Buy ',' Package ',' GB ',' Slalu ',' Success', 'Please', 'Fix', 'Follow' , '']")</f>
        <v>['network', 'Telkomsel', 'slow', 'bangeeettttt', 'like', 'ilang', 'signal', 'quota', 'connection', 'rich', 'so', 'until', ' Move ',' Provider ',' Grgr ',' Network ',' ugly ',' Buy ',' Package ',' GB ',' Slalu ',' Success', 'Please', 'Fix', 'Follow' , '']</v>
      </c>
      <c r="D1040" s="3">
        <v>1.0</v>
      </c>
    </row>
    <row r="1041" ht="15.75" customHeight="1">
      <c r="A1041" s="1">
        <v>1039.0</v>
      </c>
      <c r="B1041" s="3" t="s">
        <v>1042</v>
      </c>
      <c r="C1041" s="3" t="str">
        <f>IFERROR(__xludf.DUMMYFUNCTION("GOOGLETRANSLATE(B1041,""id"",""en"")"),"['UDH', 'BLN', 'Telkomsel', 'Slow', 'Must', 'PKE', 'PVN', 'Internet', 'Current', 'Hub', 'Robot', 'Internet', ' Local ',' Bls', 'Nawarin', 'Package', 'Data', 'Pulse', 'Hadehhh', 'PKE', 'Combo', 'Sakti', 'What', 'Sakti', 'Combo' , 'matletot', 'nie', 'skrg',"&amp;" 'signal', 'good', 'but', 'mnt', 'signal', 'ngawurrrrrr', '']")</f>
        <v>['UDH', 'BLN', 'Telkomsel', 'Slow', 'Must', 'PKE', 'PVN', 'Internet', 'Current', 'Hub', 'Robot', 'Internet', ' Local ',' Bls', 'Nawarin', 'Package', 'Data', 'Pulse', 'Hadehhh', 'PKE', 'Combo', 'Sakti', 'What', 'Sakti', 'Combo' , 'matletot', 'nie', 'skrg', 'signal', 'good', 'but', 'mnt', 'signal', 'ngawurrrrrr', '']</v>
      </c>
      <c r="D1041" s="3">
        <v>5.0</v>
      </c>
    </row>
    <row r="1042" ht="15.75" customHeight="1">
      <c r="A1042" s="1">
        <v>1040.0</v>
      </c>
      <c r="B1042" s="3" t="s">
        <v>1043</v>
      </c>
      <c r="C1042" s="3" t="str">
        <f>IFERROR(__xludf.DUMMYFUNCTION("GOOGLETRANSLATE(B1042,""id"",""en"")"),"['mentang', 'use', 'package', 'self-help', 'gojek', 'signal', 'bedakn', 'package', 'proven', 'signal', 'broken', 'slow', ' Trs', 'friend', 'use', 'package', 'smooth', 'really', 'sit', 'table', 'package', 'self-independent', 'signal', 'rto', 'slow' , '']")</f>
        <v>['mentang', 'use', 'package', 'self-help', 'gojek', 'signal', 'bedakn', 'package', 'proven', 'signal', 'broken', 'slow', ' Trs', 'friend', 'use', 'package', 'smooth', 'really', 'sit', 'table', 'package', 'self-independent', 'signal', 'rto', 'slow' , '']</v>
      </c>
      <c r="D1042" s="3">
        <v>1.0</v>
      </c>
    </row>
    <row r="1043" ht="15.75" customHeight="1">
      <c r="A1043" s="1">
        <v>1041.0</v>
      </c>
      <c r="B1043" s="3" t="s">
        <v>1044</v>
      </c>
      <c r="C1043" s="3" t="str">
        <f>IFERROR(__xludf.DUMMYFUNCTION("GOOGLETRANSLATE(B1043,""id"",""en"")"),"['', 'Telkomsel', 'Errorr', 'check', 'quota', 'data', 'Errorrr', 'Please', 'fix', 'as fast', 'trims',' open ',' application ',' Telkomsel ',' Nongol ',' offer ',' buy ',' SIM ',' Telkomsel ',' Please ',' explanation ', ""]")</f>
        <v>['', 'Telkomsel', 'Errorr', 'check', 'quota', 'data', 'Errorrr', 'Please', 'fix', 'as fast', 'trims',' open ',' application ',' Telkomsel ',' Nongol ',' offer ',' buy ',' SIM ',' Telkomsel ',' Please ',' explanation ', "]</v>
      </c>
      <c r="D1043" s="3">
        <v>1.0</v>
      </c>
    </row>
    <row r="1044" ht="15.75" customHeight="1">
      <c r="A1044" s="1">
        <v>1042.0</v>
      </c>
      <c r="B1044" s="3" t="s">
        <v>1045</v>
      </c>
      <c r="C1044" s="3" t="str">
        <f>IFERROR(__xludf.DUMMYFUNCTION("GOOGLETRANSLATE(B1044,""id"",""en"")"),"['contents',' pulse ',' run out ',' how ',' Telkomsel ',' cut ',' package ',' dhen ',' just ',' credit ',' run out ',' uda ',' Telkomsel ',' ']")</f>
        <v>['contents',' pulse ',' run out ',' how ',' Telkomsel ',' cut ',' package ',' dhen ',' just ',' credit ',' run out ',' uda ',' Telkomsel ',' ']</v>
      </c>
      <c r="D1044" s="3">
        <v>1.0</v>
      </c>
    </row>
    <row r="1045" ht="15.75" customHeight="1">
      <c r="A1045" s="1">
        <v>1043.0</v>
      </c>
      <c r="B1045" s="3" t="s">
        <v>1046</v>
      </c>
      <c r="C1045" s="3" t="str">
        <f>IFERROR(__xludf.DUMMYFUNCTION("GOOGLETRANSLATE(B1045,""id"",""en"")"),"['network', 'Telkomsel', 'ugly', 'gnti', 'pdhal', 'replaced', 'lelattttt', 'please', 'fix', 'management', 'Telkomsel', 'expensive', ' telephone ',' quota ',' knp ',' system ',' ugly ',' price ',' refine ',' price ',' make ',' system ',' network ',' trimak"&amp;"asih ']")</f>
        <v>['network', 'Telkomsel', 'ugly', 'gnti', 'pdhal', 'replaced', 'lelattttt', 'please', 'fix', 'management', 'Telkomsel', 'expensive', ' telephone ',' quota ',' knp ',' system ',' ugly ',' price ',' refine ',' price ',' make ',' system ',' network ',' trimakasih ']</v>
      </c>
      <c r="D1045" s="3">
        <v>1.0</v>
      </c>
    </row>
    <row r="1046" ht="15.75" customHeight="1">
      <c r="A1046" s="1">
        <v>1044.0</v>
      </c>
      <c r="B1046" s="3" t="s">
        <v>1047</v>
      </c>
      <c r="C1046" s="3" t="str">
        <f>IFERROR(__xludf.DUMMYFUNCTION("GOOGLETRANSLATE(B1046,""id"",""en"")"),"['Login', 'reset', 'times',' in ',' complicated ',' application ',' resposive ',' annoying ',' application ',' if ',' download ',' application ',' ']")</f>
        <v>['Login', 'reset', 'times',' in ',' complicated ',' application ',' resposive ',' annoying ',' application ',' if ',' download ',' application ',' ']</v>
      </c>
      <c r="D1046" s="3">
        <v>1.0</v>
      </c>
    </row>
    <row r="1047" ht="15.75" customHeight="1">
      <c r="A1047" s="1">
        <v>1045.0</v>
      </c>
      <c r="B1047" s="3" t="s">
        <v>1048</v>
      </c>
      <c r="C1047" s="3" t="str">
        <f>IFERROR(__xludf.DUMMYFUNCTION("GOOGLETRANSLATE(B1047,""id"",""en"")"),"['Please', 'Donk', 'The info', 'friend', 'applied', 'Telkomsel', 'package', 'internet', 'GB', 'price', 'RB', 'application', ' Telkomsel ',' Sampe ',' GB ',' price ',' RB ',' subscribe ',' Telkomsel ',' buy ',' times', 'buy', 'package', 'internet', 'GB' , "&amp;"'Love', 'Bonus', 'Kek', 'Kek', '']")</f>
        <v>['Please', 'Donk', 'The info', 'friend', 'applied', 'Telkomsel', 'package', 'internet', 'GB', 'price', 'RB', 'application', ' Telkomsel ',' Sampe ',' GB ',' price ',' RB ',' subscribe ',' Telkomsel ',' buy ',' times', 'buy', 'package', 'internet', 'GB' , 'Love', 'Bonus', 'Kek', 'Kek', '']</v>
      </c>
      <c r="D1047" s="3">
        <v>5.0</v>
      </c>
    </row>
    <row r="1048" ht="15.75" customHeight="1">
      <c r="A1048" s="1">
        <v>1046.0</v>
      </c>
      <c r="B1048" s="3" t="s">
        <v>1049</v>
      </c>
      <c r="C1048" s="3" t="str">
        <f>IFERROR(__xludf.DUMMYFUNCTION("GOOGLETRANSLATE(B1048,""id"",""en"")"),"['Najisss',' usually ',' just ',' squeezing ',' people ',' telephone ',' expensive ',' sms', 'expensive', 'internet', 'expensive', 'wonder', ' belongs to ',' Indonesia ',' as expensive ',' peras', 'mulu']")</f>
        <v>['Najisss',' usually ',' just ',' squeezing ',' people ',' telephone ',' expensive ',' sms', 'expensive', 'internet', 'expensive', 'wonder', ' belongs to ',' Indonesia ',' as expensive ',' peras', 'mulu']</v>
      </c>
      <c r="D1048" s="3">
        <v>1.0</v>
      </c>
    </row>
    <row r="1049" ht="15.75" customHeight="1">
      <c r="A1049" s="1">
        <v>1047.0</v>
      </c>
      <c r="B1049" s="3" t="s">
        <v>1050</v>
      </c>
      <c r="C1049" s="3" t="str">
        <f>IFERROR(__xludf.DUMMYFUNCTION("GOOGLETRANSLATE(B1049,""id"",""en"")"),"['Severe', 'network', 'internet', 'good', 'make', 'provider', 'priority', 'change', 'next door', 'ahhhh', 'good', 'cheap', ' star', '']")</f>
        <v>['Severe', 'network', 'internet', 'good', 'make', 'provider', 'priority', 'change', 'next door', 'ahhhh', 'good', 'cheap', ' star', '']</v>
      </c>
      <c r="D1049" s="3">
        <v>1.0</v>
      </c>
    </row>
    <row r="1050" ht="15.75" customHeight="1">
      <c r="A1050" s="1">
        <v>1048.0</v>
      </c>
      <c r="B1050" s="3" t="s">
        <v>1051</v>
      </c>
      <c r="C1050" s="3" t="str">
        <f>IFERROR(__xludf.DUMMYFUNCTION("GOOGLETRANSLATE(B1050,""id"",""en"")"),"['Sorry', 'Min', 'Severe', 'Singal', 'Lemot', 'Abis', 'Yaaa', 'Telkomsel', 'Best', 'Worse', 'Sorry', 'Wrong']")</f>
        <v>['Sorry', 'Min', 'Severe', 'Singal', 'Lemot', 'Abis', 'Yaaa', 'Telkomsel', 'Best', 'Worse', 'Sorry', 'Wrong']</v>
      </c>
      <c r="D1050" s="3">
        <v>1.0</v>
      </c>
    </row>
    <row r="1051" ht="15.75" customHeight="1">
      <c r="A1051" s="1">
        <v>1049.0</v>
      </c>
      <c r="B1051" s="3" t="s">
        <v>1052</v>
      </c>
      <c r="C1051" s="3" t="str">
        <f>IFERROR(__xludf.DUMMYFUNCTION("GOOGLETRANSLATE(B1051,""id"",""en"")"),"['users',' Telkomsel ',' represent ',' users', 'Telkomsel', 'INTN', 'complaining', 'signal', 'Telkomsel', 'Village', 'Air', 'Cold', ' Kec ',' Tanjung ',' Tebat ',' Kab ',' Lahat ',' Prov ',' Sumatran ',' South ',' KMI ',' begging ',' repaired ',' signal '"&amp;",' Telkomsel ' , 'Students',' Learning ',' Online ',' Workers', 'Complains',' Signal ',' Etc. ',' Citizens', 'Repair', 'Signal', 'Network', 'Telkomsel', ' crushing ',' work ',' signal ',' network ',' Telkomsel ',' weak ', ""]")</f>
        <v>['users',' Telkomsel ',' represent ',' users', 'Telkomsel', 'INTN', 'complaining', 'signal', 'Telkomsel', 'Village', 'Air', 'Cold', ' Kec ',' Tanjung ',' Tebat ',' Kab ',' Lahat ',' Prov ',' Sumatran ',' South ',' KMI ',' begging ',' repaired ',' signal ',' Telkomsel ' , 'Students',' Learning ',' Online ',' Workers', 'Complains',' Signal ',' Etc. ',' Citizens', 'Repair', 'Signal', 'Network', 'Telkomsel', ' crushing ',' work ',' signal ',' network ',' Telkomsel ',' weak ', "]</v>
      </c>
      <c r="D1051" s="3">
        <v>5.0</v>
      </c>
    </row>
    <row r="1052" ht="15.75" customHeight="1">
      <c r="A1052" s="1">
        <v>1050.0</v>
      </c>
      <c r="B1052" s="3" t="s">
        <v>1053</v>
      </c>
      <c r="C1052" s="3" t="str">
        <f>IFERROR(__xludf.DUMMYFUNCTION("GOOGLETRANSLATE(B1052,""id"",""en"")"),"['use', 'Telkomsel', 'network', 'ugly', 'area', 'please', 'fix', 'update', 'capacity', 'user', 'Telkomsel', 'area', ' Setu ',' BEKASI ']")</f>
        <v>['use', 'Telkomsel', 'network', 'ugly', 'area', 'please', 'fix', 'update', 'capacity', 'user', 'Telkomsel', 'area', ' Setu ',' BEKASI ']</v>
      </c>
      <c r="D1052" s="3">
        <v>1.0</v>
      </c>
    </row>
    <row r="1053" ht="15.75" customHeight="1">
      <c r="A1053" s="1">
        <v>1051.0</v>
      </c>
      <c r="B1053" s="3" t="s">
        <v>1054</v>
      </c>
      <c r="C1053" s="3" t="str">
        <f>IFERROR(__xludf.DUMMYFUNCTION("GOOGLETRANSLATE(B1053,""id"",""en"")"),"['week', 'signal', 'slow', 'min', 'Please', 'repaired', 'min', 'love', 'star', 'ntar', 'already', 'good', ' love', '']")</f>
        <v>['week', 'signal', 'slow', 'min', 'Please', 'repaired', 'min', 'love', 'star', 'ntar', 'already', 'good', ' love', '']</v>
      </c>
      <c r="D1053" s="3">
        <v>3.0</v>
      </c>
    </row>
    <row r="1054" ht="15.75" customHeight="1">
      <c r="A1054" s="1">
        <v>1052.0</v>
      </c>
      <c r="B1054" s="3" t="s">
        <v>1055</v>
      </c>
      <c r="C1054" s="3" t="str">
        <f>IFERROR(__xludf.DUMMYFUNCTION("GOOGLETRANSLATE(B1054,""id"",""en"")"),"['application', 'logout', 'sndiri', 'can', 'info', 'cool', 'notification', 'system', 'error', 'occured', 'thu', 'open', ' YouTube ',' Facebook ',' buffering ',' slow ',' ']")</f>
        <v>['application', 'logout', 'sndiri', 'can', 'info', 'cool', 'notification', 'system', 'error', 'occured', 'thu', 'open', ' YouTube ',' Facebook ',' buffering ',' slow ',' ']</v>
      </c>
      <c r="D1054" s="3">
        <v>1.0</v>
      </c>
    </row>
    <row r="1055" ht="15.75" customHeight="1">
      <c r="A1055" s="1">
        <v>1053.0</v>
      </c>
      <c r="B1055" s="3" t="s">
        <v>1056</v>
      </c>
      <c r="C1055" s="3" t="str">
        <f>IFERROR(__xludf.DUMMYFUNCTION("GOOGLETRANSLATE(B1055,""id"",""en"")"),"['subscribe', 'th', 'times', 'pulses', 'missing', 'RB', 'AMPAN', 'quota', 'Giga', 'Males', 'Telkomsel', ""]")</f>
        <v>['subscribe', 'th', 'times', 'pulses', 'missing', 'RB', 'AMPAN', 'quota', 'Giga', 'Males', 'Telkomsel', "]</v>
      </c>
      <c r="D1055" s="3">
        <v>1.0</v>
      </c>
    </row>
    <row r="1056" ht="15.75" customHeight="1">
      <c r="A1056" s="1">
        <v>1054.0</v>
      </c>
      <c r="B1056" s="3" t="s">
        <v>1057</v>
      </c>
      <c r="C1056" s="3" t="str">
        <f>IFERROR(__xludf.DUMMYFUNCTION("GOOGLETRANSLATE(B1056,""id"",""en"")"),"['Telkomsel', 'skrng', 'buy', 'package', 'network', 'severe', 'pulza', 'buy', 'missing', 'flashy', 'gunain', 'emang', ' Telkomsel ',' Taikkk ']")</f>
        <v>['Telkomsel', 'skrng', 'buy', 'package', 'network', 'severe', 'pulza', 'buy', 'missing', 'flashy', 'gunain', 'emang', ' Telkomsel ',' Taikkk ']</v>
      </c>
      <c r="D1056" s="3">
        <v>1.0</v>
      </c>
    </row>
    <row r="1057" ht="15.75" customHeight="1">
      <c r="A1057" s="1">
        <v>1055.0</v>
      </c>
      <c r="B1057" s="3" t="s">
        <v>1058</v>
      </c>
      <c r="C1057" s="3" t="str">
        <f>IFERROR(__xludf.DUMMYFUNCTION("GOOGLETRANSLATE(B1057,""id"",""en"")"),"['oath', 'big one', 'missing', 'kalaw', 'network', 'love', 'notification', 'network', 'bad', 'minutes',' that's', 'klu', ' UDH ',' Network ',' bad ',' stop ',' online ',' dlu ',' network ',' or ',' play ',' transaction ',' ATM ',' online ',' block ' , 'Ge"&amp;"gara', 'Network', 'Lost', 'Telkomsel', 'UDH', 'TPI', 'Improved', 'GMN', ""]")</f>
        <v>['oath', 'big one', 'missing', 'kalaw', 'network', 'love', 'notification', 'network', 'bad', 'minutes',' that's', 'klu', ' UDH ',' Network ',' bad ',' stop ',' online ',' dlu ',' network ',' or ',' play ',' transaction ',' ATM ',' online ',' block ' , 'Gegara', 'Network', 'Lost', 'Telkomsel', 'UDH', 'TPI', 'Improved', 'GMN', "]</v>
      </c>
      <c r="D1057" s="3">
        <v>1.0</v>
      </c>
    </row>
    <row r="1058" ht="15.75" customHeight="1">
      <c r="A1058" s="1">
        <v>1056.0</v>
      </c>
      <c r="B1058" s="3" t="s">
        <v>1059</v>
      </c>
      <c r="C1058" s="3" t="str">
        <f>IFERROR(__xludf.DUMMYFUNCTION("GOOGLETRANSLATE(B1058,""id"",""en"")"),"['Quality', 'Telkomsel', 'Decreases',' Network ',' Decreases', 'Stability', 'Chat', 'Responsive', 'Latest', 'Use', 'Quota', 'Rancu', ' Example ',' quota ',' Ministry of Education and Culture ',' pulses', 'Only', 'Only', 'Credit', 'Sucked', 'Set', 'Only', "&amp;"'Quota', 'Ministry of Education and Culture', 'Sucked' , 'quota', '']")</f>
        <v>['Quality', 'Telkomsel', 'Decreases',' Network ',' Decreases', 'Stability', 'Chat', 'Responsive', 'Latest', 'Use', 'Quota', 'Rancu', ' Example ',' quota ',' Ministry of Education and Culture ',' pulses', 'Only', 'Only', 'Credit', 'Sucked', 'Set', 'Only', 'Quota', 'Ministry of Education and Culture', 'Sucked' , 'quota', '']</v>
      </c>
      <c r="D1058" s="3">
        <v>1.0</v>
      </c>
    </row>
    <row r="1059" ht="15.75" customHeight="1">
      <c r="A1059" s="1">
        <v>1057.0</v>
      </c>
      <c r="B1059" s="3" t="s">
        <v>1060</v>
      </c>
      <c r="C1059" s="3" t="str">
        <f>IFERROR(__xludf.DUMMYFUNCTION("GOOGLETRANSLATE(B1059,""id"",""en"")"),"['Please', 'Activein', 'Internet', 'OMG', 'Internet', 'Daily', 'Internet', 'Weekly', 'Quota', 'Thinking', 'Transaction', 'Requires',' Code ',' verification ',' dapt ',' sms', 'confused', 'must', 'what']")</f>
        <v>['Please', 'Activein', 'Internet', 'OMG', 'Internet', 'Daily', 'Internet', 'Weekly', 'Quota', 'Thinking', 'Transaction', 'Requires',' Code ',' verification ',' dapt ',' sms', 'confused', 'must', 'what']</v>
      </c>
      <c r="D1059" s="3">
        <v>2.0</v>
      </c>
    </row>
    <row r="1060" ht="15.75" customHeight="1">
      <c r="A1060" s="1">
        <v>1058.0</v>
      </c>
      <c r="B1060" s="3" t="s">
        <v>1061</v>
      </c>
      <c r="C1060" s="3" t="str">
        <f>IFERROR(__xludf.DUMMYFUNCTION("GOOGLETRANSLATE(B1060,""id"",""en"")"),"['oath', 'Ryesel', 'really', 'buy', 'package', 'package', 'GG', 'difficult', 'network', 'internet', 'rotten', 'package', ' expensive ',' internet ',' Jakarta ',' how ',' area ',' auto ',' replace ',' ']")</f>
        <v>['oath', 'Ryesel', 'really', 'buy', 'package', 'package', 'GG', 'difficult', 'network', 'internet', 'rotten', 'package', ' expensive ',' internet ',' Jakarta ',' how ',' area ',' auto ',' replace ',' ']</v>
      </c>
      <c r="D1060" s="3">
        <v>1.0</v>
      </c>
    </row>
    <row r="1061" ht="15.75" customHeight="1">
      <c r="A1061" s="1">
        <v>1059.0</v>
      </c>
      <c r="B1061" s="3" t="s">
        <v>1062</v>
      </c>
      <c r="C1061" s="3" t="str">
        <f>IFERROR(__xludf.DUMMYFUNCTION("GOOGLETRANSLATE(B1061,""id"",""en"")"),"['Disappointing', 'Customer', 'Program', 'Telkomsel', 'AP', 'Points',' Hepi ',' already ',' Out ',' Time ',' very disappointed ',' ']")</f>
        <v>['Disappointing', 'Customer', 'Program', 'Telkomsel', 'AP', 'Points',' Hepi ',' already ',' Out ',' Time ',' very disappointed ',' ']</v>
      </c>
      <c r="D1061" s="3">
        <v>1.0</v>
      </c>
    </row>
    <row r="1062" ht="15.75" customHeight="1">
      <c r="A1062" s="1">
        <v>1060.0</v>
      </c>
      <c r="B1062" s="3" t="s">
        <v>1063</v>
      </c>
      <c r="C1062" s="3" t="str">
        <f>IFERROR(__xludf.DUMMYFUNCTION("GOOGLETRANSLATE(B1062,""id"",""en"")"),"['buy', 'quota', 'active', 'conscious',' customers', 'Telkomsel', 'fooling', 'public', 'name', 'user', 'smart', 'sob', ' ']")</f>
        <v>['buy', 'quota', 'active', 'conscious',' customers', 'Telkomsel', 'fooling', 'public', 'name', 'user', 'smart', 'sob', ' ']</v>
      </c>
      <c r="D1062" s="3">
        <v>1.0</v>
      </c>
    </row>
    <row r="1063" ht="15.75" customHeight="1">
      <c r="A1063" s="1">
        <v>1061.0</v>
      </c>
      <c r="B1063" s="3" t="s">
        <v>1064</v>
      </c>
      <c r="C1063" s="3" t="str">
        <f>IFERROR(__xludf.DUMMYFUNCTION("GOOGLETRANSLATE(B1063,""id"",""en"")"),"['network', 'severe', 'no', 'useful', 'no', 'signal', 'stable', 'it's better', 'closed', 'office', 'rare', 'get', ' Money ',' because ',' Network ',' No ',' quality ',' child ',' wife ',' person ',' old ',' brother ',' Telkomsel ',' Fiix ',' replace ' , '"&amp;"because', 'emotion', 'network', 'Telkomsel', 'rotten', 'star', '']")</f>
        <v>['network', 'severe', 'no', 'useful', 'no', 'signal', 'stable', 'it's better', 'closed', 'office', 'rare', 'get', ' Money ',' because ',' Network ',' No ',' quality ',' child ',' wife ',' person ',' old ',' brother ',' Telkomsel ',' Fiix ',' replace ' , 'because', 'emotion', 'network', 'Telkomsel', 'rotten', 'star', '']</v>
      </c>
      <c r="D1063" s="3">
        <v>1.0</v>
      </c>
    </row>
    <row r="1064" ht="15.75" customHeight="1">
      <c r="A1064" s="1">
        <v>1062.0</v>
      </c>
      <c r="B1064" s="3" t="s">
        <v>1065</v>
      </c>
      <c r="C1064" s="3" t="str">
        <f>IFERROR(__xludf.DUMMYFUNCTION("GOOGLETRANSLATE(B1064,""id"",""en"")"),"['Help', 'Like', 'sell', 'data', 'internet', 'promo', 'like', 'Telkomsel', 'like', 'gift', 'pulse', 'package', ' Data ',' like ',' network ',' slow ',' area ',' ']")</f>
        <v>['Help', 'Like', 'sell', 'data', 'internet', 'promo', 'like', 'Telkomsel', 'like', 'gift', 'pulse', 'package', ' Data ',' like ',' network ',' slow ',' area ',' ']</v>
      </c>
      <c r="D1064" s="3">
        <v>5.0</v>
      </c>
    </row>
    <row r="1065" ht="15.75" customHeight="1">
      <c r="A1065" s="1">
        <v>1063.0</v>
      </c>
      <c r="B1065" s="3" t="s">
        <v>1066</v>
      </c>
      <c r="C1065" s="3" t="str">
        <f>IFERROR(__xludf.DUMMYFUNCTION("GOOGLETRANSLATE(B1065,""id"",""en"")"),"['Change', 'priority', 'usage', 'data', 'active', 'run out', 'Didauluin', 'Cook', 'Kouta', 'Regular', 'GB', 'Live', ' Doang ',' Kawakai ',' Kouta ',' Active ',' Kouta ',' Ministry of Education and Culture ',' My APK ',' Not bad ',' Help ',' Thank you ', "&amp;"""]")</f>
        <v>['Change', 'priority', 'usage', 'data', 'active', 'run out', 'Didauluin', 'Cook', 'Kouta', 'Regular', 'GB', 'Live', ' Doang ',' Kawakai ',' Kouta ',' Active ',' Kouta ',' Ministry of Education and Culture ',' My APK ',' Not bad ',' Help ',' Thank you ', "]</v>
      </c>
      <c r="D1065" s="3">
        <v>1.0</v>
      </c>
    </row>
    <row r="1066" ht="15.75" customHeight="1">
      <c r="A1066" s="1">
        <v>1064.0</v>
      </c>
      <c r="B1066" s="3" t="s">
        <v>1067</v>
      </c>
      <c r="C1066" s="3" t="str">
        <f>IFERROR(__xludf.DUMMYFUNCTION("GOOGLETRANSLATE(B1066,""id"",""en"")"),"['Good', 'signal', 'signal', 'difficult', 'right', 'please', 'improvement', 'week', 'change', 'gara', 'signal', 'ugly', ' Difficult ',' Learning ',' Play ',' Game ',' Online ',' West Kalimantar ',' Kubu ',' Raya ',' Flow ',' Heras ',' Please ',' Improveme"&amp;"nt ',' As soon as possible ]")</f>
        <v>['Good', 'signal', 'signal', 'difficult', 'right', 'please', 'improvement', 'week', 'change', 'gara', 'signal', 'ugly', ' Difficult ',' Learning ',' Play ',' Game ',' Online ',' West Kalimantar ',' Kubu ',' Raya ',' Flow ',' Heras ',' Please ',' Improvement ',' As soon as possible ]</v>
      </c>
      <c r="D1066" s="3">
        <v>3.0</v>
      </c>
    </row>
    <row r="1067" ht="15.75" customHeight="1">
      <c r="A1067" s="1">
        <v>1065.0</v>
      </c>
      <c r="B1067" s="3" t="s">
        <v>1068</v>
      </c>
      <c r="C1067" s="3" t="str">
        <f>IFERROR(__xludf.DUMMYFUNCTION("GOOGLETRANSLATE(B1067,""id"",""en"")"),"['PKE', 'Application', 'Telkomsel', 'Current', 'Level', 'Performance', 'SPYA', 'Current', 'Easy', 'Log', 'Application', 'Telkomsel', ' Success', 'Telkomsel', '']")</f>
        <v>['PKE', 'Application', 'Telkomsel', 'Current', 'Level', 'Performance', 'SPYA', 'Current', 'Easy', 'Log', 'Application', 'Telkomsel', ' Success', 'Telkomsel', '']</v>
      </c>
      <c r="D1067" s="3">
        <v>5.0</v>
      </c>
    </row>
    <row r="1068" ht="15.75" customHeight="1">
      <c r="A1068" s="1">
        <v>1066.0</v>
      </c>
      <c r="B1068" s="3" t="s">
        <v>1069</v>
      </c>
      <c r="C1068" s="3" t="str">
        <f>IFERROR(__xludf.DUMMYFUNCTION("GOOGLETRANSLATE(B1068,""id"",""en"")"),"['Sumpah', 'severe', 'network', 'Telkomsel', 'work', 'jdi', 'disturbed', 'network', 'super', 'ugly', 'work', 'Lola', ' already ',' buy ',' package ',' expensive ',' network ',' ugly ',' right ',' right ',' severe ',' disappointed ',' network ',' Telkomsel"&amp;" ']")</f>
        <v>['Sumpah', 'severe', 'network', 'Telkomsel', 'work', 'jdi', 'disturbed', 'network', 'super', 'ugly', 'work', 'Lola', ' already ',' buy ',' package ',' expensive ',' network ',' ugly ',' right ',' right ',' severe ',' disappointed ',' network ',' Telkomsel ']</v>
      </c>
      <c r="D1068" s="3">
        <v>1.0</v>
      </c>
    </row>
    <row r="1069" ht="15.75" customHeight="1">
      <c r="A1069" s="1">
        <v>1067.0</v>
      </c>
      <c r="B1069" s="3" t="s">
        <v>1070</v>
      </c>
      <c r="C1069" s="3" t="str">
        <f>IFERROR(__xludf.DUMMYFUNCTION("GOOGLETRANSLATE(B1069,""id"",""en"")"),"['Explanation', 'Package', 'Details',' Please ',' Check ',' Connection ',' PAS ',' FINTING ',' Experience ',' Connection ',' Sngat ',' Good ',' Knpa ',' buy ',' package ',' appears', 'notification', 'check', 'connection', 'repeat', 'minute', 'bored', 'rea"&amp;"d']")</f>
        <v>['Explanation', 'Package', 'Details',' Please ',' Check ',' Connection ',' PAS ',' FINTING ',' Experience ',' Connection ',' Sngat ',' Good ',' Knpa ',' buy ',' package ',' appears', 'notification', 'check', 'connection', 'repeat', 'minute', 'bored', 'read']</v>
      </c>
      <c r="D1069" s="3">
        <v>5.0</v>
      </c>
    </row>
    <row r="1070" ht="15.75" customHeight="1">
      <c r="A1070" s="1">
        <v>1068.0</v>
      </c>
      <c r="B1070" s="3" t="s">
        <v>1071</v>
      </c>
      <c r="C1070" s="3" t="str">
        <f>IFERROR(__xludf.DUMMYFUNCTION("GOOGLETRANSLATE(B1070,""id"",""en"")"),"['Provider', 'Gajelas',' Package ',' Quota ',' Credit ',' Sumpot ',' Quotes', 'Move', 'Card', 'SIM', 'Already', 'Package', ' Quota ',' enter ',' enter ',' application ',' gajelas', 'just', 'really', 'deh']")</f>
        <v>['Provider', 'Gajelas',' Package ',' Quota ',' Credit ',' Sumpot ',' Quotes', 'Move', 'Card', 'SIM', 'Already', 'Package', ' Quota ',' enter ',' enter ',' application ',' gajelas', 'just', 'really', 'deh']</v>
      </c>
      <c r="D1070" s="3">
        <v>1.0</v>
      </c>
    </row>
    <row r="1071" ht="15.75" customHeight="1">
      <c r="A1071" s="1">
        <v>1069.0</v>
      </c>
      <c r="B1071" s="3" t="s">
        <v>1072</v>
      </c>
      <c r="C1071" s="3" t="str">
        <f>IFERROR(__xludf.DUMMYFUNCTION("GOOGLETRANSLATE(B1071,""id"",""en"")"),"['The application', 'ugly', 'logout', 'lay out', 'email', 'enter', 'email', 'yes', 'go home', 'village', 'login', 'mytelkomsel']")</f>
        <v>['The application', 'ugly', 'logout', 'lay out', 'email', 'enter', 'email', 'yes', 'go home', 'village', 'login', 'mytelkomsel']</v>
      </c>
      <c r="D1071" s="3">
        <v>1.0</v>
      </c>
    </row>
    <row r="1072" ht="15.75" customHeight="1">
      <c r="A1072" s="1">
        <v>1070.0</v>
      </c>
      <c r="B1072" s="3" t="s">
        <v>1073</v>
      </c>
      <c r="C1072" s="3" t="str">
        <f>IFERROR(__xludf.DUMMYFUNCTION("GOOGLETRANSLATE(B1072,""id"",""en"")"),"['Season', 'Scam', 'Terure', 'Credit', 'Internet', 'Kemdikbud', 'Used', 'Giga', 'Internet', 'Kemdikbud', 'Used', 'wasted']")</f>
        <v>['Season', 'Scam', 'Terure', 'Credit', 'Internet', 'Kemdikbud', 'Used', 'Giga', 'Internet', 'Kemdikbud', 'Used', 'wasted']</v>
      </c>
      <c r="D1072" s="3">
        <v>1.0</v>
      </c>
    </row>
    <row r="1073" ht="15.75" customHeight="1">
      <c r="A1073" s="1">
        <v>1071.0</v>
      </c>
      <c r="B1073" s="3" t="s">
        <v>1074</v>
      </c>
      <c r="C1073" s="3" t="str">
        <f>IFERROR(__xludf.DUMMYFUNCTION("GOOGLETRANSLATE(B1073,""id"",""en"")"),"['steady', 'easy', 'access',' purchase ',' package ',' check ',' credit ',' bonus', 'increase', 'service', 'Telkomsel', 'success',' Jaya ',' Telkomsel ',' Please ',' Long ',' Long ',' Bawan ',' Kalimantan ',' North ',' Enhanced ',' Service ',' Limited ','"&amp;" Access', 'Internet' , 'There', 'Thank you', 'Telkomsel']")</f>
        <v>['steady', 'easy', 'access',' purchase ',' package ',' check ',' credit ',' bonus', 'increase', 'service', 'Telkomsel', 'success',' Jaya ',' Telkomsel ',' Please ',' Long ',' Long ',' Bawan ',' Kalimantan ',' North ',' Enhanced ',' Service ',' Limited ',' Access', 'Internet' , 'There', 'Thank you', 'Telkomsel']</v>
      </c>
      <c r="D1073" s="3">
        <v>5.0</v>
      </c>
    </row>
    <row r="1074" ht="15.75" customHeight="1">
      <c r="A1074" s="1">
        <v>1072.0</v>
      </c>
      <c r="B1074" s="3" t="s">
        <v>1075</v>
      </c>
      <c r="C1074" s="3" t="str">
        <f>IFERROR(__xludf.DUMMYFUNCTION("GOOGLETRANSLATE(B1074,""id"",""en"")"),"['already', 'taun', 'Telkomsel', 'good', 'connection', 'rotten', 'suggestion', 'gaush', 'expensive', 'expensive', 'gave', 'price', ' signal ',' given ',' for ',' rbuan ',' rotten ',' abiss', 'home', 'city', 'signal', 'given', 'taste', 'village', 'signal' "&amp;", 'Kek', 'mah', 'match', 'package', 'cheap', 'expensive', 'expensive', 'buy', 'package', 'gave', 'signal', 'bald']")</f>
        <v>['already', 'taun', 'Telkomsel', 'good', 'connection', 'rotten', 'suggestion', 'gaush', 'expensive', 'expensive', 'gave', 'price', ' signal ',' given ',' for ',' rbuan ',' rotten ',' abiss', 'home', 'city', 'signal', 'given', 'taste', 'village', 'signal' , 'Kek', 'mah', 'match', 'package', 'cheap', 'expensive', 'expensive', 'buy', 'package', 'gave', 'signal', 'bald']</v>
      </c>
      <c r="D1074" s="3">
        <v>3.0</v>
      </c>
    </row>
    <row r="1075" ht="15.75" customHeight="1">
      <c r="A1075" s="1">
        <v>1073.0</v>
      </c>
      <c r="B1075" s="3" t="s">
        <v>1076</v>
      </c>
      <c r="C1075" s="3" t="str">
        <f>IFERROR(__xludf.DUMMYFUNCTION("GOOGLETRANSLATE(B1075,""id"",""en"")"),"['likes',' Telkomsel ',' already ',' contents', 'pulses',' contents', 'package', 'appikel', 'Telkomsel', 'pulse', 'direct', 'sucked', ' Really ',' Sad ',' Telkomsel ',' pay attention ',' convenience ',' users', 'Telkomsel', 'key', 'credit', 'open', 'appli"&amp;"cation', 'Telkomsel', 'user' , 'Review', 'ugly', 'Telkomsel', 'thank you']")</f>
        <v>['likes',' Telkomsel ',' already ',' contents', 'pulses',' contents', 'package', 'appikel', 'Telkomsel', 'pulse', 'direct', 'sucked', ' Really ',' Sad ',' Telkomsel ',' pay attention ',' convenience ',' users', 'Telkomsel', 'key', 'credit', 'open', 'application', 'Telkomsel', 'user' , 'Review', 'ugly', 'Telkomsel', 'thank you']</v>
      </c>
      <c r="D1075" s="3">
        <v>1.0</v>
      </c>
    </row>
    <row r="1076" ht="15.75" customHeight="1">
      <c r="A1076" s="1">
        <v>1074.0</v>
      </c>
      <c r="B1076" s="3" t="s">
        <v>1077</v>
      </c>
      <c r="C1076" s="3" t="str">
        <f>IFERROR(__xludf.DUMMYFUNCTION("GOOGLETRANSLATE(B1076,""id"",""en"")"),"['', 'consistent', 'content', 'said', 'get', 'promo', 'move', 'package', 'click', 'reading', 'error', 'signal', 'sometimes ', 'stable', '']")</f>
        <v>['', 'consistent', 'content', 'said', 'get', 'promo', 'move', 'package', 'click', 'reading', 'error', 'signal', 'sometimes ', 'stable', '']</v>
      </c>
      <c r="D1076" s="3">
        <v>2.0</v>
      </c>
    </row>
    <row r="1077" ht="15.75" customHeight="1">
      <c r="A1077" s="1">
        <v>1075.0</v>
      </c>
      <c r="B1077" s="3" t="s">
        <v>1078</v>
      </c>
      <c r="C1077" s="3" t="str">
        <f>IFERROR(__xludf.DUMMYFUNCTION("GOOGLETRANSLATE(B1077,""id"",""en"")"),"['Telkomsel', 'Open', 'Application', 'Eat', 'Credit', 'Message', 'Access',' Internet ',' Rates', 'Non', 'Package', 'Info', ' Tsel ',' Data ',' Rates', 'Save', 'Buy', 'Package', 'Internet', 'Tsel', 'Sorry']")</f>
        <v>['Telkomsel', 'Open', 'Application', 'Eat', 'Credit', 'Message', 'Access',' Internet ',' Rates', 'Non', 'Package', 'Info', ' Tsel ',' Data ',' Rates', 'Save', 'Buy', 'Package', 'Internet', 'Tsel', 'Sorry']</v>
      </c>
      <c r="D1077" s="3">
        <v>1.0</v>
      </c>
    </row>
    <row r="1078" ht="15.75" customHeight="1">
      <c r="A1078" s="1">
        <v>1076.0</v>
      </c>
      <c r="B1078" s="3" t="s">
        <v>1079</v>
      </c>
      <c r="C1078" s="3" t="str">
        <f>IFERROR(__xludf.DUMMYFUNCTION("GOOGLETRANSLATE(B1078,""id"",""en"")"),"['Alhamdulillah', 'internet', 'cheap', 'best', 'people', 'nation', 'klu', 'cheap', 'expensive', 'nation', 'Indonesia', 'independent', ' Telkomsel ',' Best ',' Indonesia ']")</f>
        <v>['Alhamdulillah', 'internet', 'cheap', 'best', 'people', 'nation', 'klu', 'cheap', 'expensive', 'nation', 'Indonesia', 'independent', ' Telkomsel ',' Best ',' Indonesia ']</v>
      </c>
      <c r="D1078" s="3">
        <v>5.0</v>
      </c>
    </row>
    <row r="1079" ht="15.75" customHeight="1">
      <c r="A1079" s="1">
        <v>1077.0</v>
      </c>
      <c r="B1079" s="3" t="s">
        <v>1080</v>
      </c>
      <c r="C1079" s="3" t="str">
        <f>IFERROR(__xludf.DUMMYFUNCTION("GOOGLETRANSLATE(B1079,""id"",""en"")"),"['please', 'please', 'please', 'person', 'area', 'remote', 'need', 'signal', 'good', 'turn on', 'data', 'internet', ' Credit ',' Take ',' Please ',' Eliminate ',' Sapapani ',' Eat ',' Money ',' It Sun ',' World ', ""]")</f>
        <v>['please', 'please', 'please', 'person', 'area', 'remote', 'need', 'signal', 'good', 'turn on', 'data', 'internet', ' Credit ',' Take ',' Please ',' Eliminate ',' Sapapani ',' Eat ',' Money ',' It Sun ',' World ', "]</v>
      </c>
      <c r="D1079" s="3">
        <v>1.0</v>
      </c>
    </row>
    <row r="1080" ht="15.75" customHeight="1">
      <c r="A1080" s="1">
        <v>1078.0</v>
      </c>
      <c r="B1080" s="3" t="s">
        <v>1081</v>
      </c>
      <c r="C1080" s="3" t="str">
        <f>IFERROR(__xludf.DUMMYFUNCTION("GOOGLETRANSLATE(B1080,""id"",""en"")"),"['Telkomsel', 'already', 'pulse', 'reduced', 'then', 'NGK', 'buy', 'package', 'turn on', 'data', 'cellular', 'clock', ' check ',' clock ',' stay ',' buy ',' package ',' forced ',' ngk ',' already ',' times', 'kyk', 'so', 'then', 'loss' , 'Please', 'fix', "&amp;"'loss', 'really', 'event']")</f>
        <v>['Telkomsel', 'already', 'pulse', 'reduced', 'then', 'NGK', 'buy', 'package', 'turn on', 'data', 'cellular', 'clock', ' check ',' clock ',' stay ',' buy ',' package ',' forced ',' ngk ',' already ',' times', 'kyk', 'so', 'then', 'loss' , 'Please', 'fix', 'loss', 'really', 'event']</v>
      </c>
      <c r="D1080" s="3">
        <v>1.0</v>
      </c>
    </row>
    <row r="1081" ht="15.75" customHeight="1">
      <c r="A1081" s="1">
        <v>1079.0</v>
      </c>
      <c r="B1081" s="3" t="s">
        <v>1082</v>
      </c>
      <c r="C1081" s="3" t="str">
        <f>IFERROR(__xludf.DUMMYFUNCTION("GOOGLETRANSLATE(B1081,""id"",""en"")"),"['The network', 'PLIS', 'Benerin', 'Stay', 'Rural', 'Hard', 'The Line', 'Telkomsel', 'Morning', 'Hour', 'Malem', 'Get', ' speed ',' network ',' seconds', 'get', 'second', 'slow']")</f>
        <v>['The network', 'PLIS', 'Benerin', 'Stay', 'Rural', 'Hard', 'The Line', 'Telkomsel', 'Morning', 'Hour', 'Malem', 'Get', ' speed ',' network ',' seconds', 'get', 'second', 'slow']</v>
      </c>
      <c r="D1081" s="3">
        <v>2.0</v>
      </c>
    </row>
    <row r="1082" ht="15.75" customHeight="1">
      <c r="A1082" s="1">
        <v>1080.0</v>
      </c>
      <c r="B1082" s="3" t="s">
        <v>1083</v>
      </c>
      <c r="C1082" s="3" t="str">
        <f>IFERROR(__xludf.DUMMYFUNCTION("GOOGLETRANSLATE(B1082,""id"",""en"")"),"['Telkom', 'Signal', 'Severe', 'Morning', 'Afternoon', 'Afternoon', 'Malem', 'Malem', 'Tetep', 'Ngelag', 'Udh', 'Package', ' expensive ',' signal ',' worse ',' Maen ',' Benerin ',' signal ',' package ',' expensive ',' signal ',' pulp ',' gave ',' suggesti"&amp;"on ',' twiter ' , 'email', 'macem', 'complaint', 'signal', 'severe', 'pulp', 'threat', 'fix', 'signal', 'told', 'twiter', 'email', ' edit ',' crazy ',' crazy ',' belom ',' dinererin ',' cuy ',' pulp ']")</f>
        <v>['Telkom', 'Signal', 'Severe', 'Morning', 'Afternoon', 'Afternoon', 'Malem', 'Malem', 'Tetep', 'Ngelag', 'Udh', 'Package', ' expensive ',' signal ',' worse ',' Maen ',' Benerin ',' signal ',' package ',' expensive ',' signal ',' pulp ',' gave ',' suggestion ',' twiter ' , 'email', 'macem', 'complaint', 'signal', 'severe', 'pulp', 'threat', 'fix', 'signal', 'told', 'twiter', 'email', ' edit ',' crazy ',' crazy ',' belom ',' dinererin ',' cuy ',' pulp ']</v>
      </c>
      <c r="D1082" s="3">
        <v>1.0</v>
      </c>
    </row>
    <row r="1083" ht="15.75" customHeight="1">
      <c r="A1083" s="1">
        <v>1081.0</v>
      </c>
      <c r="B1083" s="3" t="s">
        <v>1084</v>
      </c>
      <c r="C1083" s="3" t="str">
        <f>IFERROR(__xludf.DUMMYFUNCTION("GOOGLETRANSLATE(B1083,""id"",""en"")"),"['complaints', 'Caution', 'Customer', 'Responding', 'Seriously', 'Sihh', 'Gara', 'Card', 'Ground "",' GraPARI ',' JGA ',' Move ',' Prepaid ',' Post ',' Pay ',' Heavy ',' Boss', 'Your Policy', '']")</f>
        <v>['complaints', 'Caution', 'Customer', 'Responding', 'Seriously', 'Sihh', 'Gara', 'Card', 'Ground ",' GraPARI ',' JGA ',' Move ',' Prepaid ',' Post ',' Pay ',' Heavy ',' Boss', 'Your Policy', '']</v>
      </c>
      <c r="D1083" s="3">
        <v>2.0</v>
      </c>
    </row>
    <row r="1084" ht="15.75" customHeight="1">
      <c r="A1084" s="1">
        <v>1082.0</v>
      </c>
      <c r="B1084" s="3" t="s">
        <v>1085</v>
      </c>
      <c r="C1084" s="3" t="str">
        <f>IFERROR(__xludf.DUMMYFUNCTION("GOOGLETRANSLATE(B1084,""id"",""en"")"),"['love', 'star', 'policy', 'package', 'donk', 'promo', 'limited', 'use', 'telkomsel', 'huwaaaaahhhhhh', 'rates',' kagak ',' accumulation', '']")</f>
        <v>['love', 'star', 'policy', 'package', 'donk', 'promo', 'limited', 'use', 'telkomsel', 'huwaaaaahhhhhh', 'rates',' kagak ',' accumulation', '']</v>
      </c>
      <c r="D1084" s="3">
        <v>5.0</v>
      </c>
    </row>
    <row r="1085" ht="15.75" customHeight="1">
      <c r="A1085" s="1">
        <v>1083.0</v>
      </c>
      <c r="B1085" s="3" t="s">
        <v>1086</v>
      </c>
      <c r="C1085" s="3" t="str">
        <f>IFERROR(__xludf.DUMMYFUNCTION("GOOGLETRANSLATE(B1085,""id"",""en"")"),"['Please', 'TELKOM', 'Region', 'Sumsel', 'Kab', 'Ogan', 'Ilir', 'Signal', 'Slow', 'really', 'skrng', 'lmot', ' Kyk ',' next door ',' slow ',' citizens', 'dsini', 'uncomfortable', 'signal', 'kek', 'gini', 'kek', 'gini', 'bkal', 'moved' , 'card', 'next door"&amp;"', 'economical', 'slow', 'love', 'star', 'normal', 'the network', 'love', 'Star', '']")</f>
        <v>['Please', 'TELKOM', 'Region', 'Sumsel', 'Kab', 'Ogan', 'Ilir', 'Signal', 'Slow', 'really', 'skrng', 'lmot', ' Kyk ',' next door ',' slow ',' citizens', 'dsini', 'uncomfortable', 'signal', 'kek', 'gini', 'kek', 'gini', 'bkal', 'moved' , 'card', 'next door', 'economical', 'slow', 'love', 'star', 'normal', 'the network', 'love', 'Star', '']</v>
      </c>
      <c r="D1085" s="3">
        <v>1.0</v>
      </c>
    </row>
    <row r="1086" ht="15.75" customHeight="1">
      <c r="A1086" s="1">
        <v>1084.0</v>
      </c>
      <c r="B1086" s="3" t="s">
        <v>1087</v>
      </c>
      <c r="C1086" s="3" t="str">
        <f>IFERROR(__xludf.DUMMYFUNCTION("GOOGLETRANSLATE(B1086,""id"",""en"")"),"['original', 'no', 'want', 'card', 'signal', 'Telkomsel', 'Kyk', 'swallowed', 'waves',' arising ',' sinking ',' love ',' Stars', 'in the future', '']")</f>
        <v>['original', 'no', 'want', 'card', 'signal', 'Telkomsel', 'Kyk', 'swallowed', 'waves',' arising ',' sinking ',' love ',' Stars', 'in the future', '']</v>
      </c>
      <c r="D1086" s="3">
        <v>1.0</v>
      </c>
    </row>
    <row r="1087" ht="15.75" customHeight="1">
      <c r="A1087" s="1">
        <v>1085.0</v>
      </c>
      <c r="B1087" s="3" t="s">
        <v>1088</v>
      </c>
      <c r="C1087" s="3" t="str">
        <f>IFERROR(__xludf.DUMMYFUNCTION("GOOGLETRANSLATE(B1087,""id"",""en"")"),"['Wonder', 'Network', 'Maen', 'Game', 'Broken', 'Dissel', 'Already', 'Fee', 'Package', 'Already', 'Expensive', 'Satisfying', ' Mending ',' Move ',' Network ',' Next to ',' ']")</f>
        <v>['Wonder', 'Network', 'Maen', 'Game', 'Broken', 'Dissel', 'Already', 'Fee', 'Package', 'Already', 'Expensive', 'Satisfying', ' Mending ',' Move ',' Network ',' Next to ',' ']</v>
      </c>
      <c r="D1087" s="3">
        <v>1.0</v>
      </c>
    </row>
    <row r="1088" ht="15.75" customHeight="1">
      <c r="A1088" s="1">
        <v>1086.0</v>
      </c>
      <c r="B1088" s="3" t="s">
        <v>1089</v>
      </c>
      <c r="C1088" s="3" t="str">
        <f>IFERROR(__xludf.DUMMYFUNCTION("GOOGLETRANSLATE(B1088,""id"",""en"")"),"['TLNG', 'Telkomsel', 'KNPA', 'Network', 'watch', 'smooth', 'smooth', 'turn', 'PUSB', 'RNK', 'Ngelag', 'Please', ' Fix ',' users', 'Telkomsel', 'Loss',' Gini ',' Move ',' Jngn ',' Make ',' Telkomsel ',' already ',' Disappointed ']")</f>
        <v>['TLNG', 'Telkomsel', 'KNPA', 'Network', 'watch', 'smooth', 'smooth', 'turn', 'PUSB', 'RNK', 'Ngelag', 'Please', ' Fix ',' users', 'Telkomsel', 'Loss',' Gini ',' Move ',' Jngn ',' Make ',' Telkomsel ',' already ',' Disappointed ']</v>
      </c>
      <c r="D1088" s="3">
        <v>1.0</v>
      </c>
    </row>
    <row r="1089" ht="15.75" customHeight="1">
      <c r="A1089" s="1">
        <v>1087.0</v>
      </c>
      <c r="B1089" s="3" t="s">
        <v>1090</v>
      </c>
      <c r="C1089" s="3" t="str">
        <f>IFERROR(__xludf.DUMMYFUNCTION("GOOGLETRANSLATE(B1089,""id"",""en"")"),"['Buy', 'Package', 'Internet', 'Telkom', 'Method', 'Payment', 'Shope', 'Pay', 'Balance', 'Shopepay', 'Reduced', 'Package', ' Internet ',' in ',' Try ',' telephone ',' Telkom ',' said ',' checked ',' confirmed ',' confirm ',' telkomsel ',' Telkomsel ',' ka"&amp;"k ',' contacted ' , 'forward']")</f>
        <v>['Buy', 'Package', 'Internet', 'Telkom', 'Method', 'Payment', 'Shope', 'Pay', 'Balance', 'Shopepay', 'Reduced', 'Package', ' Internet ',' in ',' Try ',' telephone ',' Telkom ',' said ',' checked ',' confirmed ',' confirm ',' telkomsel ',' Telkomsel ',' kak ',' contacted ' , 'forward']</v>
      </c>
      <c r="D1089" s="3">
        <v>1.0</v>
      </c>
    </row>
    <row r="1090" ht="15.75" customHeight="1">
      <c r="A1090" s="1">
        <v>1088.0</v>
      </c>
      <c r="B1090" s="3" t="s">
        <v>1091</v>
      </c>
      <c r="C1090" s="3" t="str">
        <f>IFERROR(__xludf.DUMMYFUNCTION("GOOGLETRANSLATE(B1090,""id"",""en"")"),"['report', 'complaints',' signal ',' via ',' email ',' conversation ',' until ',' skrg ',' results', 'zero', 'report', 'th', ' critical', '']")</f>
        <v>['report', 'complaints',' signal ',' via ',' email ',' conversation ',' until ',' skrg ',' results', 'zero', 'report', 'th', ' critical', '']</v>
      </c>
      <c r="D1090" s="3">
        <v>1.0</v>
      </c>
    </row>
    <row r="1091" ht="15.75" customHeight="1">
      <c r="A1091" s="1">
        <v>1089.0</v>
      </c>
      <c r="B1091" s="3" t="s">
        <v>1092</v>
      </c>
      <c r="C1091" s="3" t="str">
        <f>IFERROR(__xludf.DUMMYFUNCTION("GOOGLETRANSLATE(B1091,""id"",""en"")"),"['Maketkan', 'GB', 'Quota', 'Entertain', 'MaxStream', 'Vidio', 'Bundling', 'Video', 'No', 'Used', 'Snaw', 'Quota', ' main ',' Mulu ',' whole ',' GB ',' Nnton ',' ball ',' vidio ',' maxstream ',' kompalin ',' email ',' requirements', 'complicated', 'alread"&amp;"y' , 'fulfilled', 'handled', 'telephone', 'operator', 'already', 'loss',' disturbing ',' work ',' telephone ',' a day ',' the next day ',' dilabani ',' Handled ',' Damaged ',' Telkomsel ',' Good ',' Yellow ', ""]")</f>
        <v>['Maketkan', 'GB', 'Quota', 'Entertain', 'MaxStream', 'Vidio', 'Bundling', 'Video', 'No', 'Used', 'Snaw', 'Quota', ' main ',' Mulu ',' whole ',' GB ',' Nnton ',' ball ',' vidio ',' maxstream ',' kompalin ',' email ',' requirements', 'complicated', 'already' , 'fulfilled', 'handled', 'telephone', 'operator', 'already', 'loss',' disturbing ',' work ',' telephone ',' a day ',' the next day ',' dilabani ',' Handled ',' Damaged ',' Telkomsel ',' Good ',' Yellow ', "]</v>
      </c>
      <c r="D1091" s="3">
        <v>1.0</v>
      </c>
    </row>
    <row r="1092" ht="15.75" customHeight="1">
      <c r="A1092" s="1">
        <v>1090.0</v>
      </c>
      <c r="B1092" s="3" t="s">
        <v>1093</v>
      </c>
      <c r="C1092" s="3" t="str">
        <f>IFERROR(__xludf.DUMMYFUNCTION("GOOGLETRANSLATE(B1092,""id"",""en"")"),"['internet', 'slow', 'signal', 'lost', 'severe', 'price', 'package', 'expensive', 'price', 'expensive', 'quality', 'please', ' network ',' Griya ',' Sangiang ',' Mas', 'sub-district', 'Priuk', 'City', 'Tangerang', 'repaired', 'repaired', 'love', 'star', "&amp;"""]")</f>
        <v>['internet', 'slow', 'signal', 'lost', 'severe', 'price', 'package', 'expensive', 'price', 'expensive', 'quality', 'please', ' network ',' Griya ',' Sangiang ',' Mas', 'sub-district', 'Priuk', 'City', 'Tangerang', 'repaired', 'repaired', 'love', 'star', "]</v>
      </c>
      <c r="D1092" s="3">
        <v>1.0</v>
      </c>
    </row>
    <row r="1093" ht="15.75" customHeight="1">
      <c r="A1093" s="1">
        <v>1091.0</v>
      </c>
      <c r="B1093" s="3" t="s">
        <v>1094</v>
      </c>
      <c r="C1093" s="3" t="str">
        <f>IFERROR(__xludf.DUMMYFUNCTION("GOOGLETRANSLATE(B1093,""id"",""en"")"),"['signal', 'ugly', 'what', 'package', 'expensive', 'signal', 'ugly', 'download', 'apk', 'until', 'clock', 'network', ' How ',' Bad ',' Network ',' Please ',' Fix ',' Network ',' Down ',' Price ',' Package ',' Expensive ',' People ',' Class', 'Medium' , 'd"&amp;"own']")</f>
        <v>['signal', 'ugly', 'what', 'package', 'expensive', 'signal', 'ugly', 'download', 'apk', 'until', 'clock', 'network', ' How ',' Bad ',' Network ',' Please ',' Fix ',' Network ',' Down ',' Price ',' Package ',' Expensive ',' People ',' Class', 'Medium' , 'down']</v>
      </c>
      <c r="D1093" s="3">
        <v>1.0</v>
      </c>
    </row>
    <row r="1094" ht="15.75" customHeight="1">
      <c r="A1094" s="1">
        <v>1092.0</v>
      </c>
      <c r="B1094" s="3" t="s">
        <v>1095</v>
      </c>
      <c r="C1094" s="3" t="str">
        <f>IFERROR(__xludf.DUMMYFUNCTION("GOOGLETRANSLATE(B1094,""id"",""en"")"),"['intentionally', 'download', 'love', 'Review', 'Credit', 'Cut', 'Tree', 'Telkom', 'Tree', 'Buy', 'Package', 'then', ' Extend ',' automatic ',' Cut ',' Credit ',' Bener ',' Extend ',' Package ',' Fengkomsel ',' Telkomsel ',' Package ',' Out ',' DIRECT ','"&amp;" MOTHING ' , 'pulsaaa', 'sampe', 'mnit', 'pulse', 'run out', 'used', 'run out', 'original', 'disappointed', 'greedy', 'telponan', 'doang', ' Sekarng ',' mah ',' lossiii ',' buy ',' kouta ',' cut ',' pulse ',' lure ',' promo ',' severe ',' ']")</f>
        <v>['intentionally', 'download', 'love', 'Review', 'Credit', 'Cut', 'Tree', 'Telkom', 'Tree', 'Buy', 'Package', 'then', ' Extend ',' automatic ',' Cut ',' Credit ',' Bener ',' Extend ',' Package ',' Fengkomsel ',' Telkomsel ',' Package ',' Out ',' DIRECT ',' MOTHING ' , 'pulsaaa', 'sampe', 'mnit', 'pulse', 'run out', 'used', 'run out', 'original', 'disappointed', 'greedy', 'telponan', 'doang', ' Sekarng ',' mah ',' lossiii ',' buy ',' kouta ',' cut ',' pulse ',' lure ',' promo ',' severe ',' ']</v>
      </c>
      <c r="D1094" s="3">
        <v>1.0</v>
      </c>
    </row>
    <row r="1095" ht="15.75" customHeight="1">
      <c r="A1095" s="1">
        <v>1093.0</v>
      </c>
      <c r="B1095" s="3" t="s">
        <v>1096</v>
      </c>
      <c r="C1095" s="3" t="str">
        <f>IFERROR(__xludf.DUMMYFUNCTION("GOOGLETRANSLATE(B1095,""id"",""en"")"),"['Telkomsel', 'slow', 'signal', 'honest', 'disappointed', 'really', 'promo', 'quota', 'tens',' signal ',' slow ',' bin ',' Leet ',' really ',' please ',' donk ',' Telkomsel ',' signal ',' repay ',' ']")</f>
        <v>['Telkomsel', 'slow', 'signal', 'honest', 'disappointed', 'really', 'promo', 'quota', 'tens',' signal ',' slow ',' bin ',' Leet ',' really ',' please ',' donk ',' Telkomsel ',' signal ',' repay ',' ']</v>
      </c>
      <c r="D1095" s="3">
        <v>1.0</v>
      </c>
    </row>
    <row r="1096" ht="15.75" customHeight="1">
      <c r="A1096" s="1">
        <v>1094.0</v>
      </c>
      <c r="B1096" s="3" t="s">
        <v>1097</v>
      </c>
      <c r="C1096" s="3" t="str">
        <f>IFERROR(__xludf.DUMMYFUNCTION("GOOGLETRANSLATE(B1096,""id"",""en"")"),"['Disappointed', 'Telkomsel', 'HRI', 'Sya', 'buy', 'package', 'GB', 'HRI', 'PDA', 'clock', 'tggal', 'TDI', ' Sya ',' PKET ',' Data ',' App ',' MyTelkomsel ',' Package ',' Data ',' Credit ',' Sya ',' Out ',' PDA ',' I check ' , 'SMS', 'APP', 'MyTelkomsel',"&amp;" 'PMBlian', 'PKET', 'Data', 'Sya', 'BLI', 'Written', 'Clock', 'tggal', 'Different', ' SMS ',' Sya ',' Trima ',' Device ',' Phone ',' Please ',' Mare ',' Customer ',' Disappointed ',' Krna ',' PKET ',' Data ',' Credit ' , 'Sya', 'Hangus', '']")</f>
        <v>['Disappointed', 'Telkomsel', 'HRI', 'Sya', 'buy', 'package', 'GB', 'HRI', 'PDA', 'clock', 'tggal', 'TDI', ' Sya ',' PKET ',' Data ',' App ',' MyTelkomsel ',' Package ',' Data ',' Credit ',' Sya ',' Out ',' PDA ',' I check ' , 'SMS', 'APP', 'MyTelkomsel', 'PMBlian', 'PKET', 'Data', 'Sya', 'BLI', 'Written', 'Clock', 'tggal', 'Different', ' SMS ',' Sya ',' Trima ',' Device ',' Phone ',' Please ',' Mare ',' Customer ',' Disappointed ',' Krna ',' PKET ',' Data ',' Credit ' , 'Sya', 'Hangus', '']</v>
      </c>
      <c r="D1096" s="3">
        <v>1.0</v>
      </c>
    </row>
    <row r="1097" ht="15.75" customHeight="1">
      <c r="A1097" s="1">
        <v>1095.0</v>
      </c>
      <c r="B1097" s="3" t="s">
        <v>1098</v>
      </c>
      <c r="C1097" s="3" t="str">
        <f>IFERROR(__xludf.DUMMYFUNCTION("GOOGLETRANSLATE(B1097,""id"",""en"")"),"['a month', 'network', 'Telkomsel', 'ugly', 'area', 'sukoharjo', 'Centraleng', 'ngawi', 'jatim', 'already', 'pairs',' wifi ',' Indihome ',' ZTE ',' Network ',' Network ',' Good ',' Storging ',' Clock ',' Task ',' Task ',' Exam ',' Practice ', ""]")</f>
        <v>['a month', 'network', 'Telkomsel', 'ugly', 'area', 'sukoharjo', 'Centraleng', 'ngawi', 'jatim', 'already', 'pairs',' wifi ',' Indihome ',' ZTE ',' Network ',' Network ',' Good ',' Storging ',' Clock ',' Task ',' Task ',' Exam ',' Practice ', "]</v>
      </c>
      <c r="D1097" s="3">
        <v>2.0</v>
      </c>
    </row>
    <row r="1098" ht="15.75" customHeight="1">
      <c r="A1098" s="1">
        <v>1096.0</v>
      </c>
      <c r="B1098" s="3" t="s">
        <v>1099</v>
      </c>
      <c r="C1098" s="3" t="str">
        <f>IFERROR(__xludf.DUMMYFUNCTION("GOOGLETRANSLATE(B1098,""id"",""en"")"),"['What', 'strange', 'tib', 'pulse', 'ilang', 'Malh', 'entry', 'paketan', 'maxtrem', 'list', 'there', 'uh', ' Karen ']")</f>
        <v>['What', 'strange', 'tib', 'pulse', 'ilang', 'Malh', 'entry', 'paketan', 'maxtrem', 'list', 'there', 'uh', ' Karen ']</v>
      </c>
      <c r="D1098" s="3">
        <v>1.0</v>
      </c>
    </row>
    <row r="1099" ht="15.75" customHeight="1">
      <c r="A1099" s="1">
        <v>1097.0</v>
      </c>
      <c r="B1099" s="3" t="s">
        <v>1100</v>
      </c>
      <c r="C1099" s="3" t="str">
        <f>IFERROR(__xludf.DUMMYFUNCTION("GOOGLETRANSLATE(B1099,""id"",""en"")"),"['application', 'pulp', 'error', 'rather than', 'good', 'open', 'daily', 'check', 'error', 'error', 'error', 'telkom', ' App ',' change ',' gini ',' gag ',' trash ',' quality ',' connection ',' pulp ',' bin ',' idiot ',' pay ',' rebu ',' per month ' , 'co"&amp;"nnection', 'dead', 'mulu', 'mendig', 'klen', 'disband', 'fool']")</f>
        <v>['application', 'pulp', 'error', 'rather than', 'good', 'open', 'daily', 'check', 'error', 'error', 'error', 'telkom', ' App ',' change ',' gini ',' gag ',' trash ',' quality ',' connection ',' pulp ',' bin ',' idiot ',' pay ',' rebu ',' per month ' , 'connection', 'dead', 'mulu', 'mendig', 'klen', 'disband', 'fool']</v>
      </c>
      <c r="D1099" s="3">
        <v>1.0</v>
      </c>
    </row>
    <row r="1100" ht="15.75" customHeight="1">
      <c r="A1100" s="1">
        <v>1098.0</v>
      </c>
      <c r="B1100" s="3" t="s">
        <v>1101</v>
      </c>
      <c r="C1100" s="3" t="str">
        <f>IFERROR(__xludf.DUMMYFUNCTION("GOOGLETRANSLATE(B1100,""id"",""en"")"),"['Telkomsel', 'strange', 'Bener', 'strange', 'network', 'internet', 'weak', 'slow', 'chaotic', 'signal', 'full', 'network', ' Internet ',' down ',' severe ',' comparable ',' price ',' package ',' expensive ',' network ', ""]")</f>
        <v>['Telkomsel', 'strange', 'Bener', 'strange', 'network', 'internet', 'weak', 'slow', 'chaotic', 'signal', 'full', 'network', ' Internet ',' down ',' severe ',' comparable ',' price ',' package ',' expensive ',' network ', "]</v>
      </c>
      <c r="D1100" s="3">
        <v>1.0</v>
      </c>
    </row>
    <row r="1101" ht="15.75" customHeight="1">
      <c r="A1101" s="1">
        <v>1099.0</v>
      </c>
      <c r="B1101" s="3" t="s">
        <v>1102</v>
      </c>
      <c r="C1101" s="3" t="str">
        <f>IFERROR(__xludf.DUMMYFUNCTION("GOOGLETRANSLATE(B1101,""id"",""en"")"),"['Please', 'sorry', 'please', 'fix', 'already', 'times',' buy ',' kouta ',' pulse ',' connected ',' fund ',' error ',' network ',' beg ',' repaired ',' please ',' need ',' kouta ',' cheap ',' please ',' devoloper ',' please ',' please ',' help ',' bnar ' "&amp;", 'need', 'repairs', 'application', 'detrimental', 'tman', '']")</f>
        <v>['Please', 'sorry', 'please', 'fix', 'already', 'times',' buy ',' kouta ',' pulse ',' connected ',' fund ',' error ',' network ',' beg ',' repaired ',' please ',' need ',' kouta ',' cheap ',' please ',' devoloper ',' please ',' please ',' help ',' bnar ' , 'need', 'repairs', 'application', 'detrimental', 'tman', '']</v>
      </c>
      <c r="D1101" s="3">
        <v>1.0</v>
      </c>
    </row>
    <row r="1102" ht="15.75" customHeight="1">
      <c r="A1102" s="1">
        <v>1100.0</v>
      </c>
      <c r="B1102" s="3" t="s">
        <v>1103</v>
      </c>
      <c r="C1102" s="3" t="str">
        <f>IFERROR(__xludf.DUMMYFUNCTION("GOOGLETRANSLATE(B1102,""id"",""en"")"),"['love', 'star', 'because', 'Tsel', 'favorite', 'just', 'network', 'ugly', 'please', 'fix', 'convenience', 'trims']")</f>
        <v>['love', 'star', 'because', 'Tsel', 'favorite', 'just', 'network', 'ugly', 'please', 'fix', 'convenience', 'trims']</v>
      </c>
      <c r="D1102" s="3">
        <v>5.0</v>
      </c>
    </row>
    <row r="1103" ht="15.75" customHeight="1">
      <c r="A1103" s="1">
        <v>1101.0</v>
      </c>
      <c r="B1103" s="3" t="s">
        <v>1104</v>
      </c>
      <c r="C1103" s="3" t="str">
        <f>IFERROR(__xludf.DUMMYFUNCTION("GOOGLETRANSLATE(B1103,""id"",""en"")"),"['Network', 'Tangerang', 'Raya', 'Tangerang', 'City', 'Tangerang', 'South', 'Jam', 'ugly', 'replaced', 'replace', ""]")</f>
        <v>['Network', 'Tangerang', 'Raya', 'Tangerang', 'City', 'Tangerang', 'South', 'Jam', 'ugly', 'replaced', 'replace', "]</v>
      </c>
      <c r="D1103" s="3">
        <v>1.0</v>
      </c>
    </row>
    <row r="1104" ht="15.75" customHeight="1">
      <c r="A1104" s="1">
        <v>1102.0</v>
      </c>
      <c r="B1104" s="3" t="s">
        <v>1105</v>
      </c>
      <c r="C1104" s="3" t="str">
        <f>IFERROR(__xludf.DUMMYFUNCTION("GOOGLETRANSLATE(B1104,""id"",""en"")"),"['Please', 'Sorry', 'Telkomsel', 'Constraints', 'Technical', 'Buy', 'Package', 'Telkomsel', 'Please', 'Help']")</f>
        <v>['Please', 'Sorry', 'Telkomsel', 'Constraints', 'Technical', 'Buy', 'Package', 'Telkomsel', 'Please', 'Help']</v>
      </c>
      <c r="D1104" s="3">
        <v>4.0</v>
      </c>
    </row>
    <row r="1105" ht="15.75" customHeight="1">
      <c r="A1105" s="1">
        <v>1103.0</v>
      </c>
      <c r="B1105" s="3" t="s">
        <v>1106</v>
      </c>
      <c r="C1105" s="3" t="str">
        <f>IFERROR(__xludf.DUMMYFUNCTION("GOOGLETRANSLATE(B1105,""id"",""en"")"),"['', 'God', 'Leet', 'Telkomsel', 'Super', 'Leet', 'Position', 'City', 'Bandung', 'Hufftt', ""]")</f>
        <v>['', 'God', 'Leet', 'Telkomsel', 'Super', 'Leet', 'Position', 'City', 'Bandung', 'Hufftt', "]</v>
      </c>
      <c r="D1105" s="3">
        <v>1.0</v>
      </c>
    </row>
    <row r="1106" ht="15.75" customHeight="1">
      <c r="A1106" s="1">
        <v>1104.0</v>
      </c>
      <c r="B1106" s="3" t="s">
        <v>1107</v>
      </c>
      <c r="C1106" s="3" t="str">
        <f>IFERROR(__xludf.DUMMYFUNCTION("GOOGLETRANSLATE(B1106,""id"",""en"")"),"['Most', 'message', 'promo', 'nipu', 'turn', 'confirm', 'purchase', 'system', 'busy', 'business',' culuced ',' person ',' prayer ',' ugly ',' people ']")</f>
        <v>['Most', 'message', 'promo', 'nipu', 'turn', 'confirm', 'purchase', 'system', 'busy', 'business',' culuced ',' person ',' prayer ',' ugly ',' people ']</v>
      </c>
      <c r="D1106" s="3">
        <v>1.0</v>
      </c>
    </row>
    <row r="1107" ht="15.75" customHeight="1">
      <c r="A1107" s="1">
        <v>1105.0</v>
      </c>
      <c r="B1107" s="3" t="s">
        <v>1108</v>
      </c>
      <c r="C1107" s="3" t="str">
        <f>IFERROR(__xludf.DUMMYFUNCTION("GOOGLETRANSLATE(B1107,""id"",""en"")"),"['network', 'Telkomsel', 'already', 'week', 'missing', 'arising', 'area', 'kyk', 'no', 'user', 'disappointed', 'kyk', ' Gini ',' Mending ',' Change ',' Provider ']")</f>
        <v>['network', 'Telkomsel', 'already', 'week', 'missing', 'arising', 'area', 'kyk', 'no', 'user', 'disappointed', 'kyk', ' Gini ',' Mending ',' Change ',' Provider ']</v>
      </c>
      <c r="D1107" s="3">
        <v>1.0</v>
      </c>
    </row>
    <row r="1108" ht="15.75" customHeight="1">
      <c r="A1108" s="1">
        <v>1106.0</v>
      </c>
      <c r="B1108" s="3" t="s">
        <v>1109</v>
      </c>
      <c r="C1108" s="3" t="str">
        <f>IFERROR(__xludf.DUMMYFUNCTION("GOOGLETRANSLATE(B1108,""id"",""en"")"),"['Ad', 'good', 'quality', 'signal', 'remote', 'village', 'remote', 'just', 'play', 'game', 'signal', 'ilang', ' ilang ',' donk ',' buy ',' quota ',' expensive ',' expensive ',' get ',' signal ',' lag ',' ']")</f>
        <v>['Ad', 'good', 'quality', 'signal', 'remote', 'village', 'remote', 'just', 'play', 'game', 'signal', 'ilang', ' ilang ',' donk ',' buy ',' quota ',' expensive ',' expensive ',' get ',' signal ',' lag ',' ']</v>
      </c>
      <c r="D1108" s="3">
        <v>1.0</v>
      </c>
    </row>
    <row r="1109" ht="15.75" customHeight="1">
      <c r="A1109" s="1">
        <v>1107.0</v>
      </c>
      <c r="B1109" s="3" t="s">
        <v>1110</v>
      </c>
      <c r="C1109" s="3" t="str">
        <f>IFERROR(__xludf.DUMMYFUNCTION("GOOGLETRANSLATE(B1109,""id"",""en"")"),"['disappointed', 'complaints',' signal ',' responded ',' Telkomsel ',' network ',' use ',' open ',' browser ',' change ',' Try ',' Telkomsel ',' response ',' try ',' chat ',' veronica ',' hope ',' equalization ',' network ',' gnya ',' stable ',' zoom ',' "&amp;"out ']")</f>
        <v>['disappointed', 'complaints',' signal ',' responded ',' Telkomsel ',' network ',' use ',' open ',' browser ',' change ',' Try ',' Telkomsel ',' response ',' try ',' chat ',' veronica ',' hope ',' equalization ',' network ',' gnya ',' stable ',' zoom ',' out ']</v>
      </c>
      <c r="D1109" s="3">
        <v>1.0</v>
      </c>
    </row>
    <row r="1110" ht="15.75" customHeight="1">
      <c r="A1110" s="1">
        <v>1108.0</v>
      </c>
      <c r="B1110" s="3" t="s">
        <v>1111</v>
      </c>
      <c r="C1110" s="3" t="str">
        <f>IFERROR(__xludf.DUMMYFUNCTION("GOOGLETRANSLATE(B1110,""id"",""en"")"),"['', 'Telkomsel', 'Help', 'Signal', 'Telkomsel', 'Telkomsel', 'satisfying', 'Network', 'expensive', 'Doang', 'Network', 'Good', "" ]")</f>
        <v>['', 'Telkomsel', 'Help', 'Signal', 'Telkomsel', 'Telkomsel', 'satisfying', 'Network', 'expensive', 'Doang', 'Network', 'Good', " ]</v>
      </c>
      <c r="D1110" s="3">
        <v>2.0</v>
      </c>
    </row>
    <row r="1111" ht="15.75" customHeight="1">
      <c r="A1111" s="1">
        <v>1109.0</v>
      </c>
      <c r="B1111" s="3" t="s">
        <v>1112</v>
      </c>
      <c r="C1111" s="3" t="str">
        <f>IFERROR(__xludf.DUMMYFUNCTION("GOOGLETRANSLATE(B1111,""id"",""en"")"),"['signal', 'like', 'missing', 'speed', 'internet', 'downhill', 'complaining', 'internet', 'slow', 'buy', 'package', 'expensive', ' expensive ',' speed ',' internet ',' spoil ',' restricted ',' per day ',' clock ',' ']")</f>
        <v>['signal', 'like', 'missing', 'speed', 'internet', 'downhill', 'complaining', 'internet', 'slow', 'buy', 'package', 'expensive', ' expensive ',' speed ',' internet ',' spoil ',' restricted ',' per day ',' clock ',' ']</v>
      </c>
      <c r="D1111" s="3">
        <v>1.0</v>
      </c>
    </row>
    <row r="1112" ht="15.75" customHeight="1">
      <c r="A1112" s="1">
        <v>1110.0</v>
      </c>
      <c r="B1112" s="3" t="s">
        <v>1113</v>
      </c>
      <c r="C1112" s="3" t="str">
        <f>IFERROR(__xludf.DUMMYFUNCTION("GOOGLETRANSLATE(B1112,""id"",""en"")"),"['Disappointed', 'really', 'quota', 'game', 'over', 'over', 'smooth', 'lag', 'severe', 'destructive', 'performance', 'game', ' Genahi ',' ']")</f>
        <v>['Disappointed', 'really', 'quota', 'game', 'over', 'over', 'smooth', 'lag', 'severe', 'destructive', 'performance', 'game', ' Genahi ',' ']</v>
      </c>
      <c r="D1112" s="3">
        <v>1.0</v>
      </c>
    </row>
    <row r="1113" ht="15.75" customHeight="1">
      <c r="A1113" s="1">
        <v>1111.0</v>
      </c>
      <c r="B1113" s="3" t="s">
        <v>1114</v>
      </c>
      <c r="C1113" s="3" t="str">
        <f>IFERROR(__xludf.DUMMYFUNCTION("GOOGLETRANSLATE(B1113,""id"",""en"")"),"['buy', 'package', 'combo', 'for', 'thousand', 'signal', 'complement', 'respond', 'member', 'GOLD', 'Telkomsel', 'Severe', ' Services', 'easy', 'hopefully', 'company', 'Telkomsel']")</f>
        <v>['buy', 'package', 'combo', 'for', 'thousand', 'signal', 'complement', 'respond', 'member', 'GOLD', 'Telkomsel', 'Severe', ' Services', 'easy', 'hopefully', 'company', 'Telkomsel']</v>
      </c>
      <c r="D1113" s="3">
        <v>1.0</v>
      </c>
    </row>
    <row r="1114" ht="15.75" customHeight="1">
      <c r="A1114" s="1">
        <v>1112.0</v>
      </c>
      <c r="B1114" s="3" t="s">
        <v>1115</v>
      </c>
      <c r="C1114" s="3" t="str">
        <f>IFERROR(__xludf.DUMMYFUNCTION("GOOGLETRANSLATE(B1114,""id"",""en"")"),"['Severe', 'Telkomsel', 'Yesterday', 'Love', 'bonus',' pulse ',' then ',' pull ',' pulse ',' main ',' pull ',' leftover ',' Fraud ',' Delarce ',' Good ',' Love ',' Star ']")</f>
        <v>['Severe', 'Telkomsel', 'Yesterday', 'Love', 'bonus',' pulse ',' then ',' pull ',' pulse ',' main ',' pull ',' leftover ',' Fraud ',' Delarce ',' Good ',' Love ',' Star ']</v>
      </c>
      <c r="D1114" s="3">
        <v>1.0</v>
      </c>
    </row>
    <row r="1115" ht="15.75" customHeight="1">
      <c r="A1115" s="1">
        <v>1113.0</v>
      </c>
      <c r="B1115" s="3" t="s">
        <v>1116</v>
      </c>
      <c r="C1115" s="3" t="str">
        <f>IFERROR(__xludf.DUMMYFUNCTION("GOOGLETRANSLATE(B1115,""id"",""en"")"),"['connection', 'internet', 'ugly', 'internet', 'local', 'apply', 'ugly', 'quota', 'giga', 'used', 'area', 'Denpasar', ' make a loss']")</f>
        <v>['connection', 'internet', 'ugly', 'internet', 'local', 'apply', 'ugly', 'quota', 'giga', 'used', 'area', 'Denpasar', ' make a loss']</v>
      </c>
      <c r="D1115" s="3">
        <v>1.0</v>
      </c>
    </row>
    <row r="1116" ht="15.75" customHeight="1">
      <c r="A1116" s="1">
        <v>1114.0</v>
      </c>
      <c r="B1116" s="3" t="s">
        <v>1117</v>
      </c>
      <c r="C1116" s="3" t="str">
        <f>IFERROR(__xludf.DUMMYFUNCTION("GOOGLETRANSLATE(B1116,""id"",""en"")"),"['Criticism', 'Telkomsel', 'Please', 'Service', 'Network', 'Increase', 'Promo', 'Products',' Telkomsel ',' Interesting ',' Balanced ',' Service ',' network ',' in place ',' network ',' Telkomsel ',' package ',' data ',' expensive ',' telkomsel ',' please "&amp;"',' service ',' network ',' priority ',' tks' ]")</f>
        <v>['Criticism', 'Telkomsel', 'Please', 'Service', 'Network', 'Increase', 'Promo', 'Products',' Telkomsel ',' Interesting ',' Balanced ',' Service ',' network ',' in place ',' network ',' Telkomsel ',' package ',' data ',' expensive ',' telkomsel ',' please ',' service ',' network ',' priority ',' tks' ]</v>
      </c>
      <c r="D1116" s="3">
        <v>3.0</v>
      </c>
    </row>
    <row r="1117" ht="15.75" customHeight="1">
      <c r="A1117" s="1">
        <v>1115.0</v>
      </c>
      <c r="B1117" s="3" t="s">
        <v>1118</v>
      </c>
      <c r="C1117" s="3" t="str">
        <f>IFERROR(__xludf.DUMMYFUNCTION("GOOGLETRANSLATE(B1117,""id"",""en"")"),"['The application', 'good', 'help', 'check', 'package', 'data', 'tlfon', 'sms',' how ',' good ',' menu ',' setting ',' add ',' photo ',' profile ',' user ',' use ',' photo ',' profill ',' thank ',' love ', ""]")</f>
        <v>['The application', 'good', 'help', 'check', 'package', 'data', 'tlfon', 'sms',' how ',' good ',' menu ',' setting ',' add ',' photo ',' profile ',' user ',' use ',' photo ',' profill ',' thank ',' love ', "]</v>
      </c>
      <c r="D1117" s="3">
        <v>4.0</v>
      </c>
    </row>
    <row r="1118" ht="15.75" customHeight="1">
      <c r="A1118" s="1">
        <v>1116.0</v>
      </c>
      <c r="B1118" s="3" t="s">
        <v>1119</v>
      </c>
      <c r="C1118" s="3" t="str">
        <f>IFERROR(__xludf.DUMMYFUNCTION("GOOGLETRANSLATE(B1118,""id"",""en"")"),"['Network', 'Telkomsel', 'Region', 'City', 'Makassar', 'Bad', 'ping it', 'down', 'buy', 'Telkomsel', 'play', 'game', ' The network is 'slow', 'affect', 'user', 'disappointed', 'Telkomsel']")</f>
        <v>['Network', 'Telkomsel', 'Region', 'City', 'Makassar', 'Bad', 'ping it', 'down', 'buy', 'Telkomsel', 'play', 'game', ' The network is 'slow', 'affect', 'user', 'disappointed', 'Telkomsel']</v>
      </c>
      <c r="D1118" s="3">
        <v>1.0</v>
      </c>
    </row>
    <row r="1119" ht="15.75" customHeight="1">
      <c r="A1119" s="1">
        <v>1117.0</v>
      </c>
      <c r="B1119" s="3" t="s">
        <v>1120</v>
      </c>
      <c r="C1119" s="3" t="str">
        <f>IFERROR(__xludf.DUMMYFUNCTION("GOOGLETRANSLATE(B1119,""id"",""en"")"),"['Network', 'BURIK', 'Network', 'Internet', 'Telkomsel', 'prioritizes',' satisfaction ',' customer ',' brave ',' Pay ',' expensive ',' network ',' equivalent', '']")</f>
        <v>['Network', 'BURIK', 'Network', 'Internet', 'Telkomsel', 'prioritizes',' satisfaction ',' customer ',' brave ',' Pay ',' expensive ',' network ',' equivalent', '']</v>
      </c>
      <c r="D1119" s="3">
        <v>1.0</v>
      </c>
    </row>
    <row r="1120" ht="15.75" customHeight="1">
      <c r="A1120" s="1">
        <v>1118.0</v>
      </c>
      <c r="B1120" s="3" t="s">
        <v>1121</v>
      </c>
      <c r="C1120" s="3" t="str">
        <f>IFERROR(__xludf.DUMMYFUNCTION("GOOGLETRANSLATE(B1120,""id"",""en"")"),"['Network', 'bad', 'garbage', 'pulp', 'play', 'game', 'ping', 'red', 'turn', 'open', 'youtube', 'smooth', ' stupid ',' menting ',' money ',' comfort ',' user ',' gausah ',' upgrade ',' already ',' ugly ',' what ',' ugly ',' star ',' sorry ' , 'Gabisa', 'N"&amp;"ambah', 'Stop', 'Use', 'Card', 'Telkomsel']")</f>
        <v>['Network', 'bad', 'garbage', 'pulp', 'play', 'game', 'ping', 'red', 'turn', 'open', 'youtube', 'smooth', ' stupid ',' menting ',' money ',' comfort ',' user ',' gausah ',' upgrade ',' already ',' ugly ',' what ',' ugly ',' star ',' sorry ' , 'Gabisa', 'Nambah', 'Stop', 'Use', 'Card', 'Telkomsel']</v>
      </c>
      <c r="D1120" s="3">
        <v>1.0</v>
      </c>
    </row>
    <row r="1121" ht="15.75" customHeight="1">
      <c r="A1121" s="1">
        <v>1119.0</v>
      </c>
      <c r="B1121" s="3" t="s">
        <v>1122</v>
      </c>
      <c r="C1121" s="3" t="str">
        <f>IFERROR(__xludf.DUMMYFUNCTION("GOOGLETRANSLATE(B1121,""id"",""en"")"),"['please', 'Telkomsel', 'plisssss',' price ',' quota ',' lower ',' rb ',' GB ',' quota ',' mutlka ',' promo ',' tekomel ',' signal ',' good ',' really ',' TPI ',' darling ',' expensive ',' really ',' expensive ',' jdi ',' card ',' nggus', 'as good', 'tpi'"&amp;" , 'cheap', 'festive', 'rb', 'get', 'GB', 'GB', 'RB', 'Msih', 'Telkomsel', 'Nggk', 'Rb', 'quota', ' Just ',' doang ',' please ',' be good ',' Heats']")</f>
        <v>['please', 'Telkomsel', 'plisssss',' price ',' quota ',' lower ',' rb ',' GB ',' quota ',' mutlka ',' promo ',' tekomel ',' signal ',' good ',' really ',' TPI ',' darling ',' expensive ',' really ',' expensive ',' jdi ',' card ',' nggus', 'as good', 'tpi' , 'cheap', 'festive', 'rb', 'get', 'GB', 'GB', 'RB', 'Msih', 'Telkomsel', 'Nggk', 'Rb', 'quota', ' Just ',' doang ',' please ',' be good ',' Heats']</v>
      </c>
      <c r="D1121" s="3">
        <v>1.0</v>
      </c>
    </row>
    <row r="1122" ht="15.75" customHeight="1">
      <c r="A1122" s="1">
        <v>1120.0</v>
      </c>
      <c r="B1122" s="3" t="s">
        <v>1123</v>
      </c>
      <c r="C1122" s="3" t="str">
        <f>IFERROR(__xludf.DUMMYFUNCTION("GOOGLETRANSLATE(B1122,""id"",""en"")"),"['Min', 'promo', 'Bener', 'a little', 'buy', 'package', 'lapse', 'learn', 'wear', 'google', 'meet', 'sucked', ' quota ',' main ',' quota ',' learn ',' buy ',' used ',' min ']")</f>
        <v>['Min', 'promo', 'Bener', 'a little', 'buy', 'package', 'lapse', 'learn', 'wear', 'google', 'meet', 'sucked', ' quota ',' main ',' quota ',' learn ',' buy ',' used ',' min ']</v>
      </c>
      <c r="D1122" s="3">
        <v>1.0</v>
      </c>
    </row>
    <row r="1123" ht="15.75" customHeight="1">
      <c r="A1123" s="1">
        <v>1121.0</v>
      </c>
      <c r="B1123" s="3" t="s">
        <v>1124</v>
      </c>
      <c r="C1123" s="3" t="str">
        <f>IFERROR(__xludf.DUMMYFUNCTION("GOOGLETRANSLATE(B1123,""id"",""en"")"),"['card', 'expensive', 'network', 'poor', 'buy', 'package', 'pulse', 'suck', 'wish', 'telom', 'hate', 'this made', ' admin ',' Bls ',' cmn ',' sorry ',' action ',' star ',' piece ',' kasi ',' piece ',' what 'do', 'kasi', 'star', 'sincere' , 'Actually', 'Aw"&amp;"ok', '']")</f>
        <v>['card', 'expensive', 'network', 'poor', 'buy', 'package', 'pulse', 'suck', 'wish', 'telom', 'hate', 'this made', ' admin ',' Bls ',' cmn ',' sorry ',' action ',' star ',' piece ',' kasi ',' piece ',' what 'do', 'kasi', 'star', 'sincere' , 'Actually', 'Awok', '']</v>
      </c>
      <c r="D1123" s="3">
        <v>1.0</v>
      </c>
    </row>
    <row r="1124" ht="15.75" customHeight="1">
      <c r="A1124" s="1">
        <v>1122.0</v>
      </c>
      <c r="B1124" s="3" t="s">
        <v>1125</v>
      </c>
      <c r="C1124" s="3" t="str">
        <f>IFERROR(__xludf.DUMMYFUNCTION("GOOGLETRANSLATE(B1124,""id"",""en"")"),"['Wonder', 'Sometimes',' see ',' network ',' beam ',' sinya ',' good ',' right ',' open ',' youtube ',' ama ',' google ',' quota ',' please ',' sometimes', 'note', 'data', 'activated', 'sometimes',' signalny ',' down ',' turn ',' lgi ',' signal ',' confus"&amp;"ed ' , 'explained', 'Sometimes', 'quota', 'kluar', 'dri', 'entered', 'confused', 'dahlah', 'please', ""]")</f>
        <v>['Wonder', 'Sometimes',' see ',' network ',' beam ',' sinya ',' good ',' right ',' open ',' youtube ',' ama ',' google ',' quota ',' please ',' sometimes', 'note', 'data', 'activated', 'sometimes',' signalny ',' down ',' turn ',' lgi ',' signal ',' confused ' , 'explained', 'Sometimes', 'quota', 'kluar', 'dri', 'entered', 'confused', 'dahlah', 'please', "]</v>
      </c>
      <c r="D1124" s="3">
        <v>3.0</v>
      </c>
    </row>
    <row r="1125" ht="15.75" customHeight="1">
      <c r="A1125" s="1">
        <v>1123.0</v>
      </c>
      <c r="B1125" s="3" t="s">
        <v>1126</v>
      </c>
      <c r="C1125" s="3" t="str">
        <f>IFERROR(__xludf.DUMMYFUNCTION("GOOGLETRANSLATE(B1125,""id"",""en"")"),"['The application', 'heavy', 'run', 'displacement', 'feature', 'features',' loading ',' sometimes', 'applilatlation', 'automatic', 'drain', 'quota', ' Data ',' Users', 'Please', 'Enhanced', 'Quality', 'The Application', '']")</f>
        <v>['The application', 'heavy', 'run', 'displacement', 'feature', 'features',' loading ',' sometimes', 'applilatlation', 'automatic', 'drain', 'quota', ' Data ',' Users', 'Please', 'Enhanced', 'Quality', 'The Application', '']</v>
      </c>
      <c r="D1125" s="3">
        <v>2.0</v>
      </c>
    </row>
    <row r="1126" ht="15.75" customHeight="1">
      <c r="A1126" s="1">
        <v>1124.0</v>
      </c>
      <c r="B1126" s="3" t="s">
        <v>1127</v>
      </c>
      <c r="C1126" s="3" t="str">
        <f>IFERROR(__xludf.DUMMYFUNCTION("GOOGLETRANSLATE(B1126,""id"",""en"")"),"['APL', 'ugly', 'policy', 'price', 'quota', 'data', 'network', 'area', 'consumer', 'disappointed', 'heavy', ""]")</f>
        <v>['APL', 'ugly', 'policy', 'price', 'quota', 'data', 'network', 'area', 'consumer', 'disappointed', 'heavy', "]</v>
      </c>
      <c r="D1126" s="3">
        <v>1.0</v>
      </c>
    </row>
    <row r="1127" ht="15.75" customHeight="1">
      <c r="A1127" s="1">
        <v>1125.0</v>
      </c>
      <c r="B1127" s="3" t="s">
        <v>1128</v>
      </c>
      <c r="C1127" s="3" t="str">
        <f>IFERROR(__xludf.DUMMYFUNCTION("GOOGLETRANSLATE(B1127,""id"",""en"")"),"['Burik', 'already', 'log', 'application', 'sometimes',' right ',' open ',' muter ',' told ',' log ',' reset ',' verification ',' Link ',' SMS ',' Loading ',' Network ',' Good ',' Remnant ',' Credit ',' Package ',' Data ',' Pas', 'Check', 'Credit', 'Cut' "&amp;", 'Telkomsel', 'corrupt', 'gini', 'suckotin', 'pulse', 'njaanncookk', '']")</f>
        <v>['Burik', 'already', 'log', 'application', 'sometimes',' right ',' open ',' muter ',' told ',' log ',' reset ',' verification ',' Link ',' SMS ',' Loading ',' Network ',' Good ',' Remnant ',' Credit ',' Package ',' Data ',' Pas', 'Check', 'Credit', 'Cut' , 'Telkomsel', 'corrupt', 'gini', 'suckotin', 'pulse', 'njaanncookk', '']</v>
      </c>
      <c r="D1127" s="3">
        <v>1.0</v>
      </c>
    </row>
    <row r="1128" ht="15.75" customHeight="1">
      <c r="A1128" s="1">
        <v>1126.0</v>
      </c>
      <c r="B1128" s="3" t="s">
        <v>1129</v>
      </c>
      <c r="C1128" s="3" t="str">
        <f>IFERROR(__xludf.DUMMYFUNCTION("GOOGLETRANSLATE(B1128,""id"",""en"")"),"['repair', 'second', 'connection', 'severe', 'connection', 'my superior', 'gini', 'loss',' coin ',' application ',' connection ',' disconnected ',' Seen ',' Thanks', 'Love', 'Telkomsel', 'Merugi', '']")</f>
        <v>['repair', 'second', 'connection', 'severe', 'connection', 'my superior', 'gini', 'loss',' coin ',' application ',' connection ',' disconnected ',' Seen ',' Thanks', 'Love', 'Telkomsel', 'Merugi', '']</v>
      </c>
      <c r="D1128" s="3">
        <v>1.0</v>
      </c>
    </row>
    <row r="1129" ht="15.75" customHeight="1">
      <c r="A1129" s="1">
        <v>1127.0</v>
      </c>
      <c r="B1129" s="3" t="s">
        <v>1130</v>
      </c>
      <c r="C1129" s="3" t="str">
        <f>IFERROR(__xludf.DUMMYFUNCTION("GOOGLETRANSLATE(B1129,""id"",""en"")"),"['Telkomsel', 'here', 'ugly', 'network', 'already', 'purchase', 'package', 'expensive', 'network', 'kek', 'taii', 'kek', ' No ',' according to ']")</f>
        <v>['Telkomsel', 'here', 'ugly', 'network', 'already', 'purchase', 'package', 'expensive', 'network', 'kek', 'taii', 'kek', ' No ',' according to ']</v>
      </c>
      <c r="D1129" s="3">
        <v>1.0</v>
      </c>
    </row>
    <row r="1130" ht="15.75" customHeight="1">
      <c r="A1130" s="1">
        <v>1128.0</v>
      </c>
      <c r="B1130" s="3" t="s">
        <v>1131</v>
      </c>
      <c r="C1130" s="3" t="str">
        <f>IFERROR(__xludf.DUMMYFUNCTION("GOOGLETRANSLATE(B1130,""id"",""en"")"),"['hi', 'miin', 'buy', 'package', 'emergency', 'buy', 'pulse', 'cheek', 'use', 'package', 'pulses', 'scorched']")</f>
        <v>['hi', 'miin', 'buy', 'package', 'emergency', 'buy', 'pulse', 'cheek', 'use', 'package', 'pulses', 'scorched']</v>
      </c>
      <c r="D1130" s="3">
        <v>5.0</v>
      </c>
    </row>
    <row r="1131" ht="15.75" customHeight="1">
      <c r="A1131" s="1">
        <v>1129.0</v>
      </c>
      <c r="B1131" s="3" t="s">
        <v>1132</v>
      </c>
      <c r="C1131" s="3" t="str">
        <f>IFERROR(__xludf.DUMMYFUNCTION("GOOGLETRANSLATE(B1131,""id"",""en"")"),"['Telkomsel', 'Kayak', 'Nokia', 'lied to', 'Customer', 'Mulu', 'Package', 'What' do ',' already ',' run out ',' fast ',' endless', 'kyk', 'card', 'see', 'stay', 'kayak', 'Nokia', 'message']")</f>
        <v>['Telkomsel', 'Kayak', 'Nokia', 'lied to', 'Customer', 'Mulu', 'Package', 'What' do ',' already ',' run out ',' fast ',' endless', 'kyk', 'card', 'see', 'stay', 'kayak', 'Nokia', 'message']</v>
      </c>
      <c r="D1131" s="3">
        <v>1.0</v>
      </c>
    </row>
    <row r="1132" ht="15.75" customHeight="1">
      <c r="A1132" s="1">
        <v>1130.0</v>
      </c>
      <c r="B1132" s="3" t="s">
        <v>1133</v>
      </c>
      <c r="C1132" s="3" t="str">
        <f>IFERROR(__xludf.DUMMYFUNCTION("GOOGLETRANSLATE(B1132,""id"",""en"")"),"['Good', 'saving', 'pulse', 'purchase', 'package', 'cheap', 'help', 'emergency', 'just', 'suggestion', 'customer', ' Telkomsel ',' Please ',' Signal ',' Region ',' Please ',' Optimal ',' The Network ',' Task ',' Slow ',' Loading ',' Thanks', ""]")</f>
        <v>['Good', 'saving', 'pulse', 'purchase', 'package', 'cheap', 'help', 'emergency', 'just', 'suggestion', 'customer', ' Telkomsel ',' Please ',' Signal ',' Region ',' Please ',' Optimal ',' The Network ',' Task ',' Slow ',' Loading ',' Thanks', "]</v>
      </c>
      <c r="D1132" s="3">
        <v>5.0</v>
      </c>
    </row>
    <row r="1133" ht="15.75" customHeight="1">
      <c r="A1133" s="1">
        <v>1131.0</v>
      </c>
      <c r="B1133" s="3" t="s">
        <v>1134</v>
      </c>
      <c r="C1133" s="3" t="str">
        <f>IFERROR(__xludf.DUMMYFUNCTION("GOOGLETRANSLATE(B1133,""id"",""en"")"),"['Telkomsel', 'data', 'internet', 'knp', 'pull', 'pulse', 'access', 'internet', 'rates', 'non', 'package', 'then' The use of ',' data ',' Internet ',' ASW ',' Season ',' Telkomsel ',' Please ',' Fix ',' His name ',' Pasurasan ',' Ajg ', ""]")</f>
        <v>['Telkomsel', 'data', 'internet', 'knp', 'pull', 'pulse', 'access', 'internet', 'rates', 'non', 'package', 'then' The use of ',' data ',' Internet ',' ASW ',' Season ',' Telkomsel ',' Please ',' Fix ',' His name ',' Pasurasan ',' Ajg ', "]</v>
      </c>
      <c r="D1133" s="3">
        <v>1.0</v>
      </c>
    </row>
    <row r="1134" ht="15.75" customHeight="1">
      <c r="A1134" s="1">
        <v>1132.0</v>
      </c>
      <c r="B1134" s="3" t="s">
        <v>1135</v>
      </c>
      <c r="C1134" s="3" t="str">
        <f>IFERROR(__xludf.DUMMYFUNCTION("GOOGLETRANSLATE(B1134,""id"",""en"")"),"['', 'Telkomsel', 'good', 'information', 'easy', 'use', 'slow', 'rich', 'Alhamdulillah', 'Telkomsel', ""]")</f>
        <v>['', 'Telkomsel', 'good', 'information', 'easy', 'use', 'slow', 'rich', 'Alhamdulillah', 'Telkomsel', "]</v>
      </c>
      <c r="D1134" s="3">
        <v>5.0</v>
      </c>
    </row>
    <row r="1135" ht="15.75" customHeight="1">
      <c r="A1135" s="1">
        <v>1133.0</v>
      </c>
      <c r="B1135" s="3" t="s">
        <v>1136</v>
      </c>
      <c r="C1135" s="3" t="str">
        <f>IFERROR(__xludf.DUMMYFUNCTION("GOOGLETRANSLATE(B1135,""id"",""en"")"),"['PKE', 'Telkomsel', 'complaint', 'Network', 'Tanggepin', 'complain', 'Location', 'Test', 'Speed', 'Doang', 'ping', 'ms',' Speed ​​',' Download ',' Mbps', 'said', 'Normal', 'PKE', 'Telkomsel', 'Road', 'Bales',' Chat ',' Wait ',' Minutes', 'Send' , 'crazy'"&amp;", 'bales', 'chat', 'connection', 'strong', 'tsel']")</f>
        <v>['PKE', 'Telkomsel', 'complaint', 'Network', 'Tanggepin', 'complain', 'Location', 'Test', 'Speed', 'Doang', 'ping', 'ms',' Speed ​​',' Download ',' Mbps', 'said', 'Normal', 'PKE', 'Telkomsel', 'Road', 'Bales',' Chat ',' Wait ',' Minutes', 'Send' , 'crazy', 'bales', 'chat', 'connection', 'strong', 'tsel']</v>
      </c>
      <c r="D1135" s="3">
        <v>1.0</v>
      </c>
    </row>
    <row r="1136" ht="15.75" customHeight="1">
      <c r="A1136" s="1">
        <v>1134.0</v>
      </c>
      <c r="B1136" s="3" t="s">
        <v>1137</v>
      </c>
      <c r="C1136" s="3" t="str">
        <f>IFERROR(__xludf.DUMMYFUNCTION("GOOGLETRANSLATE(B1136,""id"",""en"")"),"['Combo', 'Sakti', 'RB', 'Quota', 'GB', 'Tel', 'Min', 'SMS', 'Check', 'Activate', 'LWT', 'Mytsell', ' outlet ',' bits', 'mtsel', 'SKB', 'prog', 'gift', 'click', 'bit', 'Poinsakti', 'combo', 'ad', ""]")</f>
        <v>['Combo', 'Sakti', 'RB', 'Quota', 'GB', 'Tel', 'Min', 'SMS', 'Check', 'Activate', 'LWT', 'Mytsell', ' outlet ',' bits', 'mtsel', 'SKB', 'prog', 'gift', 'click', 'bit', 'Poinsakti', 'combo', 'ad', "]</v>
      </c>
      <c r="D1136" s="3">
        <v>1.0</v>
      </c>
    </row>
    <row r="1137" ht="15.75" customHeight="1">
      <c r="A1137" s="1">
        <v>1135.0</v>
      </c>
      <c r="B1137" s="3" t="s">
        <v>1138</v>
      </c>
      <c r="C1137" s="3" t="str">
        <f>IFERROR(__xludf.DUMMYFUNCTION("GOOGLETRANSLATE(B1137,""id"",""en"")"),"['Congratulations',' Towards', 'noon', 'BPK', 'Layayan', 'Telkomsel', 'Kek', 'Main', 'Game', 'Connection', 'Disconnected', 'Improved', ' deteriorate ']")</f>
        <v>['Congratulations',' Towards', 'noon', 'BPK', 'Layayan', 'Telkomsel', 'Kek', 'Main', 'Game', 'Connection', 'Disconnected', 'Improved', ' deteriorate ']</v>
      </c>
      <c r="D1137" s="3">
        <v>1.0</v>
      </c>
    </row>
    <row r="1138" ht="15.75" customHeight="1">
      <c r="A1138" s="1">
        <v>1136.0</v>
      </c>
      <c r="B1138" s="3" t="s">
        <v>1139</v>
      </c>
      <c r="C1138" s="3" t="str">
        <f>IFERROR(__xludf.DUMMYFUNCTION("GOOGLETRANSLATE(B1138,""id"",""en"")"),"['Lower', 'Bintang', 'Please', 'Assisted', 'Package', 'Data', 'On', 'Credit', 'Cutting', 'GMN', 'Fill', 'Credit', ' truncated ',' please ',' return ',' pulse ',' truncated ',' rich ',' gini ',' contents', 'pulses', ""]")</f>
        <v>['Lower', 'Bintang', 'Please', 'Assisted', 'Package', 'Data', 'On', 'Credit', 'Cutting', 'GMN', 'Fill', 'Credit', ' truncated ',' please ',' return ',' pulse ',' truncated ',' rich ',' gini ',' contents', 'pulses', "]</v>
      </c>
      <c r="D1138" s="3">
        <v>2.0</v>
      </c>
    </row>
    <row r="1139" ht="15.75" customHeight="1">
      <c r="A1139" s="1">
        <v>1137.0</v>
      </c>
      <c r="B1139" s="3" t="s">
        <v>1140</v>
      </c>
      <c r="C1139" s="3" t="str">
        <f>IFERROR(__xludf.DUMMYFUNCTION("GOOGLETRANSLATE(B1139,""id"",""en"")"),"['Complaint', 'Telkomsel', 'Fill', 'Credit', 'On', 'Card', 'No', 'Nambah', 'Number', 'Dead', 'Lho', 'Gini', ' money ',' run out ',' contents', 'pulse', 'alternating', 'kaga', 'add', 'active', 'Telkomsel', 'Please', 'fix', 'trouble', 'number' , 'thanks', '"&amp;"']")</f>
        <v>['Complaint', 'Telkomsel', 'Fill', 'Credit', 'On', 'Card', 'No', 'Nambah', 'Number', 'Dead', 'Lho', 'Gini', ' money ',' run out ',' contents', 'pulse', 'alternating', 'kaga', 'add', 'active', 'Telkomsel', 'Please', 'fix', 'trouble', 'number' , 'thanks', '']</v>
      </c>
      <c r="D1139" s="3">
        <v>1.0</v>
      </c>
    </row>
    <row r="1140" ht="15.75" customHeight="1">
      <c r="A1140" s="1">
        <v>1138.0</v>
      </c>
      <c r="B1140" s="3" t="s">
        <v>1141</v>
      </c>
      <c r="C1140" s="3" t="str">
        <f>IFERROR(__xludf.DUMMYFUNCTION("GOOGLETRANSLATE(B1140,""id"",""en"")"),"['rates',' nyesek ',' quota ',' data ',' run out ',' notif ',' late ',' pulses', 'sumps',' run out ',' notif ',' quota ',' run out ',' MyTelkom ',' Free ',' quota ',' NOT ',' quota ',' run out ',' buy ',' quota ', ""]")</f>
        <v>['rates',' nyesek ',' quota ',' data ',' run out ',' notif ',' late ',' pulses', 'sumps',' run out ',' notif ',' quota ',' run out ',' MyTelkom ',' Free ',' quota ',' NOT ',' quota ',' run out ',' buy ',' quota ', "]</v>
      </c>
      <c r="D1140" s="3">
        <v>1.0</v>
      </c>
    </row>
    <row r="1141" ht="15.75" customHeight="1">
      <c r="A1141" s="1">
        <v>1139.0</v>
      </c>
      <c r="B1141" s="3" t="s">
        <v>1142</v>
      </c>
      <c r="C1141" s="3" t="str">
        <f>IFERROR(__xludf.DUMMYFUNCTION("GOOGLETRANSLATE(B1141,""id"",""en"")"),"['Suggestion', 'quota', 'internet', 'run out', 'mending', 'breaking', 'connection', 'internet', 'direct', 'input', 'rates',' pulses', ' Loss', 'really', 'Please', 'Change', 'Policy']")</f>
        <v>['Suggestion', 'quota', 'internet', 'run out', 'mending', 'breaking', 'connection', 'internet', 'direct', 'input', 'rates',' pulses', ' Loss', 'really', 'Please', 'Change', 'Policy']</v>
      </c>
      <c r="D1141" s="3">
        <v>3.0</v>
      </c>
    </row>
    <row r="1142" ht="15.75" customHeight="1">
      <c r="A1142" s="1">
        <v>1140.0</v>
      </c>
      <c r="B1142" s="3" t="s">
        <v>1143</v>
      </c>
      <c r="C1142" s="3" t="str">
        <f>IFERROR(__xludf.DUMMYFUNCTION("GOOGLETRANSLATE(B1142,""id"",""en"")"),"['Please', 'Sorry', 'Min', 'Knapa', 'right', 'Connect', 'Account', 'Fund', 'Telkomsel', 'Beranyan', 'Sorry', 'Disorders',' system ',' check ',' connection ',' reset ',' transaction ',' minute ',' my network ',' good ',' balance ',' fund ']")</f>
        <v>['Please', 'Sorry', 'Min', 'Knapa', 'right', 'Connect', 'Account', 'Fund', 'Telkomsel', 'Beranyan', 'Sorry', 'Disorders',' system ',' check ',' connection ',' reset ',' transaction ',' minute ',' my network ',' good ',' balance ',' fund ']</v>
      </c>
      <c r="D1142" s="3">
        <v>5.0</v>
      </c>
    </row>
    <row r="1143" ht="15.75" customHeight="1">
      <c r="A1143" s="1">
        <v>1141.0</v>
      </c>
      <c r="B1143" s="3" t="s">
        <v>1144</v>
      </c>
      <c r="C1143" s="3" t="str">
        <f>IFERROR(__xludf.DUMMYFUNCTION("GOOGLETRANSLATE(B1143,""id"",""en"")"),"['Like', 'Please', 'Updated', 'Maximized', 'Ease', 'Mainmorked', 'Rates',' Internet ',' Disappointing ',' Customer ',' Telkomsel ',' Thank you ',' ']")</f>
        <v>['Like', 'Please', 'Updated', 'Maximized', 'Ease', 'Mainmorked', 'Rates',' Internet ',' Disappointing ',' Customer ',' Telkomsel ',' Thank you ',' ']</v>
      </c>
      <c r="D1143" s="3">
        <v>5.0</v>
      </c>
    </row>
    <row r="1144" ht="15.75" customHeight="1">
      <c r="A1144" s="1">
        <v>1142.0</v>
      </c>
      <c r="B1144" s="3" t="s">
        <v>1145</v>
      </c>
      <c r="C1144" s="3" t="str">
        <f>IFERROR(__xludf.DUMMYFUNCTION("GOOGLETRANSLATE(B1144,""id"",""en"")"),"['Login', 'Difficult', 'Mending', 'GKA', 'Application', 'Mute', 'make it difficult', 'Login', 'Screen', 'White', 'Week', 'Lazy', ' emotion']")</f>
        <v>['Login', 'Difficult', 'Mending', 'GKA', 'Application', 'Mute', 'make it difficult', 'Login', 'Screen', 'White', 'Week', 'Lazy', ' emotion']</v>
      </c>
      <c r="D1144" s="3">
        <v>1.0</v>
      </c>
    </row>
    <row r="1145" ht="15.75" customHeight="1">
      <c r="A1145" s="1">
        <v>1143.0</v>
      </c>
      <c r="B1145" s="3" t="s">
        <v>1146</v>
      </c>
      <c r="C1145" s="3" t="str">
        <f>IFERROR(__xludf.DUMMYFUNCTION("GOOGLETRANSLATE(B1145,""id"",""en"")"),"['pulse', 'lost', 'balance', 'leftover', 'quota', 'pulse', 'where', '']")</f>
        <v>['pulse', 'lost', 'balance', 'leftover', 'quota', 'pulse', 'where', '']</v>
      </c>
      <c r="D1145" s="3">
        <v>1.0</v>
      </c>
    </row>
    <row r="1146" ht="15.75" customHeight="1">
      <c r="A1146" s="1">
        <v>1144.0</v>
      </c>
      <c r="B1146" s="3" t="s">
        <v>1147</v>
      </c>
      <c r="C1146" s="3" t="str">
        <f>IFERROR(__xludf.DUMMYFUNCTION("GOOGLETRANSLATE(B1146,""id"",""en"")"),"['Credit', 'Choosing', 'Package', 'Data', 'LWT', 'Ribet', 'Application', 'Useful', 'Facilitates',' Memiljh ',' Package ',' Credit ',' applies', 'card', 'complete', '']")</f>
        <v>['Credit', 'Choosing', 'Package', 'Data', 'LWT', 'Ribet', 'Application', 'Useful', 'Facilitates',' Memiljh ',' Package ',' Credit ',' applies', 'card', 'complete', '']</v>
      </c>
      <c r="D1146" s="3">
        <v>5.0</v>
      </c>
    </row>
    <row r="1147" ht="15.75" customHeight="1">
      <c r="A1147" s="1">
        <v>1145.0</v>
      </c>
      <c r="B1147" s="3" t="s">
        <v>1148</v>
      </c>
      <c r="C1147" s="3" t="str">
        <f>IFERROR(__xludf.DUMMYFUNCTION("GOOGLETRANSLATE(B1147,""id"",""en"")"),"['The application', 'super', 'ugly', 'boong', 'hayuuu', 'kuntul', 'oath', 'application', 'interesting']")</f>
        <v>['The application', 'super', 'ugly', 'boong', 'hayuuu', 'kuntul', 'oath', 'application', 'interesting']</v>
      </c>
      <c r="D1147" s="3">
        <v>5.0</v>
      </c>
    </row>
    <row r="1148" ht="15.75" customHeight="1">
      <c r="A1148" s="1">
        <v>1146.0</v>
      </c>
      <c r="B1148" s="3" t="s">
        <v>1149</v>
      </c>
      <c r="C1148" s="3" t="str">
        <f>IFERROR(__xludf.DUMMYFUNCTION("GOOGLETRANSLATE(B1148,""id"",""en"")"),"['Download', 'application', 'open', 'Load', 'reset', 'open', 'application', 'open', 'please', 'read']")</f>
        <v>['Download', 'application', 'open', 'Load', 'reset', 'open', 'application', 'open', 'please', 'read']</v>
      </c>
      <c r="D1148" s="3">
        <v>1.0</v>
      </c>
    </row>
    <row r="1149" ht="15.75" customHeight="1">
      <c r="A1149" s="1">
        <v>1147.0</v>
      </c>
      <c r="B1149" s="3" t="s">
        <v>1150</v>
      </c>
      <c r="C1149" s="3" t="str">
        <f>IFERROR(__xludf.DUMMYFUNCTION("GOOGLETRANSLATE(B1149,""id"",""en"")"),"['December', 'TKP', 'network', 'Tsel', 'game', 'ugly', 'until', 'skrng', 'ttp', 'ugly', 'auto', 'moved', ' Providers', 'Gamemax', 'GB', 'right', 'Ngegame', 'Ngelag', 'Gaguna', '']")</f>
        <v>['December', 'TKP', 'network', 'Tsel', 'game', 'ugly', 'until', 'skrng', 'ttp', 'ugly', 'auto', 'moved', ' Providers', 'Gamemax', 'GB', 'right', 'Ngegame', 'Ngelag', 'Gaguna', '']</v>
      </c>
      <c r="D1149" s="3">
        <v>1.0</v>
      </c>
    </row>
    <row r="1150" ht="15.75" customHeight="1">
      <c r="A1150" s="1">
        <v>1148.0</v>
      </c>
      <c r="B1150" s="3" t="s">
        <v>1151</v>
      </c>
      <c r="C1150" s="3" t="str">
        <f>IFERROR(__xludf.DUMMYFUNCTION("GOOGLETRANSLATE(B1150,""id"",""en"")"),"['Steady', 'Anyway', 'Hopefully', 'get', 'Gift', 'Motor', 'Exchange', 'Points',' Week ',' Get ',' Family ',' Buyin ',' Cards', 'Telkomsel', 'Promise', '']")</f>
        <v>['Steady', 'Anyway', 'Hopefully', 'get', 'Gift', 'Motor', 'Exchange', 'Points',' Week ',' Get ',' Family ',' Buyin ',' Cards', 'Telkomsel', 'Promise', '']</v>
      </c>
      <c r="D1150" s="3">
        <v>5.0</v>
      </c>
    </row>
    <row r="1151" ht="15.75" customHeight="1">
      <c r="A1151" s="1">
        <v>1149.0</v>
      </c>
      <c r="B1151" s="3" t="s">
        <v>1152</v>
      </c>
      <c r="C1151" s="3" t="str">
        <f>IFERROR(__xludf.DUMMYFUNCTION("GOOGLETRANSLATE(B1151,""id"",""en"")"),"['might', 'good', 'Telkomsel', 'good', 'destroy', 'rame', 'rame', 'quota', 'network', 'kawakan', 'telkomsel', 'second', ' network ',' Change ',' Change ',' ']")</f>
        <v>['might', 'good', 'Telkomsel', 'good', 'destroy', 'rame', 'rame', 'quota', 'network', 'kawakan', 'telkomsel', 'second', ' network ',' Change ',' Change ',' ']</v>
      </c>
      <c r="D1151" s="3">
        <v>5.0</v>
      </c>
    </row>
    <row r="1152" ht="15.75" customHeight="1">
      <c r="A1152" s="1">
        <v>1150.0</v>
      </c>
      <c r="B1152" s="3" t="s">
        <v>1153</v>
      </c>
      <c r="C1152" s="3" t="str">
        <f>IFERROR(__xludf.DUMMYFUNCTION("GOOGLETRANSLATE(B1152,""id"",""en"")"),"['package', 'games',' max ',' quota ',' used ',' download ',' game ',' quota ',' main ',' play ',' quota ',' main ',' How ',' mean ', ""]")</f>
        <v>['package', 'games',' max ',' quota ',' used ',' download ',' game ',' quota ',' main ',' play ',' quota ',' main ',' How ',' mean ', "]</v>
      </c>
      <c r="D1152" s="3">
        <v>3.0</v>
      </c>
    </row>
    <row r="1153" ht="15.75" customHeight="1">
      <c r="A1153" s="1">
        <v>1151.0</v>
      </c>
      <c r="B1153" s="3" t="s">
        <v>1154</v>
      </c>
      <c r="C1153" s="3" t="str">
        <f>IFERROR(__xludf.DUMMYFUNCTION("GOOGLETRANSLATE(B1153,""id"",""en"")"),"['Hello', 'admin', 'ber', 'criticism', 'program', 'daily', 'check', 'right', 'take', 'gift', 'accumulation', 'check', ' Experience ',' constraints', 'Sorry', 'System', 'Busy', 'Please', 'Try', 'Points',' Take ',' Gift ',' Mending ',' Take ',' Enter ' , 'g"&amp;"ift', 'beg', 'system', 'busy', 'take', 'gift', 'gift', 'entry', 'reduce', 'point', 'Thanks']")</f>
        <v>['Hello', 'admin', 'ber', 'criticism', 'program', 'daily', 'check', 'right', 'take', 'gift', 'accumulation', 'check', ' Experience ',' constraints', 'Sorry', 'System', 'Busy', 'Please', 'Try', 'Points',' Take ',' Gift ',' Mending ',' Take ',' Enter ' , 'gift', 'beg', 'system', 'busy', 'take', 'gift', 'gift', 'entry', 'reduce', 'point', 'Thanks']</v>
      </c>
      <c r="D1153" s="3">
        <v>2.0</v>
      </c>
    </row>
    <row r="1154" ht="15.75" customHeight="1">
      <c r="A1154" s="1">
        <v>1152.0</v>
      </c>
      <c r="B1154" s="3" t="s">
        <v>1155</v>
      </c>
      <c r="C1154" s="3" t="str">
        <f>IFERROR(__xludf.DUMMYFUNCTION("GOOGLETRANSLATE(B1154,""id"",""en"")"),"['Disappointed', 'Buy', 'Package', 'Data', 'Combo', 'Sakti', 'MyTelkomsel', 'Method', 'Payment', 'Shopeepay', 'Saldo', 'Shopee', ' Cutting ',' quota ',' entered ',' get ',' SMS ',' System ',' Busy ',' Disappointed ',' Really ',' BKN ',' Boong ',' Restore "&amp;"',' Balance ' , 'Shopeepay', '']")</f>
        <v>['Disappointed', 'Buy', 'Package', 'Data', 'Combo', 'Sakti', 'MyTelkomsel', 'Method', 'Payment', 'Shopeepay', 'Saldo', 'Shopee', ' Cutting ',' quota ',' entered ',' get ',' SMS ',' System ',' Busy ',' Disappointed ',' Really ',' BKN ',' Boong ',' Restore ',' Balance ' , 'Shopeepay', '']</v>
      </c>
      <c r="D1154" s="3">
        <v>1.0</v>
      </c>
    </row>
    <row r="1155" ht="15.75" customHeight="1">
      <c r="A1155" s="1">
        <v>1153.0</v>
      </c>
      <c r="B1155" s="3" t="s">
        <v>1156</v>
      </c>
      <c r="C1155" s="3" t="str">
        <f>IFERROR(__xludf.DUMMYFUNCTION("GOOGLETRANSLATE(B1155,""id"",""en"")"),"['application', 'brokenkkkk', 'buy', 'quota', 'balance', 'inedible', 'quota', 'enter', 'reason', 'sorry', 'system', 'busy', ' Stupid ',' Mending ',' Uninstall ']")</f>
        <v>['application', 'brokenkkkk', 'buy', 'quota', 'balance', 'inedible', 'quota', 'enter', 'reason', 'sorry', 'system', 'busy', ' Stupid ',' Mending ',' Uninstall ']</v>
      </c>
      <c r="D1155" s="3">
        <v>1.0</v>
      </c>
    </row>
    <row r="1156" ht="15.75" customHeight="1">
      <c r="A1156" s="1">
        <v>1154.0</v>
      </c>
      <c r="B1156" s="3" t="s">
        <v>1157</v>
      </c>
      <c r="C1156" s="3" t="str">
        <f>IFERROR(__xludf.DUMMYFUNCTION("GOOGLETRANSLATE(B1156,""id"",""en"")"),"['pulse', 'sumps',' package ',' internet ',' buy ',' quota ',' lap ',' unlimited ',' youtube ',' facebook ',' tiktok ',' use ',' ']")</f>
        <v>['pulse', 'sumps',' package ',' internet ',' buy ',' quota ',' lap ',' unlimited ',' youtube ',' facebook ',' tiktok ',' use ',' ']</v>
      </c>
      <c r="D1156" s="3">
        <v>1.0</v>
      </c>
    </row>
    <row r="1157" ht="15.75" customHeight="1">
      <c r="A1157" s="1">
        <v>1155.0</v>
      </c>
      <c r="B1157" s="3" t="s">
        <v>1158</v>
      </c>
      <c r="C1157" s="3" t="str">
        <f>IFERROR(__xludf.DUMMYFUNCTION("GOOGLETRANSLATE(B1157,""id"",""en"")"),"['Notification', 'SMS', 'Telkomsel', 'Pulse', 'Download', 'Application', 'Credit', 'Promised', 'Please', 'Telkomsel', 'Deceiving']")</f>
        <v>['Notification', 'SMS', 'Telkomsel', 'Pulse', 'Download', 'Application', 'Credit', 'Promised', 'Please', 'Telkomsel', 'Deceiving']</v>
      </c>
      <c r="D1157" s="3">
        <v>1.0</v>
      </c>
    </row>
    <row r="1158" ht="15.75" customHeight="1">
      <c r="A1158" s="1">
        <v>1156.0</v>
      </c>
      <c r="B1158" s="3" t="s">
        <v>1159</v>
      </c>
      <c r="C1158" s="3" t="str">
        <f>IFERROR(__xludf.DUMMYFUNCTION("GOOGLETRANSLATE(B1158,""id"",""en"")"),"['stream', 'yes',' smooth ',' play ',' game ',' pub ',' high school ',' laen ',' safe ',' maen ',' behh ',' emotion ',' His default ',' Yellow ',' Red ',' Yellow ',' Red ',' Signal ',' Signal ',' Good ',' Maen ',' Game ',' Doang ',' More ',' Fine ' , 'Sug"&amp;"gestion', 'Mending', 'repay', 'signal', 'play', 'game', 'usage', 'Telkomsel', 'now', 'already', 'Gaenak', 'Bad', ' ']")</f>
        <v>['stream', 'yes',' smooth ',' play ',' game ',' pub ',' high school ',' laen ',' safe ',' maen ',' behh ',' emotion ',' His default ',' Yellow ',' Red ',' Yellow ',' Red ',' Signal ',' Signal ',' Good ',' Maen ',' Game ',' Doang ',' More ',' Fine ' , 'Suggestion', 'Mending', 'repay', 'signal', 'play', 'game', 'usage', 'Telkomsel', 'now', 'already', 'Gaenak', 'Bad', ' ']</v>
      </c>
      <c r="D1158" s="3">
        <v>1.0</v>
      </c>
    </row>
    <row r="1159" ht="15.75" customHeight="1">
      <c r="A1159" s="1">
        <v>1157.0</v>
      </c>
      <c r="B1159" s="3" t="s">
        <v>1160</v>
      </c>
      <c r="C1159" s="3" t="str">
        <f>IFERROR(__xludf.DUMMYFUNCTION("GOOGLETRANSLATE(B1159,""id"",""en"")"),"['signal', 'please', 'fix', 'signal', 'Telkomsel', 'supports',' customer ',' loyal ',' users', 'Telkomsel', 'please', 'fix', ' thank you', '']")</f>
        <v>['signal', 'please', 'fix', 'signal', 'Telkomsel', 'supports',' customer ',' loyal ',' users', 'Telkomsel', 'please', 'fix', ' thank you', '']</v>
      </c>
      <c r="D1159" s="3">
        <v>1.0</v>
      </c>
    </row>
    <row r="1160" ht="15.75" customHeight="1">
      <c r="A1160" s="1">
        <v>1158.0</v>
      </c>
      <c r="B1160" s="3" t="s">
        <v>1161</v>
      </c>
      <c r="C1160" s="3" t="str">
        <f>IFERROR(__xludf.DUMMYFUNCTION("GOOGLETRANSLATE(B1160,""id"",""en"")"),"['parahhhh', 'mah', 'udh', 'times',' buy ',' vocer ',' quota ',' fill ',' blgnya ',' system ',' busy ',' then ',' then ',' contents', 'quota', 'youtube', 'clock', 'mlm', 'udh', 'pke', 'sympathy', 'bnr', 'bnr', 'charming', 'skrg' , 'Fix', 'replace', 'card'"&amp;"]")</f>
        <v>['parahhhh', 'mah', 'udh', 'times',' buy ',' vocer ',' quota ',' fill ',' blgnya ',' system ',' busy ',' then ',' then ',' contents', 'quota', 'youtube', 'clock', 'mlm', 'udh', 'pke', 'sympathy', 'bnr', 'bnr', 'charming', 'skrg' , 'Fix', 'replace', 'card']</v>
      </c>
      <c r="D1160" s="3">
        <v>1.0</v>
      </c>
    </row>
    <row r="1161" ht="15.75" customHeight="1">
      <c r="A1161" s="1">
        <v>1159.0</v>
      </c>
      <c r="B1161" s="3" t="s">
        <v>1162</v>
      </c>
      <c r="C1161" s="3" t="str">
        <f>IFERROR(__xludf.DUMMYFUNCTION("GOOGLETRANSLATE(B1161,""id"",""en"")"),"['signal', 'ugly', 'area', 'bengkulu', 'specific', 'area', 'seluma', 'signal', 'lemod', 'provider', 'like', 'im', ' signal ',' strong ',' stable ']")</f>
        <v>['signal', 'ugly', 'area', 'bengkulu', 'specific', 'area', 'seluma', 'signal', 'lemod', 'provider', 'like', 'im', ' signal ',' strong ',' stable ']</v>
      </c>
      <c r="D1161" s="3">
        <v>1.0</v>
      </c>
    </row>
    <row r="1162" ht="15.75" customHeight="1">
      <c r="A1162" s="1">
        <v>1160.0</v>
      </c>
      <c r="B1162" s="3" t="s">
        <v>1163</v>
      </c>
      <c r="C1162" s="3" t="str">
        <f>IFERROR(__xludf.DUMMYFUNCTION("GOOGLETRANSLATE(B1162,""id"",""en"")"),"['application', 'good', 'like', 'use', 'card', 'Telkomsel', 'thankful', 'friend', 'be careful', 'noble', 'okay', 'amin', ' Rabbal ',' Alamin ', ""]")</f>
        <v>['application', 'good', 'like', 'use', 'card', 'Telkomsel', 'thankful', 'friend', 'be careful', 'noble', 'okay', 'amin', ' Rabbal ',' Alamin ', "]</v>
      </c>
      <c r="D1162" s="3">
        <v>5.0</v>
      </c>
    </row>
    <row r="1163" ht="15.75" customHeight="1">
      <c r="A1163" s="1">
        <v>1161.0</v>
      </c>
      <c r="B1163" s="3" t="s">
        <v>1164</v>
      </c>
      <c r="C1163" s="3" t="str">
        <f>IFERROR(__xludf.DUMMYFUNCTION("GOOGLETRANSLATE(B1163,""id"",""en"")"),"['talking', 'the application', 'signal', 'relied on', 'Recommend', 'Telkomsel', 'friend', 'guilty', ""]")</f>
        <v>['talking', 'the application', 'signal', 'relied on', 'Recommend', 'Telkomsel', 'friend', 'guilty', "]</v>
      </c>
      <c r="D1163" s="3">
        <v>2.0</v>
      </c>
    </row>
    <row r="1164" ht="15.75" customHeight="1">
      <c r="A1164" s="1">
        <v>1162.0</v>
      </c>
      <c r="B1164" s="3" t="s">
        <v>1165</v>
      </c>
      <c r="C1164" s="3" t="str">
        <f>IFERROR(__xludf.DUMMYFUNCTION("GOOGLETRANSLATE(B1164,""id"",""en"")"),"['likes',' Telkomsel ',' buy ',' pulse ',' use ',' form ',' anything ',' buy ',' pulse ',' internet ',' night ',' pulses', ' Lost ',' subscribe ',' anything ',' disappointed ',' Telkom ',' disappointed ',' ']")</f>
        <v>['likes',' Telkomsel ',' buy ',' pulse ',' use ',' form ',' anything ',' buy ',' pulse ',' internet ',' night ',' pulses', ' Lost ',' subscribe ',' anything ',' disappointed ',' Telkom ',' disappointed ',' ']</v>
      </c>
      <c r="D1164" s="3">
        <v>1.0</v>
      </c>
    </row>
    <row r="1165" ht="15.75" customHeight="1">
      <c r="A1165" s="1">
        <v>1163.0</v>
      </c>
      <c r="B1165" s="3" t="s">
        <v>1166</v>
      </c>
      <c r="C1165" s="3" t="str">
        <f>IFERROR(__xludf.DUMMYFUNCTION("GOOGLETRANSLATE(B1165,""id"",""en"")"),"['network', 'Telkom', 'bad', 'promo', 'special', 'user', 'postpaid', 'priority', 'network', 'please', 'repaired', 'dunk', ' quota ',' network ',' loading ',' trs', 'enter', 'application', 'mytelkomsel', 'kluar', 'trs',' slow ',' essence ',' here ',' bad '"&amp;" , 'facility', '']")</f>
        <v>['network', 'Telkom', 'bad', 'promo', 'special', 'user', 'postpaid', 'priority', 'network', 'please', 'repaired', 'dunk', ' quota ',' network ',' loading ',' trs', 'enter', 'application', 'mytelkomsel', 'kluar', 'trs',' slow ',' essence ',' here ',' bad ' , 'facility', '']</v>
      </c>
      <c r="D1165" s="3">
        <v>1.0</v>
      </c>
    </row>
    <row r="1166" ht="15.75" customHeight="1">
      <c r="A1166" s="1">
        <v>1164.0</v>
      </c>
      <c r="B1166" s="3" t="s">
        <v>1167</v>
      </c>
      <c r="C1166" s="3" t="str">
        <f>IFERROR(__xludf.DUMMYFUNCTION("GOOGLETRANSLATE(B1166,""id"",""en"")"),"['knapa', 'right', 'contents',' vocer ',' entered ',' always', 'notif', 'sorry', 'system', 'busy', 'already', 'times',' Buy ',' Vocer ',' Litu ',' Please ',' Telkomsel ',' Repaired ',' Satisfied ',' Pas', 'Fill', 'Vocer']")</f>
        <v>['knapa', 'right', 'contents',' vocer ',' entered ',' always', 'notif', 'sorry', 'system', 'busy', 'already', 'times',' Buy ',' Vocer ',' Litu ',' Please ',' Telkomsel ',' Repaired ',' Satisfied ',' Pas', 'Fill', 'Vocer']</v>
      </c>
      <c r="D1166" s="3">
        <v>1.0</v>
      </c>
    </row>
    <row r="1167" ht="15.75" customHeight="1">
      <c r="A1167" s="1">
        <v>1165.0</v>
      </c>
      <c r="B1167" s="3" t="s">
        <v>1168</v>
      </c>
      <c r="C1167" s="3" t="str">
        <f>IFERROR(__xludf.DUMMYFUNCTION("GOOGLETRANSLATE(B1167,""id"",""en"")"),"['already', 'explained', 'min', 'network', 'Telkomsel', 'destroyed', 'Over', 'Load', 'user', 'should', 'repair', 'customer', ' budget ',' add ',' capacity ',' severe ']")</f>
        <v>['already', 'explained', 'min', 'network', 'Telkomsel', 'destroyed', 'Over', 'Load', 'user', 'should', 'repair', 'customer', ' budget ',' add ',' capacity ',' severe ']</v>
      </c>
      <c r="D1167" s="3">
        <v>1.0</v>
      </c>
    </row>
    <row r="1168" ht="15.75" customHeight="1">
      <c r="A1168" s="1">
        <v>1166.0</v>
      </c>
      <c r="B1168" s="3" t="s">
        <v>1169</v>
      </c>
      <c r="C1168" s="3" t="str">
        <f>IFERROR(__xludf.DUMMYFUNCTION("GOOGLETRANSLATE(B1168,""id"",""en"")"),"['Please', 'Telkomsel', 'Credit', 'Cut', 'Buy', 'Network', 'Ssring', 'Troubled', 'Ngelag', 'Season', 'Please', 'Repaired', ' Please, 'bet', 'repaired', '']")</f>
        <v>['Please', 'Telkomsel', 'Credit', 'Cut', 'Buy', 'Network', 'Ssring', 'Troubled', 'Ngelag', 'Season', 'Please', 'Repaired', ' Please, 'bet', 'repaired', '']</v>
      </c>
      <c r="D1168" s="3">
        <v>1.0</v>
      </c>
    </row>
    <row r="1169" ht="15.75" customHeight="1">
      <c r="A1169" s="1">
        <v>1167.0</v>
      </c>
      <c r="B1169" s="3" t="s">
        <v>1170</v>
      </c>
      <c r="C1169" s="3" t="str">
        <f>IFERROR(__xludf.DUMMYFUNCTION("GOOGLETRANSLATE(B1169,""id"",""en"")"),"['network', 'internet', 'diarrhea', 'loss',' connection ',' ping ',' slow ',' lose ',' operator ',' next door ',' smartfr ',' understand ',' "", 'Package', 'Game', 'already', 'quota', 'used', 'Diporotin', 'Kuot', 'Internet', 'Outside', 'Games', 'Ngen',""]")</f>
        <v>['network', 'internet', 'diarrhea', 'loss',' connection ',' ping ',' slow ',' lose ',' operator ',' next door ',' smartfr ',' understand ',' ", 'Package', 'Game', 'already', 'quota', 'used', 'Diporotin', 'Kuot', 'Internet', 'Outside', 'Games', 'Ngen',"]</v>
      </c>
      <c r="D1169" s="3">
        <v>1.0</v>
      </c>
    </row>
    <row r="1170" ht="15.75" customHeight="1">
      <c r="A1170" s="1">
        <v>1168.0</v>
      </c>
      <c r="B1170" s="3" t="s">
        <v>1171</v>
      </c>
      <c r="C1170" s="3" t="str">
        <f>IFERROR(__xludf.DUMMYFUNCTION("GOOGLETRANSLATE(B1170,""id"",""en"")"),"['Min', 'Kenpa', 'Ngeluh', 'Data', 'Abis',' Please ',' Fix ',' As soon as', 'move', 'next door', 'next door', ' Please, 'Min', 'Sekaptanya']")</f>
        <v>['Min', 'Kenpa', 'Ngeluh', 'Data', 'Abis',' Please ',' Fix ',' As soon as', 'move', 'next door', 'next door', ' Please, 'Min', 'Sekaptanya']</v>
      </c>
      <c r="D1170" s="3">
        <v>1.0</v>
      </c>
    </row>
    <row r="1171" ht="15.75" customHeight="1">
      <c r="A1171" s="1">
        <v>1169.0</v>
      </c>
      <c r="B1171" s="3" t="s">
        <v>1172</v>
      </c>
      <c r="C1171" s="3" t="str">
        <f>IFERROR(__xludf.DUMMYFUNCTION("GOOGLETRANSLATE(B1171,""id"",""en"")"),"['migration', 'card', 'sympathy', 'card', 'Hello', 'hope', 'repairs',' network ',' package ',' internet ',' promise ',' regret ',' because ',' migration ',' hello ',' network ',' lalod ',' package ',' superior ',' sympathy ',' city ',' please ',' listen '"&amp;",' customer ' , 'loyal', 'Telkomsel', 'Uda', 'forgiveness', 'beg "",' sympathy ',' krna ',' comfortable ',' sympathy ',' thank ',' ']")</f>
        <v>['migration', 'card', 'sympathy', 'card', 'Hello', 'hope', 'repairs',' network ',' package ',' internet ',' promise ',' regret ',' because ',' migration ',' hello ',' network ',' lalod ',' package ',' superior ',' sympathy ',' city ',' please ',' listen ',' customer ' , 'loyal', 'Telkomsel', 'Uda', 'forgiveness', 'beg ",' sympathy ',' krna ',' comfortable ',' sympathy ',' thank ',' ']</v>
      </c>
      <c r="D1171" s="3">
        <v>1.0</v>
      </c>
    </row>
    <row r="1172" ht="15.75" customHeight="1">
      <c r="A1172" s="1">
        <v>1170.0</v>
      </c>
      <c r="B1172" s="3" t="s">
        <v>1173</v>
      </c>
      <c r="C1172" s="3" t="str">
        <f>IFERROR(__xludf.DUMMYFUNCTION("GOOGLETRANSLATE(B1172,""id"",""en"")"),"['Disappointed', 'buy', 'pulse', 'times',' NGK ',' enter ',' then ',' buy ',' package ',' quota ',' Jga ',' Ngk ',' Enter ',' mean ', ""]")</f>
        <v>['Disappointed', 'buy', 'pulse', 'times',' NGK ',' enter ',' then ',' buy ',' package ',' quota ',' Jga ',' Ngk ',' Enter ',' mean ', "]</v>
      </c>
      <c r="D1172" s="3">
        <v>1.0</v>
      </c>
    </row>
    <row r="1173" ht="15.75" customHeight="1">
      <c r="A1173" s="1">
        <v>1171.0</v>
      </c>
      <c r="B1173" s="3" t="s">
        <v>1174</v>
      </c>
      <c r="C1173" s="3" t="str">
        <f>IFERROR(__xludf.DUMMYFUNCTION("GOOGLETRANSLATE(B1173,""id"",""en"")"),"['Network', 'down', 'comparable', 'price', 'sell', 'quota', 'teeth', 'muahalllll', 'Java', 'kalimantan', 'hmmmmm']")</f>
        <v>['Network', 'down', 'comparable', 'price', 'sell', 'quota', 'teeth', 'muahalllll', 'Java', 'kalimantan', 'hmmmmm']</v>
      </c>
      <c r="D1173" s="3">
        <v>1.0</v>
      </c>
    </row>
    <row r="1174" ht="15.75" customHeight="1">
      <c r="A1174" s="1">
        <v>1172.0</v>
      </c>
      <c r="B1174" s="3" t="s">
        <v>1175</v>
      </c>
      <c r="C1174" s="3" t="str">
        <f>IFERROR(__xludf.DUMMYFUNCTION("GOOGLETRANSLATE(B1174,""id"",""en"")"),"['Thank you', 'Customer', 'Telkomsel', 'responds',' complaints', 'Increases',' Service ',' SLLU ',' Information ',' Latest ',' Member ',' Related ',' Policy ',' MIS ',' Communication ',' ']")</f>
        <v>['Thank you', 'Customer', 'Telkomsel', 'responds',' complaints', 'Increases',' Service ',' SLLU ',' Information ',' Latest ',' Member ',' Related ',' Policy ',' MIS ',' Communication ',' ']</v>
      </c>
      <c r="D1174" s="3">
        <v>5.0</v>
      </c>
    </row>
    <row r="1175" ht="15.75" customHeight="1">
      <c r="A1175" s="1">
        <v>1173.0</v>
      </c>
      <c r="B1175" s="3" t="s">
        <v>1176</v>
      </c>
      <c r="C1175" s="3" t="str">
        <f>IFERROR(__xludf.DUMMYFUNCTION("GOOGLETRANSLATE(B1175,""id"",""en"")"),"['Please', 'Add', 'Safety', 'Credit', 'Telkomsel', 'Buy', 'Package', 'Telkomsel', 'Sucked', 'Credit', 'Hotspot', 'Neighbor', ' Buy ',' Package ',' ']")</f>
        <v>['Please', 'Add', 'Safety', 'Credit', 'Telkomsel', 'Buy', 'Package', 'Telkomsel', 'Sucked', 'Credit', 'Hotspot', 'Neighbor', ' Buy ',' Package ',' ']</v>
      </c>
      <c r="D1175" s="3">
        <v>2.0</v>
      </c>
    </row>
    <row r="1176" ht="15.75" customHeight="1">
      <c r="A1176" s="1">
        <v>1174.0</v>
      </c>
      <c r="B1176" s="3" t="s">
        <v>1177</v>
      </c>
      <c r="C1176" s="3" t="str">
        <f>IFERROR(__xludf.DUMMYFUNCTION("GOOGLETRANSLATE(B1176,""id"",""en"")"),"['policy', 'check', 'package', 'cheap', 'GB', 'day', 'MB', 'price', 'thousand', 'after', 'contents',' pulses', ' Lngsung ',' thousand ',' thousand ',' GB ',' GB ',' Sya ',' plan ',' package ',' GB ',' thousand ',' SJA ',' plsa ',' Sya ' , 'bru', 'contents"&amp;"', 'truncated', 'bbrpa', 'silver', 'pket', 'loan', 'sya', 'cut', 'pulse', 'person', '']")</f>
        <v>['policy', 'check', 'package', 'cheap', 'GB', 'day', 'MB', 'price', 'thousand', 'after', 'contents',' pulses', ' Lngsung ',' thousand ',' thousand ',' GB ',' GB ',' Sya ',' plan ',' package ',' GB ',' thousand ',' SJA ',' plsa ',' Sya ' , 'bru', 'contents', 'truncated', 'bbrpa', 'silver', 'pket', 'loan', 'sya', 'cut', 'pulse', 'person', '']</v>
      </c>
      <c r="D1176" s="3">
        <v>1.0</v>
      </c>
    </row>
    <row r="1177" ht="15.75" customHeight="1">
      <c r="A1177" s="1">
        <v>1175.0</v>
      </c>
      <c r="B1177" s="3" t="s">
        <v>1178</v>
      </c>
      <c r="C1177" s="3" t="str">
        <f>IFERROR(__xludf.DUMMYFUNCTION("GOOGLETRANSLATE(B1177,""id"",""en"")"),"['', 'right', 'Daily', 'check', 'hrs',' spent ',' pulse ',' no ',' fertilizer ',' telephone ',' pulse ',' pulse ',' jakarta ',' Benerin ',' Uncle ',' work ',' Telkomsel ',' Bay ']")</f>
        <v>['', 'right', 'Daily', 'check', 'hrs',' spent ',' pulse ',' no ',' fertilizer ',' telephone ',' pulse ',' pulse ',' jakarta ',' Benerin ',' Uncle ',' work ',' Telkomsel ',' Bay ']</v>
      </c>
      <c r="D1177" s="3">
        <v>2.0</v>
      </c>
    </row>
    <row r="1178" ht="15.75" customHeight="1">
      <c r="A1178" s="1">
        <v>1176.0</v>
      </c>
      <c r="B1178" s="3" t="s">
        <v>1179</v>
      </c>
      <c r="C1178" s="3" t="str">
        <f>IFERROR(__xludf.DUMMYFUNCTION("GOOGLETRANSLATE(B1178,""id"",""en"")"),"['take', 'gift', 'check', 'stamp', 'really', 'yes',' check ',' quota ',' MB ',' message ',' notification ',' enter ',' Check ',' ']")</f>
        <v>['take', 'gift', 'check', 'stamp', 'really', 'yes',' check ',' quota ',' MB ',' message ',' notification ',' enter ',' Check ',' ']</v>
      </c>
      <c r="D1178" s="3">
        <v>2.0</v>
      </c>
    </row>
    <row r="1179" ht="15.75" customHeight="1">
      <c r="A1179" s="1">
        <v>1177.0</v>
      </c>
      <c r="B1179" s="3" t="s">
        <v>1180</v>
      </c>
      <c r="C1179" s="3" t="str">
        <f>IFERROR(__xludf.DUMMYFUNCTION("GOOGLETRANSLATE(B1179,""id"",""en"")"),"['card', 'Telkomsel', 'promo', 'package', 'cheerful', 'offer', 'user', 'card', 'tsel', 'promo', 'package', 'cheering', ' Min ',' Please ',' Sulaul ']")</f>
        <v>['card', 'Telkomsel', 'promo', 'package', 'cheerful', 'offer', 'user', 'card', 'tsel', 'promo', 'package', 'cheering', ' Min ',' Please ',' Sulaul ']</v>
      </c>
      <c r="D1179" s="3">
        <v>3.0</v>
      </c>
    </row>
    <row r="1180" ht="15.75" customHeight="1">
      <c r="A1180" s="1">
        <v>1178.0</v>
      </c>
      <c r="B1180" s="3" t="s">
        <v>1181</v>
      </c>
      <c r="C1180" s="3" t="str">
        <f>IFERROR(__xludf.DUMMYFUNCTION("GOOGLETRANSLATE(B1180,""id"",""en"")"),"['signal', 'ugly', 'Telkomsel', 'Telfon', 'Dri', 'Pihka', 'Telkomsel', 'offer', 'card', 'card', 'Hello', 'refused', ' signal ',' plump ',' GMNA ',' Try ',' Donk ',' Overcome ']")</f>
        <v>['signal', 'ugly', 'Telkomsel', 'Telfon', 'Dri', 'Pihka', 'Telkomsel', 'offer', 'card', 'card', 'Hello', 'refused', ' signal ',' plump ',' GMNA ',' Try ',' Donk ',' Overcome ']</v>
      </c>
      <c r="D1180" s="3">
        <v>1.0</v>
      </c>
    </row>
    <row r="1181" ht="15.75" customHeight="1">
      <c r="A1181" s="1">
        <v>1179.0</v>
      </c>
      <c r="B1181" s="3" t="s">
        <v>1182</v>
      </c>
      <c r="C1181" s="3" t="str">
        <f>IFERROR(__xludf.DUMMYFUNCTION("GOOGLETRANSLATE(B1181,""id"",""en"")"),"['Kenpa', 'Telkomsel', 'crazy', 'signal', 'slow', 'really', 'until', 'angry', 'twitrer', 'that's',' admin ',' bnyk ',' really ',' bad ',' domnload ',' apk ',' slow ',' bngt ',' off ',' then ',' signal ',' broken ',' gini ',' expensive ',' doang ' , 'guys'"&amp;", 'jng', 'buy', 'unlimitedmax', 'signal', 'slow']")</f>
        <v>['Kenpa', 'Telkomsel', 'crazy', 'signal', 'slow', 'really', 'until', 'angry', 'twitrer', 'that's',' admin ',' bnyk ',' really ',' bad ',' domnload ',' apk ',' slow ',' bngt ',' off ',' then ',' signal ',' broken ',' gini ',' expensive ',' doang ' , 'guys', 'jng', 'buy', 'unlimitedmax', 'signal', 'slow']</v>
      </c>
      <c r="D1181" s="3">
        <v>1.0</v>
      </c>
    </row>
    <row r="1182" ht="15.75" customHeight="1">
      <c r="A1182" s="1">
        <v>1180.0</v>
      </c>
      <c r="B1182" s="3" t="s">
        <v>1183</v>
      </c>
      <c r="C1182" s="3" t="str">
        <f>IFERROR(__xludf.DUMMYFUNCTION("GOOGLETRANSLATE(B1182,""id"",""en"")"),"['right', 'login', 'really', 'lazy', 'really', 'like', 'this is',' different ',' that's', 'like', 'photo', 'description', ' right ',' open ',' choice ',' country ',' version ',' different ',' normal ',' strange ',' kayak ',' please ',' really ',' apk ',' "&amp;"disappointed ' , 'emang', 'version', 'version', 'Kah', 'version', 'Different', 'Download']")</f>
        <v>['right', 'login', 'really', 'lazy', 'really', 'like', 'this is',' different ',' that's', 'like', 'photo', 'description', ' right ',' open ',' choice ',' country ',' version ',' different ',' normal ',' strange ',' kayak ',' please ',' really ',' apk ',' disappointed ' , 'emang', 'version', 'version', 'Kah', 'version', 'Different', 'Download']</v>
      </c>
      <c r="D1182" s="3">
        <v>2.0</v>
      </c>
    </row>
    <row r="1183" ht="15.75" customHeight="1">
      <c r="A1183" s="1">
        <v>1181.0</v>
      </c>
      <c r="B1183" s="3" t="s">
        <v>1184</v>
      </c>
      <c r="C1183" s="3" t="str">
        <f>IFERROR(__xludf.DUMMYFUNCTION("GOOGLETRANSLATE(B1183,""id"",""en"")"),"['Telkomsel', 'here', 'slow', 'then', 'UDH', 'replace', 'postpaid', 'reverse', 'prepaid', 'how', 'Telkomsel', 'expensive', ' Good ',' emotion ',' patient ',' patient ',' reward ',' I ',' Gara ',' Gara ',' doang ']")</f>
        <v>['Telkomsel', 'here', 'slow', 'then', 'UDH', 'replace', 'postpaid', 'reverse', 'prepaid', 'how', 'Telkomsel', 'expensive', ' Good ',' emotion ',' patient ',' patient ',' reward ',' I ',' Gara ',' Gara ',' doang ']</v>
      </c>
      <c r="D1183" s="3">
        <v>1.0</v>
      </c>
    </row>
    <row r="1184" ht="15.75" customHeight="1">
      <c r="A1184" s="1">
        <v>1182.0</v>
      </c>
      <c r="B1184" s="3" t="s">
        <v>1185</v>
      </c>
      <c r="C1184" s="3" t="str">
        <f>IFERROR(__xludf.DUMMYFUNCTION("GOOGLETRANSLATE(B1184,""id"",""en"")"),"['Telkomsel', 'quota', 'youtube', 'active', 'open', 'youtube', 'quota', 'main', 'different', 'provider', 'quota', 'main', ' Quota ',' YouTube ',' On ',' Open ',' YouTube ',' Severe ',' Price ',' Expensive ',' Reflect ',' Quality ',' Ckckck ']")</f>
        <v>['Telkomsel', 'quota', 'youtube', 'active', 'open', 'youtube', 'quota', 'main', 'different', 'provider', 'quota', 'main', ' Quota ',' YouTube ',' On ',' Open ',' YouTube ',' Severe ',' Price ',' Expensive ',' Reflect ',' Quality ',' Ckckck ']</v>
      </c>
      <c r="D1184" s="3">
        <v>1.0</v>
      </c>
    </row>
    <row r="1185" ht="15.75" customHeight="1">
      <c r="A1185" s="1">
        <v>1183.0</v>
      </c>
      <c r="B1185" s="3" t="s">
        <v>1186</v>
      </c>
      <c r="C1185" s="3" t="str">
        <f>IFERROR(__xludf.DUMMYFUNCTION("GOOGLETRANSLATE(B1185,""id"",""en"")"),"['Basic', 'signal', 'Telkomsel', 'Siyala', 'no', 'counts',' signal ',' play ',' game ',' yesterday ',' yesterday ',' Kayak ',' that's', 'basic', 'no', 'reliable', 'please', 'satellite', 'invite', 'kegeru', 'signal']")</f>
        <v>['Basic', 'signal', 'Telkomsel', 'Siyala', 'no', 'counts',' signal ',' play ',' game ',' yesterday ',' yesterday ',' Kayak ',' that's', 'basic', 'no', 'reliable', 'please', 'satellite', 'invite', 'kegeru', 'signal']</v>
      </c>
      <c r="D1185" s="3">
        <v>1.0</v>
      </c>
    </row>
    <row r="1186" ht="15.75" customHeight="1">
      <c r="A1186" s="1">
        <v>1184.0</v>
      </c>
      <c r="B1186" s="3" t="s">
        <v>1187</v>
      </c>
      <c r="C1186" s="3" t="str">
        <f>IFERROR(__xludf.DUMMYFUNCTION("GOOGLETRANSLATE(B1186,""id"",""en"")"),"['Posts',' Sorry ',' System ',' Busy ',' Tusss', 'Fill', 'Vocer', 'Padahl', 'Buy', 'Blom', 'Dipake', 'Nyettt', ' Ahh ',' Males', 'Udh', 'buy', 'expensive', 'activated', '']")</f>
        <v>['Posts',' Sorry ',' System ',' Busy ',' Tusss', 'Fill', 'Vocer', 'Padahl', 'Buy', 'Blom', 'Dipake', 'Nyettt', ' Ahh ',' Males', 'Udh', 'buy', 'expensive', 'activated', '']</v>
      </c>
      <c r="D1186" s="3">
        <v>1.0</v>
      </c>
    </row>
    <row r="1187" ht="15.75" customHeight="1">
      <c r="A1187" s="1">
        <v>1185.0</v>
      </c>
      <c r="B1187" s="3" t="s">
        <v>1188</v>
      </c>
      <c r="C1187" s="3" t="str">
        <f>IFERROR(__xludf.DUMMYFUNCTION("GOOGLETRANSLATE(B1187,""id"",""en"")"),"['Telkomsel', 'sympathy', 'no', 'pulse', 'scheme', 'tariff', 'piece', 'quota', 'according to', 'pulse', 'lost', 'quota', ' The main ',' truncated ',' package ',' ']")</f>
        <v>['Telkomsel', 'sympathy', 'no', 'pulse', 'scheme', 'tariff', 'piece', 'quota', 'according to', 'pulse', 'lost', 'quota', ' The main ',' truncated ',' package ',' ']</v>
      </c>
      <c r="D1187" s="3">
        <v>1.0</v>
      </c>
    </row>
    <row r="1188" ht="15.75" customHeight="1">
      <c r="A1188" s="1">
        <v>1186.0</v>
      </c>
      <c r="B1188" s="3" t="s">
        <v>1189</v>
      </c>
      <c r="C1188" s="3" t="str">
        <f>IFERROR(__xludf.DUMMYFUNCTION("GOOGLETRANSLATE(B1188,""id"",""en"")"),"['Telkomsel', 'good', 'price', 'expensive', 'quality', 'equivalent', 'price', 'you', 'change', 'telkomsel', 'loyalty', 'user', ' Telkomsel ',' Switch ',' service ',' Provider ',' You ',' Disappointed ',' ']")</f>
        <v>['Telkomsel', 'good', 'price', 'expensive', 'quality', 'equivalent', 'price', 'you', 'change', 'telkomsel', 'loyalty', 'user', ' Telkomsel ',' Switch ',' service ',' Provider ',' You ',' Disappointed ',' ']</v>
      </c>
      <c r="D1188" s="3">
        <v>1.0</v>
      </c>
    </row>
    <row r="1189" ht="15.75" customHeight="1">
      <c r="A1189" s="1">
        <v>1187.0</v>
      </c>
      <c r="B1189" s="3" t="s">
        <v>1190</v>
      </c>
      <c r="C1189" s="3" t="str">
        <f>IFERROR(__xludf.DUMMYFUNCTION("GOOGLETRANSLATE(B1189,""id"",""en"")"),"['Please', 'Donk', 'front', 'App', 'Tsel', 'Loggin', 'loggin', 'use', 'Link', 'enter', 'number', ' Enter ',' right ',' enter ',' Tomorrow ',' Verication ',' Link ',' App ',' Tsel ',' Card ',' Move ',' Ribet ',' Unload ',' Move ' , 'card', '']")</f>
        <v>['Please', 'Donk', 'front', 'App', 'Tsel', 'Loggin', 'loggin', 'use', 'Link', 'enter', 'number', ' Enter ',' right ',' enter ',' Tomorrow ',' Verication ',' Link ',' App ',' Tsel ',' Card ',' Move ',' Ribet ',' Unload ',' Move ' , 'card', '']</v>
      </c>
      <c r="D1189" s="3">
        <v>1.0</v>
      </c>
    </row>
    <row r="1190" ht="15.75" customHeight="1">
      <c r="A1190" s="1">
        <v>1188.0</v>
      </c>
      <c r="B1190" s="3" t="s">
        <v>1191</v>
      </c>
      <c r="C1190" s="3" t="str">
        <f>IFERROR(__xludf.DUMMYFUNCTION("GOOGLETRANSLATE(B1190,""id"",""en"")"),"['pulse', 'missing', 'right', 'already', 'top', 'cut', 'package', 'emergency', 'buy', 'automatic', 'kantel', 'please', ' Fix ',' difficult ',' consumer ']")</f>
        <v>['pulse', 'missing', 'right', 'already', 'top', 'cut', 'package', 'emergency', 'buy', 'automatic', 'kantel', 'please', ' Fix ',' difficult ',' consumer ']</v>
      </c>
      <c r="D1190" s="3">
        <v>1.0</v>
      </c>
    </row>
    <row r="1191" ht="15.75" customHeight="1">
      <c r="A1191" s="1">
        <v>1189.0</v>
      </c>
      <c r="B1191" s="3" t="s">
        <v>1192</v>
      </c>
      <c r="C1191" s="3" t="str">
        <f>IFERROR(__xludf.DUMMYFUNCTION("GOOGLETRANSLATE(B1191,""id"",""en"")"),"['expensive', 'then', 'bonus',' quota ',' daily ',' chek ',' daily ',' not ',' merciful ',' dngan ',' good ',' use ',' quota ',' bonus', 'daily', 'check', 'network', 'no', 'use', 'darling', 'tired', 'chek', 'right', 'bonus',' no ' , 'Merciful', 'lose', 'n"&amp;"etwork', 'next door', 'no', 'promises', 'bonus', 'muah', ""]")</f>
        <v>['expensive', 'then', 'bonus',' quota ',' daily ',' chek ',' daily ',' not ',' merciful ',' dngan ',' good ',' use ',' quota ',' bonus', 'daily', 'check', 'network', 'no', 'use', 'darling', 'tired', 'chek', 'right', 'bonus',' no ' , 'Merciful', 'lose', 'network', 'next door', 'no', 'promises', 'bonus', 'muah', "]</v>
      </c>
      <c r="D1191" s="3">
        <v>2.0</v>
      </c>
    </row>
    <row r="1192" ht="15.75" customHeight="1">
      <c r="A1192" s="1">
        <v>1190.0</v>
      </c>
      <c r="B1192" s="3" t="s">
        <v>1193</v>
      </c>
      <c r="C1192" s="3" t="str">
        <f>IFERROR(__xludf.DUMMYFUNCTION("GOOGLETRANSLATE(B1192,""id"",""en"")"),"['Ouch', 'bad', 'application', 'ugly', 'bangett', 'buy', 'quota', 'slow', 'forgiveness',' already ',' many ',' times', ' rich ',' gini ',' psahal ',' network ',' try ',' deh ',' fix ',' already ',' price ',' quota ',' friendly ',' slow ',' oak ' , 'very']")</f>
        <v>['Ouch', 'bad', 'application', 'ugly', 'bangett', 'buy', 'quota', 'slow', 'forgiveness',' already ',' many ',' times', ' rich ',' gini ',' psahal ',' network ',' try ',' deh ',' fix ',' already ',' price ',' quota ',' friendly ',' slow ',' oak ' , 'very']</v>
      </c>
      <c r="D1192" s="3">
        <v>1.0</v>
      </c>
    </row>
    <row r="1193" ht="15.75" customHeight="1">
      <c r="A1193" s="1">
        <v>1191.0</v>
      </c>
      <c r="B1193" s="3" t="s">
        <v>1194</v>
      </c>
      <c r="C1193" s="3" t="str">
        <f>IFERROR(__xludf.DUMMYFUNCTION("GOOGLETRANSLATE(B1193,""id"",""en"")"),"['Most', 'Advertising', 'Open', 'The application', 'appears',' first ',' information ',' tired ',' like ',' credit ',' quota ',' ad ',' Info ',' first ',' strange ', ""]")</f>
        <v>['Most', 'Advertising', 'Open', 'The application', 'appears',' first ',' information ',' tired ',' like ',' credit ',' quota ',' ad ',' Info ',' first ',' strange ', "]</v>
      </c>
      <c r="D1193" s="3">
        <v>1.0</v>
      </c>
    </row>
    <row r="1194" ht="15.75" customHeight="1">
      <c r="A1194" s="1">
        <v>1192.0</v>
      </c>
      <c r="B1194" s="3" t="s">
        <v>1195</v>
      </c>
      <c r="C1194" s="3" t="str">
        <f>IFERROR(__xludf.DUMMYFUNCTION("GOOGLETRANSLATE(B1194,""id"",""en"")"),"['Disappointed', 'Purchase', 'Kouta', 'Thinking', 'Bener', 'Example', 'Buy', 'Kouta', 'Tiktok', 'Take', 'Package', 'Kouta', ' main ',' then ',' use ',' paketan ',' lapse ',' kek ',' so ',' please ',' fix ',' disappointed ',' kek ',' gini ', ""]")</f>
        <v>['Disappointed', 'Purchase', 'Kouta', 'Thinking', 'Bener', 'Example', 'Buy', 'Kouta', 'Tiktok', 'Take', 'Package', 'Kouta', ' main ',' then ',' use ',' paketan ',' lapse ',' kek ',' so ',' please ',' fix ',' disappointed ',' kek ',' gini ', "]</v>
      </c>
      <c r="D1194" s="3">
        <v>1.0</v>
      </c>
    </row>
    <row r="1195" ht="15.75" customHeight="1">
      <c r="A1195" s="1">
        <v>1193.0</v>
      </c>
      <c r="B1195" s="3" t="s">
        <v>1196</v>
      </c>
      <c r="C1195" s="3" t="str">
        <f>IFERROR(__xludf.DUMMYFUNCTION("GOOGLETRANSLATE(B1195,""id"",""en"")"),"['Package', 'cheerful', 'buy', 'quality', 'take', 'community', 'helped', 'itung', 'itung', 'Amal', '']")</f>
        <v>['Package', 'cheerful', 'buy', 'quality', 'take', 'community', 'helped', 'itung', 'itung', 'Amal', '']</v>
      </c>
      <c r="D1195" s="3">
        <v>3.0</v>
      </c>
    </row>
    <row r="1196" ht="15.75" customHeight="1">
      <c r="A1196" s="1">
        <v>1194.0</v>
      </c>
      <c r="B1196" s="3" t="s">
        <v>1197</v>
      </c>
      <c r="C1196" s="3" t="str">
        <f>IFERROR(__xludf.DUMMYFUNCTION("GOOGLETRANSLATE(B1196,""id"",""en"")"),"['network', 'slow', 'sii', 'open', 'youtube', 'difficult', 'really', 'please', 'fix', 'signal', 'already', 'buy', ' Paketan ',' expensive ',' expensive ',' signal ',' kek ',' gini ',' read ',' sukur ',' read ',' yaudah ',' already ',' reveal ',' disappoin"&amp;"tment ' , 'Network', 'Telkomsel']")</f>
        <v>['network', 'slow', 'sii', 'open', 'youtube', 'difficult', 'really', 'please', 'fix', 'signal', 'already', 'buy', ' Paketan ',' expensive ',' expensive ',' signal ',' kek ',' gini ',' read ',' sukur ',' read ',' yaudah ',' already ',' reveal ',' disappointment ' , 'Network', 'Telkomsel']</v>
      </c>
      <c r="D1196" s="3">
        <v>1.0</v>
      </c>
    </row>
    <row r="1197" ht="15.75" customHeight="1">
      <c r="A1197" s="1">
        <v>1195.0</v>
      </c>
      <c r="B1197" s="3" t="s">
        <v>1198</v>
      </c>
      <c r="C1197" s="3" t="str">
        <f>IFERROR(__xludf.DUMMYFUNCTION("GOOGLETRANSLATE(B1197,""id"",""en"")"),"['quota', 'internet', 'pulse', 'sumps',' use ',' internet ',' quota ',' internet ',' emg ',' telkomsel ',' sucked ',' pulses', ' as soon as', 'forehead', 'regret', 'use', 'Telkomsel']")</f>
        <v>['quota', 'internet', 'pulse', 'sumps',' use ',' internet ',' quota ',' internet ',' emg ',' telkomsel ',' sucked ',' pulses', ' as soon as', 'forehead', 'regret', 'use', 'Telkomsel']</v>
      </c>
      <c r="D1197" s="3">
        <v>1.0</v>
      </c>
    </row>
    <row r="1198" ht="15.75" customHeight="1">
      <c r="A1198" s="1">
        <v>1196.0</v>
      </c>
      <c r="B1198" s="3" t="s">
        <v>1199</v>
      </c>
      <c r="C1198" s="3" t="str">
        <f>IFERROR(__xludf.DUMMYFUNCTION("GOOGLETRANSLATE(B1198,""id"",""en"")"),"['buy', 'quota', 'gamesmax', 'think', 'provide', 'quota', 'gamesmax', 'play', 'game', 'reduced', 'quota', 'regular', ' Loss', 'really', 'buy', 'quota', 'gamesmax', ""]")</f>
        <v>['buy', 'quota', 'gamesmax', 'think', 'provide', 'quota', 'gamesmax', 'play', 'game', 'reduced', 'quota', 'regular', ' Loss', 'really', 'buy', 'quota', 'gamesmax', "]</v>
      </c>
      <c r="D1198" s="3">
        <v>1.0</v>
      </c>
    </row>
    <row r="1199" ht="15.75" customHeight="1">
      <c r="A1199" s="1">
        <v>1197.0</v>
      </c>
      <c r="B1199" s="3" t="s">
        <v>1200</v>
      </c>
      <c r="C1199" s="3" t="str">
        <f>IFERROR(__xludf.DUMMYFUNCTION("GOOGLETRANSLATE(B1199,""id"",""en"")"),"['', 'area', 'environment', 'sampora', 'cibinong', 'sympathy', 'signal', 'ugly', 'really', 'ampe', 'skrng', 'improvement', 'check ',' Team ',' Telkomsel ',' Males', 'Make', 'Sympathy', '']")</f>
        <v>['', 'area', 'environment', 'sampora', 'cibinong', 'sympathy', 'signal', 'ugly', 'really', 'ampe', 'skrng', 'improvement', 'check ',' Team ',' Telkomsel ',' Males', 'Make', 'Sympathy', '']</v>
      </c>
      <c r="D1199" s="3">
        <v>1.0</v>
      </c>
    </row>
    <row r="1200" ht="15.75" customHeight="1">
      <c r="A1200" s="1">
        <v>1198.0</v>
      </c>
      <c r="B1200" s="3" t="s">
        <v>1201</v>
      </c>
      <c r="C1200" s="3" t="str">
        <f>IFERROR(__xludf.DUMMYFUNCTION("GOOGLETRANSLATE(B1200,""id"",""en"")"),"['signal', 'Telkomsel', 'bad', 'delicious',' learn ',' online ',' ugly ',' signal ',' chat ',' sometimes', 'sent', 'signal', ' The widest ',' Indonesia ',' quality ',' disappointing ',' ']")</f>
        <v>['signal', 'Telkomsel', 'bad', 'delicious',' learn ',' online ',' ugly ',' signal ',' chat ',' sometimes', 'sent', 'signal', ' The widest ',' Indonesia ',' quality ',' disappointing ',' ']</v>
      </c>
      <c r="D1200" s="3">
        <v>2.0</v>
      </c>
    </row>
    <row r="1201" ht="15.75" customHeight="1">
      <c r="A1201" s="1">
        <v>1199.0</v>
      </c>
      <c r="B1201" s="3" t="s">
        <v>1202</v>
      </c>
      <c r="C1201" s="3" t="str">
        <f>IFERROR(__xludf.DUMMYFUNCTION("GOOGLETRANSLATE(B1201,""id"",""en"")"),"['Quality', 'Signal', 'Network', 'Troubled', 'Alias',' Lemot ',' TLG ',' Increases', 'Quality', 'The Network', 'Region', 'Outback', ' Minimal ',' Signal ',' Trims']")</f>
        <v>['Quality', 'Signal', 'Network', 'Troubled', 'Alias',' Lemot ',' TLG ',' Increases', 'Quality', 'The Network', 'Region', 'Outback', ' Minimal ',' Signal ',' Trims']</v>
      </c>
      <c r="D1201" s="3">
        <v>5.0</v>
      </c>
    </row>
    <row r="1202" ht="15.75" customHeight="1">
      <c r="A1202" s="1">
        <v>1200.0</v>
      </c>
      <c r="B1202" s="3" t="s">
        <v>1203</v>
      </c>
      <c r="C1202" s="3" t="str">
        <f>IFERROR(__xludf.DUMMYFUNCTION("GOOGLETRANSLATE(B1202,""id"",""en"")"),"['Network', 'good', 'ugly', 'price', 'package', 'ride', 'network', 'ugly', 'play', 'game', 'open', 'medsos',' ugly ',' network ',' good ',' really ',' ugly ']")</f>
        <v>['Network', 'good', 'ugly', 'price', 'package', 'ride', 'network', 'ugly', 'play', 'game', 'open', 'medsos',' ugly ',' network ',' good ',' really ',' ugly ']</v>
      </c>
      <c r="D1202" s="3">
        <v>1.0</v>
      </c>
    </row>
    <row r="1203" ht="15.75" customHeight="1">
      <c r="A1203" s="1">
        <v>1201.0</v>
      </c>
      <c r="B1203" s="3" t="s">
        <v>1204</v>
      </c>
      <c r="C1203" s="3" t="str">
        <f>IFERROR(__xludf.DUMMYFUNCTION("GOOGLETRANSLATE(B1203,""id"",""en"")"),"['Report', 'min', 'notification', 'update', 'package', 'internet', 'finished', 'only', 'cook', 'said', 'use', 'hangs',' Worn ',' Copies', 'Sampek', 'Notice', 'Please', 'Repaired', 'Min', 'Thank you', ""]")</f>
        <v>['Report', 'min', 'notification', 'update', 'package', 'internet', 'finished', 'only', 'cook', 'said', 'use', 'hangs',' Worn ',' Copies', 'Sampek', 'Notice', 'Please', 'Repaired', 'Min', 'Thank you', "]</v>
      </c>
      <c r="D1203" s="3">
        <v>5.0</v>
      </c>
    </row>
    <row r="1204" ht="15.75" customHeight="1">
      <c r="A1204" s="1">
        <v>1202.0</v>
      </c>
      <c r="B1204" s="3" t="s">
        <v>1205</v>
      </c>
      <c r="C1204" s="3" t="str">
        <f>IFERROR(__xludf.DUMMYFUNCTION("GOOGLETRANSLATE(B1204,""id"",""en"")"),"['APK', 'the story', 'buy', 'package', 'quota', 'GB', 'She', 'GB', 'GB', 'scorched', 'Males',' card ',' Telkomsel ',' ']")</f>
        <v>['APK', 'the story', 'buy', 'package', 'quota', 'GB', 'She', 'GB', 'GB', 'scorched', 'Males',' card ',' Telkomsel ',' ']</v>
      </c>
      <c r="D1204" s="3">
        <v>1.0</v>
      </c>
    </row>
    <row r="1205" ht="15.75" customHeight="1">
      <c r="A1205" s="1">
        <v>1203.0</v>
      </c>
      <c r="B1205" s="3" t="s">
        <v>1206</v>
      </c>
      <c r="C1205" s="3" t="str">
        <f>IFERROR(__xludf.DUMMYFUNCTION("GOOGLETRANSLATE(B1205,""id"",""en"")"),"['Telkomsel', 'slow', 'forgiveness',' open ',' website ',' google ',' sosmed ',' fast ',' youtube ',' change ',' moved ',' card ',' adjacent']")</f>
        <v>['Telkomsel', 'slow', 'forgiveness',' open ',' website ',' google ',' sosmed ',' fast ',' youtube ',' change ',' moved ',' card ',' adjacent']</v>
      </c>
      <c r="D1205" s="3">
        <v>1.0</v>
      </c>
    </row>
    <row r="1206" ht="15.75" customHeight="1">
      <c r="A1206" s="1">
        <v>1204.0</v>
      </c>
      <c r="B1206" s="3" t="s">
        <v>1207</v>
      </c>
      <c r="C1206" s="3" t="str">
        <f>IFERROR(__xludf.DUMMYFUNCTION("GOOGLETRANSLATE(B1206,""id"",""en"")"),"['Severe', 'Crazy', 'Claims',' Prizes', 'Quota', 'Daily', 'Check', 'Urited', 'Network', 'Wait', 'Bonus',' Abis', ' use ',' network ',' quota ',' bonus', 'used', 'vain', 'vain', ""]")</f>
        <v>['Severe', 'Crazy', 'Claims',' Prizes', 'Quota', 'Daily', 'Check', 'Urited', 'Network', 'Wait', 'Bonus',' Abis', ' use ',' network ',' quota ',' bonus', 'used', 'vain', 'vain', "]</v>
      </c>
      <c r="D1206" s="3">
        <v>1.0</v>
      </c>
    </row>
    <row r="1207" ht="15.75" customHeight="1">
      <c r="A1207" s="1">
        <v>1205.0</v>
      </c>
      <c r="B1207" s="3" t="s">
        <v>1208</v>
      </c>
      <c r="C1207" s="3" t="str">
        <f>IFERROR(__xludf.DUMMYFUNCTION("GOOGLETRANSLATE(B1207,""id"",""en"")"),"['Credit', 'RB', 'Potted', 'Rb', 'Can', 'Notif', 'Paketan', 'Out', 'Credit', 'Udh', 'Out', 'What', ' The story is', 'buy', 'pulse', 'sumps',' debt ',' Telkomsel ', ""]")</f>
        <v>['Credit', 'RB', 'Potted', 'Rb', 'Can', 'Notif', 'Paketan', 'Out', 'Credit', 'Udh', 'Out', 'What', ' The story is', 'buy', 'pulse', 'sumps',' debt ',' Telkomsel ', "]</v>
      </c>
      <c r="D1207" s="3">
        <v>1.0</v>
      </c>
    </row>
    <row r="1208" ht="15.75" customHeight="1">
      <c r="A1208" s="1">
        <v>1206.0</v>
      </c>
      <c r="B1208" s="3" t="s">
        <v>1209</v>
      </c>
      <c r="C1208" s="3" t="str">
        <f>IFERROR(__xludf.DUMMYFUNCTION("GOOGLETRANSLATE(B1208,""id"",""en"")"),"['suggest', 'Lock', 'Lock', 'Credit', 'Cut', 'Like', 'Sebel', 'Buy', 'Credit', 'Sumpot', 'Credit', 'Please', ' Features', 'Lock', 'Credit', 'Untung']")</f>
        <v>['suggest', 'Lock', 'Lock', 'Credit', 'Cut', 'Like', 'Sebel', 'Buy', 'Credit', 'Sumpot', 'Credit', 'Please', ' Features', 'Lock', 'Credit', 'Untung']</v>
      </c>
      <c r="D1208" s="3">
        <v>1.0</v>
      </c>
    </row>
    <row r="1209" ht="15.75" customHeight="1">
      <c r="A1209" s="1">
        <v>1207.0</v>
      </c>
      <c r="B1209" s="3" t="s">
        <v>1210</v>
      </c>
      <c r="C1209" s="3" t="str">
        <f>IFERROR(__xludf.DUMMYFUNCTION("GOOGLETRANSLATE(B1209,""id"",""en"")"),"['Package', 'Combo', 'Telkomsel', 'RB', 'KOQ', 'RB', 'Please', 'Telkomsel', 'Rates', 'Combo']")</f>
        <v>['Package', 'Combo', 'Telkomsel', 'RB', 'KOQ', 'RB', 'Please', 'Telkomsel', 'Rates', 'Combo']</v>
      </c>
      <c r="D1209" s="3">
        <v>1.0</v>
      </c>
    </row>
    <row r="1210" ht="15.75" customHeight="1">
      <c r="A1210" s="1">
        <v>1208.0</v>
      </c>
      <c r="B1210" s="3" t="s">
        <v>1211</v>
      </c>
      <c r="C1210" s="3" t="str">
        <f>IFERROR(__xludf.DUMMYFUNCTION("GOOGLETRANSLATE(B1210,""id"",""en"")"),"['Telkomsel', 'Severe', 'Package', 'Call', 'Package', 'Internet', 'Expensive', 'Number', 'Different', 'Hargap', 'Purchase', 'Package', ' CTH ',' BLN ',' DPT ',' Package ',' Call ',' SBLN ',' SKRG ',' Smntara ',' friend ',' MSH ',' SBLN ', ""]")</f>
        <v>['Telkomsel', 'Severe', 'Package', 'Call', 'Package', 'Internet', 'Expensive', 'Number', 'Different', 'Hargap', 'Purchase', 'Package', ' CTH ',' BLN ',' DPT ',' Package ',' Call ',' SBLN ',' SKRG ',' Smntara ',' friend ',' MSH ',' SBLN ', "]</v>
      </c>
      <c r="D1210" s="3">
        <v>1.0</v>
      </c>
    </row>
    <row r="1211" ht="15.75" customHeight="1">
      <c r="A1211" s="1">
        <v>1209.0</v>
      </c>
      <c r="B1211" s="3" t="s">
        <v>1212</v>
      </c>
      <c r="C1211" s="3" t="str">
        <f>IFERROR(__xludf.DUMMYFUNCTION("GOOGLETRANSLATE(B1211,""id"",""en"")"),"['The network', 'repaired', 'Please', 'Student', 'Need', 'Network', 'Current', 'Network', 'Ngelag', 'Ngelag', 'Gini', 'Current', ' Learn ',' price ',' doang ',' expensive ',' network ',' slow ',' use ',' youtube ',' kenceng ',' dipake ',' gmeet ',' ngelag"&amp;" ',' seriously ' , 'Please', 'repaired']")</f>
        <v>['The network', 'repaired', 'Please', 'Student', 'Need', 'Network', 'Current', 'Network', 'Ngelag', 'Ngelag', 'Gini', 'Current', ' Learn ',' price ',' doang ',' expensive ',' network ',' slow ',' use ',' youtube ',' kenceng ',' dipake ',' gmeet ',' ngelag ',' seriously ' , 'Please', 'repaired']</v>
      </c>
      <c r="D1211" s="3">
        <v>1.0</v>
      </c>
    </row>
    <row r="1212" ht="15.75" customHeight="1">
      <c r="A1212" s="1">
        <v>1210.0</v>
      </c>
      <c r="B1212" s="3" t="s">
        <v>1213</v>
      </c>
      <c r="C1212" s="3" t="str">
        <f>IFERROR(__xludf.DUMMYFUNCTION("GOOGLETRANSLATE(B1212,""id"",""en"")"),"['Network', 'Jakarta', 'North', 'Signal', 'Sometimes',' Connect ',' Internet ',' Mode ',' Plane ',' Turn Off ',' Mode ',' Plane ',' Internet ',' Refresh ',' Internet ',' Raju ',' Please ',' Fix ',' Signal ',' Jakarta ',' North ',' Admin ', ""]")</f>
        <v>['Network', 'Jakarta', 'North', 'Signal', 'Sometimes',' Connect ',' Internet ',' Mode ',' Plane ',' Turn Off ',' Mode ',' Plane ',' Internet ',' Refresh ',' Internet ',' Raju ',' Please ',' Fix ',' Signal ',' Jakarta ',' North ',' Admin ', "]</v>
      </c>
      <c r="D1212" s="3">
        <v>1.0</v>
      </c>
    </row>
    <row r="1213" ht="15.75" customHeight="1">
      <c r="A1213" s="1">
        <v>1211.0</v>
      </c>
      <c r="B1213" s="3" t="s">
        <v>1214</v>
      </c>
      <c r="C1213" s="3" t="str">
        <f>IFERROR(__xludf.DUMMYFUNCTION("GOOGLETRANSLATE(B1213,""id"",""en"")"),"['disappointed', 'network', 'then', 'pulse', 'sucked', 'package', 'strange', 'detrimental', 'package', 'GB', 'right', 'data', ' Message ',' entry ',' rates', 'enter', 'sense', 'please', 'repaired', ""]")</f>
        <v>['disappointed', 'network', 'then', 'pulse', 'sucked', 'package', 'strange', 'detrimental', 'package', 'GB', 'right', 'data', ' Message ',' entry ',' rates', 'enter', 'sense', 'please', 'repaired', "]</v>
      </c>
      <c r="D1213" s="3">
        <v>2.0</v>
      </c>
    </row>
    <row r="1214" ht="15.75" customHeight="1">
      <c r="A1214" s="1">
        <v>1212.0</v>
      </c>
      <c r="B1214" s="3" t="s">
        <v>1215</v>
      </c>
      <c r="C1214" s="3" t="str">
        <f>IFERROR(__xludf.DUMMYFUNCTION("GOOGLETRANSLATE(B1214,""id"",""en"")"),"['Please', 'Sorry', 'card', 'min', 'card', 'package', 'special', 'unlimited', 'a week', 'try', 'list', 'Yesterday', ' registration ',' process', 'please', 'explanation', 'min']")</f>
        <v>['Please', 'Sorry', 'card', 'min', 'card', 'package', 'special', 'unlimited', 'a week', 'try', 'list', 'Yesterday', ' registration ',' process', 'please', 'explanation', 'min']</v>
      </c>
      <c r="D1214" s="3">
        <v>2.0</v>
      </c>
    </row>
    <row r="1215" ht="15.75" customHeight="1">
      <c r="A1215" s="1">
        <v>1213.0</v>
      </c>
      <c r="B1215" s="3" t="s">
        <v>1216</v>
      </c>
      <c r="C1215" s="3" t="str">
        <f>IFERROR(__xludf.DUMMYFUNCTION("GOOGLETRANSLATE(B1215,""id"",""en"")"),"['ugly', 'disruption', 'buy', 'package', 'data', 'failed', 'reason', 'check', 'connection', 'internet', 'pada', 'try', ' Notifications', 'appears',' please ',' repaired ',' ']")</f>
        <v>['ugly', 'disruption', 'buy', 'package', 'data', 'failed', 'reason', 'check', 'connection', 'internet', 'pada', 'try', ' Notifications', 'appears',' please ',' repaired ',' ']</v>
      </c>
      <c r="D1215" s="3">
        <v>1.0</v>
      </c>
    </row>
    <row r="1216" ht="15.75" customHeight="1">
      <c r="A1216" s="1">
        <v>1214.0</v>
      </c>
      <c r="B1216" s="3" t="s">
        <v>1217</v>
      </c>
      <c r="C1216" s="3" t="str">
        <f>IFERROR(__xludf.DUMMYFUNCTION("GOOGLETRANSLATE(B1216,""id"",""en"")"),"['finished', 'log', 'told', 'login', 'application', 'tired', 'log', 'signal', 'ugly', 'respect', 'signal', ""]")</f>
        <v>['finished', 'log', 'told', 'login', 'application', 'tired', 'log', 'signal', 'ugly', 'respect', 'signal', "]</v>
      </c>
      <c r="D1216" s="3">
        <v>1.0</v>
      </c>
    </row>
    <row r="1217" ht="15.75" customHeight="1">
      <c r="A1217" s="1">
        <v>1215.0</v>
      </c>
      <c r="B1217" s="3" t="s">
        <v>1218</v>
      </c>
      <c r="C1217" s="3" t="str">
        <f>IFERROR(__xludf.DUMMYFUNCTION("GOOGLETRANSLATE(B1217,""id"",""en"")"),"['The policy', 'good', 'promo', 'redeem', 'point', 'right', 'dredeem', 'point', 'already', 'reduced', 'buy', 'package', ' Data ',' expensive ',' Bener ',' price ',' menu ',' main ',' price ',' right ',' click ',' buy ',' gyma ',' please ']")</f>
        <v>['The policy', 'good', 'promo', 'redeem', 'point', 'right', 'dredeem', 'point', 'already', 'reduced', 'buy', 'package', ' Data ',' expensive ',' Bener ',' price ',' menu ',' main ',' price ',' right ',' click ',' buy ',' gyma ',' please ']</v>
      </c>
      <c r="D1217" s="3">
        <v>1.0</v>
      </c>
    </row>
    <row r="1218" ht="15.75" customHeight="1">
      <c r="A1218" s="1">
        <v>1216.0</v>
      </c>
      <c r="B1218" s="3" t="s">
        <v>1219</v>
      </c>
      <c r="C1218" s="3" t="str">
        <f>IFERROR(__xludf.DUMMYFUNCTION("GOOGLETRANSLATE(B1218,""id"",""en"")"),"['week', 'Telkomsel', 'signal', 'slow', 'Severe', 'open', 'YouTube', 'Loading', 'Mulu', 'what', 'customer', 'loyal', ' Telkomsel ',' Rich ',' Gini ',' Moving ',' Nie ',' Operator ',' Rich ',' Gini ',' Damaring ',' Trust ',' Customer ',' Please ',' Fix ' ,"&amp;" 'Whatever', 'repaired', '']")</f>
        <v>['week', 'Telkomsel', 'signal', 'slow', 'Severe', 'open', 'YouTube', 'Loading', 'Mulu', 'what', 'customer', 'loyal', ' Telkomsel ',' Rich ',' Gini ',' Moving ',' Nie ',' Operator ',' Rich ',' Gini ',' Damaring ',' Trust ',' Customer ',' Please ',' Fix ' , 'Whatever', 'repaired', '']</v>
      </c>
      <c r="D1218" s="3">
        <v>1.0</v>
      </c>
    </row>
    <row r="1219" ht="15.75" customHeight="1">
      <c r="A1219" s="1">
        <v>1217.0</v>
      </c>
      <c r="B1219" s="3" t="s">
        <v>1220</v>
      </c>
      <c r="C1219" s="3" t="str">
        <f>IFERROR(__xludf.DUMMYFUNCTION("GOOGLETRANSLATE(B1219,""id"",""en"")"),"['security', 'use', 'quota', 'ugly', 'lock', 'limit', 'internet', 'direct', 'no', 'automatic', 'avoid', 'spend', ' pulse ',' main ']")</f>
        <v>['security', 'use', 'quota', 'ugly', 'lock', 'limit', 'internet', 'direct', 'no', 'automatic', 'avoid', 'spend', ' pulse ',' main ']</v>
      </c>
      <c r="D1219" s="3">
        <v>2.0</v>
      </c>
    </row>
    <row r="1220" ht="15.75" customHeight="1">
      <c r="A1220" s="1">
        <v>1218.0</v>
      </c>
      <c r="B1220" s="3" t="s">
        <v>1221</v>
      </c>
      <c r="C1220" s="3" t="str">
        <f>IFERROR(__xludf.DUMMYFUNCTION("GOOGLETRANSLATE(B1220,""id"",""en"")"),"['Gue', 'surprised', 'Telkomsel', 'get', 'gift', 'pulse', 'list', 'package', 'internet', 'other', 'can', 'mean', ' Lying ',' GMN ',' ']")</f>
        <v>['Gue', 'surprised', 'Telkomsel', 'get', 'gift', 'pulse', 'list', 'package', 'internet', 'other', 'can', 'mean', ' Lying ',' GMN ',' ']</v>
      </c>
      <c r="D1220" s="3">
        <v>5.0</v>
      </c>
    </row>
    <row r="1221" ht="15.75" customHeight="1">
      <c r="A1221" s="1">
        <v>1219.0</v>
      </c>
      <c r="B1221" s="3" t="s">
        <v>1222</v>
      </c>
      <c r="C1221" s="3" t="str">
        <f>IFERROR(__xludf.DUMMYFUNCTION("GOOGLETRANSLATE(B1221,""id"",""en"")"),"['Fill', 'pulse', 'sucked', 'run out', 'pulseku', 'fill', 'pulses',' apk ',' like ',' dislodial ',' pairs', 'tetep', ' So ',' poor ',' Dehh ', ""]")</f>
        <v>['Fill', 'pulse', 'sucked', 'run out', 'pulseku', 'fill', 'pulses',' apk ',' like ',' dislodial ',' pairs', 'tetep', ' So ',' poor ',' Dehh ', "]</v>
      </c>
      <c r="D1221" s="3">
        <v>1.0</v>
      </c>
    </row>
    <row r="1222" ht="15.75" customHeight="1">
      <c r="A1222" s="1">
        <v>1220.0</v>
      </c>
      <c r="B1222" s="3" t="s">
        <v>1223</v>
      </c>
      <c r="C1222" s="3" t="str">
        <f>IFERROR(__xludf.DUMMYFUNCTION("GOOGLETRANSLATE(B1222,""id"",""en"")"),"['Greetings',' users', 'Card', 'Telkomsel', 'Riau', 'The', 'Point', 'Main', 'Game', 'Nge', 'Lag', 'Internet', ' slow ',' price ',' package ',' expensive ',' abis', 'sleep', 'network', 'die', 'right', 'play', 'game', 'dead', 'lights' , '']")</f>
        <v>['Greetings',' users', 'Card', 'Telkomsel', 'Riau', 'The', 'Point', 'Main', 'Game', 'Nge', 'Lag', 'Internet', ' slow ',' price ',' package ',' expensive ',' abis', 'sleep', 'network', 'die', 'right', 'play', 'game', 'dead', 'lights' , '']</v>
      </c>
      <c r="D1222" s="3">
        <v>1.0</v>
      </c>
    </row>
    <row r="1223" ht="15.75" customHeight="1">
      <c r="A1223" s="1">
        <v>1221.0</v>
      </c>
      <c r="B1223" s="3" t="s">
        <v>1224</v>
      </c>
      <c r="C1223" s="3" t="str">
        <f>IFERROR(__xludf.DUMMYFUNCTION("GOOGLETRANSLATE(B1223,""id"",""en"")"),"['Moon', 'fill in', 'package', 'Krna', 'price', 'package', 'expensive', 'rather', 'end', 'love', 'package', ' already ',' tempted ',' fill ',' package ',' package ',' already ',' buy ',' decision ',' buy ',' package ',' cheap ',' moved ',' krtu ' , '']")</f>
        <v>['Moon', 'fill in', 'package', 'Krna', 'price', 'package', 'expensive', 'rather', 'end', 'love', 'package', ' already ',' tempted ',' fill ',' package ',' package ',' already ',' buy ',' decision ',' buy ',' package ',' cheap ',' moved ',' krtu ' , '']</v>
      </c>
      <c r="D1223" s="3">
        <v>1.0</v>
      </c>
    </row>
    <row r="1224" ht="15.75" customHeight="1">
      <c r="A1224" s="1">
        <v>1222.0</v>
      </c>
      <c r="B1224" s="3" t="s">
        <v>1225</v>
      </c>
      <c r="C1224" s="3" t="str">
        <f>IFERROR(__xludf.DUMMYFUNCTION("GOOGLETRANSLATE(B1224,""id"",""en"")"),"['knapa', 'here', 'App', 'MyTelkomsel', 'slow', 'heavy', 'pdhl', 'RAM', 'Memory', 'msh', 'network', 'Jga', ' Kenceng ',' pke ',' provider ',' wifi ',' also ',' slow ',' pdhl ',' check ',' quota ',' list ',' package ',' pecintahhhhhhh ',' tlong ' , 'KPD', "&amp;"'Developer', 'Sgera', 'repaired', 'ask', 'menu', 'heavy', 'mnding', 'Bkin', 'version', 'Lite', 'Deh', ' Byeee ']")</f>
        <v>['knapa', 'here', 'App', 'MyTelkomsel', 'slow', 'heavy', 'pdhl', 'RAM', 'Memory', 'msh', 'network', 'Jga', ' Kenceng ',' pke ',' provider ',' wifi ',' also ',' slow ',' pdhl ',' check ',' quota ',' list ',' package ',' pecintahhhhhhh ',' tlong ' , 'KPD', 'Developer', 'Sgera', 'repaired', 'ask', 'menu', 'heavy', 'mnding', 'Bkin', 'version', 'Lite', 'Deh', ' Byeee ']</v>
      </c>
      <c r="D1224" s="3">
        <v>1.0</v>
      </c>
    </row>
    <row r="1225" ht="15.75" customHeight="1">
      <c r="A1225" s="1">
        <v>1223.0</v>
      </c>
      <c r="B1225" s="3" t="s">
        <v>1226</v>
      </c>
      <c r="C1225" s="3" t="str">
        <f>IFERROR(__xludf.DUMMYFUNCTION("GOOGLETRANSLATE(B1225,""id"",""en"")"),"['Application', 'Features',' Key ',' Credit ',' Harm ',' User ',' Card ',' Update ',' Update ',' Gajelas', 'Most important', 'Feature', ' Doang ']")</f>
        <v>['Application', 'Features',' Key ',' Credit ',' Harm ',' User ',' Card ',' Update ',' Update ',' Gajelas', 'Most important', 'Feature', ' Doang ']</v>
      </c>
      <c r="D1225" s="3">
        <v>1.0</v>
      </c>
    </row>
    <row r="1226" ht="15.75" customHeight="1">
      <c r="A1226" s="1">
        <v>1224.0</v>
      </c>
      <c r="B1226" s="3" t="s">
        <v>1227</v>
      </c>
      <c r="C1226" s="3" t="str">
        <f>IFERROR(__xludf.DUMMYFUNCTION("GOOGLETRANSLATE(B1226,""id"",""en"")"),"['Hi', 'Telkomsel', 'Please', 'Sorry', 'Date', 'Clock', 'Fill', 'reset', 'credit', 'missing', 'internet', 'quota', ' Ministry of Education and Culture ',' GB ',' leftover ',' quota ',' GB ',' Please ',' Explanation ', ""]")</f>
        <v>['Hi', 'Telkomsel', 'Please', 'Sorry', 'Date', 'Clock', 'Fill', 'reset', 'credit', 'missing', 'internet', 'quota', ' Ministry of Education and Culture ',' GB ',' leftover ',' quota ',' GB ',' Please ',' Explanation ', "]</v>
      </c>
      <c r="D1226" s="3">
        <v>1.0</v>
      </c>
    </row>
    <row r="1227" ht="15.75" customHeight="1">
      <c r="A1227" s="1">
        <v>1225.0</v>
      </c>
      <c r="B1227" s="3" t="s">
        <v>1228</v>
      </c>
      <c r="C1227" s="3" t="str">
        <f>IFERROR(__xludf.DUMMYFUNCTION("GOOGLETRANSLATE(B1227,""id"",""en"")"),"['Package', 'Combo', 'Unlimited', 'Min', 'buy', 'Package', 'right', 'buy', 'Males', ""]")</f>
        <v>['Package', 'Combo', 'Unlimited', 'Min', 'buy', 'Package', 'right', 'buy', 'Males', "]</v>
      </c>
      <c r="D1227" s="3">
        <v>1.0</v>
      </c>
    </row>
    <row r="1228" ht="15.75" customHeight="1">
      <c r="A1228" s="1">
        <v>1226.0</v>
      </c>
      <c r="B1228" s="3" t="s">
        <v>1229</v>
      </c>
      <c r="C1228" s="3" t="str">
        <f>IFERROR(__xludf.DUMMYFUNCTION("GOOGLETRANSLATE(B1228,""id"",""en"")"),"['Signal', 'Telkomsel', 'Severe', 'Call', 'Center', 'Improvement', 'System', 'BNYAK', 'User', 'Telkomsel', 'Disappointed', 'Loss',' Gara ',' Gara ',' signal ', ""]")</f>
        <v>['Signal', 'Telkomsel', 'Severe', 'Call', 'Center', 'Improvement', 'System', 'BNYAK', 'User', 'Telkomsel', 'Disappointed', 'Loss',' Gara ',' Gara ',' signal ', "]</v>
      </c>
      <c r="D1228" s="3">
        <v>3.0</v>
      </c>
    </row>
    <row r="1229" ht="15.75" customHeight="1">
      <c r="A1229" s="1">
        <v>1227.0</v>
      </c>
      <c r="B1229" s="3" t="s">
        <v>1230</v>
      </c>
      <c r="C1229" s="3" t="str">
        <f>IFERROR(__xludf.DUMMYFUNCTION("GOOGLETRANSLATE(B1229,""id"",""en"")"),"['', 'transaction', 'Telkomsel', 'buy', 'chip', 'cut', 'pulse', 'second', 'pulse', 'cheek', 'buy', 'enter', 'please ',' Telkomsel ',' network ',' difficult ',' expensive ',' disappointed ',' severe ']")</f>
        <v>['', 'transaction', 'Telkomsel', 'buy', 'chip', 'cut', 'pulse', 'second', 'pulse', 'cheek', 'buy', 'enter', 'please ',' Telkomsel ',' network ',' difficult ',' expensive ',' disappointed ',' severe ']</v>
      </c>
      <c r="D1229" s="3">
        <v>1.0</v>
      </c>
    </row>
    <row r="1230" ht="15.75" customHeight="1">
      <c r="A1230" s="1">
        <v>1228.0</v>
      </c>
      <c r="B1230" s="3" t="s">
        <v>1231</v>
      </c>
      <c r="C1230" s="3" t="str">
        <f>IFERROR(__xludf.DUMMYFUNCTION("GOOGLETRANSLATE(B1230,""id"",""en"")"),"['Woy', 'how', 'name', 'Telkom', 'already', 'quality', 'network', 'Different', 'operator', 'please', 'Looking', ' ']")</f>
        <v>['Woy', 'how', 'name', 'Telkom', 'already', 'quality', 'network', 'Different', 'operator', 'please', 'Looking', ' ']</v>
      </c>
      <c r="D1230" s="3">
        <v>1.0</v>
      </c>
    </row>
    <row r="1231" ht="15.75" customHeight="1">
      <c r="A1231" s="1">
        <v>1229.0</v>
      </c>
      <c r="B1231" s="3" t="s">
        <v>1232</v>
      </c>
      <c r="C1231" s="3" t="str">
        <f>IFERROR(__xludf.DUMMYFUNCTION("GOOGLETRANSLATE(B1231,""id"",""en"")"),"['Quality', 'Signal', 'Bad', 'Improved', 'Signal', 'Lost', 'Saranin', 'Move', 'Card', 'Please', 'Signal', 'Fix', ' ']")</f>
        <v>['Quality', 'Signal', 'Bad', 'Improved', 'Signal', 'Lost', 'Saranin', 'Move', 'Card', 'Please', 'Signal', 'Fix', ' ']</v>
      </c>
      <c r="D1231" s="3">
        <v>1.0</v>
      </c>
    </row>
    <row r="1232" ht="15.75" customHeight="1">
      <c r="A1232" s="1">
        <v>1230.0</v>
      </c>
      <c r="B1232" s="3" t="s">
        <v>1233</v>
      </c>
      <c r="C1232" s="3" t="str">
        <f>IFERROR(__xludf.DUMMYFUNCTION("GOOGLETRANSLATE(B1232,""id"",""en"")"),"['oath', 'Understand', 'Ama', 'Telkomsel', 'Quality', 'Sousal', 'Baek', 'Ancuurrrr', 'Price', 'Package', 'Mahalin', 'Signal', ' Leet ',' Ampuun ', ""]")</f>
        <v>['oath', 'Understand', 'Ama', 'Telkomsel', 'Quality', 'Sousal', 'Baek', 'Ancuurrrr', 'Price', 'Package', 'Mahalin', 'Signal', ' Leet ',' Ampuun ', "]</v>
      </c>
      <c r="D1232" s="3">
        <v>2.0</v>
      </c>
    </row>
    <row r="1233" ht="15.75" customHeight="1">
      <c r="A1233" s="1">
        <v>1231.0</v>
      </c>
      <c r="B1233" s="3" t="s">
        <v>1234</v>
      </c>
      <c r="C1233" s="3" t="str">
        <f>IFERROR(__xludf.DUMMYFUNCTION("GOOGLETRANSLATE(B1233,""id"",""en"")"),"['Not bad', 'expensive', 'buy', 'quota', 'cheap', 'try', 'min', 'less',' price ',' disappointed ',' buy ',' package ',' Enter ',' data ',' ']")</f>
        <v>['Not bad', 'expensive', 'buy', 'quota', 'cheap', 'try', 'min', 'less',' price ',' disappointed ',' buy ',' package ',' Enter ',' data ',' ']</v>
      </c>
      <c r="D1233" s="3">
        <v>4.0</v>
      </c>
    </row>
    <row r="1234" ht="15.75" customHeight="1">
      <c r="A1234" s="1">
        <v>1232.0</v>
      </c>
      <c r="B1234" s="3" t="s">
        <v>1235</v>
      </c>
      <c r="C1234" s="3" t="str">
        <f>IFERROR(__xludf.DUMMYFUNCTION("GOOGLETRANSLATE(B1234,""id"",""en"")"),"['Nyesel', 'card', 'Hello', 'signal', 'slow', 'severe', 'subscription', 'quota', 'multimedia', 'gabisa', 'dipake', 'pay', ' Loss', 'Application', 'Slow', 'Severe', 'Gajelas',' Anyway ',' Move ',' Card ',' Hello ',' Raying ',' Signal ',' Disorders', 'Mendi"&amp;"ng' , '']")</f>
        <v>['Nyesel', 'card', 'Hello', 'signal', 'slow', 'severe', 'subscription', 'quota', 'multimedia', 'gabisa', 'dipake', 'pay', ' Loss', 'Application', 'Slow', 'Severe', 'Gajelas',' Anyway ',' Move ',' Card ',' Hello ',' Raying ',' Signal ',' Disorders', 'Mending' , '']</v>
      </c>
      <c r="D1234" s="3">
        <v>1.0</v>
      </c>
    </row>
    <row r="1235" ht="15.75" customHeight="1">
      <c r="A1235" s="1">
        <v>1233.0</v>
      </c>
      <c r="B1235" s="3" t="s">
        <v>1236</v>
      </c>
      <c r="C1235" s="3" t="str">
        <f>IFERROR(__xludf.DUMMYFUNCTION("GOOGLETRANSLATE(B1235,""id"",""en"")"),"['', 'contents',' pulse ',' buy ',' package ',' combo ',' pay ',' debt ',' package ',' emergency ',' leftover ',' thousand ',' make ',' pulse ',' stay ',' Rupiah ',' Telkomsel ',' explained ',' contents', 'pulse', 'right', 'buy', 'package', 'internet', 'c"&amp;"all', 'sms', 'combo', 'appears', 'bill', 'anything', 'charging', 'knp', 'right', 'contents', 'pulses', 'abis', 'where', "" ]")</f>
        <v>['', 'contents',' pulse ',' buy ',' package ',' combo ',' pay ',' debt ',' package ',' emergency ',' leftover ',' thousand ',' make ',' pulse ',' stay ',' Rupiah ',' Telkomsel ',' explained ',' contents', 'pulse', 'right', 'buy', 'package', 'internet', 'call', 'sms', 'combo', 'appears', 'bill', 'anything', 'charging', 'knp', 'right', 'contents', 'pulses', 'abis', 'where', " ]</v>
      </c>
      <c r="D1235" s="3">
        <v>1.0</v>
      </c>
    </row>
    <row r="1236" ht="15.75" customHeight="1">
      <c r="A1236" s="1">
        <v>1234.0</v>
      </c>
      <c r="B1236" s="3" t="s">
        <v>1237</v>
      </c>
      <c r="C1236" s="3" t="str">
        <f>IFERROR(__xludf.DUMMYFUNCTION("GOOGLETRANSLATE(B1236,""id"",""en"")"),"['Login', 'Visit', 'Receive', 'Link', 'Resend', 'Link', 'Minutes',' Link ',' SMS ',' Enter ',' None ',' Biaa ',' Posts', 'Something', 'Went', 'Wrong', '']")</f>
        <v>['Login', 'Visit', 'Receive', 'Link', 'Resend', 'Link', 'Minutes',' Link ',' SMS ',' Enter ',' None ',' Biaa ',' Posts', 'Something', 'Went', 'Wrong', '']</v>
      </c>
      <c r="D1236" s="3">
        <v>2.0</v>
      </c>
    </row>
    <row r="1237" ht="15.75" customHeight="1">
      <c r="A1237" s="1">
        <v>1235.0</v>
      </c>
      <c r="B1237" s="3" t="s">
        <v>1238</v>
      </c>
      <c r="C1237" s="3" t="str">
        <f>IFERROR(__xludf.DUMMYFUNCTION("GOOGLETRANSLATE(B1237,""id"",""en"")"),"['Network', 'best', 'Indonesia', 'Worst', 'network', 'cheapest', 'buy', 'customer', 'loyal', 'Telkomsel', 'disappointed', 'service', ' Thanks', 'Love', 'Sorry', 'Switch', 'Worth', 'Best', 'Worst', '']")</f>
        <v>['Network', 'best', 'Indonesia', 'Worst', 'network', 'cheapest', 'buy', 'customer', 'loyal', 'Telkomsel', 'disappointed', 'service', ' Thanks', 'Love', 'Sorry', 'Switch', 'Worth', 'Best', 'Worst', '']</v>
      </c>
      <c r="D1237" s="3">
        <v>1.0</v>
      </c>
    </row>
    <row r="1238" ht="15.75" customHeight="1">
      <c r="A1238" s="1">
        <v>1236.0</v>
      </c>
      <c r="B1238" s="3" t="s">
        <v>1239</v>
      </c>
      <c r="C1238" s="3" t="str">
        <f>IFERROR(__xludf.DUMMYFUNCTION("GOOGLETRANSLATE(B1238,""id"",""en"")"),"['Please', 'repaired', 'iyaa', 'enter', 'write', 'number', 'gara', 'log', 'out', 'uda', 'checked', 'automatic', ' Loginnya ',' thank ',' love ']")</f>
        <v>['Please', 'repaired', 'iyaa', 'enter', 'write', 'number', 'gara', 'log', 'out', 'uda', 'checked', 'automatic', ' Loginnya ',' thank ',' love ']</v>
      </c>
      <c r="D1238" s="3">
        <v>1.0</v>
      </c>
    </row>
    <row r="1239" ht="15.75" customHeight="1">
      <c r="A1239" s="1">
        <v>1237.0</v>
      </c>
      <c r="B1239" s="3" t="s">
        <v>1240</v>
      </c>
      <c r="C1239" s="3" t="str">
        <f>IFERROR(__xludf.DUMMYFUNCTION("GOOGLETRANSLATE(B1239,""id"",""en"")"),"['Telkom', 'bad', 'signal', 'shy', 'shame', 'already', 'expensive', 'signal', 'gajelas',' duh ',' ampunnn ',' buy ',' GB ',' given ',' signal ',' rich ',' pulp ']")</f>
        <v>['Telkom', 'bad', 'signal', 'shy', 'shame', 'already', 'expensive', 'signal', 'gajelas',' duh ',' ampunnn ',' buy ',' GB ',' given ',' signal ',' rich ',' pulp ']</v>
      </c>
      <c r="D1239" s="3">
        <v>1.0</v>
      </c>
    </row>
    <row r="1240" ht="15.75" customHeight="1">
      <c r="A1240" s="1">
        <v>1238.0</v>
      </c>
      <c r="B1240" s="3" t="s">
        <v>1241</v>
      </c>
      <c r="C1240" s="3" t="str">
        <f>IFERROR(__xludf.DUMMYFUNCTION("GOOGLETRANSLATE(B1240,""id"",""en"")"),"['buy', 'package', 'cheerful', 'buy', 'repeat', 'transaction', 'minute', 'in fact', 'Sunday', ""]")</f>
        <v>['buy', 'package', 'cheerful', 'buy', 'repeat', 'transaction', 'minute', 'in fact', 'Sunday', "]</v>
      </c>
      <c r="D1240" s="3">
        <v>1.0</v>
      </c>
    </row>
    <row r="1241" ht="15.75" customHeight="1">
      <c r="A1241" s="1">
        <v>1239.0</v>
      </c>
      <c r="B1241" s="3" t="s">
        <v>1242</v>
      </c>
      <c r="C1241" s="3" t="str">
        <f>IFERROR(__xludf.DUMMYFUNCTION("GOOGLETRANSLATE(B1241,""id"",""en"")"),"['Telkomsel', 'weve', 'severe', 'network', 'kayak', 'network', 'tri', 'udh', 'slow', 'really', 'loss',' amad ',' Udh ',' buy ',' expensive ',' TPI ',' network ',' slow ',' amad ',' better ',' NGK ',' love ',' promo ',' like ',' this is' , 'The network', '"&amp;"sin', 'people', 'angry', 'jdda', 'help', 'person', 'TPI', 'sin', ""]")</f>
        <v>['Telkomsel', 'weve', 'severe', 'network', 'kayak', 'network', 'tri', 'udh', 'slow', 'really', 'loss',' amad ',' Udh ',' buy ',' expensive ',' TPI ',' network ',' slow ',' amad ',' better ',' NGK ',' love ',' promo ',' like ',' this is' , 'The network', 'sin', 'people', 'angry', 'jdda', 'help', 'person', 'TPI', 'sin', "]</v>
      </c>
      <c r="D1241" s="3">
        <v>1.0</v>
      </c>
    </row>
    <row r="1242" ht="15.75" customHeight="1">
      <c r="A1242" s="1">
        <v>1240.0</v>
      </c>
      <c r="B1242" s="3" t="s">
        <v>1243</v>
      </c>
      <c r="C1242" s="3" t="str">
        <f>IFERROR(__xludf.DUMMYFUNCTION("GOOGLETRANSLATE(B1242,""id"",""en"")"),"['Application', 'Gloud', 'Game', 'Play', 'Store', 'Need', 'Quota', 'Main', 'Game', 'Streaming', 'PS', 'PS', ' Server ',' Streaming ',' Game ',' Please ',' Package ',' Special ',' Where ',' Unlimited ',' Data ',' Quota ',' Main ',' Game ',' Resolution ' , "&amp;"'minimal', 'for a while', 'play', 'hope', 'package', 'game', 'a month']")</f>
        <v>['Application', 'Gloud', 'Game', 'Play', 'Store', 'Need', 'Quota', 'Main', 'Game', 'Streaming', 'PS', 'PS', ' Server ',' Streaming ',' Game ',' Please ',' Package ',' Special ',' Where ',' Unlimited ',' Data ',' Quota ',' Main ',' Game ',' Resolution ' , 'minimal', 'for a while', 'play', 'hope', 'package', 'game', 'a month']</v>
      </c>
      <c r="D1242" s="3">
        <v>3.0</v>
      </c>
    </row>
    <row r="1243" ht="15.75" customHeight="1">
      <c r="A1243" s="1">
        <v>1241.0</v>
      </c>
      <c r="B1243" s="3" t="s">
        <v>1244</v>
      </c>
      <c r="C1243" s="3" t="str">
        <f>IFERROR(__xludf.DUMMYFUNCTION("GOOGLETRANSLATE(B1243,""id"",""en"")"),"['signal', 'ugly', 'kilometer', 'distance', 'home', 'tower', 'Telkomsel', 'stay', 'rural', 'signal', 'play', 'game', ' please ',' fix ',' signal ',' quota ',' already ',' expensive ',' sinya ',' ugly ',' try ',' mode ',' plane ',' result ',' disappointed "&amp;"' , 'Telkomsel']")</f>
        <v>['signal', 'ugly', 'kilometer', 'distance', 'home', 'tower', 'Telkomsel', 'stay', 'rural', 'signal', 'play', 'game', ' please ',' fix ',' signal ',' quota ',' already ',' expensive ',' sinya ',' ugly ',' try ',' mode ',' plane ',' result ',' disappointed ' , 'Telkomsel']</v>
      </c>
      <c r="D1243" s="3">
        <v>1.0</v>
      </c>
    </row>
    <row r="1244" ht="15.75" customHeight="1">
      <c r="A1244" s="1">
        <v>1242.0</v>
      </c>
      <c r="B1244" s="3" t="s">
        <v>1245</v>
      </c>
      <c r="C1244" s="3" t="str">
        <f>IFERROR(__xludf.DUMMYFUNCTION("GOOGLETRANSLATE(B1244,""id"",""en"")"),"['Disappointed', 'Telkomsel', 'migration', 'card', 'Hello', 'Fikir', 'internet', 'stable', 'reality', 'signal', 'cellular', 'ok', ' network ',' internet ',' blame ',' cellphone ',' migration ',' card ',' prepaid ',' reasons', 'migration', 'postpaid', 'pre"&amp;"paid', 'processed', 'migration' , 'postpaid', 'trap', 'customers', 'Telkomsel', '']")</f>
        <v>['Disappointed', 'Telkomsel', 'migration', 'card', 'Hello', 'Fikir', 'internet', 'stable', 'reality', 'signal', 'cellular', 'ok', ' network ',' internet ',' blame ',' cellphone ',' migration ',' card ',' prepaid ',' reasons', 'migration', 'postpaid', 'prepaid', 'processed', 'migration' , 'postpaid', 'trap', 'customers', 'Telkomsel', '']</v>
      </c>
      <c r="D1244" s="3">
        <v>1.0</v>
      </c>
    </row>
    <row r="1245" ht="15.75" customHeight="1">
      <c r="A1245" s="1">
        <v>1243.0</v>
      </c>
      <c r="B1245" s="3" t="s">
        <v>1246</v>
      </c>
      <c r="C1245" s="3" t="str">
        <f>IFERROR(__xludf.DUMMYFUNCTION("GOOGLETRANSLATE(B1245,""id"",""en"")"),"['already', 'times',' package ',' internet ',' signal ',' bapukkkk ',' already ',' customer ',' loyal ',' here ',' satisfying ',' Tlonan ',' signal ',' inhibits', 'gerangan', ""]")</f>
        <v>['already', 'times',' package ',' internet ',' signal ',' bapukkkk ',' already ',' customer ',' loyal ',' here ',' satisfying ',' Tlonan ',' signal ',' inhibits', 'gerangan', "]</v>
      </c>
      <c r="D1245" s="3">
        <v>1.0</v>
      </c>
    </row>
    <row r="1246" ht="15.75" customHeight="1">
      <c r="A1246" s="1">
        <v>1244.0</v>
      </c>
      <c r="B1246" s="3" t="s">
        <v>1247</v>
      </c>
      <c r="C1246" s="3" t="str">
        <f>IFERROR(__xludf.DUMMYFUNCTION("GOOGLETRANSLATE(B1246,""id"",""en"")"),"['Dipelunjak', 'Telkomsel', 'Look for', 'signal', 'difficult', 'really', 'my cellphone', 'support', 'weve', 'his big', 'difficult', 'signal', ' Fulllllllllllllllllllllllllllllllllllllllllllllllllllllllllllllllllllllllllllllllllllllllllllllllllllllllllllll"&amp;"lllllllllllllllllllllllllllllllllllllllllllllllllllllllllllllllllllllllllllllllllllllllllllllllllllllllllllllllllllllllllllllllllllllllllllllllllllllllllllllllllllllllllllllllllllllllllllllllllllllllllllllllllllllllllllllllllllllllllllllllllllllllllllllll"&amp;"llllllllllllllllllllllllllllllllllllllllllllllllllllllllllllllllllllllllllllllllllllllllllllllllllllllllllllllllllllllllllllllllllllllllllllllllllllllllllllllllllllllllllllllllllllllllllness .Uoles ., '")</f>
        <v>['Dipelunjak', 'Telkomsel', 'Look for', 'signal', 'difficult', 'really', 'my cellphone', 'support', 'weve', 'his big', 'difficult', 'signal', ' Fu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lness .Uoles ., '</v>
      </c>
      <c r="D1246" s="3">
        <v>2.0</v>
      </c>
    </row>
    <row r="1247" ht="15.75" customHeight="1">
      <c r="A1247" s="1">
        <v>1245.0</v>
      </c>
      <c r="B1247" s="3" t="s">
        <v>1248</v>
      </c>
      <c r="C1247" s="3" t="str">
        <f>IFERROR(__xludf.DUMMYFUNCTION("GOOGLETRANSLATE(B1247,""id"",""en"")"),"['', 'replace', 'card', 'repaired', 'no', 'network', 'ugly', 'really', 'already', 'kayak', 'operator', 'abal', 'abal ',' already ',' rich ',' rain ',' ilang ',' ilang ',' the network ']")</f>
        <v>['', 'replace', 'card', 'repaired', 'no', 'network', 'ugly', 'really', 'already', 'kayak', 'operator', 'abal', 'abal ',' already ',' rich ',' rain ',' ilang ',' ilang ',' the network ']</v>
      </c>
      <c r="D1247" s="3">
        <v>1.0</v>
      </c>
    </row>
    <row r="1248" ht="15.75" customHeight="1">
      <c r="A1248" s="1">
        <v>1246.0</v>
      </c>
      <c r="B1248" s="3" t="s">
        <v>1249</v>
      </c>
      <c r="C1248" s="3" t="str">
        <f>IFERROR(__xludf.DUMMYFUNCTION("GOOGLETRANSLATE(B1248,""id"",""en"")"),"['regret', 'buy', 'expensive', 'card', 'network', 'request', 'time', 'out', 'omdo', 'mulu', 'fix', 'lose', ' network ',' next door ',' last ',' buy ',' quota ',' telnyet ',' red ',' mulu ',' blur ',' card ',' omdo ',' dank ',' big ' , 'Corruption', 'Gede'"&amp;"]")</f>
        <v>['regret', 'buy', 'expensive', 'card', 'network', 'request', 'time', 'out', 'omdo', 'mulu', 'fix', 'lose', ' network ',' next door ',' last ',' buy ',' quota ',' telnyet ',' red ',' mulu ',' blur ',' card ',' omdo ',' dank ',' big ' , 'Corruption', 'Gede']</v>
      </c>
      <c r="D1248" s="3">
        <v>1.0</v>
      </c>
    </row>
    <row r="1249" ht="15.75" customHeight="1">
      <c r="A1249" s="1">
        <v>1247.0</v>
      </c>
      <c r="B1249" s="3" t="s">
        <v>1250</v>
      </c>
      <c r="C1249" s="3" t="str">
        <f>IFERROR(__xludf.DUMMYFUNCTION("GOOGLETRANSLATE(B1249,""id"",""en"")"),"['Telkomsel', 'bad', 'service', 'pulse', 'run out', 'reduced', 'telephone', 'koata', 'internet', 'already', 'buy', 'TPI', ' Open ',' Game ',' Geogle ',' Telkomsel ',' Please ',' Pulse ',' Rampok ',' Koata ',' Expensive ',' Service ',' Bad ', ""]")</f>
        <v>['Telkomsel', 'bad', 'service', 'pulse', 'run out', 'reduced', 'telephone', 'koata', 'internet', 'already', 'buy', 'TPI', ' Open ',' Game ',' Geogle ',' Telkomsel ',' Please ',' Pulse ',' Rampok ',' Koata ',' Expensive ',' Service ',' Bad ', "]</v>
      </c>
      <c r="D1249" s="3">
        <v>1.0</v>
      </c>
    </row>
    <row r="1250" ht="15.75" customHeight="1">
      <c r="A1250" s="1">
        <v>1248.0</v>
      </c>
      <c r="B1250" s="3" t="s">
        <v>1251</v>
      </c>
      <c r="C1250" s="3" t="str">
        <f>IFERROR(__xludf.DUMMYFUNCTION("GOOGLETRANSLATE(B1250,""id"",""en"")"),"['cave', 'already', 'replace', 'team', 'yellow', 'his need', 'aware', 'DId', 'signal', 'rich', 'snail', 'sleep', ' Matok ',' Price ',' Rich ',' MBUT ',' Given ',' Suggestion ',' Contact ',' Service ',' Customer ',' Sis', 'Eyes',' pic ',' already ' , 'Cust"&amp;"omers', 'complain', 'network', 'cook', 'yes', 'blind', 'mentally', 'ngakunya', 'provider', 'teriyees', 'ngent', ""]")</f>
        <v>['cave', 'already', 'replace', 'team', 'yellow', 'his need', 'aware', 'DId', 'signal', 'rich', 'snail', 'sleep', ' Matok ',' Price ',' Rich ',' MBUT ',' Given ',' Suggestion ',' Contact ',' Service ',' Customer ',' Sis', 'Eyes',' pic ',' already ' , 'Customers', 'complain', 'network', 'cook', 'yes', 'blind', 'mentally', 'ngakunya', 'provider', 'teriyees', 'ngent', "]</v>
      </c>
      <c r="D1250" s="3">
        <v>1.0</v>
      </c>
    </row>
    <row r="1251" ht="15.75" customHeight="1">
      <c r="A1251" s="1">
        <v>1249.0</v>
      </c>
      <c r="B1251" s="3" t="s">
        <v>1252</v>
      </c>
      <c r="C1251" s="3" t="str">
        <f>IFERROR(__xludf.DUMMYFUNCTION("GOOGLETRANSLATE(B1251,""id"",""en"")"),"['expensive', 'buy', 'package', 'data', 'please', 'coded', 'pandemic', 'Telkomsel', 'severe', 'mahaaal', 'package', 'cheap', ' Cave ',' Ful ',' Bintang ',' Bintang ',' ']")</f>
        <v>['expensive', 'buy', 'package', 'data', 'please', 'coded', 'pandemic', 'Telkomsel', 'severe', 'mahaaal', 'package', 'cheap', ' Cave ',' Ful ',' Bintang ',' Bintang ',' ']</v>
      </c>
      <c r="D1251" s="3">
        <v>1.0</v>
      </c>
    </row>
    <row r="1252" ht="15.75" customHeight="1">
      <c r="A1252" s="1">
        <v>1250.0</v>
      </c>
      <c r="B1252" s="3" t="s">
        <v>1253</v>
      </c>
      <c r="C1252" s="3" t="str">
        <f>IFERROR(__xludf.DUMMYFUNCTION("GOOGLETRANSLATE(B1252,""id"",""en"")"),"['Alhamdulillah', 'Telkomsel', 'help', 'opportunity', 'business', 'reach', 'customer', 'signal', 'network', 'Telkomsel', 'smooth', 'except' Season ',' rainy ',' Thank you ',' Telkomsel ',' Success', 'Telkomsel', 'No', 'Prizes', ""]")</f>
        <v>['Alhamdulillah', 'Telkomsel', 'help', 'opportunity', 'business', 'reach', 'customer', 'signal', 'network', 'Telkomsel', 'smooth', 'except' Season ',' rainy ',' Thank you ',' Telkomsel ',' Success', 'Telkomsel', 'No', 'Prizes', "]</v>
      </c>
      <c r="D1252" s="3">
        <v>5.0</v>
      </c>
    </row>
    <row r="1253" ht="15.75" customHeight="1">
      <c r="A1253" s="1">
        <v>1251.0</v>
      </c>
      <c r="B1253" s="3" t="s">
        <v>1254</v>
      </c>
      <c r="C1253" s="3" t="str">
        <f>IFERROR(__xludf.DUMMYFUNCTION("GOOGLETRANSLATE(B1253,""id"",""en"")"),"['application', 'a week', 'open', 'written', 'experience', 'crash', 'app', 'already', 'reboot', 'reset', 'already', 'update', ' App ',' please ',' input ']")</f>
        <v>['application', 'a week', 'open', 'written', 'experience', 'crash', 'app', 'already', 'reboot', 'reset', 'already', 'update', ' App ',' please ',' input ']</v>
      </c>
      <c r="D1253" s="3">
        <v>3.0</v>
      </c>
    </row>
    <row r="1254" ht="15.75" customHeight="1">
      <c r="A1254" s="1">
        <v>1252.0</v>
      </c>
      <c r="B1254" s="3" t="s">
        <v>1255</v>
      </c>
      <c r="C1254" s="3" t="str">
        <f>IFERROR(__xludf.DUMMYFUNCTION("GOOGLETRANSLATE(B1254,""id"",""en"")"),"['Telkomsel', 'fraudsters',' uda ',' contents', 'credit', 'take', 'data', 'no', 'enter', 'telkosel', 'may', 'severe', ' unlimited ',' buy ',' combosakti ',' reality ',' no ',' high school ',' skli ',' open ',' youtube ',' no ',' open ',' intrnetan ',' pli"&amp;"s' , 'Please', 'Jngan', 'Nipu']")</f>
        <v>['Telkomsel', 'fraudsters',' uda ',' contents', 'credit', 'take', 'data', 'no', 'enter', 'telkosel', 'may', 'severe', ' unlimited ',' buy ',' combosakti ',' reality ',' no ',' high school ',' skli ',' open ',' youtube ',' no ',' open ',' intrnetan ',' plis' , 'Please', 'Jngan', 'Nipu']</v>
      </c>
      <c r="D1254" s="3">
        <v>1.0</v>
      </c>
    </row>
    <row r="1255" ht="15.75" customHeight="1">
      <c r="A1255" s="1">
        <v>1253.0</v>
      </c>
      <c r="B1255" s="3" t="s">
        <v>1256</v>
      </c>
      <c r="C1255" s="3" t="str">
        <f>IFERROR(__xludf.DUMMYFUNCTION("GOOGLETRANSLATE(B1255,""id"",""en"")"),"['Hopefully', 'friendly', 'front', 'muslihat', 'tricks',' cheating ',' consumer ',' customer ',' creative ',' innovative ',' smart ',' effort ',' reaching ',' Chancellor ',' kindness', 'progress',' ']")</f>
        <v>['Hopefully', 'friendly', 'front', 'muslihat', 'tricks',' cheating ',' consumer ',' customer ',' creative ',' innovative ',' smart ',' effort ',' reaching ',' Chancellor ',' kindness', 'progress',' ']</v>
      </c>
      <c r="D1255" s="3">
        <v>4.0</v>
      </c>
    </row>
    <row r="1256" ht="15.75" customHeight="1">
      <c r="A1256" s="1">
        <v>1254.0</v>
      </c>
      <c r="B1256" s="3" t="s">
        <v>1257</v>
      </c>
      <c r="C1256" s="3" t="str">
        <f>IFERROR(__xludf.DUMMYFUNCTION("GOOGLETRANSLATE(B1256,""id"",""en"")"),"['Kanapa', 'Network', 'Ngak', 'Stable', 'City', 'Solo', 'Price', 'Quota', 'Internet', 'Expensive', 'Profeder', 'Comparable', ' Price ',' Network ',' ']")</f>
        <v>['Kanapa', 'Network', 'Ngak', 'Stable', 'City', 'Solo', 'Price', 'Quota', 'Internet', 'Expensive', 'Profeder', 'Comparable', ' Price ',' Network ',' ']</v>
      </c>
      <c r="D1256" s="3">
        <v>1.0</v>
      </c>
    </row>
    <row r="1257" ht="15.75" customHeight="1">
      <c r="A1257" s="1">
        <v>1255.0</v>
      </c>
      <c r="B1257" s="3" t="s">
        <v>1258</v>
      </c>
      <c r="C1257" s="3" t="str">
        <f>IFERROR(__xludf.DUMMYFUNCTION("GOOGLETRANSLATE(B1257,""id"",""en"")"),"['signal', 'obviously', 'really', 'fraudsters',' udh ',' package ',' expensive ',' signal ',' ilang ',' mulu ',' ntn ',' youtube ',' setabilia ',' kah ',' results', 'sell', 'package', 'internet', 'expensive', 'sampe', 'quality', 'signal', 'urus', ""]")</f>
        <v>['signal', 'obviously', 'really', 'fraudsters',' udh ',' package ',' expensive ',' signal ',' ilang ',' mulu ',' ntn ',' youtube ',' setabilia ',' kah ',' results', 'sell', 'package', 'internet', 'expensive', 'sampe', 'quality', 'signal', 'urus', "]</v>
      </c>
      <c r="D1257" s="3">
        <v>1.0</v>
      </c>
    </row>
    <row r="1258" ht="15.75" customHeight="1">
      <c r="A1258" s="1">
        <v>1256.0</v>
      </c>
      <c r="B1258" s="3" t="s">
        <v>1259</v>
      </c>
      <c r="C1258" s="3" t="str">
        <f>IFERROR(__xludf.DUMMYFUNCTION("GOOGLETRANSLATE(B1258,""id"",""en"")"),"['GMNA', 'The story', 'min', 'quota', 'unlimited', 'youtube', 'unlimited', 'youtube', 'price', 'mending', 'buy', 'unlimited', ' YouTube ',' fraud ',' name ',' min ']")</f>
        <v>['GMNA', 'The story', 'min', 'quota', 'unlimited', 'youtube', 'unlimited', 'youtube', 'price', 'mending', 'buy', 'unlimited', ' YouTube ',' fraud ',' name ',' min ']</v>
      </c>
      <c r="D1258" s="3">
        <v>1.0</v>
      </c>
    </row>
    <row r="1259" ht="15.75" customHeight="1">
      <c r="A1259" s="1">
        <v>1257.0</v>
      </c>
      <c r="B1259" s="3" t="s">
        <v>1260</v>
      </c>
      <c r="C1259" s="3" t="str">
        <f>IFERROR(__xludf.DUMMYFUNCTION("GOOGLETRANSLATE(B1259,""id"",""en"")"),"['network', 'Telkomsel', 'slow', 'bodo', 'fix', 'network', 'you', 'tawarin', 'package', 'expensive', 'expensive', 'package', ' Expensive ',' expensive ',' network ',' care ',' ']")</f>
        <v>['network', 'Telkomsel', 'slow', 'bodo', 'fix', 'network', 'you', 'tawarin', 'package', 'expensive', 'expensive', 'package', ' Expensive ',' expensive ',' network ',' care ',' ']</v>
      </c>
      <c r="D1259" s="3">
        <v>1.0</v>
      </c>
    </row>
    <row r="1260" ht="15.75" customHeight="1">
      <c r="A1260" s="1">
        <v>1258.0</v>
      </c>
      <c r="B1260" s="3" t="s">
        <v>1261</v>
      </c>
      <c r="C1260" s="3" t="str">
        <f>IFERROR(__xludf.DUMMYFUNCTION("GOOGLETRANSLATE(B1260,""id"",""en"")"),"['Gini', 'Min', 'card', 'Package', 'TLP', 'Unlimited', 'skrg', 'unlimited', 'haze', 'network', 'full', 'ngelag', ' Good ',' min ']")</f>
        <v>['Gini', 'Min', 'card', 'Package', 'TLP', 'Unlimited', 'skrg', 'unlimited', 'haze', 'network', 'full', 'ngelag', ' Good ',' min ']</v>
      </c>
      <c r="D1260" s="3">
        <v>1.0</v>
      </c>
    </row>
    <row r="1261" ht="15.75" customHeight="1">
      <c r="A1261" s="1">
        <v>1259.0</v>
      </c>
      <c r="B1261" s="3" t="s">
        <v>1262</v>
      </c>
      <c r="C1261" s="3" t="str">
        <f>IFERROR(__xludf.DUMMYFUNCTION("GOOGLETRANSLATE(B1261,""id"",""en"")"),"['strange', 'date', 'clock', 'top', 'pulse', 'payment', 'lwt', 'shopee', 'entered', 'yesterday', 'check', 'check' Please, 'repaired', 'System']")</f>
        <v>['strange', 'date', 'clock', 'top', 'pulse', 'payment', 'lwt', 'shopee', 'entered', 'yesterday', 'check', 'check' Please, 'repaired', 'System']</v>
      </c>
      <c r="D1261" s="3">
        <v>5.0</v>
      </c>
    </row>
    <row r="1262" ht="15.75" customHeight="1">
      <c r="A1262" s="1">
        <v>1260.0</v>
      </c>
      <c r="B1262" s="3" t="s">
        <v>1263</v>
      </c>
      <c r="C1262" s="3" t="str">
        <f>IFERROR(__xludf.DUMMYFUNCTION("GOOGLETRANSLATE(B1262,""id"",""en"")"),"['network', 'Telkomsel', 'ugly', 'right', 'times',' buy ',' good ',' ugly ',' really ',' tower ',' home ',' tower ',' near ',' ugly ',' huh ',' poor ',' network ',' ugly ',' kuta ',' expensive ',' expensive ',' gpp ']")</f>
        <v>['network', 'Telkomsel', 'ugly', 'right', 'times',' buy ',' good ',' ugly ',' really ',' tower ',' home ',' tower ',' near ',' ugly ',' huh ',' poor ',' network ',' ugly ',' kuta ',' expensive ',' expensive ',' gpp ']</v>
      </c>
      <c r="D1262" s="3">
        <v>1.0</v>
      </c>
    </row>
    <row r="1263" ht="15.75" customHeight="1">
      <c r="A1263" s="1">
        <v>1261.0</v>
      </c>
      <c r="B1263" s="3" t="s">
        <v>1264</v>
      </c>
      <c r="C1263" s="3" t="str">
        <f>IFERROR(__xludf.DUMMYFUNCTION("GOOGLETRANSLATE(B1263,""id"",""en"")"),"['deterred', 'deh', 'message', 'promotion', 'unlimited', 'me', 'contents',' buy ',' responded ',' name ',' technique ',' marketing ',' Fraud ',' poor ', ""]")</f>
        <v>['deterred', 'deh', 'message', 'promotion', 'unlimited', 'me', 'contents',' buy ',' responded ',' name ',' technique ',' marketing ',' Fraud ',' poor ', "]</v>
      </c>
      <c r="D1263" s="3">
        <v>2.0</v>
      </c>
    </row>
    <row r="1264" ht="15.75" customHeight="1">
      <c r="A1264" s="1">
        <v>1262.0</v>
      </c>
      <c r="B1264" s="3" t="s">
        <v>1265</v>
      </c>
      <c r="C1264" s="3" t="str">
        <f>IFERROR(__xludf.DUMMYFUNCTION("GOOGLETRANSLATE(B1264,""id"",""en"")"),"['Please', 'fix', 'play', 'game', 'ping', 'stable', 'complain', 'wear', 'Telkomsel', 'complain', 'play', 'game', ' Stable ',' Okee ',' sosmed ',' smooth ',' game ',' rotk ',' ']")</f>
        <v>['Please', 'fix', 'play', 'game', 'ping', 'stable', 'complain', 'wear', 'Telkomsel', 'complain', 'play', 'game', ' Stable ',' Okee ',' sosmed ',' smooth ',' game ',' rotk ',' ']</v>
      </c>
      <c r="D1264" s="3">
        <v>3.0</v>
      </c>
    </row>
    <row r="1265" ht="15.75" customHeight="1">
      <c r="A1265" s="1">
        <v>1263.0</v>
      </c>
      <c r="B1265" s="3" t="s">
        <v>1266</v>
      </c>
      <c r="C1265" s="3" t="str">
        <f>IFERROR(__xludf.DUMMYFUNCTION("GOOGLETRANSLATE(B1265,""id"",""en"")"),"['Ngerti', 'Telkomsel', 'expensive', 'quality', 'signal', 'choice', 'already', 'according to', 'error', 'application', 'package', 'already', ' Bankrupt ',' Move ',' Provider ']")</f>
        <v>['Ngerti', 'Telkomsel', 'expensive', 'quality', 'signal', 'choice', 'already', 'according to', 'error', 'application', 'package', 'already', ' Bankrupt ',' Move ',' Provider ']</v>
      </c>
      <c r="D1265" s="3">
        <v>1.0</v>
      </c>
    </row>
    <row r="1266" ht="15.75" customHeight="1">
      <c r="A1266" s="1">
        <v>1264.0</v>
      </c>
      <c r="B1266" s="3" t="s">
        <v>1267</v>
      </c>
      <c r="C1266" s="3" t="str">
        <f>IFERROR(__xludf.DUMMYFUNCTION("GOOGLETRANSLATE(B1266,""id"",""en"")"),"['Damn', 'Telkomsel', 'buy', 'pulse', 'missing', 'thousand', 'on', 'data', 'tranksaksi', 'sincere', 'event', 'loyal', ' buy ',' Telkomsel ',' disappointed ',' buy ',' package ',' paid out ',' pulse ',' yanh ',' stolen ',' try ',' beg ',' deh ',' take ' , "&amp;"'pulses', 'people', 'careless', 'owe', 'Telkomsel', '']")</f>
        <v>['Damn', 'Telkomsel', 'buy', 'pulse', 'missing', 'thousand', 'on', 'data', 'tranksaksi', 'sincere', 'event', 'loyal', ' buy ',' Telkomsel ',' disappointed ',' buy ',' package ',' paid out ',' pulse ',' yanh ',' stolen ',' try ',' beg ',' deh ',' take ' , 'pulses', 'people', 'careless', 'owe', 'Telkomsel', '']</v>
      </c>
      <c r="D1266" s="3">
        <v>1.0</v>
      </c>
    </row>
    <row r="1267" ht="15.75" customHeight="1">
      <c r="A1267" s="1">
        <v>1265.0</v>
      </c>
      <c r="B1267" s="3" t="s">
        <v>1268</v>
      </c>
      <c r="C1267" s="3" t="str">
        <f>IFERROR(__xludf.DUMMYFUNCTION("GOOGLETRANSLATE(B1267,""id"",""en"")"),"['oath', 'regret', 'buy', 'card', 'Telkomsel', 'signal', 'easy', 'disorder', 'really', 'ngejai', 'task', 'test', ' disruption ',' sampek ',' late ',' ngmpul ',' notn ',' youtube ',' likes', 'disorder', 'because', 'gara', 'signal', 'Telkomsel', 'like' , 'l"&amp;"ive', 'mode', 'peswat', 'eager', 'ngk', 'disorder', 'disorder', 's,' really ',' ']")</f>
        <v>['oath', 'regret', 'buy', 'card', 'Telkomsel', 'signal', 'easy', 'disorder', 'really', 'ngejai', 'task', 'test', ' disruption ',' sampek ',' late ',' ngmpul ',' notn ',' youtube ',' likes', 'disorder', 'because', 'gara', 'signal', 'Telkomsel', 'like' , 'live', 'mode', 'peswat', 'eager', 'ngk', 'disorder', 'disorder', 's,' really ',' ']</v>
      </c>
      <c r="D1267" s="3">
        <v>1.0</v>
      </c>
    </row>
    <row r="1268" ht="15.75" customHeight="1">
      <c r="A1268" s="1">
        <v>1266.0</v>
      </c>
      <c r="B1268" s="3" t="s">
        <v>1269</v>
      </c>
      <c r="C1268" s="3" t="str">
        <f>IFERROR(__xludf.DUMMYFUNCTION("GOOGLETRANSLATE(B1268,""id"",""en"")"),"['Hadewhh', 'Telkomsel', 'quota', 'abis',' excuse me ',' leftover ',' pulse ',' sucked ',' provider ',' the network ',' widest ',' Telkomsel ',' Change ',' Operator ',' ']")</f>
        <v>['Hadewhh', 'Telkomsel', 'quota', 'abis',' excuse me ',' leftover ',' pulse ',' sucked ',' provider ',' the network ',' widest ',' Telkomsel ',' Change ',' Operator ',' ']</v>
      </c>
      <c r="D1268" s="3">
        <v>2.0</v>
      </c>
    </row>
    <row r="1269" ht="15.75" customHeight="1">
      <c r="A1269" s="1">
        <v>1267.0</v>
      </c>
      <c r="B1269" s="3" t="s">
        <v>1270</v>
      </c>
      <c r="C1269" s="3" t="str">
        <f>IFERROR(__xludf.DUMMYFUNCTION("GOOGLETRANSLATE(B1269,""id"",""en"")"),"['Critics', 'Gini', 'The story', 'pulse', 'contents', 'disappears', 'that's', 'valuableaaa', 'original', 'what', 'ilang', ""]")</f>
        <v>['Critics', 'Gini', 'The story', 'pulse', 'contents', 'disappears', 'that's', 'valuableaaa', 'original', 'what', 'ilang', "]</v>
      </c>
      <c r="D1269" s="3">
        <v>2.0</v>
      </c>
    </row>
    <row r="1270" ht="15.75" customHeight="1">
      <c r="A1270" s="1">
        <v>1268.0</v>
      </c>
      <c r="B1270" s="3" t="s">
        <v>1271</v>
      </c>
      <c r="C1270" s="3" t="str">
        <f>IFERROR(__xludf.DUMMYFUNCTION("GOOGLETRANSLATE(B1270,""id"",""en"")"),"['Please', 'Min', 'Choose', 'Love', 'Different', 'Nomer', 'Different', 'Price', 'Package', 'Data', 'Telkomsel', 'Menu', ' Package ',' Data ',' Different ',' Different ',' Hadech ', ""]")</f>
        <v>['Please', 'Min', 'Choose', 'Love', 'Different', 'Nomer', 'Different', 'Price', 'Package', 'Data', 'Telkomsel', 'Menu', ' Package ',' Data ',' Different ',' Different ',' Hadech ', "]</v>
      </c>
      <c r="D1270" s="3">
        <v>3.0</v>
      </c>
    </row>
    <row r="1271" ht="15.75" customHeight="1">
      <c r="A1271" s="1">
        <v>1269.0</v>
      </c>
      <c r="B1271" s="3" t="s">
        <v>1272</v>
      </c>
      <c r="C1271" s="3" t="str">
        <f>IFERROR(__xludf.DUMMYFUNCTION("GOOGLETRANSLATE(B1271,""id"",""en"")"),"['meal', 'money', 'Haram', 'Tlkomsel', 'Package', 'I', 'KNPA', 'appears',' Notif ',' Package ',' loan ',' Sampe ',' dozens', 'smpe', 'smpe', 'push', 'buy', 'cave', 'taiik', 'signal', 'taik', ""]")</f>
        <v>['meal', 'money', 'Haram', 'Tlkomsel', 'Package', 'I', 'KNPA', 'appears',' Notif ',' Package ',' loan ',' Sampe ',' dozens', 'smpe', 'smpe', 'push', 'buy', 'cave', 'taiik', 'signal', 'taik', "]</v>
      </c>
      <c r="D1271" s="3">
        <v>1.0</v>
      </c>
    </row>
    <row r="1272" ht="15.75" customHeight="1">
      <c r="A1272" s="1">
        <v>1270.0</v>
      </c>
      <c r="B1272" s="3" t="s">
        <v>1273</v>
      </c>
      <c r="C1272" s="3" t="str">
        <f>IFERROR(__xludf.DUMMYFUNCTION("GOOGLETRANSLATE(B1272,""id"",""en"")"),"['signal', 'stable', 'comfortable', 'Nge', 'game', 'AFK', 'Gara', 'Gara', 'signal', 'stable', 'Please', 'fix', ' Services', 'network', 'signal', 'strong', 'user', 'comfortable', 'thank', 'love']")</f>
        <v>['signal', 'stable', 'comfortable', 'Nge', 'game', 'AFK', 'Gara', 'Gara', 'signal', 'stable', 'Please', 'fix', ' Services', 'network', 'signal', 'strong', 'user', 'comfortable', 'thank', 'love']</v>
      </c>
      <c r="D1272" s="3">
        <v>1.0</v>
      </c>
    </row>
    <row r="1273" ht="15.75" customHeight="1">
      <c r="A1273" s="1">
        <v>1271.0</v>
      </c>
      <c r="B1273" s="3" t="s">
        <v>1274</v>
      </c>
      <c r="C1273" s="3" t="str">
        <f>IFERROR(__xludf.DUMMYFUNCTION("GOOGLETRANSLATE(B1273,""id"",""en"")"),"['', 'already', 'understand', 'Telkomsel', 'skrng', 'card', 'sympathy', 'signal', 'area', 'home', 'signal', 'sympathy', 'husband ',' Not bad ',' smooth ',' try ',' repaired ',' signal ']")</f>
        <v>['', 'already', 'understand', 'Telkomsel', 'skrng', 'card', 'sympathy', 'signal', 'area', 'home', 'signal', 'sympathy', 'husband ',' Not bad ',' smooth ',' try ',' repaired ',' signal ']</v>
      </c>
      <c r="D1273" s="3">
        <v>1.0</v>
      </c>
    </row>
    <row r="1274" ht="15.75" customHeight="1">
      <c r="A1274" s="1">
        <v>1272.0</v>
      </c>
      <c r="B1274" s="3" t="s">
        <v>1275</v>
      </c>
      <c r="C1274" s="3" t="str">
        <f>IFERROR(__xludf.DUMMYFUNCTION("GOOGLETRANSLATE(B1274,""id"",""en"")"),"['Come on', 'Telkomsel', 'the widest', 'the fastest', 'signal', 'no', 'stable', 'bad', 'buy', 'package', 'expensive', 'provider', ' Jatoh ',' smooth ',' in place ',' no ',' intention ',' sell ',' mending ',' closed ',' Telkomsel ', ""]")</f>
        <v>['Come on', 'Telkomsel', 'the widest', 'the fastest', 'signal', 'no', 'stable', 'bad', 'buy', 'package', 'expensive', 'provider', ' Jatoh ',' smooth ',' in place ',' no ',' intention ',' sell ',' mending ',' closed ',' Telkomsel ', "]</v>
      </c>
      <c r="D1274" s="3">
        <v>1.0</v>
      </c>
    </row>
    <row r="1275" ht="15.75" customHeight="1">
      <c r="A1275" s="1">
        <v>1273.0</v>
      </c>
      <c r="B1275" s="3" t="s">
        <v>1276</v>
      </c>
      <c r="C1275" s="3" t="str">
        <f>IFERROR(__xludf.DUMMYFUNCTION("GOOGLETRANSLATE(B1275,""id"",""en"")"),"['Try', 'Network', 'Bad', 'Match', 'Live', 'Stopped', 'Penalty', ""]")</f>
        <v>['Try', 'Network', 'Bad', 'Match', 'Live', 'Stopped', 'Penalty', "]</v>
      </c>
      <c r="D1275" s="3">
        <v>1.0</v>
      </c>
    </row>
    <row r="1276" ht="15.75" customHeight="1">
      <c r="A1276" s="1">
        <v>1274.0</v>
      </c>
      <c r="B1276" s="3" t="s">
        <v>1277</v>
      </c>
      <c r="C1276" s="3" t="str">
        <f>IFERROR(__xludf.DUMMYFUNCTION("GOOGLETRANSLATE(B1276,""id"",""en"")"),"['Quality', 'signal', 'NOT', 'BAD', 'SALE', 'CUSTOMER', 'FAITH', 'HOPE', 'Improved', 'Quality', 'Signal', 'as soon as possible,' ']")</f>
        <v>['Quality', 'signal', 'NOT', 'BAD', 'SALE', 'CUSTOMER', 'FAITH', 'HOPE', 'Improved', 'Quality', 'Signal', 'as soon as possible,' ']</v>
      </c>
      <c r="D1276" s="3">
        <v>1.0</v>
      </c>
    </row>
    <row r="1277" ht="15.75" customHeight="1">
      <c r="A1277" s="1">
        <v>1275.0</v>
      </c>
      <c r="B1277" s="3" t="s">
        <v>1278</v>
      </c>
      <c r="C1277" s="3" t="str">
        <f>IFERROR(__xludf.DUMMYFUNCTION("GOOGLETRANSLATE(B1277,""id"",""en"")"),"['Yap', 'Good', 'Season', 'Pas',' Redeem ',' Results', 'Check', 'GB', 'Redeem', 'Gabisa', 'Dipake', 'Gada', ' enter']")</f>
        <v>['Yap', 'Good', 'Season', 'Pas',' Redeem ',' Results', 'Check', 'GB', 'Redeem', 'Gabisa', 'Dipake', 'Gada', ' enter']</v>
      </c>
      <c r="D1277" s="3">
        <v>3.0</v>
      </c>
    </row>
    <row r="1278" ht="15.75" customHeight="1">
      <c r="A1278" s="1">
        <v>1276.0</v>
      </c>
      <c r="B1278" s="3" t="s">
        <v>1279</v>
      </c>
      <c r="C1278" s="3" t="str">
        <f>IFERROR(__xludf.DUMMYFUNCTION("GOOGLETRANSLATE(B1278,""id"",""en"")"),"['network', 'Telkomsel', 'disappointing', 'buy', 'package', 'expensive', 'expensive', 'network', 'ugly', 'wherever', 'strategy', 'marketing', ' Telkomsel ',' great ',' ']")</f>
        <v>['network', 'Telkomsel', 'disappointing', 'buy', 'package', 'expensive', 'expensive', 'network', 'ugly', 'wherever', 'strategy', 'marketing', ' Telkomsel ',' great ',' ']</v>
      </c>
      <c r="D1278" s="3">
        <v>1.0</v>
      </c>
    </row>
    <row r="1279" ht="15.75" customHeight="1">
      <c r="A1279" s="1">
        <v>1277.0</v>
      </c>
      <c r="B1279" s="3" t="s">
        <v>1280</v>
      </c>
      <c r="C1279" s="3" t="str">
        <f>IFERROR(__xludf.DUMMYFUNCTION("GOOGLETRANSLATE(B1279,""id"",""en"")"),"['network', 'browsing', 'slow', 'how', 'Telkomsel', 'quality', 'network', 'internet', 'ugly', 'really', 'speed', 'network', ' KB ',' ']")</f>
        <v>['network', 'browsing', 'slow', 'how', 'Telkomsel', 'quality', 'network', 'internet', 'ugly', 'really', 'speed', 'network', ' KB ',' ']</v>
      </c>
      <c r="D1279" s="3">
        <v>1.0</v>
      </c>
    </row>
    <row r="1280" ht="15.75" customHeight="1">
      <c r="A1280" s="1">
        <v>1278.0</v>
      </c>
      <c r="B1280" s="3" t="s">
        <v>1281</v>
      </c>
      <c r="C1280" s="3" t="str">
        <f>IFERROR(__xludf.DUMMYFUNCTION("GOOGLETRANSLATE(B1280,""id"",""en"")"),"['Telkomsel', 'Disappointed', 'Credit', 'Package', 'Telephon', 'Please', 'Enlightenment', 'Telkomsel', ""]")</f>
        <v>['Telkomsel', 'Disappointed', 'Credit', 'Package', 'Telephon', 'Please', 'Enlightenment', 'Telkomsel', "]</v>
      </c>
      <c r="D1280" s="3">
        <v>1.0</v>
      </c>
    </row>
    <row r="1281" ht="15.75" customHeight="1">
      <c r="A1281" s="1">
        <v>1279.0</v>
      </c>
      <c r="B1281" s="3" t="s">
        <v>1282</v>
      </c>
      <c r="C1281" s="3" t="str">
        <f>IFERROR(__xludf.DUMMYFUNCTION("GOOGLETRANSLATE(B1281,""id"",""en"")"),"['Can', 'Internet', 'GB', 'Daily', 'Check', 'Gara', 'Gara', 'Point', 'Contents',' Credit ',' Rb ',' Kasi ',' Point ',' Pay ',' Claims', 'Gift', 'Gara', 'Point', 'HHHHH', '']")</f>
        <v>['Can', 'Internet', 'GB', 'Daily', 'Check', 'Gara', 'Gara', 'Point', 'Contents',' Credit ',' Rb ',' Kasi ',' Point ',' Pay ',' Claims', 'Gift', 'Gara', 'Point', 'HHHHH', '']</v>
      </c>
      <c r="D1281" s="3">
        <v>1.0</v>
      </c>
    </row>
    <row r="1282" ht="15.75" customHeight="1">
      <c r="A1282" s="1">
        <v>1280.0</v>
      </c>
      <c r="B1282" s="3" t="s">
        <v>1283</v>
      </c>
      <c r="C1282" s="3" t="str">
        <f>IFERROR(__xludf.DUMMYFUNCTION("GOOGLETRANSLATE(B1282,""id"",""en"")"),"['users',' Telkomsel ',' package ',' internet ',' package ',' internet ',' run out ',' pulses', 'main', 'run out', 'Telkomsel', 'protest', ' Murah ',' heart ',' fight ',' family ',' Gara ',' pulse ',' main ',' out ',' Gara ',' Gara ',' inedible ',' run ou"&amp;"t ',' package ' , 'Internet', 'please', 'pay attention', 'Telkomsel', 'open', 'heart', ""]")</f>
        <v>['users',' Telkomsel ',' package ',' internet ',' package ',' internet ',' run out ',' pulses', 'main', 'run out', 'Telkomsel', 'protest', ' Murah ',' heart ',' fight ',' family ',' Gara ',' pulse ',' main ',' out ',' Gara ',' Gara ',' inedible ',' run out ',' package ' , 'Internet', 'please', 'pay attention', 'Telkomsel', 'open', 'heart', "]</v>
      </c>
      <c r="D1282" s="3">
        <v>1.0</v>
      </c>
    </row>
    <row r="1283" ht="15.75" customHeight="1">
      <c r="A1283" s="1">
        <v>1281.0</v>
      </c>
      <c r="B1283" s="3" t="s">
        <v>1284</v>
      </c>
      <c r="C1283" s="3" t="str">
        <f>IFERROR(__xludf.DUMMYFUNCTION("GOOGLETRANSLATE(B1283,""id"",""en"")"),"['Sorry', 'love', 'star', 'treatment', 'fun', 'package', 'data', 'buy', 'notification', 'active', 'data', 'turn on', ' pulses', 'taken', 'run out', 'hope', 'via', 'Telkomsel', 'responsible', 'serving', 'customers',' thank you ']")</f>
        <v>['Sorry', 'love', 'star', 'treatment', 'fun', 'package', 'data', 'buy', 'notification', 'active', 'data', 'turn on', ' pulses', 'taken', 'run out', 'hope', 'via', 'Telkomsel', 'responsible', 'serving', 'customers',' thank you ']</v>
      </c>
      <c r="D1283" s="3">
        <v>1.0</v>
      </c>
    </row>
    <row r="1284" ht="15.75" customHeight="1">
      <c r="A1284" s="1">
        <v>1282.0</v>
      </c>
      <c r="B1284" s="3" t="s">
        <v>1285</v>
      </c>
      <c r="C1284" s="3" t="str">
        <f>IFERROR(__xludf.DUMMYFUNCTION("GOOGLETRANSLATE(B1284,""id"",""en"")"),"['price', 'package', 'expensive', 'signal', 'ilang', 'dead', 'lights',' signal ',' directly ',' ilang ',' Ujan ',' a little ',' signal ',' down ',' poor ',' according to ',' price ', ""]")</f>
        <v>['price', 'package', 'expensive', 'signal', 'ilang', 'dead', 'lights',' signal ',' directly ',' ilang ',' Ujan ',' a little ',' signal ',' down ',' poor ',' according to ',' price ', "]</v>
      </c>
      <c r="D1284" s="3">
        <v>1.0</v>
      </c>
    </row>
    <row r="1285" ht="15.75" customHeight="1">
      <c r="A1285" s="1">
        <v>1283.0</v>
      </c>
      <c r="B1285" s="3" t="s">
        <v>1286</v>
      </c>
      <c r="C1285" s="3" t="str">
        <f>IFERROR(__xludf.DUMMYFUNCTION("GOOGLETRANSLATE(B1285,""id"",""en"")"),"['disappointing', 'network', 'stable', 'like', 'missing', 'connection', 'disappointed', 'job', 'delayed', 'send', 'network']")</f>
        <v>['disappointing', 'network', 'stable', 'like', 'missing', 'connection', 'disappointed', 'job', 'delayed', 'send', 'network']</v>
      </c>
      <c r="D1285" s="3">
        <v>1.0</v>
      </c>
    </row>
    <row r="1286" ht="15.75" customHeight="1">
      <c r="A1286" s="1">
        <v>1284.0</v>
      </c>
      <c r="B1286" s="3" t="s">
        <v>1287</v>
      </c>
      <c r="C1286" s="3" t="str">
        <f>IFERROR(__xludf.DUMMYFUNCTION("GOOGLETRANSLATE(B1286,""id"",""en"")"),"['right', 'buy', 'already', 'restat', 'already', 'check', 'tissue', 'tetep', 'canaaaaaaa', 'woyyyyyyy', 'love', 'solution', ' Woyyyy ']")</f>
        <v>['right', 'buy', 'already', 'restat', 'already', 'check', 'tissue', 'tetep', 'canaaaaaaa', 'woyyyyyyy', 'love', 'solution', ' Woyyyy ']</v>
      </c>
      <c r="D1286" s="3">
        <v>1.0</v>
      </c>
    </row>
    <row r="1287" ht="15.75" customHeight="1">
      <c r="A1287" s="1">
        <v>1285.0</v>
      </c>
      <c r="B1287" s="3" t="s">
        <v>1288</v>
      </c>
      <c r="C1287" s="3" t="str">
        <f>IFERROR(__xludf.DUMMYFUNCTION("GOOGLETRANSLATE(B1287,""id"",""en"")"),"['', 'Reduce', 'Rating', 'Application', 'Telkomsel', 'Rada', 'Ribet', 'Application', 'Like', 'Session', 'Out', 'Enter', 'Fill ',' number ',' SMS ',' enter ',' told ',' enter ',' Link ',' right ',' click ',' appears', 'ad', 'indepected', 'appears', 'Advert"&amp;"ising', 'Uncomfortable', 'Purpose', 'Enter', 'Link', 'Telkomsel', 'Telkoms', 'Lnya', 'No', 'appears', 'appears', 'Ad', "" ]")</f>
        <v>['', 'Reduce', 'Rating', 'Application', 'Telkomsel', 'Rada', 'Ribet', 'Application', 'Like', 'Session', 'Out', 'Enter', 'Fill ',' number ',' SMS ',' enter ',' told ',' enter ',' Link ',' right ',' click ',' appears', 'ad', 'indepected', 'appears', 'Advertising', 'Uncomfortable', 'Purpose', 'Enter', 'Link', 'Telkomsel', 'Telkoms', 'Lnya', 'No', 'appears', 'appears', 'Ad', " ]</v>
      </c>
      <c r="D1287" s="3">
        <v>3.0</v>
      </c>
    </row>
    <row r="1288" ht="15.75" customHeight="1">
      <c r="A1288" s="1">
        <v>1286.0</v>
      </c>
      <c r="B1288" s="3" t="s">
        <v>1289</v>
      </c>
      <c r="C1288" s="3" t="str">
        <f>IFERROR(__xludf.DUMMYFUNCTION("GOOGLETRANSLATE(B1288,""id"",""en"")"),"['Sorry', 'MyTelkomsel', 'Credit', 'Contents',' Pointed ',' Minutes', 'Out', 'Credit', 'Paketan', 'A Week', 'Times',' Yesterday ',' finished ',' Severe ',' I mean ',' Telkomsel ',' Really ',' Disappointed ',' ']")</f>
        <v>['Sorry', 'MyTelkomsel', 'Credit', 'Contents',' Pointed ',' Minutes', 'Out', 'Credit', 'Paketan', 'A Week', 'Times',' Yesterday ',' finished ',' Severe ',' I mean ',' Telkomsel ',' Really ',' Disappointed ',' ']</v>
      </c>
      <c r="D1288" s="3">
        <v>5.0</v>
      </c>
    </row>
    <row r="1289" ht="15.75" customHeight="1">
      <c r="A1289" s="1">
        <v>1287.0</v>
      </c>
      <c r="B1289" s="3" t="s">
        <v>1290</v>
      </c>
      <c r="C1289" s="3" t="str">
        <f>IFERROR(__xludf.DUMMYFUNCTION("GOOGLETRANSLATE(B1289,""id"",""en"")"),"['Package', 'cheerful', 'printed', 'Dasbord', 'Activate', 'System', 'Busy', 'Cana', 'Active', 'Eliminate', 'Dashboard', 'Telkomsel', ' ']")</f>
        <v>['Package', 'cheerful', 'printed', 'Dasbord', 'Activate', 'System', 'Busy', 'Cana', 'Active', 'Eliminate', 'Dashboard', 'Telkomsel', ' ']</v>
      </c>
      <c r="D1289" s="3">
        <v>1.0</v>
      </c>
    </row>
    <row r="1290" ht="15.75" customHeight="1">
      <c r="A1290" s="1">
        <v>1288.0</v>
      </c>
      <c r="B1290" s="3" t="s">
        <v>1291</v>
      </c>
      <c r="C1290" s="3" t="str">
        <f>IFERROR(__xludf.DUMMYFUNCTION("GOOGLETRANSLATE(B1290,""id"",""en"")"),"['Bintng', 'Feel', 'Hadia', 'Telkomsel', 'Points', 'Out', 'Sia', 'Kah', 'Points', 'Donwlod', 'Application "",' Switch ',' Stupid ',' Lucky ',' Buntung ',' Screen ',' Full ',' Applikasih ',' Benara ',' Kaaaaan ', ""]")</f>
        <v>['Bintng', 'Feel', 'Hadia', 'Telkomsel', 'Points', 'Out', 'Sia', 'Kah', 'Points', 'Donwlod', 'Application ",' Switch ',' Stupid ',' Lucky ',' Buntung ',' Screen ',' Full ',' Applikasih ',' Benara ',' Kaaaaan ', "]</v>
      </c>
      <c r="D1290" s="3">
        <v>1.0</v>
      </c>
    </row>
    <row r="1291" ht="15.75" customHeight="1">
      <c r="A1291" s="1">
        <v>1289.0</v>
      </c>
      <c r="B1291" s="3" t="s">
        <v>1292</v>
      </c>
      <c r="C1291" s="3" t="str">
        <f>IFERROR(__xludf.DUMMYFUNCTION("GOOGLETRANSLATE(B1291,""id"",""en"")"),"['Severe', 'contents',' credit ',' ilang ',' pdhal ',' put together ',' MyTelkomsel ',' Severe ',' Tuker ',' Points', 'Stamp', 'SMS', ' Success', 'Redeeem', 'Cut', 'Credit', 'Bonus',' Package ',' Data ',' Enter ',' Alias', 'Zonk', 'Season', 'Package', 'Ou"&amp;"t' , 'Pulse', 'main', 'direct', 'devour', 'strange', 'wasteful']")</f>
        <v>['Severe', 'contents',' credit ',' ilang ',' pdhal ',' put together ',' MyTelkomsel ',' Severe ',' Tuker ',' Points', 'Stamp', 'SMS', ' Success', 'Redeeem', 'Cut', 'Credit', 'Bonus',' Package ',' Data ',' Enter ',' Alias', 'Zonk', 'Season', 'Package', 'Out' , 'Pulse', 'main', 'direct', 'devour', 'strange', 'wasteful']</v>
      </c>
      <c r="D1291" s="3">
        <v>1.0</v>
      </c>
    </row>
    <row r="1292" ht="15.75" customHeight="1">
      <c r="A1292" s="1">
        <v>1290.0</v>
      </c>
      <c r="B1292" s="3" t="s">
        <v>1293</v>
      </c>
      <c r="C1292" s="3" t="str">
        <f>IFERROR(__xludf.DUMMYFUNCTION("GOOGLETRANSLATE(B1292,""id"",""en"")"),"['Signal', 'Telkomsel', 'Useful', 'High School', 'Open', 'Want', 'Operator', 'Region', 'Like', 'People', 'Telkomsel', 'Signal', ' stealth ',' ']")</f>
        <v>['Signal', 'Telkomsel', 'Useful', 'High School', 'Open', 'Want', 'Operator', 'Region', 'Like', 'People', 'Telkomsel', 'Signal', ' stealth ',' ']</v>
      </c>
      <c r="D1292" s="3">
        <v>1.0</v>
      </c>
    </row>
    <row r="1293" ht="15.75" customHeight="1">
      <c r="A1293" s="1">
        <v>1291.0</v>
      </c>
      <c r="B1293" s="3" t="s">
        <v>1294</v>
      </c>
      <c r="C1293" s="3" t="str">
        <f>IFERROR(__xludf.DUMMYFUNCTION("GOOGLETRANSLATE(B1293,""id"",""en"")"),"['Try', 'repaired', 'The application', 'then', 'Change', 'System', 'APK', 'Nyedot', 'Quota', 'Mulu', 'APK', 'Kek', ' Ovo ',' that's', 'then', 'Please', 'repaired', 'Feature', 'Refresh', 'already', 'APK', 'slow', 'refresh', 'error', 'gini' , 'Application',"&amp;" 'Artificial', 'Indo', 'Disappointing', 'Slalu', 'Inedible', 'Doctrine', 'Appreciate', 'Works',' Child ',' Nation ',' Ato ',' Love ',' products', 'Indonesia', 'artificial', 'deficiencies',' kek ',' gini ',' right ',' update ',' bnyak ',' change ',' hadeh "&amp;"']")</f>
        <v>['Try', 'repaired', 'The application', 'then', 'Change', 'System', 'APK', 'Nyedot', 'Quota', 'Mulu', 'APK', 'Kek', ' Ovo ',' that's', 'then', 'Please', 'repaired', 'Feature', 'Refresh', 'already', 'APK', 'slow', 'refresh', 'error', 'gini' , 'Application', 'Artificial', 'Indo', 'Disappointing', 'Slalu', 'Inedible', 'Doctrine', 'Appreciate', 'Works',' Child ',' Nation ',' Ato ',' Love ',' products', 'Indonesia', 'artificial', 'deficiencies',' kek ',' gini ',' right ',' update ',' bnyak ',' change ',' hadeh ']</v>
      </c>
      <c r="D1293" s="3">
        <v>1.0</v>
      </c>
    </row>
    <row r="1294" ht="15.75" customHeight="1">
      <c r="A1294" s="1">
        <v>1292.0</v>
      </c>
      <c r="B1294" s="3" t="s">
        <v>1295</v>
      </c>
      <c r="C1294" s="3" t="str">
        <f>IFERROR(__xludf.DUMMYFUNCTION("GOOGLETRANSLATE(B1294,""id"",""en"")"),"['Decide', 'use', 'application', 'comfortable', 'use', 'login', 'use it', 'original', 'disappointed']")</f>
        <v>['Decide', 'use', 'application', 'comfortable', 'use', 'login', 'use it', 'original', 'disappointed']</v>
      </c>
      <c r="D1294" s="3">
        <v>1.0</v>
      </c>
    </row>
    <row r="1295" ht="15.75" customHeight="1">
      <c r="A1295" s="1">
        <v>1293.0</v>
      </c>
      <c r="B1295" s="3" t="s">
        <v>1296</v>
      </c>
      <c r="C1295" s="3" t="str">
        <f>IFERROR(__xludf.DUMMYFUNCTION("GOOGLETRANSLATE(B1295,""id"",""en"")"),"['network', 'Telkomsel', 'deteriorating', 'buy', 'package', 'data', 'expensive', 'network', 'adequate', 'Please', 'repair', ""]")</f>
        <v>['network', 'Telkomsel', 'deteriorating', 'buy', 'package', 'data', 'expensive', 'network', 'adequate', 'Please', 'repair', "]</v>
      </c>
      <c r="D1295" s="3">
        <v>2.0</v>
      </c>
    </row>
    <row r="1296" ht="15.75" customHeight="1">
      <c r="A1296" s="1">
        <v>1294.0</v>
      </c>
      <c r="B1296" s="3" t="s">
        <v>1297</v>
      </c>
      <c r="C1296" s="3" t="str">
        <f>IFERROR(__xludf.DUMMYFUNCTION("GOOGLETRANSLATE(B1296,""id"",""en"")"),"['Ngeleq', 'ngeleq', 'network', 'Telkomsel', 'expensive', 'kli', 'please', 'price', 'expensive', 'can', 'quota', 'dri', ' Ministry of Education and Culture ',' Mabar ',' Indosat ',' Cheap ',' mabar ',' Please ',' Kek ']")</f>
        <v>['Ngeleq', 'ngeleq', 'network', 'Telkomsel', 'expensive', 'kli', 'please', 'price', 'expensive', 'can', 'quota', 'dri', ' Ministry of Education and Culture ',' Mabar ',' Indosat ',' Cheap ',' mabar ',' Please ',' Kek ']</v>
      </c>
      <c r="D1296" s="3">
        <v>1.0</v>
      </c>
    </row>
    <row r="1297" ht="15.75" customHeight="1">
      <c r="A1297" s="1">
        <v>1295.0</v>
      </c>
      <c r="B1297" s="3" t="s">
        <v>1298</v>
      </c>
      <c r="C1297" s="3" t="str">
        <f>IFERROR(__xludf.DUMMYFUNCTION("GOOGLETRANSLATE(B1297,""id"",""en"")"),"['application', 'good', 'network', 'Telkomsel', 'smooth', 'aka', 'slow', 'performance', 'network', 'labile', 'user', 'get', ' Satisfaction ',' smooth ',' Network ',' Telkomsel ',' Region ',' Indonesia ',' City ',' Current ',' Village ',' wkwkwkwwhahaaaa '"&amp;",' ']")</f>
        <v>['application', 'good', 'network', 'Telkomsel', 'smooth', 'aka', 'slow', 'performance', 'network', 'labile', 'user', 'get', ' Satisfaction ',' smooth ',' Network ',' Telkomsel ',' Region ',' Indonesia ',' City ',' Current ',' Village ',' wkwkwkwwhahaaaa ',' ']</v>
      </c>
      <c r="D1297" s="3">
        <v>1.0</v>
      </c>
    </row>
    <row r="1298" ht="15.75" customHeight="1">
      <c r="A1298" s="1">
        <v>1296.0</v>
      </c>
      <c r="B1298" s="3" t="s">
        <v>1299</v>
      </c>
      <c r="C1298" s="3" t="str">
        <f>IFERROR(__xludf.DUMMYFUNCTION("GOOGLETRANSLATE(B1298,""id"",""en"")"),"['', 'customers',' loyal ',' Telkomsel ',' network ',' Telkomsel ',' like ',' corrupt ',' pulses', 'mnding', 'switch', 'provider', 'network ',' Kyk ',' Saranine ',' use ',' Telkomsel ',' Ryesel ',' Mnding ',' Provider ',' Next to ',' Tipu ', ""]")</f>
        <v>['', 'customers',' loyal ',' Telkomsel ',' network ',' Telkomsel ',' like ',' corrupt ',' pulses', 'mnding', 'switch', 'provider', 'network ',' Kyk ',' Saranine ',' use ',' Telkomsel ',' Ryesel ',' Mnding ',' Provider ',' Next to ',' Tipu ', "]</v>
      </c>
      <c r="D1298" s="3">
        <v>1.0</v>
      </c>
    </row>
    <row r="1299" ht="15.75" customHeight="1">
      <c r="A1299" s="1">
        <v>1297.0</v>
      </c>
      <c r="B1299" s="3" t="s">
        <v>1300</v>
      </c>
      <c r="C1299" s="3" t="str">
        <f>IFERROR(__xludf.DUMMYFUNCTION("GOOGLETRANSLATE(B1299,""id"",""en"")"),"['signal', 'Telkomsel', 'poor', 'poor', 'quota', 'unlimited', 'udh', 'signal', 'bapuk', 'disappointed', 'really', 'subscribe', ' Telkomsel ',' Telkomsel ',' signal ',' good ',' now ',' poor ',' do ',' manual ',' automatic ',' signal ',' ORDER ']")</f>
        <v>['signal', 'Telkomsel', 'poor', 'poor', 'quota', 'unlimited', 'udh', 'signal', 'bapuk', 'disappointed', 'really', 'subscribe', ' Telkomsel ',' Telkomsel ',' signal ',' good ',' now ',' poor ',' do ',' manual ',' automatic ',' signal ',' ORDER ']</v>
      </c>
      <c r="D1299" s="3">
        <v>1.0</v>
      </c>
    </row>
    <row r="1300" ht="15.75" customHeight="1">
      <c r="A1300" s="1">
        <v>1298.0</v>
      </c>
      <c r="B1300" s="3" t="s">
        <v>1301</v>
      </c>
      <c r="C1300" s="3" t="str">
        <f>IFERROR(__xludf.DUMMYFUNCTION("GOOGLETRANSLATE(B1300,""id"",""en"")"),"['Telkomsel', 'severe', 'signal', 'village', 'in the city', 'signal', 'taste', 'remote', 'forest', 'ngegame', 'ngelag', 'mercy', ' quota ',' fulll ',' download ',' speed ',' compared ',' provider ',' next door ',' speed ',' sampe ',' mbps']")</f>
        <v>['Telkomsel', 'severe', 'signal', 'village', 'in the city', 'signal', 'taste', 'remote', 'forest', 'ngegame', 'ngelag', 'mercy', ' quota ',' fulll ',' download ',' speed ',' compared ',' provider ',' next door ',' speed ',' sampe ',' mbps']</v>
      </c>
      <c r="D1300" s="3">
        <v>1.0</v>
      </c>
    </row>
    <row r="1301" ht="15.75" customHeight="1">
      <c r="A1301" s="1">
        <v>1299.0</v>
      </c>
      <c r="B1301" s="3" t="s">
        <v>1302</v>
      </c>
      <c r="C1301" s="3" t="str">
        <f>IFERROR(__xludf.DUMMYFUNCTION("GOOGLETRANSLATE(B1301,""id"",""en"")"),"['Lemoooott', 'forgiveness', 'forgiveness', 'update', 'mulu', 'slow', 'already', 'expensive', 'price', 'lemooot', 'quality', 'according to' price ',' nihh ',' loss', 'price', 'quality']")</f>
        <v>['Lemoooott', 'forgiveness', 'forgiveness', 'update', 'mulu', 'slow', 'already', 'expensive', 'price', 'lemooot', 'quality', 'according to' price ',' nihh ',' loss', 'price', 'quality']</v>
      </c>
      <c r="D1301" s="3">
        <v>1.0</v>
      </c>
    </row>
    <row r="1302" ht="15.75" customHeight="1">
      <c r="A1302" s="1">
        <v>1300.0</v>
      </c>
      <c r="B1302" s="3" t="s">
        <v>1303</v>
      </c>
      <c r="C1302" s="3" t="str">
        <f>IFERROR(__xludf.DUMMYFUNCTION("GOOGLETRANSLATE(B1302,""id"",""en"")"),"['Network', 'ugly', 'really', 'then', 'gave', 'promo', 'right', 'buy', 'told', 'download', 'Telkomsel', 'Tetep', ' Disappointed ',' make ',' card ',' already ',' yr ', ""]")</f>
        <v>['Network', 'ugly', 'really', 'then', 'gave', 'promo', 'right', 'buy', 'told', 'download', 'Telkomsel', 'Tetep', ' Disappointed ',' make ',' card ',' already ',' yr ', "]</v>
      </c>
      <c r="D1302" s="3">
        <v>1.0</v>
      </c>
    </row>
    <row r="1303" ht="15.75" customHeight="1">
      <c r="A1303" s="1">
        <v>1301.0</v>
      </c>
      <c r="B1303" s="3" t="s">
        <v>1304</v>
      </c>
      <c r="C1303" s="3" t="str">
        <f>IFERROR(__xludf.DUMMYFUNCTION("GOOGLETRANSLATE(B1303,""id"",""en"")"),"['signal', 'parahh', 'SJA', 'Sinyal', 'disappointing', 'play', 'game', 'ping', 'boro', 'ping', 'mah', 'yes',' ']")</f>
        <v>['signal', 'parahh', 'SJA', 'Sinyal', 'disappointing', 'play', 'game', 'ping', 'boro', 'ping', 'mah', 'yes',' ']</v>
      </c>
      <c r="D1303" s="3">
        <v>2.0</v>
      </c>
    </row>
    <row r="1304" ht="15.75" customHeight="1">
      <c r="A1304" s="1">
        <v>1302.0</v>
      </c>
      <c r="B1304" s="3" t="s">
        <v>1305</v>
      </c>
      <c r="C1304" s="3" t="str">
        <f>IFERROR(__xludf.DUMMYFUNCTION("GOOGLETRANSLATE(B1304,""id"",""en"")"),"['Name', 'Doang', 'Dege', 'Watch', 'YouTube', 'Maen', 'Game', 'Watch', 'Film', 'Network', 'Stable', 'Ask', ' Regions', 'Gading', 'Serpong', 'Tangerang', 'Shy', 'Complaints',' Costomer ',' People ',' Complaint ', ""]")</f>
        <v>['Name', 'Doang', 'Dege', 'Watch', 'YouTube', 'Maen', 'Game', 'Watch', 'Film', 'Network', 'Stable', 'Ask', ' Regions', 'Gading', 'Serpong', 'Tangerang', 'Shy', 'Complaints',' Costomer ',' People ',' Complaint ', "]</v>
      </c>
      <c r="D1304" s="3">
        <v>1.0</v>
      </c>
    </row>
    <row r="1305" ht="15.75" customHeight="1">
      <c r="A1305" s="1">
        <v>1303.0</v>
      </c>
      <c r="B1305" s="3" t="s">
        <v>1306</v>
      </c>
      <c r="C1305" s="3" t="str">
        <f>IFERROR(__xludf.DUMMYFUNCTION("GOOGLETRANSLATE(B1305,""id"",""en"")"),"['Macem', 'smooth', 'slow', 'forgiveness',' package ',' network ',' nggk ',' counts', 'nggk', 'according to', 'promise', 'already', ' expensive ',' slow ',' pulak ',' plisss', 'please', 'updated', 'need', 'network', 'full', 'work', 'job', 'night', 'need' "&amp;"]")</f>
        <v>['Macem', 'smooth', 'slow', 'forgiveness',' package ',' network ',' nggk ',' counts', 'nggk', 'according to', 'promise', 'already', ' expensive ',' slow ',' pulak ',' plisss', 'please', 'updated', 'need', 'network', 'full', 'work', 'job', 'night', 'need' ]</v>
      </c>
      <c r="D1305" s="3">
        <v>1.0</v>
      </c>
    </row>
    <row r="1306" ht="15.75" customHeight="1">
      <c r="A1306" s="1">
        <v>1304.0</v>
      </c>
      <c r="B1306" s="3" t="s">
        <v>1307</v>
      </c>
      <c r="C1306" s="3" t="str">
        <f>IFERROR(__xludf.DUMMYFUNCTION("GOOGLETRANSLATE(B1306,""id"",""en"")"),"['Please', 'Telkomsel', 'Increases',' Network ',' Region ',' Region ',' Rajeg ',' County ',' Tangerang ',' Telkomsel ',' Slow ',' Clock ',' hours', 'disturbed', 'watch', 'video', 'play', 'game', 'please', 'noon', 'sometimes',' slow ', ""]")</f>
        <v>['Please', 'Telkomsel', 'Increases',' Network ',' Region ',' Region ',' Rajeg ',' County ',' Tangerang ',' Telkomsel ',' Slow ',' Clock ',' hours', 'disturbed', 'watch', 'video', 'play', 'game', 'please', 'noon', 'sometimes',' slow ', "]</v>
      </c>
      <c r="D1306" s="3">
        <v>3.0</v>
      </c>
    </row>
    <row r="1307" ht="15.75" customHeight="1">
      <c r="A1307" s="1">
        <v>1305.0</v>
      </c>
      <c r="B1307" s="3" t="s">
        <v>1308</v>
      </c>
      <c r="C1307" s="3" t="str">
        <f>IFERROR(__xludf.DUMMYFUNCTION("GOOGLETRANSLATE(B1307,""id"",""en"")"),"['signal', 'Telkomsel', 'ugly', 'really', 'comfortable', 'use', 'Telkomsel', 'work', 'package', 'expensive', 'network', 'destroyed', ' Lebur ',' Change ',' Indosat ',' mah ',' ']")</f>
        <v>['signal', 'Telkomsel', 'ugly', 'really', 'comfortable', 'use', 'Telkomsel', 'work', 'package', 'expensive', 'network', 'destroyed', ' Lebur ',' Change ',' Indosat ',' mah ',' ']</v>
      </c>
      <c r="D1307" s="3">
        <v>1.0</v>
      </c>
    </row>
    <row r="1308" ht="15.75" customHeight="1">
      <c r="A1308" s="1">
        <v>1306.0</v>
      </c>
      <c r="B1308" s="3" t="s">
        <v>1309</v>
      </c>
      <c r="C1308" s="3" t="str">
        <f>IFERROR(__xludf.DUMMYFUNCTION("GOOGLETRANSLATE(B1308,""id"",""en"")"),"['Telkomsel', 'ugly', 'quality', 'dri', 'promo', 'aspect', 'service', 'customer', 'disappointed', 'rating', 'down', 'move', ' Provider ',' Gegara ',' Signal ',' Slow ',' Play ',' Game ',' Signal ',' Lemot ',' Pekah ']")</f>
        <v>['Telkomsel', 'ugly', 'quality', 'dri', 'promo', 'aspect', 'service', 'customer', 'disappointed', 'rating', 'down', 'move', ' Provider ',' Gegara ',' Signal ',' Slow ',' Play ',' Game ',' Signal ',' Lemot ',' Pekah ']</v>
      </c>
      <c r="D1308" s="3">
        <v>1.0</v>
      </c>
    </row>
    <row r="1309" ht="15.75" customHeight="1">
      <c r="A1309" s="1">
        <v>1307.0</v>
      </c>
      <c r="B1309" s="3" t="s">
        <v>1310</v>
      </c>
      <c r="C1309" s="3" t="str">
        <f>IFERROR(__xludf.DUMMYFUNCTION("GOOGLETRANSLATE(B1309,""id"",""en"")"),"['Telkomsel', 'Useful', 'Fill', 'Credit', 'Take', 'Ngmbil', 'Package', 'Internet', 'Available', 'Failed', 'Ganguan', 'Check', ' Credit ',' Rupiah ',' Credit ',' Disappointed ',' Products', '']")</f>
        <v>['Telkomsel', 'Useful', 'Fill', 'Credit', 'Take', 'Ngmbil', 'Package', 'Internet', 'Available', 'Failed', 'Ganguan', 'Check', ' Credit ',' Rupiah ',' Credit ',' Disappointed ',' Products', '']</v>
      </c>
      <c r="D1309" s="3">
        <v>1.0</v>
      </c>
    </row>
    <row r="1310" ht="15.75" customHeight="1">
      <c r="A1310" s="1">
        <v>1308.0</v>
      </c>
      <c r="B1310" s="3" t="s">
        <v>1311</v>
      </c>
      <c r="C1310" s="3" t="str">
        <f>IFERROR(__xludf.DUMMYFUNCTION("GOOGLETRANSLATE(B1310,""id"",""en"")"),"['Buy', 'Package', 'Application', 'Opened', 'Error', 'How', 'Buy', 'Package', 'Data', 'Complaint', 'Tetep', 'Change', ' ']")</f>
        <v>['Buy', 'Package', 'Application', 'Opened', 'Error', 'How', 'Buy', 'Package', 'Data', 'Complaint', 'Tetep', 'Change', ' ']</v>
      </c>
      <c r="D1310" s="3">
        <v>1.0</v>
      </c>
    </row>
    <row r="1311" ht="15.75" customHeight="1">
      <c r="A1311" s="1">
        <v>1309.0</v>
      </c>
      <c r="B1311" s="3" t="s">
        <v>1312</v>
      </c>
      <c r="C1311" s="3" t="str">
        <f>IFERROR(__xludf.DUMMYFUNCTION("GOOGLETRANSLATE(B1311,""id"",""en"")"),"['Telkomsel', 'internet', 'super', 'slow', 'play', 'game', 'lag', 'slow', 'WhatsApp', 'like', 'pending', 'subscribe', ' unlimited ',' gabisa ',' off ',' mode ',' plane ',' kb ',' internet ',' speed ',' that way ',' please ',' fix ',' network ',' satisfact"&amp;"ion ' , 'Consumers', 'disappointing', 'Thank you', '']")</f>
        <v>['Telkomsel', 'internet', 'super', 'slow', 'play', 'game', 'lag', 'slow', 'WhatsApp', 'like', 'pending', 'subscribe', ' unlimited ',' gabisa ',' off ',' mode ',' plane ',' kb ',' internet ',' speed ',' that way ',' please ',' fix ',' network ',' satisfaction ' , 'Consumers', 'disappointing', 'Thank you', '']</v>
      </c>
      <c r="D1311" s="3">
        <v>1.0</v>
      </c>
    </row>
    <row r="1312" ht="15.75" customHeight="1">
      <c r="A1312" s="1">
        <v>1310.0</v>
      </c>
      <c r="B1312" s="3" t="s">
        <v>1313</v>
      </c>
      <c r="C1312" s="3" t="str">
        <f>IFERROR(__xludf.DUMMYFUNCTION("GOOGLETRANSLATE(B1312,""id"",""en"")"),"['Change', 'registered', 'card', 'hello', 'right', 'org', 'office', 'mao', 'send', 'pulse', 'per month', 'ration', ' Credit ',' Dri ',' office ',' kmerungan ',' Mao ',' Changed ',' card ',' GraPARI ',' then ',' signal ',' card ',' Hello ',' slow down ' , "&amp;"'work', 'Different', 'use', 'card', 'signal', 'smooth', 'Karna', 'list', 'Telkomsel', 'detail', 'trimakasih']")</f>
        <v>['Change', 'registered', 'card', 'hello', 'right', 'org', 'office', 'mao', 'send', 'pulse', 'per month', 'ration', ' Credit ',' Dri ',' office ',' kmerungan ',' Mao ',' Changed ',' card ',' GraPARI ',' then ',' signal ',' card ',' Hello ',' slow down ' , 'work', 'Different', 'use', 'card', 'signal', 'smooth', 'Karna', 'list', 'Telkomsel', 'detail', 'trimakasih']</v>
      </c>
      <c r="D1312" s="3">
        <v>1.0</v>
      </c>
    </row>
    <row r="1313" ht="15.75" customHeight="1">
      <c r="A1313" s="1">
        <v>1311.0</v>
      </c>
      <c r="B1313" s="3" t="s">
        <v>1314</v>
      </c>
      <c r="C1313" s="3" t="str">
        <f>IFERROR(__xludf.DUMMYFUNCTION("GOOGLETRANSLATE(B1313,""id"",""en"")"),"['Good', 'Feature', 'Pulse', 'Lock', 'Credit', 'Safe', 'Quota', 'Internet', 'Out', 'DIRECT', 'DOW', ' pulses', 'note', 'google', 'playstore', 'fast', 'response', 'love', 'star', '']")</f>
        <v>['Good', 'Feature', 'Pulse', 'Lock', 'Credit', 'Safe', 'Quota', 'Internet', 'Out', 'DIRECT', 'DOW', ' pulses', 'note', 'google', 'playstore', 'fast', 'response', 'love', 'star', '']</v>
      </c>
      <c r="D1313" s="3">
        <v>5.0</v>
      </c>
    </row>
    <row r="1314" ht="15.75" customHeight="1">
      <c r="A1314" s="1">
        <v>1312.0</v>
      </c>
      <c r="B1314" s="3" t="s">
        <v>1315</v>
      </c>
      <c r="C1314" s="3" t="str">
        <f>IFERROR(__xludf.DUMMYFUNCTION("GOOGLETRANSLATE(B1314,""id"",""en"")"),"['package', 'expensive', 'network', 'super', 'slow', 'nelfon', 'nelfon', 'and then', 'network', 'super', 'slow', 'package', ' Nelfon ',' Kekeke ',' already ',' list ',' confused ',' here ',' severe ',' service ',' Telkomsel ']")</f>
        <v>['package', 'expensive', 'network', 'super', 'slow', 'nelfon', 'nelfon', 'and then', 'network', 'super', 'slow', 'package', ' Nelfon ',' Kekeke ',' already ',' list ',' confused ',' here ',' severe ',' service ',' Telkomsel ']</v>
      </c>
      <c r="D1314" s="3">
        <v>1.0</v>
      </c>
    </row>
    <row r="1315" ht="15.75" customHeight="1">
      <c r="A1315" s="1">
        <v>1313.0</v>
      </c>
      <c r="B1315" s="3" t="s">
        <v>1316</v>
      </c>
      <c r="C1315" s="3" t="str">
        <f>IFERROR(__xludf.DUMMYFUNCTION("GOOGLETRANSLATE(B1315,""id"",""en"")"),"['Ouch', 'Hallo', 'Telkomsel', 'paid', 'told', 'pay', 'strange', 'search', 'profit', 'dirty', 'mending', 'signal', ' good ',' signal ',' already ',' like ',' inside ',' forest ',' pay ',' expensive ',' satisfying ',' ']")</f>
        <v>['Ouch', 'Hallo', 'Telkomsel', 'paid', 'told', 'pay', 'strange', 'search', 'profit', 'dirty', 'mending', 'signal', ' good ',' signal ',' already ',' like ',' inside ',' forest ',' pay ',' expensive ',' satisfying ',' ']</v>
      </c>
      <c r="D1315" s="3">
        <v>1.0</v>
      </c>
    </row>
    <row r="1316" ht="15.75" customHeight="1">
      <c r="A1316" s="1">
        <v>1314.0</v>
      </c>
      <c r="B1316" s="3" t="s">
        <v>1317</v>
      </c>
      <c r="C1316" s="3" t="str">
        <f>IFERROR(__xludf.DUMMYFUNCTION("GOOGLETRANSLATE(B1316,""id"",""en"")"),"['hi', 'Telkomsel', 'please', 'ja'ah', 'eat', 'pulse', 'gini', 'buy', 'pulse', 'package', 'lap', 'Instagram', ' then ',' Angus', 'that's',' leftover ',' pulses', 'eat', 'credit', 'customer', 'please', 'Please', 'return', 'pulse', 'missing' , 'Andai', 'are"&amp;"a', 'card', 'good', 'signal', 'buy', 'card', 'Telkomsel', 'eat', 'pulse', 'customer', 'sorry', ' wrong ',' wrong ',' thank ',' love ']")</f>
        <v>['hi', 'Telkomsel', 'please', 'ja'ah', 'eat', 'pulse', 'gini', 'buy', 'pulse', 'package', 'lap', 'Instagram', ' then ',' Angus', 'that's',' leftover ',' pulses', 'eat', 'credit', 'customer', 'please', 'Please', 'return', 'pulse', 'missing' , 'Andai', 'area', 'card', 'good', 'signal', 'buy', 'card', 'Telkomsel', 'eat', 'pulse', 'customer', 'sorry', ' wrong ',' wrong ',' thank ',' love ']</v>
      </c>
      <c r="D1316" s="3">
        <v>2.0</v>
      </c>
    </row>
    <row r="1317" ht="15.75" customHeight="1">
      <c r="A1317" s="1">
        <v>1315.0</v>
      </c>
      <c r="B1317" s="3" t="s">
        <v>1318</v>
      </c>
      <c r="C1317" s="3" t="str">
        <f>IFERROR(__xludf.DUMMYFUNCTION("GOOGLETRANSLATE(B1317,""id"",""en"")"),"['', 'Lordnnnn', 'hopefully', 'Telkomsel', 'consistent', 'product', 'offered', 'choice', 'quota', 'buy', 'unlimited', 'unlimited', 'apps ',' reality ',' gabisa ',' tetep ',' sumps', 'quota', 'locally', 'please', 'repaired', 'person', 'people', 'comfortabl"&amp;"e', 'Telkomsel', '']")</f>
        <v>['', 'Lordnnnn', 'hopefully', 'Telkomsel', 'consistent', 'product', 'offered', 'choice', 'quota', 'buy', 'unlimited', 'unlimited', 'apps ',' reality ',' gabisa ',' tetep ',' sumps', 'quota', 'locally', 'please', 'repaired', 'person', 'people', 'comfortable', 'Telkomsel', '']</v>
      </c>
      <c r="D1317" s="3">
        <v>1.0</v>
      </c>
    </row>
    <row r="1318" ht="15.75" customHeight="1">
      <c r="A1318" s="1">
        <v>1316.0</v>
      </c>
      <c r="B1318" s="3" t="s">
        <v>1319</v>
      </c>
      <c r="C1318" s="3" t="str">
        <f>IFERROR(__xludf.DUMMYFUNCTION("GOOGLETRANSLATE(B1318,""id"",""en"")"),"['Package', 'Game', 'Login', 'Game', 'Quota', 'Main', 'Kuata', 'Game', 'Gede', 'Kuata', 'Main', 'Out', ' quota ',' game ',' login ',' game ',' disappointing ']")</f>
        <v>['Package', 'Game', 'Login', 'Game', 'Quota', 'Main', 'Kuata', 'Game', 'Gede', 'Kuata', 'Main', 'Out', ' quota ',' game ',' login ',' game ',' disappointing ']</v>
      </c>
      <c r="D1318" s="3">
        <v>1.0</v>
      </c>
    </row>
    <row r="1319" ht="15.75" customHeight="1">
      <c r="A1319" s="1">
        <v>1317.0</v>
      </c>
      <c r="B1319" s="3" t="s">
        <v>1320</v>
      </c>
      <c r="C1319" s="3" t="str">
        <f>IFERROR(__xludf.DUMMYFUNCTION("GOOGLETRANSLATE(B1319,""id"",""en"")"),"['Disappointed', 'Telkomsel', 'The network', 'Error', 'Damaged', 'Package', 'Internet', 'Unlimited', 'Expensive', 'Condition', 'Package', ' BKN ',' expensive ',' price ',' package ',' unlimited ',' change ',' card ',' solution ',' best ',' drpd ',' bear '"&amp;",' disappointed ',' canal ' , '']")</f>
        <v>['Disappointed', 'Telkomsel', 'The network', 'Error', 'Damaged', 'Package', 'Internet', 'Unlimited', 'Expensive', 'Condition', 'Package', ' BKN ',' expensive ',' price ',' package ',' unlimited ',' change ',' card ',' solution ',' best ',' drpd ',' bear ',' disappointed ',' canal ' , '']</v>
      </c>
      <c r="D1319" s="3">
        <v>1.0</v>
      </c>
    </row>
    <row r="1320" ht="15.75" customHeight="1">
      <c r="A1320" s="1">
        <v>1318.0</v>
      </c>
      <c r="B1320" s="3" t="s">
        <v>1321</v>
      </c>
      <c r="C1320" s="3" t="str">
        <f>IFERROR(__xludf.DUMMYFUNCTION("GOOGLETRANSLATE(B1320,""id"",""en"")"),"['Knp', 'buy', 'quota', 'night', 'definiteii', 'lemottt', 'bangettt', 'repaired', 'how', 'MLS', 'network', 'Sya', ' Wonder ',' network ',' area ',' night ',' Lemotttt ',' afternoon ',' slow ',' ']")</f>
        <v>['Knp', 'buy', 'quota', 'night', 'definiteii', 'lemottt', 'bangettt', 'repaired', 'how', 'MLS', 'network', 'Sya', ' Wonder ',' network ',' area ',' night ',' Lemotttt ',' afternoon ',' slow ',' ']</v>
      </c>
      <c r="D1320" s="3">
        <v>1.0</v>
      </c>
    </row>
    <row r="1321" ht="15.75" customHeight="1">
      <c r="A1321" s="1">
        <v>1319.0</v>
      </c>
      <c r="B1321" s="3" t="s">
        <v>1322</v>
      </c>
      <c r="C1321" s="3" t="str">
        <f>IFERROR(__xludf.DUMMYFUNCTION("GOOGLETRANSLATE(B1321,""id"",""en"")"),"['Hello', 'Telkomsel', 'package', 'Internet', 'main', 'reduced', 'right', 'watch', 'YouTube', 'already', 'buy', 'unlimited', ' YouTube ',' Please ',' repaired ']")</f>
        <v>['Hello', 'Telkomsel', 'package', 'Internet', 'main', 'reduced', 'right', 'watch', 'YouTube', 'already', 'buy', 'unlimited', ' YouTube ',' Please ',' repaired ']</v>
      </c>
      <c r="D1321" s="3">
        <v>1.0</v>
      </c>
    </row>
    <row r="1322" ht="15.75" customHeight="1">
      <c r="A1322" s="1">
        <v>1320.0</v>
      </c>
      <c r="B1322" s="3" t="s">
        <v>1323</v>
      </c>
      <c r="C1322" s="3" t="str">
        <f>IFERROR(__xludf.DUMMYFUNCTION("GOOGLETRANSLATE(B1322,""id"",""en"")"),"['application', 'list', 'reset', 'code', 'verification', 'late', 'list', 'enter', 'code', 'verification', 'tomorrow', 'really' emng ',' that's', 'mending', 'love', 'clock', 'expiration', 'code', 'verification', 'love', 'dtk', 'send', 'code', 'clock' , 'di"&amp;"sappointing', 'update', 'good', 'bad', 'Mending', 'MyTelkomsel', 'update', '']")</f>
        <v>['application', 'list', 'reset', 'code', 'verification', 'late', 'list', 'enter', 'code', 'verification', 'tomorrow', 'really' emng ',' that's', 'mending', 'love', 'clock', 'expiration', 'code', 'verification', 'love', 'dtk', 'send', 'code', 'clock' , 'disappointing', 'update', 'good', 'bad', 'Mending', 'MyTelkomsel', 'update', '']</v>
      </c>
      <c r="D1322" s="3">
        <v>1.0</v>
      </c>
    </row>
    <row r="1323" ht="15.75" customHeight="1">
      <c r="A1323" s="1">
        <v>1321.0</v>
      </c>
      <c r="B1323" s="3" t="s">
        <v>1324</v>
      </c>
      <c r="C1323" s="3" t="str">
        <f>IFERROR(__xludf.DUMMYFUNCTION("GOOGLETRANSLATE(B1323,""id"",""en"")"),"['Sis',' Telkomsel ',' Price ',' Package ',' Combo ',' Sakti ',' Expensive ',' People ',' Poor ',' Lower ',' Price ',' Quoto ',' GB ',' GB ',' Money ',' buy ',' ']")</f>
        <v>['Sis',' Telkomsel ',' Price ',' Package ',' Combo ',' Sakti ',' Expensive ',' People ',' Poor ',' Lower ',' Price ',' Quoto ',' GB ',' GB ',' Money ',' buy ',' ']</v>
      </c>
      <c r="D1323" s="3">
        <v>2.0</v>
      </c>
    </row>
    <row r="1324" ht="15.75" customHeight="1">
      <c r="A1324" s="1">
        <v>1322.0</v>
      </c>
      <c r="B1324" s="3" t="s">
        <v>1325</v>
      </c>
      <c r="C1324" s="3" t="str">
        <f>IFERROR(__xludf.DUMMYFUNCTION("GOOGLETRANSLATE(B1324,""id"",""en"")"),"['Network', 'ugly', 'increase', 'blass',' already ',' expensive ',' network ',' ugly ',' area ',' signal ',' Telkomsel ',' already ',' Make ',' Telkomsel ',' disappointing ',' Customer ',' cave ',' love ',' star ',' zero ',' cave ',' love ',' zero ',' ska"&amp;"rang ',' change ' , 'Network', 'detrimental', '']")</f>
        <v>['Network', 'ugly', 'increase', 'blass',' already ',' expensive ',' network ',' ugly ',' area ',' signal ',' Telkomsel ',' already ',' Make ',' Telkomsel ',' disappointing ',' Customer ',' cave ',' love ',' star ',' zero ',' cave ',' love ',' zero ',' skarang ',' change ' , 'Network', 'detrimental', '']</v>
      </c>
      <c r="D1324" s="3">
        <v>1.0</v>
      </c>
    </row>
    <row r="1325" ht="15.75" customHeight="1">
      <c r="A1325" s="1">
        <v>1323.0</v>
      </c>
      <c r="B1325" s="3" t="s">
        <v>1326</v>
      </c>
      <c r="C1325" s="3" t="str">
        <f>IFERROR(__xludf.DUMMYFUNCTION("GOOGLETRANSLATE(B1325,""id"",""en"")"),"['love', 'star', 'ajah', 'deh', 'fix', 'price', 'pulse', 'quota', 'expensive', 'open', 'app', 'slow' Layaar ',' White ',' Sekalli ',' Open ',' Dech ',' Admits', 'Quality', 'Network', 'Thanks',' TEL ', ""]")</f>
        <v>['love', 'star', 'ajah', 'deh', 'fix', 'price', 'pulse', 'quota', 'expensive', 'open', 'app', 'slow' Layaar ',' White ',' Sekalli ',' Open ',' Dech ',' Admits', 'Quality', 'Network', 'Thanks',' TEL ', "]</v>
      </c>
      <c r="D1325" s="3">
        <v>1.0</v>
      </c>
    </row>
    <row r="1326" ht="15.75" customHeight="1">
      <c r="A1326" s="1">
        <v>1324.0</v>
      </c>
      <c r="B1326" s="3" t="s">
        <v>1327</v>
      </c>
      <c r="C1326" s="3" t="str">
        <f>IFERROR(__xludf.DUMMYFUNCTION("GOOGLETRANSLATE(B1326,""id"",""en"")"),"['Network', 'stable', 'play', 'game', 'online', 'boarding', 'below', 'Tower', 'Telkomsel', 'turn', 'spend', 'quota', ' Current ',' Example ',' YouTube ',' Tiktok ',' Really ',' Shargo ']")</f>
        <v>['Network', 'stable', 'play', 'game', 'online', 'boarding', 'below', 'Tower', 'Telkomsel', 'turn', 'spend', 'quota', ' Current ',' Example ',' YouTube ',' Tiktok ',' Really ',' Shargo ']</v>
      </c>
      <c r="D1326" s="3">
        <v>2.0</v>
      </c>
    </row>
    <row r="1327" ht="15.75" customHeight="1">
      <c r="A1327" s="1">
        <v>1325.0</v>
      </c>
      <c r="B1327" s="3" t="s">
        <v>1328</v>
      </c>
      <c r="C1327" s="3" t="str">
        <f>IFERROR(__xludf.DUMMYFUNCTION("GOOGLETRANSLATE(B1327,""id"",""en"")"),"['Special', 'for you', 'got "",' quota ',' GB ',' HR ',' IDR ',' MyTelkomsel ',' Download ',' Claim ',' Tsel ',' Hotoffers ',' Program ',' Limited ',' Mar ',' Hoax ',' Morning ']")</f>
        <v>['Special', 'for you', 'got ",' quota ',' GB ',' HR ',' IDR ',' MyTelkomsel ',' Download ',' Claim ',' Tsel ',' Hotoffers ',' Program ',' Limited ',' Mar ',' Hoax ',' Morning ']</v>
      </c>
      <c r="D1327" s="3">
        <v>1.0</v>
      </c>
    </row>
    <row r="1328" ht="15.75" customHeight="1">
      <c r="A1328" s="1">
        <v>1326.0</v>
      </c>
      <c r="B1328" s="3" t="s">
        <v>1329</v>
      </c>
      <c r="C1328" s="3" t="str">
        <f>IFERROR(__xludf.DUMMYFUNCTION("GOOGLETRANSLATE(B1328,""id"",""en"")"),"['Please', 'buy', 'package', 'check', 'connection', 'repeat', 'transaction', 'mnt', 'network', 'good', 'awaited', 'Mnt', ' ']")</f>
        <v>['Please', 'buy', 'package', 'check', 'connection', 'repeat', 'transaction', 'mnt', 'network', 'good', 'awaited', 'Mnt', ' ']</v>
      </c>
      <c r="D1328" s="3">
        <v>2.0</v>
      </c>
    </row>
    <row r="1329" ht="15.75" customHeight="1">
      <c r="A1329" s="1">
        <v>1327.0</v>
      </c>
      <c r="B1329" s="3" t="s">
        <v>1330</v>
      </c>
      <c r="C1329" s="3" t="str">
        <f>IFERROR(__xludf.DUMMYFUNCTION("GOOGLETRANSLATE(B1329,""id"",""en"")"),"['Honest', 'pulses',' UDH ',' Change ',' Telkomsel ',' Match ',' Season ',' Quota ',' LODING ',' Quota ',' Unlimited ',' Dipake ',' quota ',' main ',' run out ',' BOHG ',' buy ',' package ',' quota ',' unlimited ',' ngelinduk ',' child ',' zoom ',' tiktok"&amp;" ',' nge ' , 'Lek', 'tolg', 'enhanced', 'network', 'rain', 'hot', 'wind', 'anything', 'situation', 'try', 'stable', 'smooth', ' on line', '']")</f>
        <v>['Honest', 'pulses',' UDH ',' Change ',' Telkomsel ',' Match ',' Season ',' Quota ',' LODING ',' Quota ',' Unlimited ',' Dipake ',' quota ',' main ',' run out ',' BOHG ',' buy ',' package ',' quota ',' unlimited ',' ngelinduk ',' child ',' zoom ',' tiktok ',' nge ' , 'Lek', 'tolg', 'enhanced', 'network', 'rain', 'hot', 'wind', 'anything', 'situation', 'try', 'stable', 'smooth', ' on line', '']</v>
      </c>
      <c r="D1329" s="3">
        <v>1.0</v>
      </c>
    </row>
    <row r="1330" ht="15.75" customHeight="1">
      <c r="A1330" s="1">
        <v>1328.0</v>
      </c>
      <c r="B1330" s="3" t="s">
        <v>1331</v>
      </c>
      <c r="C1330" s="3" t="str">
        <f>IFERROR(__xludf.DUMMYFUNCTION("GOOGLETRANSLATE(B1330,""id"",""en"")"),"['The application', 'slow', 'really', 'loading', 'writing', 'choice', 'send', 'input', 'wait', 'closed', 'application', 'Nihh', ' "", 'Bange', 'Bad', 'Mood']")</f>
        <v>['The application', 'slow', 'really', 'loading', 'writing', 'choice', 'send', 'input', 'wait', 'closed', 'application', 'Nihh', ' ", 'Bange', 'Bad', 'Mood']</v>
      </c>
      <c r="D1330" s="3">
        <v>1.0</v>
      </c>
    </row>
    <row r="1331" ht="15.75" customHeight="1">
      <c r="A1331" s="1">
        <v>1329.0</v>
      </c>
      <c r="B1331" s="3" t="s">
        <v>1332</v>
      </c>
      <c r="C1331" s="3" t="str">
        <f>IFERROR(__xludf.DUMMYFUNCTION("GOOGLETRANSLATE(B1331,""id"",""en"")"),"['App', 'good', 'account', 'blocked', 'right', 'enter', 'vain', 'vain', 'buy', 'package', 'GB', 'Gunain', ' ']")</f>
        <v>['App', 'good', 'account', 'blocked', 'right', 'enter', 'vain', 'vain', 'buy', 'package', 'GB', 'Gunain', ' ']</v>
      </c>
      <c r="D1331" s="3">
        <v>1.0</v>
      </c>
    </row>
    <row r="1332" ht="15.75" customHeight="1">
      <c r="A1332" s="1">
        <v>1330.0</v>
      </c>
      <c r="B1332" s="3" t="s">
        <v>1333</v>
      </c>
      <c r="C1332" s="3" t="str">
        <f>IFERROR(__xludf.DUMMYFUNCTION("GOOGLETRANSLATE(B1332,""id"",""en"")"),"['right', 'buy', 'package', 'make', 'package', 'network', 'ugly', 'price', 'expensive', 'promo', 'rare', 'really', ' run out ',' buy ',' pulses', 'already', 'run out', 'package', 'Males',' Telkomsel ',' it's up ',' make ',' Telkomsel ',' make ',' Telkomse"&amp;"l ' , 'service', 'good', 'thank', 'love', 'Telkomsel', 'serving', ""]")</f>
        <v>['right', 'buy', 'package', 'make', 'package', 'network', 'ugly', 'price', 'expensive', 'promo', 'rare', 'really', ' run out ',' buy ',' pulses', 'already', 'run out', 'package', 'Males',' Telkomsel ',' it's up ',' make ',' Telkomsel ',' make ',' Telkomsel ' , 'service', 'good', 'thank', 'love', 'Telkomsel', 'serving', "]</v>
      </c>
      <c r="D1332" s="3">
        <v>1.0</v>
      </c>
    </row>
    <row r="1333" ht="15.75" customHeight="1">
      <c r="A1333" s="1">
        <v>1331.0</v>
      </c>
      <c r="B1333" s="3" t="s">
        <v>1334</v>
      </c>
      <c r="C1333" s="3" t="str">
        <f>IFERROR(__xludf.DUMMYFUNCTION("GOOGLETRANSLATE(B1333,""id"",""en"")"),"['Unplug', 'sympathy', 'brhun', 'sympathy', 'skrng', 'throther', 'signal', 'moved', 'smartfren', 'wlp even', 'shy', 'mending', ' Cards', 'sympathy', '']")</f>
        <v>['Unplug', 'sympathy', 'brhun', 'sympathy', 'skrng', 'throther', 'signal', 'moved', 'smartfren', 'wlp even', 'shy', 'mending', ' Cards', 'sympathy', '']</v>
      </c>
      <c r="D1333" s="3">
        <v>1.0</v>
      </c>
    </row>
    <row r="1334" ht="15.75" customHeight="1">
      <c r="A1334" s="1">
        <v>1332.0</v>
      </c>
      <c r="B1334" s="3" t="s">
        <v>1335</v>
      </c>
      <c r="C1334" s="3" t="str">
        <f>IFERROR(__xludf.DUMMYFUNCTION("GOOGLETRANSLATE(B1334,""id"",""en"")"),"['parahhh', 'bgtt', 'sinyall', 'ugly', 'bagetttttttt', 'until', 'emotion', 'wants',' talking ',' rough ',' lobe ',' please ',' Telkomsel ',' Update ',' Request ',' Change ',' Provaider ',' Signal ',' Jelekk ',' bgttttttttttt ']")</f>
        <v>['parahhh', 'bgtt', 'sinyall', 'ugly', 'bagetttttttt', 'until', 'emotion', 'wants',' talking ',' rough ',' lobe ',' please ',' Telkomsel ',' Update ',' Request ',' Change ',' Provaider ',' Signal ',' Jelekk ',' bgttttttttttt ']</v>
      </c>
      <c r="D1334" s="3">
        <v>1.0</v>
      </c>
    </row>
    <row r="1335" ht="15.75" customHeight="1">
      <c r="A1335" s="1">
        <v>1333.0</v>
      </c>
      <c r="B1335" s="3" t="s">
        <v>1336</v>
      </c>
      <c r="C1335" s="3" t="str">
        <f>IFERROR(__xludf.DUMMYFUNCTION("GOOGLETRANSLATE(B1335,""id"",""en"")"),"['Please', 'checks',' card ',' Hallobsaya ',' blocked ',' tabling ',' run ',' right ',' check ',' rb ',' weve ',' debt ',' Tlong ',' check ',' lgi ',' trimksih ',' disappointing ']")</f>
        <v>['Please', 'checks',' card ',' Hallobsaya ',' blocked ',' tabling ',' run ',' right ',' check ',' rb ',' weve ',' debt ',' Tlong ',' check ',' lgi ',' trimksih ',' disappointing ']</v>
      </c>
      <c r="D1335" s="3">
        <v>1.0</v>
      </c>
    </row>
    <row r="1336" ht="15.75" customHeight="1">
      <c r="A1336" s="1">
        <v>1334.0</v>
      </c>
      <c r="B1336" s="3" t="s">
        <v>1337</v>
      </c>
      <c r="C1336" s="3" t="str">
        <f>IFERROR(__xludf.DUMMYFUNCTION("GOOGLETRANSLATE(B1336,""id"",""en"")"),"['Sorry', 'Knp', 'Telkomsel', 'package', 'data', 'package', 'date', 'run out', 'date', 'calendar', 'little', 'disappointed', ' Please ',' Telkomsel ',' Following ',' Calendar ',' Date ',' Disappointed ',' Service ',' Signing ',' Signal ',' Hopefully ',' I"&amp;"n the future ',' Telkomsel ', ""]")</f>
        <v>['Sorry', 'Knp', 'Telkomsel', 'package', 'data', 'package', 'date', 'run out', 'date', 'calendar', 'little', 'disappointed', ' Please ',' Telkomsel ',' Following ',' Calendar ',' Date ',' Disappointed ',' Service ',' Signing ',' Signal ',' Hopefully ',' In the future ',' Telkomsel ', "]</v>
      </c>
      <c r="D1336" s="3">
        <v>3.0</v>
      </c>
    </row>
    <row r="1337" ht="15.75" customHeight="1">
      <c r="A1337" s="1">
        <v>1335.0</v>
      </c>
      <c r="B1337" s="3" t="s">
        <v>1338</v>
      </c>
      <c r="C1337" s="3" t="str">
        <f>IFERROR(__xludf.DUMMYFUNCTION("GOOGLETRANSLATE(B1337,""id"",""en"")"),"['Please', 'Fix', 'Network', 'Internet', 'Please', 'Nge', 'Game', 'Telkomsel', 'Please', 'Fix', 'The Network', 'My Region', ' Internet ']")</f>
        <v>['Please', 'Fix', 'Network', 'Internet', 'Please', 'Nge', 'Game', 'Telkomsel', 'Please', 'Fix', 'The Network', 'My Region', ' Internet ']</v>
      </c>
      <c r="D1337" s="3">
        <v>1.0</v>
      </c>
    </row>
    <row r="1338" ht="15.75" customHeight="1">
      <c r="A1338" s="1">
        <v>1336.0</v>
      </c>
      <c r="B1338" s="3" t="s">
        <v>1339</v>
      </c>
      <c r="C1338" s="3" t="str">
        <f>IFERROR(__xludf.DUMMYFUNCTION("GOOGLETRANSLATE(B1338,""id"",""en"")"),"['Please', 'out', 'unlimited', 'quota', 'mainly', 'run out', 'signal', 'setabilia', 'gini', 'continued', 'users',' Telkomsel ',' guarantee ',' down ',' stupid ',' kek ',' signal ',' gini ',' person ',' need ',' think ',' little ',' telkomsel ',' try ',' r"&amp;"ead ' , 'users',' Thinking ',' Thinking ',' Thinking ',' No ""]")</f>
        <v>['Please', 'out', 'unlimited', 'quota', 'mainly', 'run out', 'signal', 'setabilia', 'gini', 'continued', 'users',' Telkomsel ',' guarantee ',' down ',' stupid ',' kek ',' signal ',' gini ',' person ',' need ',' think ',' little ',' telkomsel ',' try ',' read ' , 'users',' Thinking ',' Thinking ',' Thinking ',' No "]</v>
      </c>
      <c r="D1338" s="3">
        <v>1.0</v>
      </c>
    </row>
    <row r="1339" ht="15.75" customHeight="1">
      <c r="A1339" s="1">
        <v>1337.0</v>
      </c>
      <c r="B1339" s="3" t="s">
        <v>1340</v>
      </c>
      <c r="C1339" s="3" t="str">
        <f>IFERROR(__xludf.DUMMYFUNCTION("GOOGLETRANSLATE(B1339,""id"",""en"")"),"['network', 'Telkomsel', 'Kab', 'Merangin', 'disappointing', 'internet', 'paid', 'per month', 'network', 'ugly', 'because', 'skrg', ' Sell ​​',' LWT ',' Online ',' sosmed ',' Need ',' Loss', 'BRG', 'Liveekan']")</f>
        <v>['network', 'Telkomsel', 'Kab', 'Merangin', 'disappointing', 'internet', 'paid', 'per month', 'network', 'ugly', 'because', 'skrg', ' Sell ​​',' LWT ',' Online ',' sosmed ',' Need ',' Loss', 'BRG', 'Liveekan']</v>
      </c>
      <c r="D1339" s="3">
        <v>1.0</v>
      </c>
    </row>
    <row r="1340" ht="15.75" customHeight="1">
      <c r="A1340" s="1">
        <v>1338.0</v>
      </c>
      <c r="B1340" s="3" t="s">
        <v>1341</v>
      </c>
      <c r="C1340" s="3" t="str">
        <f>IFERROR(__xludf.DUMMYFUNCTION("GOOGLETRANSLATE(B1340,""id"",""en"")"),"['Disappointed', 'really', 'buy', 'package', 'unlimited', 'vain', 'sampe', 'a day', 'already', 'use', 'package', 'buy', ' GB ',' subscription ',' BNR ',' Disappointed ',' Telkomsel ',' skrg ',' ugly ',' ugly ',' already ',' covid ',' Nyri ',' money ',' di"&amp;"fficult ' , 'The package', 'expensive', 'Please', 'Return', 'Package', 'subscription', 'buy']")</f>
        <v>['Disappointed', 'really', 'buy', 'package', 'unlimited', 'vain', 'sampe', 'a day', 'already', 'use', 'package', 'buy', ' GB ',' subscription ',' BNR ',' Disappointed ',' Telkomsel ',' skrg ',' ugly ',' ugly ',' already ',' covid ',' Nyri ',' money ',' difficult ' , 'The package', 'expensive', 'Please', 'Return', 'Package', 'subscription', 'buy']</v>
      </c>
      <c r="D1340" s="3">
        <v>1.0</v>
      </c>
    </row>
    <row r="1341" ht="15.75" customHeight="1">
      <c r="A1341" s="1">
        <v>1339.0</v>
      </c>
      <c r="B1341" s="3" t="s">
        <v>1342</v>
      </c>
      <c r="C1341" s="3" t="str">
        <f>IFERROR(__xludf.DUMMYFUNCTION("GOOGLETRANSLATE(B1341,""id"",""en"")"),"['min', 'disorder', 'already', 'try', 'times',' enter ',' package ',' reading ',' sorry ',' system ',' busy ',' try ',' Ngegulating ',' really ',' enter ',' package ']")</f>
        <v>['min', 'disorder', 'already', 'try', 'times',' enter ',' package ',' reading ',' sorry ',' system ',' busy ',' try ',' Ngegulating ',' really ',' enter ',' package ']</v>
      </c>
      <c r="D1341" s="3">
        <v>3.0</v>
      </c>
    </row>
    <row r="1342" ht="15.75" customHeight="1">
      <c r="A1342" s="1">
        <v>1340.0</v>
      </c>
      <c r="B1342" s="3" t="s">
        <v>1343</v>
      </c>
      <c r="C1342" s="3" t="str">
        <f>IFERROR(__xludf.DUMMYFUNCTION("GOOGLETRANSLATE(B1342,""id"",""en"")"),"['Min', 'Please', 'Change', 'Kategore', 'Package', 'Kombo', 'Unlimited', 'and above', 'Kasih', 'down', 'according to', 'uses',' Buget ',' Love ',' Bintang ',' Dlu ',' Help ',' Min ',' Thank ', ""]")</f>
        <v>['Min', 'Please', 'Change', 'Kategore', 'Package', 'Kombo', 'Unlimited', 'and above', 'Kasih', 'down', 'according to', 'uses',' Buget ',' Love ',' Bintang ',' Dlu ',' Help ',' Min ',' Thank ', "]</v>
      </c>
      <c r="D1342" s="3">
        <v>4.0</v>
      </c>
    </row>
    <row r="1343" ht="15.75" customHeight="1">
      <c r="A1343" s="1">
        <v>1341.0</v>
      </c>
      <c r="B1343" s="3" t="s">
        <v>1344</v>
      </c>
      <c r="C1343" s="3" t="str">
        <f>IFERROR(__xludf.DUMMYFUNCTION("GOOGLETRANSLATE(B1343,""id"",""en"")"),"['Hallo', 'admin', 'Telkomsel', 'signal', 'Telkomsel', 'slow', 'buy', 'oaket', 'unlimited', 'max', 'quota', 'quota', ' Internet ',' local ',' quota ',' internet ',' quota ',' unlimited ',' free ',' etc. ',' quota ',' run out ',' slow ',' please ',' caused"&amp;" ' , 'Thank you', 'Mimin', 'Hopefully', 'Improvement', 'Disright', 'Say']")</f>
        <v>['Hallo', 'admin', 'Telkomsel', 'signal', 'Telkomsel', 'slow', 'buy', 'oaket', 'unlimited', 'max', 'quota', 'quota', ' Internet ',' local ',' quota ',' internet ',' quota ',' unlimited ',' free ',' etc. ',' quota ',' run out ',' slow ',' please ',' caused ' , 'Thank you', 'Mimin', 'Hopefully', 'Improvement', 'Disright', 'Say']</v>
      </c>
      <c r="D1343" s="3">
        <v>1.0</v>
      </c>
    </row>
    <row r="1344" ht="15.75" customHeight="1">
      <c r="A1344" s="1">
        <v>1342.0</v>
      </c>
      <c r="B1344" s="3" t="s">
        <v>1345</v>
      </c>
      <c r="C1344" s="3" t="str">
        <f>IFERROR(__xludf.DUMMYFUNCTION("GOOGLETRANSLATE(B1344,""id"",""en"")"),"['contents',' package ',' system ',' busy ',' network ',' maen ',' game ',' lag ',' lag ',' price ',' expensive ',' network ',' According to ',' price ',' ']")</f>
        <v>['contents',' package ',' system ',' busy ',' network ',' maen ',' game ',' lag ',' lag ',' price ',' expensive ',' network ',' According to ',' price ',' ']</v>
      </c>
      <c r="D1344" s="3">
        <v>1.0</v>
      </c>
    </row>
    <row r="1345" ht="15.75" customHeight="1">
      <c r="A1345" s="1">
        <v>1343.0</v>
      </c>
      <c r="B1345" s="3" t="s">
        <v>1346</v>
      </c>
      <c r="C1345" s="3" t="str">
        <f>IFERROR(__xludf.DUMMYFUNCTION("GOOGLETRANSLATE(B1345,""id"",""en"")"),"['City', 'Internet', 'bad', 'signal', 'missing', 'filling', 'voucher', 'quota', 'Wind', 'sorry', 'system', 'busy', ' Wait ',' Hadehhh ', ""]")</f>
        <v>['City', 'Internet', 'bad', 'signal', 'missing', 'filling', 'voucher', 'quota', 'Wind', 'sorry', 'system', 'busy', ' Wait ',' Hadehhh ', "]</v>
      </c>
      <c r="D1345" s="3">
        <v>1.0</v>
      </c>
    </row>
    <row r="1346" ht="15.75" customHeight="1">
      <c r="A1346" s="1">
        <v>1344.0</v>
      </c>
      <c r="B1346" s="3" t="s">
        <v>1347</v>
      </c>
      <c r="C1346" s="3" t="str">
        <f>IFERROR(__xludf.DUMMYFUNCTION("GOOGLETRANSLATE(B1346,""id"",""en"")"),"['APK', 'fraudster', 'his writing', 'promo', 'TPI', 'right', 'buy', 'expensive', 'lgi', 'God', 'reply', 'hope', ' APK ',' Baned ',' pantesan ',' Telkomsel ',' plow ',' person ',' stupid ',' contents']")</f>
        <v>['APK', 'fraudster', 'his writing', 'promo', 'TPI', 'right', 'buy', 'expensive', 'lgi', 'God', 'reply', 'hope', ' APK ',' Baned ',' pantesan ',' Telkomsel ',' plow ',' person ',' stupid ',' contents']</v>
      </c>
      <c r="D1346" s="3">
        <v>1.0</v>
      </c>
    </row>
    <row r="1347" ht="15.75" customHeight="1">
      <c r="A1347" s="1">
        <v>1345.0</v>
      </c>
      <c r="B1347" s="3" t="s">
        <v>1348</v>
      </c>
      <c r="C1347" s="3" t="str">
        <f>IFERROR(__xludf.DUMMYFUNCTION("GOOGLETRANSLATE(B1347,""id"",""en"")"),"['', 'Please', 'repaired', 'buy', 'quota', 'unlimited', 'youtube', 'thousand', 'enter', 'pulse', 'thousand', 'appears',' notif ',' Sorry ',' pulse ',' sufficient ',' broken ',' Telkomsel ']")</f>
        <v>['', 'Please', 'repaired', 'buy', 'quota', 'unlimited', 'youtube', 'thousand', 'enter', 'pulse', 'thousand', 'appears',' notif ',' Sorry ',' pulse ',' sufficient ',' broken ',' Telkomsel ']</v>
      </c>
      <c r="D1347" s="3">
        <v>1.0</v>
      </c>
    </row>
    <row r="1348" ht="15.75" customHeight="1">
      <c r="A1348" s="1">
        <v>1346.0</v>
      </c>
      <c r="B1348" s="3" t="s">
        <v>1349</v>
      </c>
      <c r="C1348" s="3" t="str">
        <f>IFERROR(__xludf.DUMMYFUNCTION("GOOGLETRANSLATE(B1348,""id"",""en"")"),"['buy', 'pulse', 'balance', 'already', 'cut', 'purchase', 'succeed', 'pulse', 'already', 'love', 'complaint', 'told', ' Wait ',' hours', 'influence', 'buy', 'enter', 'rich', 'gini']")</f>
        <v>['buy', 'pulse', 'balance', 'already', 'cut', 'purchase', 'succeed', 'pulse', 'already', 'love', 'complaint', 'told', ' Wait ',' hours', 'influence', 'buy', 'enter', 'rich', 'gini']</v>
      </c>
      <c r="D1348" s="3">
        <v>1.0</v>
      </c>
    </row>
    <row r="1349" ht="15.75" customHeight="1">
      <c r="A1349" s="1">
        <v>1347.0</v>
      </c>
      <c r="B1349" s="3" t="s">
        <v>1350</v>
      </c>
      <c r="C1349" s="3" t="str">
        <f>IFERROR(__xludf.DUMMYFUNCTION("GOOGLETRANSLATE(B1349,""id"",""en"")"),"['Network', 'good', 'fill out', 'pulse', 'pulses',' direct ',' run out ',' harmed ',' hope ',' mytelkomsel ',' updated ',' pulses', ' muzzied ',' turn on ',' data ',' pulses', 'sucked', 'run out', 'thank you', '']")</f>
        <v>['Network', 'good', 'fill out', 'pulse', 'pulses',' direct ',' run out ',' harmed ',' hope ',' mytelkomsel ',' updated ',' pulses', ' muzzied ',' turn on ',' data ',' pulses', 'sucked', 'run out', 'thank you', '']</v>
      </c>
      <c r="D1349" s="3">
        <v>2.0</v>
      </c>
    </row>
    <row r="1350" ht="15.75" customHeight="1">
      <c r="A1350" s="1">
        <v>1348.0</v>
      </c>
      <c r="B1350" s="3" t="s">
        <v>1351</v>
      </c>
      <c r="C1350" s="3" t="str">
        <f>IFERROR(__xludf.DUMMYFUNCTION("GOOGLETRANSLATE(B1350,""id"",""en"")"),"['system', 'service', 'quota', 'buy', 'quota', 'expensive', 'used', 'quota', 'buy', 'preferably', 'signal', 'slow', ' ']")</f>
        <v>['system', 'service', 'quota', 'buy', 'quota', 'expensive', 'used', 'quota', 'buy', 'preferably', 'signal', 'slow', ' ']</v>
      </c>
      <c r="D1350" s="3">
        <v>1.0</v>
      </c>
    </row>
    <row r="1351" ht="15.75" customHeight="1">
      <c r="A1351" s="1">
        <v>1349.0</v>
      </c>
      <c r="B1351" s="3" t="s">
        <v>1352</v>
      </c>
      <c r="C1351" s="3" t="str">
        <f>IFERROR(__xludf.DUMMYFUNCTION("GOOGLETRANSLATE(B1351,""id"",""en"")"),"['Sorry', 'Confirm', 'Login', 'SMS', 'Verification', 'Enter', 'Try', 'Many', 'Kali', 'Change', 'Star', 'Repaired', ' thank you']")</f>
        <v>['Sorry', 'Confirm', 'Login', 'SMS', 'Verification', 'Enter', 'Try', 'Many', 'Kali', 'Change', 'Star', 'Repaired', ' thank you']</v>
      </c>
      <c r="D1351" s="3">
        <v>1.0</v>
      </c>
    </row>
    <row r="1352" ht="15.75" customHeight="1">
      <c r="A1352" s="1">
        <v>1350.0</v>
      </c>
      <c r="B1352" s="3" t="s">
        <v>1353</v>
      </c>
      <c r="C1352" s="3" t="str">
        <f>IFERROR(__xludf.DUMMYFUNCTION("GOOGLETRANSLATE(B1352,""id"",""en"")"),"['quota', 'main', 'used', 'Gara', 'quota', 'Ministry of Education and Culture', 'Limit', 'Live', 'Sia', 'Deh', 'Paketan', 'Rough', ' Suggestion ',' Alah ',' dikasi ',' suggestion ',' gabakal ',' brain ',' gini ',' customer ',' loss', 'demanding', 'gini', "&amp;"'reply', 'ajg' , 'complain', 'times',' twitter ',' email ',' answer ',' use ',' bales', 'review', 'cave', 'kentoud', 'palingan', 'quota', ' Cave ',' ilang ']")</f>
        <v>['quota', 'main', 'used', 'Gara', 'quota', 'Ministry of Education and Culture', 'Limit', 'Live', 'Sia', 'Deh', 'Paketan', 'Rough', ' Suggestion ',' Alah ',' dikasi ',' suggestion ',' gabakal ',' brain ',' gini ',' customer ',' loss', 'demanding', 'gini', 'reply', 'ajg' , 'complain', 'times',' twitter ',' email ',' answer ',' use ',' bales', 'review', 'cave', 'kentoud', 'palingan', 'quota', ' Cave ',' ilang ']</v>
      </c>
      <c r="D1352" s="3">
        <v>1.0</v>
      </c>
    </row>
    <row r="1353" ht="15.75" customHeight="1">
      <c r="A1353" s="1">
        <v>1351.0</v>
      </c>
      <c r="B1353" s="3" t="s">
        <v>1354</v>
      </c>
      <c r="C1353" s="3" t="str">
        <f>IFERROR(__xludf.DUMMYFUNCTION("GOOGLETRANSLATE(B1353,""id"",""en"")"),"['Wonder', 'Telkomsel', 'Packagein', 'Data', 'right', 'open', 'APP', 'MyTelkom', 'pulses',' take-up ',' thousand ',' reset ',' rich ',' gtu ',' until ',' times', 'pay', 'contents',' pulse ',' sampe ',' thousand ',' cunning ']")</f>
        <v>['Wonder', 'Telkomsel', 'Packagein', 'Data', 'right', 'open', 'APP', 'MyTelkom', 'pulses',' take-up ',' thousand ',' reset ',' rich ',' gtu ',' until ',' times', 'pay', 'contents',' pulse ',' sampe ',' thousand ',' cunning ']</v>
      </c>
      <c r="D1353" s="3">
        <v>1.0</v>
      </c>
    </row>
    <row r="1354" ht="15.75" customHeight="1">
      <c r="A1354" s="1">
        <v>1352.0</v>
      </c>
      <c r="B1354" s="3" t="s">
        <v>1355</v>
      </c>
      <c r="C1354" s="3" t="str">
        <f>IFERROR(__xludf.DUMMYFUNCTION("GOOGLETRANSLATE(B1354,""id"",""en"")"),"['Mending', 'buy', 'Telkomsel', 'waste', 'waste', 'money', 'already', 'buy', 'expensive', 'expensive', 'the network', 'stable', ' Play ',' Game ',' Down ',' Pas', 'No', 'Main', 'Game', 'Disappointed', 'Telkomsel']")</f>
        <v>['Mending', 'buy', 'Telkomsel', 'waste', 'waste', 'money', 'already', 'buy', 'expensive', 'expensive', 'the network', 'stable', ' Play ',' Game ',' Down ',' Pas', 'No', 'Main', 'Game', 'Disappointed', 'Telkomsel']</v>
      </c>
      <c r="D1354" s="3">
        <v>2.0</v>
      </c>
    </row>
    <row r="1355" ht="15.75" customHeight="1">
      <c r="A1355" s="1">
        <v>1353.0</v>
      </c>
      <c r="B1355" s="3" t="s">
        <v>1356</v>
      </c>
      <c r="C1355" s="3" t="str">
        <f>IFERROR(__xludf.DUMMYFUNCTION("GOOGLETRANSLATE(B1355,""id"",""en"")"),"['Bug', 'Application', 'Buy', 'Package', 'Force', 'Close', 'Report', 'Call', 'Center', 'Sosmed', 'Force', 'Close', ' application', '']")</f>
        <v>['Bug', 'Application', 'Buy', 'Package', 'Force', 'Close', 'Report', 'Call', 'Center', 'Sosmed', 'Force', 'Close', ' application', '']</v>
      </c>
      <c r="D1355" s="3">
        <v>1.0</v>
      </c>
    </row>
    <row r="1356" ht="15.75" customHeight="1">
      <c r="A1356" s="1">
        <v>1354.0</v>
      </c>
      <c r="B1356" s="3" t="s">
        <v>1357</v>
      </c>
      <c r="C1356" s="3" t="str">
        <f>IFERROR(__xludf.DUMMYFUNCTION("GOOGLETRANSLATE(B1356,""id"",""en"")"),"['user', 'card', 'Hello', 'detail', 'billing', 'displayed', 'yesterday', 'detail', 'yesterday', 'displayed', 'detail', 'billing', ' Yesterday ',' beg ',' repaired ']")</f>
        <v>['user', 'card', 'Hello', 'detail', 'billing', 'displayed', 'yesterday', 'detail', 'yesterday', 'displayed', 'detail', 'billing', ' Yesterday ',' beg ',' repaired ']</v>
      </c>
      <c r="D1356" s="3">
        <v>2.0</v>
      </c>
    </row>
    <row r="1357" ht="15.75" customHeight="1">
      <c r="A1357" s="1">
        <v>1355.0</v>
      </c>
      <c r="B1357" s="3" t="s">
        <v>1358</v>
      </c>
      <c r="C1357" s="3" t="str">
        <f>IFERROR(__xludf.DUMMYFUNCTION("GOOGLETRANSLATE(B1357,""id"",""en"")"),"['Telkomsel', 'idiot', 'already', 'price', 'package', 'internet', 'expensive', 'network', 'slow', 'regret', 'buy', 'Telkomsel', ' Please, 'repaired', 'network', 'internet', 'slow', 'mulu', 'price', 'package', 'internet', 'expensive']")</f>
        <v>['Telkomsel', 'idiot', 'already', 'price', 'package', 'internet', 'expensive', 'network', 'slow', 'regret', 'buy', 'Telkomsel', ' Please, 'repaired', 'network', 'internet', 'slow', 'mulu', 'price', 'package', 'internet', 'expensive']</v>
      </c>
      <c r="D1357" s="3">
        <v>1.0</v>
      </c>
    </row>
    <row r="1358" ht="15.75" customHeight="1">
      <c r="A1358" s="1">
        <v>1356.0</v>
      </c>
      <c r="B1358" s="3" t="s">
        <v>1359</v>
      </c>
      <c r="C1358" s="3" t="str">
        <f>IFERROR(__xludf.DUMMYFUNCTION("GOOGLETRANSLATE(B1358,""id"",""en"")"),"['point', 'like', 'missing', 'sudden', 'at the time', 'online', 'lesson', 'periodic', 'Please', 'fix', 'causing', 'following him', ' Until ',' Hospot ',' Network ',' Lost ',' Try ',' Increase ',' Price ',' Bring ',' Rupa ',' Astagfirullah ']")</f>
        <v>['point', 'like', 'missing', 'sudden', 'at the time', 'online', 'lesson', 'periodic', 'Please', 'fix', 'causing', 'following him', ' Until ',' Hospot ',' Network ',' Lost ',' Try ',' Increase ',' Price ',' Bring ',' Rupa ',' Astagfirullah ']</v>
      </c>
      <c r="D1358" s="3">
        <v>1.0</v>
      </c>
    </row>
    <row r="1359" ht="15.75" customHeight="1">
      <c r="A1359" s="1">
        <v>1357.0</v>
      </c>
      <c r="B1359" s="3" t="s">
        <v>1360</v>
      </c>
      <c r="C1359" s="3" t="str">
        <f>IFERROR(__xludf.DUMMYFUNCTION("GOOGLETRANSLATE(B1359,""id"",""en"")"),"['Apasih', 'mean', 'gabisa', 'fill in', 'quota', 'hours',' morning ',' Genting ',' gabisa ',' contents', 'quota', 'service', ' Telkomsel ',' Make ',' Telkomsel ',' Kali ',' Disappointed ']")</f>
        <v>['Apasih', 'mean', 'gabisa', 'fill in', 'quota', 'hours',' morning ',' Genting ',' gabisa ',' contents', 'quota', 'service', ' Telkomsel ',' Make ',' Telkomsel ',' Kali ',' Disappointed ']</v>
      </c>
      <c r="D1359" s="3">
        <v>1.0</v>
      </c>
    </row>
    <row r="1360" ht="15.75" customHeight="1">
      <c r="A1360" s="1">
        <v>1358.0</v>
      </c>
      <c r="B1360" s="3" t="s">
        <v>1361</v>
      </c>
      <c r="C1360" s="3" t="str">
        <f>IFERROR(__xludf.DUMMYFUNCTION("GOOGLETRANSLATE(B1360,""id"",""en"")"),"['Confide', 'little', 'min', 'already', 'comfortable', 'package', 'combo', 'Sakti', 'right', 'list', 'kgak', 'package', ' combo ',' saktinya ',' price ',' package ',' laen ',' expensive ',' combo ',' wakti ',' right ',' rich ',' forced ',' replace ',' car"&amp;"d ' , 'combo', 'saktinya', 'kgak', '']")</f>
        <v>['Confide', 'little', 'min', 'already', 'comfortable', 'package', 'combo', 'Sakti', 'right', 'list', 'kgak', 'package', ' combo ',' saktinya ',' price ',' package ',' laen ',' expensive ',' combo ',' wakti ',' right ',' rich ',' forced ',' replace ',' card ' , 'combo', 'saktinya', 'kgak', '']</v>
      </c>
      <c r="D1360" s="3">
        <v>2.0</v>
      </c>
    </row>
    <row r="1361" ht="15.75" customHeight="1">
      <c r="A1361" s="1">
        <v>1359.0</v>
      </c>
      <c r="B1361" s="3" t="s">
        <v>1362</v>
      </c>
      <c r="C1361" s="3" t="str">
        <f>IFERROR(__xludf.DUMMYFUNCTION("GOOGLETRANSLATE(B1361,""id"",""en"")"),"['Love', 'Star', 'Sorry', 'Customer', 'Faithful', 'Customer', 'Telkomsel', 'Sympathy', 'Bad', 'Signal', 'Phone', 'Phone', ' ugly ',' Sometimes ',' Connect ',' Sometimes ',' No "", 'Sometimes', 'Voice', 'Friend', 'Telkomsel', 'Please', 'Fix', 'Increase', '"&amp;"Bad' ]")</f>
        <v>['Love', 'Star', 'Sorry', 'Customer', 'Faithful', 'Customer', 'Telkomsel', 'Sympathy', 'Bad', 'Signal', 'Phone', 'Phone', ' ugly ',' Sometimes ',' Connect ',' Sometimes ',' No ", 'Sometimes', 'Voice', 'Friend', 'Telkomsel', 'Please', 'Fix', 'Increase', 'Bad' ]</v>
      </c>
      <c r="D1361" s="3">
        <v>1.0</v>
      </c>
    </row>
    <row r="1362" ht="15.75" customHeight="1">
      <c r="A1362" s="1">
        <v>1360.0</v>
      </c>
      <c r="B1362" s="3" t="s">
        <v>1363</v>
      </c>
      <c r="C1362" s="3" t="str">
        <f>IFERROR(__xludf.DUMMYFUNCTION("GOOGLETRANSLATE(B1362,""id"",""en"")"),"['notice', 'notification', 'leftover', 'quota', 'message', 'access',' internet ',' non ',' non ',' pulse ',' pulse ',' Package ',' disappointed ',' user ',' ']")</f>
        <v>['notice', 'notification', 'leftover', 'quota', 'message', 'access',' internet ',' non ',' non ',' pulse ',' pulse ',' Package ',' disappointed ',' user ',' ']</v>
      </c>
      <c r="D1362" s="3">
        <v>2.0</v>
      </c>
    </row>
    <row r="1363" ht="15.75" customHeight="1">
      <c r="A1363" s="1">
        <v>1361.0</v>
      </c>
      <c r="B1363" s="3" t="s">
        <v>1364</v>
      </c>
      <c r="C1363" s="3" t="str">
        <f>IFERROR(__xludf.DUMMYFUNCTION("GOOGLETRANSLATE(B1363,""id"",""en"")"),"['Package', 'expensive', 'quality', 'signal', 'bad', 'send', 'message', 'understand', 'complaint', 'customer', 'veronica', 'robot', ' Understand ',' Customers', 'Network', 'deteriorates',' No ',' Connect ',' Lho ',' Dare ',' Face ',' Complaints', 'Pelanga"&amp;"n', 'Your Seti', '']")</f>
        <v>['Package', 'expensive', 'quality', 'signal', 'bad', 'send', 'message', 'understand', 'complaint', 'customer', 'veronica', 'robot', ' Understand ',' Customers', 'Network', 'deteriorates',' No ',' Connect ',' Lho ',' Dare ',' Face ',' Complaints', 'Pelangan', 'Your Seti', '']</v>
      </c>
      <c r="D1363" s="3">
        <v>1.0</v>
      </c>
    </row>
    <row r="1364" ht="15.75" customHeight="1">
      <c r="A1364" s="1">
        <v>1362.0</v>
      </c>
      <c r="B1364" s="3" t="s">
        <v>1365</v>
      </c>
      <c r="C1364" s="3" t="str">
        <f>IFERROR(__xludf.DUMMYFUNCTION("GOOGLETRANSLATE(B1364,""id"",""en"")"),"['Costs',' transactions', 'data', 'KB', 'Costs',' Sorry ',' Telkomsel ',' Disappointed ',' Fill ',' Credit ',' Out ',' Cut ',' MyTelkomsel ',' ']")</f>
        <v>['Costs',' transactions', 'data', 'KB', 'Costs',' Sorry ',' Telkomsel ',' Disappointed ',' Fill ',' Credit ',' Out ',' Cut ',' MyTelkomsel ',' ']</v>
      </c>
      <c r="D1364" s="3">
        <v>1.0</v>
      </c>
    </row>
    <row r="1365" ht="15.75" customHeight="1">
      <c r="A1365" s="1">
        <v>1363.0</v>
      </c>
      <c r="B1365" s="3" t="s">
        <v>1366</v>
      </c>
      <c r="C1365" s="3" t="str">
        <f>IFERROR(__xludf.DUMMYFUNCTION("GOOGLETRANSLATE(B1365,""id"",""en"")"),"['Application', 'Emotion', 'Written', 'Application', 'Points',' Top ',' Credit ',' Exchange ',' Switch ',' Failed ',' Rescuance ',' sufficient ',' limit ',' exchange ',' please ',' complaints', 'hope', 'response', 'udh', 'mending', 'replace', 'card', 'sig"&amp;"nal', 'ugly' ]")</f>
        <v>['Application', 'Emotion', 'Written', 'Application', 'Points',' Top ',' Credit ',' Exchange ',' Switch ',' Failed ',' Rescuance ',' sufficient ',' limit ',' exchange ',' please ',' complaints', 'hope', 'response', 'udh', 'mending', 'replace', 'card', 'signal', 'ugly' ]</v>
      </c>
      <c r="D1365" s="3">
        <v>1.0</v>
      </c>
    </row>
    <row r="1366" ht="15.75" customHeight="1">
      <c r="A1366" s="1">
        <v>1364.0</v>
      </c>
      <c r="B1366" s="3" t="s">
        <v>1367</v>
      </c>
      <c r="C1366" s="3" t="str">
        <f>IFERROR(__xludf.DUMMYFUNCTION("GOOGLETRANSLATE(B1366,""id"",""en"")"),"['network', 'Telkomsel', 'slow', 'already', 'night', 'slow', 'belik', 'package', 'combo', 'magic', 'unlimited', 'slow', ' package ',' unlimited ',' sampe ',' harmed ',' until ',' switch ',' provider ',' complained ',' slow ',' Please ',' repaired ',' chea"&amp;"ted ',' use ' , 'Telkomsel', 'SELELET', 'Please', 'Noted', 'Terimkasih']")</f>
        <v>['network', 'Telkomsel', 'slow', 'already', 'night', 'slow', 'belik', 'package', 'combo', 'magic', 'unlimited', 'slow', ' package ',' unlimited ',' sampe ',' harmed ',' until ',' switch ',' provider ',' complained ',' slow ',' Please ',' repaired ',' cheated ',' use ' , 'Telkomsel', 'SELELET', 'Please', 'Noted', 'Terimkasih']</v>
      </c>
      <c r="D1366" s="3">
        <v>2.0</v>
      </c>
    </row>
    <row r="1367" ht="15.75" customHeight="1">
      <c r="A1367" s="1">
        <v>1365.0</v>
      </c>
      <c r="B1367" s="3" t="s">
        <v>1368</v>
      </c>
      <c r="C1367" s="3" t="str">
        <f>IFERROR(__xludf.DUMMYFUNCTION("GOOGLETRANSLATE(B1367,""id"",""en"")"),"['Sangat', 'bad', 'like', 'take', 'pulse', 'org', 'bnyk', 'bid', 'told', 'pay', 'subscription', 'subscription', ' Posts', 'subscribe', 'Season', 'get', 'SMS', 'Telkomsel', 'Udh', 'Kyk', 'Disappointed']")</f>
        <v>['Sangat', 'bad', 'like', 'take', 'pulse', 'org', 'bnyk', 'bid', 'told', 'pay', 'subscription', 'subscription', ' Posts', 'subscribe', 'Season', 'get', 'SMS', 'Telkomsel', 'Udh', 'Kyk', 'Disappointed']</v>
      </c>
      <c r="D1367" s="3">
        <v>1.0</v>
      </c>
    </row>
    <row r="1368" ht="15.75" customHeight="1">
      <c r="A1368" s="1">
        <v>1366.0</v>
      </c>
      <c r="B1368" s="3" t="s">
        <v>1369</v>
      </c>
      <c r="C1368" s="3" t="str">
        <f>IFERROR(__xludf.DUMMYFUNCTION("GOOGLETRANSLATE(B1368,""id"",""en"")"),"['signal', 'lemooot', 'guard', 'please', 'fix', 'signal', 'good', 'stay', 'city', 'ploll "",' really ',' signal ',' Lemottt ',' Bangangett ',' see ',' YouTube ',' send ',' message ',' pending ',' quota ',' GB ',' Abis', 'Abis',' njirrt ' , '']")</f>
        <v>['signal', 'lemooot', 'guard', 'please', 'fix', 'signal', 'good', 'stay', 'city', 'ploll ",' really ',' signal ',' Lemottt ',' Bangangett ',' see ',' YouTube ',' send ',' message ',' pending ',' quota ',' GB ',' Abis', 'Abis',' njirrt ' , '']</v>
      </c>
      <c r="D1368" s="3">
        <v>1.0</v>
      </c>
    </row>
    <row r="1369" ht="15.75" customHeight="1">
      <c r="A1369" s="1">
        <v>1367.0</v>
      </c>
      <c r="B1369" s="3" t="s">
        <v>1370</v>
      </c>
      <c r="C1369" s="3" t="str">
        <f>IFERROR(__xludf.DUMMYFUNCTION("GOOGLETRANSLATE(B1369,""id"",""en"")"),"['policy', 'purchase', 'package', 'data', 'friendly', 'package', 'promo', 'change', 'replace', 'quota', 'accumulated', 'sucks',' disappointed ',' policy ',' Telkomsel ',' use ',' operator ',' buy ',' package ',' data ',' sms', 'package', 'talk', 'apply', "&amp;"'following' , 'On', 'card', 'Telkomsel', 'Different', 'quota', 'abundant', 'active', 'mentok', 'a month', 'Mbois', 'Rek', ""]")</f>
        <v>['policy', 'purchase', 'package', 'data', 'friendly', 'package', 'promo', 'change', 'replace', 'quota', 'accumulated', 'sucks',' disappointed ',' policy ',' Telkomsel ',' use ',' operator ',' buy ',' package ',' data ',' sms', 'package', 'talk', 'apply', 'following' , 'On', 'card', 'Telkomsel', 'Different', 'quota', 'abundant', 'active', 'mentok', 'a month', 'Mbois', 'Rek', "]</v>
      </c>
      <c r="D1369" s="3">
        <v>1.0</v>
      </c>
    </row>
    <row r="1370" ht="15.75" customHeight="1">
      <c r="A1370" s="1">
        <v>1368.0</v>
      </c>
      <c r="B1370" s="3" t="s">
        <v>1371</v>
      </c>
      <c r="C1370" s="3" t="str">
        <f>IFERROR(__xludf.DUMMYFUNCTION("GOOGLETRANSLATE(B1370,""id"",""en"")"),"['Please', 'fix', 'system', 'Telkomsel', 'enter', 'voucher', 'quota', 'difficult', 'gini', 'sorry', 'system', 'busy', ' Please ',' Wait ',' knpa ',' yaa ',' difficult ']")</f>
        <v>['Please', 'fix', 'system', 'Telkomsel', 'enter', 'voucher', 'quota', 'difficult', 'gini', 'sorry', 'system', 'busy', ' Please ',' Wait ',' knpa ',' yaa ',' difficult ']</v>
      </c>
      <c r="D1370" s="3">
        <v>1.0</v>
      </c>
    </row>
    <row r="1371" ht="15.75" customHeight="1">
      <c r="A1371" s="1">
        <v>1369.0</v>
      </c>
      <c r="B1371" s="3" t="s">
        <v>1372</v>
      </c>
      <c r="C1371" s="3" t="str">
        <f>IFERROR(__xludf.DUMMYFUNCTION("GOOGLETRANSLATE(B1371,""id"",""en"")"),"['Knp', 'area', 'signal', 'battered', 'AXIS', 'Telkomsel', 'Region', 'repay', 'GMN', 'Region', 'Cibinong', 'Bogor', ' Feature ',' Golf ',' Try ',' Please ',' Fix ',' Uda ',' Buy ',' Expensive ',' Expensive ',' Quota ',' Signal ',' Maen ',' Game ' , 'Seaso"&amp;"n', 'uda', 'good', 'bgin', '']")</f>
        <v>['Knp', 'area', 'signal', 'battered', 'AXIS', 'Telkomsel', 'Region', 'repay', 'GMN', 'Region', 'Cibinong', 'Bogor', ' Feature ',' Golf ',' Try ',' Please ',' Fix ',' Uda ',' Buy ',' Expensive ',' Expensive ',' Quota ',' Signal ',' Maen ',' Game ' , 'Season', 'uda', 'good', 'bgin', '']</v>
      </c>
      <c r="D1371" s="3">
        <v>1.0</v>
      </c>
    </row>
    <row r="1372" ht="15.75" customHeight="1">
      <c r="A1372" s="1">
        <v>1370.0</v>
      </c>
      <c r="B1372" s="3" t="s">
        <v>1373</v>
      </c>
      <c r="C1372" s="3" t="str">
        <f>IFERROR(__xludf.DUMMYFUNCTION("GOOGLETRANSLATE(B1372,""id"",""en"")"),"['Please', 'die', 'lmpu', 'die', 'also', 'signal', 'already', 'clock', 'disturbed', 'learn', 'like', 'gini', ' cards', 'expensive', 'network', 'ugly', 'gpp', 'expensive', 'signal', 'good', 'kayak', 'gini', 'then', 'take refuge', 'bnyk' , 'promo', 'interes"&amp;"ting', 'please', ""]")</f>
        <v>['Please', 'die', 'lmpu', 'die', 'also', 'signal', 'already', 'clock', 'disturbed', 'learn', 'like', 'gini', ' cards', 'expensive', 'network', 'ugly', 'gpp', 'expensive', 'signal', 'good', 'kayak', 'gini', 'then', 'take refuge', 'bnyk' , 'promo', 'interesting', 'please', "]</v>
      </c>
      <c r="D1372" s="3">
        <v>1.0</v>
      </c>
    </row>
    <row r="1373" ht="15.75" customHeight="1">
      <c r="A1373" s="1">
        <v>1371.0</v>
      </c>
      <c r="B1373" s="3" t="s">
        <v>1374</v>
      </c>
      <c r="C1373" s="3" t="str">
        <f>IFERROR(__xludf.DUMMYFUNCTION("GOOGLETRANSLATE(B1373,""id"",""en"")"),"['Master', 'already', 'chatting', 'Sampe', 'in my opinion', 'Telkomsel', 'loss',' fangs', 'rich', 'Equek', 'Equek', 'Telkomsell', ' cards', 'Active', 'Nyolong', 'credit', 'buy', 'pulse', 'package', 'data', 'service', 'anything', 'already', 'disappear', 'p"&amp;"ulses' , '']")</f>
        <v>['Master', 'already', 'chatting', 'Sampe', 'in my opinion', 'Telkomsel', 'loss',' fangs', 'rich', 'Equek', 'Equek', 'Telkomsell', ' cards', 'Active', 'Nyolong', 'credit', 'buy', 'pulse', 'package', 'data', 'service', 'anything', 'already', 'disappear', 'pulses' , '']</v>
      </c>
      <c r="D1373" s="3">
        <v>1.0</v>
      </c>
    </row>
    <row r="1374" ht="15.75" customHeight="1">
      <c r="A1374" s="1">
        <v>1372.0</v>
      </c>
      <c r="B1374" s="3" t="s">
        <v>1375</v>
      </c>
      <c r="C1374" s="3" t="str">
        <f>IFERROR(__xludf.DUMMYFUNCTION("GOOGLETRANSLATE(B1374,""id"",""en"")"),"['Nggk', 'bought', 'package', 'cheerful', 'information', 'process',' 4 hours', 'wait', 'no', 'entered', 'MyTelkomsel', ' Ganguan ',' Please ',' Telkomsel ',' Help ',' ']")</f>
        <v>['Nggk', 'bought', 'package', 'cheerful', 'information', 'process',' 4 hours', 'wait', 'no', 'entered', 'MyTelkomsel', ' Ganguan ',' Please ',' Telkomsel ',' Help ',' ']</v>
      </c>
      <c r="D1374" s="3">
        <v>1.0</v>
      </c>
    </row>
    <row r="1375" ht="15.75" customHeight="1">
      <c r="A1375" s="1">
        <v>1373.0</v>
      </c>
      <c r="B1375" s="3" t="s">
        <v>1376</v>
      </c>
      <c r="C1375" s="3" t="str">
        <f>IFERROR(__xludf.DUMMYFUNCTION("GOOGLETRANSLATE(B1375,""id"",""en"")"),"['buy', 'package', 'data', 'unlimited', 'succeed', 'until', 'sekrng', 'sedangkn', 'balance', 'shopee', 'pay', 'sudh', ' Trots', 'GMN', 'Sampe', 'Package', 'Gada', 'TPI', 'Balance', 'Nggk', 'Change', 'Loss',' Please ',' Spries', 'Gini' , 'harmful']")</f>
        <v>['buy', 'package', 'data', 'unlimited', 'succeed', 'until', 'sekrng', 'sedangkn', 'balance', 'shopee', 'pay', 'sudh', ' Trots', 'GMN', 'Sampe', 'Package', 'Gada', 'TPI', 'Balance', 'Nggk', 'Change', 'Loss',' Please ',' Spries', 'Gini' , 'harmful']</v>
      </c>
      <c r="D1375" s="3">
        <v>1.0</v>
      </c>
    </row>
    <row r="1376" ht="15.75" customHeight="1">
      <c r="A1376" s="1">
        <v>1374.0</v>
      </c>
      <c r="B1376" s="3" t="s">
        <v>1377</v>
      </c>
      <c r="C1376" s="3" t="str">
        <f>IFERROR(__xludf.DUMMYFUNCTION("GOOGLETRANSLATE(B1376,""id"",""en"")"),"['disappointing', 'network', 'ping', 'down', 'stable', 'natural', 'change', 'interrupt', 'play', 'game', 'please', 'enhanced', ' ']")</f>
        <v>['disappointing', 'network', 'ping', 'down', 'stable', 'natural', 'change', 'interrupt', 'play', 'game', 'please', 'enhanced', ' ']</v>
      </c>
      <c r="D1376" s="3">
        <v>1.0</v>
      </c>
    </row>
    <row r="1377" ht="15.75" customHeight="1">
      <c r="A1377" s="1">
        <v>1375.0</v>
      </c>
      <c r="B1377" s="3" t="s">
        <v>1378</v>
      </c>
      <c r="C1377" s="3" t="str">
        <f>IFERROR(__xludf.DUMMYFUNCTION("GOOGLETRANSLATE(B1377,""id"",""en"")"),"['Sorry', 'star', 'ping', 'network', 'down', 'stable', 'lag', 'play', 'game', 'application', 'MyTelkomsel', 'slow', ' loading ',' difficult ',' buy ',' package ',' Gara ',' Gara ',' Loading ',' ']")</f>
        <v>['Sorry', 'star', 'ping', 'network', 'down', 'stable', 'lag', 'play', 'game', 'application', 'MyTelkomsel', 'slow', ' loading ',' difficult ',' buy ',' package ',' Gara ',' Gara ',' Loading ',' ']</v>
      </c>
      <c r="D1377" s="3">
        <v>3.0</v>
      </c>
    </row>
    <row r="1378" ht="15.75" customHeight="1">
      <c r="A1378" s="1">
        <v>1376.0</v>
      </c>
      <c r="B1378" s="3" t="s">
        <v>1379</v>
      </c>
      <c r="C1378" s="3" t="str">
        <f>IFERROR(__xludf.DUMMYFUNCTION("GOOGLETRANSLATE(B1378,""id"",""en"")"),"['Region', 'Bantargebang', 'Sousal', 'Severe', 'Internet', 'No.', 'Currently', 'Network', 'Leet', 'Change', 'Number', 'Privider', ' NIIII ',' NGAI ',' Bintang ',' Loss']")</f>
        <v>['Region', 'Bantargebang', 'Sousal', 'Severe', 'Internet', 'No.', 'Currently', 'Network', 'Leet', 'Change', 'Number', 'Privider', ' NIIII ',' NGAI ',' Bintang ',' Loss']</v>
      </c>
      <c r="D1378" s="3">
        <v>1.0</v>
      </c>
    </row>
    <row r="1379" ht="15.75" customHeight="1">
      <c r="A1379" s="1">
        <v>1377.0</v>
      </c>
      <c r="B1379" s="3" t="s">
        <v>1380</v>
      </c>
      <c r="C1379" s="3" t="str">
        <f>IFERROR(__xludf.DUMMYFUNCTION("GOOGLETRANSLATE(B1379,""id"",""en"")"),"['propblem', 'koata', 'expensive', 'card', 'prepaid', 'other', 'signal', 'stable', 'down', 'right', 'rain', 'Kasian', ' Customers', 'already', 'many years',' use ',' service ',' bad ']")</f>
        <v>['propblem', 'koata', 'expensive', 'card', 'prepaid', 'other', 'signal', 'stable', 'down', 'right', 'rain', 'Kasian', ' Customers', 'already', 'many years',' use ',' service ',' bad ']</v>
      </c>
      <c r="D1379" s="3">
        <v>1.0</v>
      </c>
    </row>
    <row r="1380" ht="15.75" customHeight="1">
      <c r="A1380" s="1">
        <v>1378.0</v>
      </c>
      <c r="B1380" s="3" t="s">
        <v>1381</v>
      </c>
      <c r="C1380" s="3" t="str">
        <f>IFERROR(__xludf.DUMMYFUNCTION("GOOGLETRANSLATE(B1380,""id"",""en"")"),"['already', 'Semingu', 'Signal', 'Telkomsel', 'Kalimantan', 'Village', 'Island', 'Kupang', 'Kec', 'Bataguh', 'Kapuas',' Kapuas', ' disorders', 'capable', 'Makai', 'Telkomsel', 'already', 'package', 'expensive', 'service', 'bad', '']")</f>
        <v>['already', 'Semingu', 'Signal', 'Telkomsel', 'Kalimantan', 'Village', 'Island', 'Kupang', 'Kec', 'Bataguh', 'Kapuas',' Kapuas', ' disorders', 'capable', 'Makai', 'Telkomsel', 'already', 'package', 'expensive', 'service', 'bad', '']</v>
      </c>
      <c r="D1380" s="3">
        <v>1.0</v>
      </c>
    </row>
    <row r="1381" ht="15.75" customHeight="1">
      <c r="A1381" s="1">
        <v>1379.0</v>
      </c>
      <c r="B1381" s="3" t="s">
        <v>1382</v>
      </c>
      <c r="C1381" s="3" t="str">
        <f>IFERROR(__xludf.DUMMYFUNCTION("GOOGLETRANSLATE(B1381,""id"",""en"")"),"['crazy', 'pulse', 'regular', 'suck', 'abis',' until ',' rupiah ',' package ',' internet ',' call ',' sms', 'internet', ' Doang ',' suggestion ',' buy ',' package ',' Sisain ',' pulse ',' regular ',' abis', 'pulse', 'regular', 'kenyot', ""]")</f>
        <v>['crazy', 'pulse', 'regular', 'suck', 'abis',' until ',' rupiah ',' package ',' internet ',' call ',' sms', 'internet', ' Doang ',' suggestion ',' buy ',' package ',' Sisain ',' pulse ',' regular ',' abis', 'pulse', 'regular', 'kenyot', "]</v>
      </c>
      <c r="D1381" s="3">
        <v>1.0</v>
      </c>
    </row>
    <row r="1382" ht="15.75" customHeight="1">
      <c r="A1382" s="1">
        <v>1380.0</v>
      </c>
      <c r="B1382" s="3" t="s">
        <v>1383</v>
      </c>
      <c r="C1382" s="3" t="str">
        <f>IFERROR(__xludf.DUMMYFUNCTION("GOOGLETRANSLATE(B1382,""id"",""en"")"),"['KNPA', 'promo', 'promo', 'internet', 'application', 'friend', 'use', 'application', 'promo', 'bnyak', 'times',' mistake ',' Dimn ',' ']")</f>
        <v>['KNPA', 'promo', 'promo', 'internet', 'application', 'friend', 'use', 'application', 'promo', 'bnyak', 'times',' mistake ',' Dimn ',' ']</v>
      </c>
      <c r="D1382" s="3">
        <v>2.0</v>
      </c>
    </row>
    <row r="1383" ht="15.75" customHeight="1">
      <c r="A1383" s="1">
        <v>1381.0</v>
      </c>
      <c r="B1383" s="3" t="s">
        <v>1384</v>
      </c>
      <c r="C1383" s="3" t="str">
        <f>IFERROR(__xludf.DUMMYFUNCTION("GOOGLETRANSLATE(B1383,""id"",""en"")"),"['seller', 'voucher', 'quota', 'card', 'prime', 'River', 'buyer', 'Telkomsel', 'shy', 'Roving', 'Telkomsel', 'the network', ' Leet ']")</f>
        <v>['seller', 'voucher', 'quota', 'card', 'prime', 'River', 'buyer', 'Telkomsel', 'shy', 'Roving', 'Telkomsel', 'the network', ' Leet ']</v>
      </c>
      <c r="D1383" s="3">
        <v>1.0</v>
      </c>
    </row>
    <row r="1384" ht="15.75" customHeight="1">
      <c r="A1384" s="1">
        <v>1382.0</v>
      </c>
      <c r="B1384" s="3" t="s">
        <v>1385</v>
      </c>
      <c r="C1384" s="3" t="str">
        <f>IFERROR(__xludf.DUMMYFUNCTION("GOOGLETRANSLATE(B1384,""id"",""en"")"),"['network', 'Telkomsel', 'slow', 'package', 'data', 'network', 'loading', 'really', 'PDAHL', 'KEK', 'GINI']")</f>
        <v>['network', 'Telkomsel', 'slow', 'package', 'data', 'network', 'loading', 'really', 'PDAHL', 'KEK', 'GINI']</v>
      </c>
      <c r="D1384" s="3">
        <v>3.0</v>
      </c>
    </row>
    <row r="1385" ht="15.75" customHeight="1">
      <c r="A1385" s="1">
        <v>1383.0</v>
      </c>
      <c r="B1385" s="3" t="s">
        <v>1386</v>
      </c>
      <c r="C1385" s="3" t="str">
        <f>IFERROR(__xludf.DUMMYFUNCTION("GOOGLETRANSLATE(B1385,""id"",""en"")"),"['Application', 'Lord', 'Install', 'Application', 'Credit', 'Lost', 'Rb', 'Transaction', 'Whatever', 'Description', 'Dline', 'Data', ' History ',' nil ',' leftover ',' credit ',' rb ',' application ',' change ',' loss', 'report', 'ylki', ""]")</f>
        <v>['Application', 'Lord', 'Install', 'Application', 'Credit', 'Lost', 'Rb', 'Transaction', 'Whatever', 'Description', 'Dline', 'Data', ' History ',' nil ',' leftover ',' credit ',' rb ',' application ',' change ',' loss', 'report', 'ylki', "]</v>
      </c>
      <c r="D1385" s="3">
        <v>1.0</v>
      </c>
    </row>
    <row r="1386" ht="15.75" customHeight="1">
      <c r="A1386" s="1">
        <v>1384.0</v>
      </c>
      <c r="B1386" s="3" t="s">
        <v>1387</v>
      </c>
      <c r="C1386" s="3" t="str">
        <f>IFERROR(__xludf.DUMMYFUNCTION("GOOGLETRANSLATE(B1386,""id"",""en"")"),"['Telkomsel', 'Telkomsel', 'disappointing', 'area', 'Dolok', 'glare', 'please', 'understand', 'smooth', 'Indosat', 'please', 'responded', ' Side ',' Tower ',' Telkomsel ',' Kayak ',' Anjrit ', ""]")</f>
        <v>['Telkomsel', 'Telkomsel', 'disappointing', 'area', 'Dolok', 'glare', 'please', 'understand', 'smooth', 'Indosat', 'please', 'responded', ' Side ',' Tower ',' Telkomsel ',' Kayak ',' Anjrit ', "]</v>
      </c>
      <c r="D1386" s="3">
        <v>1.0</v>
      </c>
    </row>
    <row r="1387" ht="15.75" customHeight="1">
      <c r="A1387" s="1">
        <v>1385.0</v>
      </c>
      <c r="B1387" s="3" t="s">
        <v>1388</v>
      </c>
      <c r="C1387" s="3" t="str">
        <f>IFERROR(__xludf.DUMMYFUNCTION("GOOGLETRANSLATE(B1387,""id"",""en"")"),"['Love', 'Bintang', 'already', 'Lock', 'Button', 'keep', 'pulse', 'save', 'data', 'useful', 'forget', 'Matiin', ' data ',' quota ',' already ',' san ',' pulse ',' please ',' telkom ',' sisin ',' lock ',' button ',' worry ',' pulse ',' lost ' , 'because', "&amp;"'forget', 'Matiin', 'data', 'at the same time', 'quota', 'run out', 'validated', 'run out', 'telkom', 'please']")</f>
        <v>['Love', 'Bintang', 'already', 'Lock', 'Button', 'keep', 'pulse', 'save', 'data', 'useful', 'forget', 'Matiin', ' data ',' quota ',' already ',' san ',' pulse ',' please ',' telkom ',' sisin ',' lock ',' button ',' worry ',' pulse ',' lost ' , 'because', 'forget', 'Matiin', 'data', 'at the same time', 'quota', 'run out', 'validated', 'run out', 'telkom', 'please']</v>
      </c>
      <c r="D1387" s="3">
        <v>2.0</v>
      </c>
    </row>
    <row r="1388" ht="15.75" customHeight="1">
      <c r="A1388" s="1">
        <v>1386.0</v>
      </c>
      <c r="B1388" s="3" t="s">
        <v>1389</v>
      </c>
      <c r="C1388" s="3" t="str">
        <f>IFERROR(__xludf.DUMMYFUNCTION("GOOGLETRANSLATE(B1388,""id"",""en"")"),"['Bad', 'Tawarin', 'Package', 'Internet', 'Unlimited', 'for', 'RB', 'SMS', 'Click', 'Enter', 'Telkomsel', 'Take', ' Package ',' Purchase ',' SUCCESS ',' Credit ',' Cut ',' RB ',' Check ',' Package ',' Contact ',' Call ',' Center ',' Response ',' Waiting '"&amp;" , 'Call', 'Call', 'Center', 'as', 'center', 'complaint', 'Consumer', 'complaints', 'submitted', 'complaint', 'talking', 'disappointed']")</f>
        <v>['Bad', 'Tawarin', 'Package', 'Internet', 'Unlimited', 'for', 'RB', 'SMS', 'Click', 'Enter', 'Telkomsel', 'Take', ' Package ',' Purchase ',' SUCCESS ',' Credit ',' Cut ',' RB ',' Check ',' Package ',' Contact ',' Call ',' Center ',' Response ',' Waiting ' , 'Call', 'Call', 'Center', 'as', 'center', 'complaint', 'Consumer', 'complaints', 'submitted', 'complaint', 'talking', 'disappointed']</v>
      </c>
      <c r="D1388" s="3">
        <v>1.0</v>
      </c>
    </row>
    <row r="1389" ht="15.75" customHeight="1">
      <c r="A1389" s="1">
        <v>1387.0</v>
      </c>
      <c r="B1389" s="3" t="s">
        <v>1390</v>
      </c>
      <c r="C1389" s="3" t="str">
        <f>IFERROR(__xludf.DUMMYFUNCTION("GOOGLETRANSLATE(B1389,""id"",""en"")"),"['Dear', 'Telkomsel', 'Dear', 'Fix', 'Signal', 'Please', 'Customize', 'Price', 'Package', 'Reduce', 'Price', 'Soar', ' price']")</f>
        <v>['Dear', 'Telkomsel', 'Dear', 'Fix', 'Signal', 'Please', 'Customize', 'Price', 'Package', 'Reduce', 'Price', 'Soar', ' price']</v>
      </c>
      <c r="D1389" s="3">
        <v>1.0</v>
      </c>
    </row>
    <row r="1390" ht="15.75" customHeight="1">
      <c r="A1390" s="1">
        <v>1388.0</v>
      </c>
      <c r="B1390" s="3" t="s">
        <v>1391</v>
      </c>
      <c r="C1390" s="3" t="str">
        <f>IFERROR(__xludf.DUMMYFUNCTION("GOOGLETRANSLATE(B1390,""id"",""en"")"),"['Please', 'Buy', 'Package', 'Data', 'Content', 'Shop', 'Different', 'Sister', 'BLI', 'Package', 'Data', 'appears',' Sister ',' fair ',' ']")</f>
        <v>['Please', 'Buy', 'Package', 'Data', 'Content', 'Shop', 'Different', 'Sister', 'BLI', 'Package', 'Data', 'appears',' Sister ',' fair ',' ']</v>
      </c>
      <c r="D1390" s="3">
        <v>3.0</v>
      </c>
    </row>
    <row r="1391" ht="15.75" customHeight="1">
      <c r="A1391" s="1">
        <v>1389.0</v>
      </c>
      <c r="B1391" s="3" t="s">
        <v>1392</v>
      </c>
      <c r="C1391" s="3" t="str">
        <f>IFERROR(__xludf.DUMMYFUNCTION("GOOGLETRANSLATE(B1391,""id"",""en"")"),"['Thank you', 'Karna', 'Card', 'Telkomsel', 'Task', 'Value', 'Push', 'Rank', 'Minus',' Minus', 'Gaming', 'Meet', ' Yaaaaaaaa ']")</f>
        <v>['Thank you', 'Karna', 'Card', 'Telkomsel', 'Task', 'Value', 'Push', 'Rank', 'Minus',' Minus', 'Gaming', 'Meet', ' Yaaaaaaaa ']</v>
      </c>
      <c r="D1391" s="3">
        <v>5.0</v>
      </c>
    </row>
    <row r="1392" ht="15.75" customHeight="1">
      <c r="A1392" s="1">
        <v>1390.0</v>
      </c>
      <c r="B1392" s="3" t="s">
        <v>1393</v>
      </c>
      <c r="C1392" s="3" t="str">
        <f>IFERROR(__xludf.DUMMYFUNCTION("GOOGLETRANSLATE(B1392,""id"",""en"")"),"['Signal', 'Telkomsel', 'Severe', 'Kyk', 'Gini', 'Gini', 'slow', 'really', 'oath', 'open', 'slow', 'love', ' The info ',' ']")</f>
        <v>['Signal', 'Telkomsel', 'Severe', 'Kyk', 'Gini', 'Gini', 'slow', 'really', 'oath', 'open', 'slow', 'love', ' The info ',' ']</v>
      </c>
      <c r="D1392" s="3">
        <v>4.0</v>
      </c>
    </row>
    <row r="1393" ht="15.75" customHeight="1">
      <c r="A1393" s="1">
        <v>1391.0</v>
      </c>
      <c r="B1393" s="3" t="s">
        <v>1394</v>
      </c>
      <c r="C1393" s="3" t="str">
        <f>IFERROR(__xludf.DUMMYFUNCTION("GOOGLETRANSLATE(B1393,""id"",""en"")"),"['Monday', 'date', 'network', 'Telkomsel', 'slow', 'severe', 'pke', 'nge', 'grab', 'kaga', 'connects',' normal ',' Please, 'Fix', 'System', 'Disappointed', 'THN', 'PKE', 'Telkomsel', 'Network', 'Good', 'Please', 'Read', 'Bossss', ""]")</f>
        <v>['Monday', 'date', 'network', 'Telkomsel', 'slow', 'severe', 'pke', 'nge', 'grab', 'kaga', 'connects',' normal ',' Please, 'Fix', 'System', 'Disappointed', 'THN', 'PKE', 'Telkomsel', 'Network', 'Good', 'Please', 'Read', 'Bossss', "]</v>
      </c>
      <c r="D1393" s="3">
        <v>1.0</v>
      </c>
    </row>
    <row r="1394" ht="15.75" customHeight="1">
      <c r="A1394" s="1">
        <v>1392.0</v>
      </c>
      <c r="B1394" s="3" t="s">
        <v>1395</v>
      </c>
      <c r="C1394" s="3" t="str">
        <f>IFERROR(__xludf.DUMMYFUNCTION("GOOGLETRANSLATE(B1394,""id"",""en"")"),"['ugly', 'really', 'boong', 'haaaaa', '']")</f>
        <v>['ugly', 'really', 'boong', 'haaaaa', '']</v>
      </c>
      <c r="D1394" s="3">
        <v>5.0</v>
      </c>
    </row>
    <row r="1395" ht="15.75" customHeight="1">
      <c r="A1395" s="1">
        <v>1393.0</v>
      </c>
      <c r="B1395" s="3" t="s">
        <v>1396</v>
      </c>
      <c r="C1395" s="3" t="str">
        <f>IFERROR(__xludf.DUMMYFUNCTION("GOOGLETRANSLATE(B1395,""id"",""en"")"),"['wonder', 'buy', 'package', 'combo', 'monthly', 'covers',' internet ',' phone ',' sms', 'bonus',' monetary ',' rb ',' applies', 'spent', 'package', 'call', 'sms',' monthly ',' a day ',' just ',' pulse ',' monetary ',' donk ',' buy ',' package ' , 'Monthl"&amp;"y', 'Ahahhah', 'Napa', 'Min', ""]")</f>
        <v>['wonder', 'buy', 'package', 'combo', 'monthly', 'covers',' internet ',' phone ',' sms', 'bonus',' monetary ',' rb ',' applies', 'spent', 'package', 'call', 'sms',' monthly ',' a day ',' just ',' pulse ',' monetary ',' donk ',' buy ',' package ' , 'Monthly', 'Ahahhah', 'Napa', 'Min', "]</v>
      </c>
      <c r="D1395" s="3">
        <v>2.0</v>
      </c>
    </row>
    <row r="1396" ht="15.75" customHeight="1">
      <c r="A1396" s="1">
        <v>1394.0</v>
      </c>
      <c r="B1396" s="3" t="s">
        <v>1397</v>
      </c>
      <c r="C1396" s="3" t="str">
        <f>IFERROR(__xludf.DUMMYFUNCTION("GOOGLETRANSLATE(B1396,""id"",""en"")"),"['What', 'Telkomsel', 'network', 'card', 'bad', 'Kouta', 'internet', 'expensive', 'network', 'bad', 'please', 'fix', ' Add ',' called ',' Tower ',' Tower ',' Network ',' Bad ',' Clock ',' Network ',' Good ',' Clock ',' Please ',' Fix ',' The Network ' , '"&amp;"Lose', 'card', 'Indosat', 'Sihhh', 'please', 'fix', '']")</f>
        <v>['What', 'Telkomsel', 'network', 'card', 'bad', 'Kouta', 'internet', 'expensive', 'network', 'bad', 'please', 'fix', ' Add ',' called ',' Tower ',' Tower ',' Network ',' Bad ',' Clock ',' Network ',' Good ',' Clock ',' Please ',' Fix ',' The Network ' , 'Lose', 'card', 'Indosat', 'Sihhh', 'please', 'fix', '']</v>
      </c>
      <c r="D1396" s="3">
        <v>1.0</v>
      </c>
    </row>
    <row r="1397" ht="15.75" customHeight="1">
      <c r="A1397" s="1">
        <v>1395.0</v>
      </c>
      <c r="B1397" s="3" t="s">
        <v>1398</v>
      </c>
      <c r="C1397" s="3" t="str">
        <f>IFERROR(__xludf.DUMMYFUNCTION("GOOGLETRANSLATE(B1397,""id"",""en"")"),"['interesting', 'package', 'internet', 'daily', 'expensive', 'expensive', 'package', 'internet', 'missing', 'think', ""]")</f>
        <v>['interesting', 'package', 'internet', 'daily', 'expensive', 'expensive', 'package', 'internet', 'missing', 'think', "]</v>
      </c>
      <c r="D1397" s="3">
        <v>1.0</v>
      </c>
    </row>
    <row r="1398" ht="15.75" customHeight="1">
      <c r="A1398" s="1">
        <v>1396.0</v>
      </c>
      <c r="B1398" s="3" t="s">
        <v>1399</v>
      </c>
      <c r="C1398" s="3" t="str">
        <f>IFERROR(__xludf.DUMMYFUNCTION("GOOGLETRANSLATE(B1398,""id"",""en"")"),"['pulse', 'free', 'how', 'bang', 'already', 'download', 'bang', 'already', 'gunain', 'a week', 'Ngk', 'what', ' bang ',' love ',' star ',' how ',' access', 'bang', 'just', 'just', 'downloader', 'sin', 'love', 'star', 'deh' ]")</f>
        <v>['pulse', 'free', 'how', 'bang', 'already', 'download', 'bang', 'already', 'gunain', 'a week', 'Ngk', 'what', ' bang ',' love ',' star ',' how ',' access', 'bang', 'just', 'just', 'downloader', 'sin', 'love', 'star', 'deh' ]</v>
      </c>
      <c r="D1398" s="3">
        <v>1.0</v>
      </c>
    </row>
    <row r="1399" ht="15.75" customHeight="1">
      <c r="A1399" s="1">
        <v>1397.0</v>
      </c>
      <c r="B1399" s="3" t="s">
        <v>1400</v>
      </c>
      <c r="C1399" s="3" t="str">
        <f>IFERROR(__xludf.DUMMYFUNCTION("GOOGLETRANSLATE(B1399,""id"",""en"")"),"['buy', 'Package', 'YouTube', 'lie', 'buy', 'pulse', 'take', 'please', 'quota', 'fake', 'operator', 'consistent', ' The product ']")</f>
        <v>['buy', 'Package', 'YouTube', 'lie', 'buy', 'pulse', 'take', 'please', 'quota', 'fake', 'operator', 'consistent', ' The product ']</v>
      </c>
      <c r="D1399" s="3">
        <v>1.0</v>
      </c>
    </row>
    <row r="1400" ht="15.75" customHeight="1">
      <c r="A1400" s="1">
        <v>1398.0</v>
      </c>
      <c r="B1400" s="3" t="s">
        <v>1401</v>
      </c>
      <c r="C1400" s="3" t="str">
        <f>IFERROR(__xludf.DUMMYFUNCTION("GOOGLETRANSLATE(B1400,""id"",""en"")"),"['signal', 'slow', 'gini', 'area', 'housing', 'signal', 'mantep', 'obstacle', 'knp', '']")</f>
        <v>['signal', 'slow', 'gini', 'area', 'housing', 'signal', 'mantep', 'obstacle', 'knp', '']</v>
      </c>
      <c r="D1400" s="3">
        <v>4.0</v>
      </c>
    </row>
    <row r="1401" ht="15.75" customHeight="1">
      <c r="A1401" s="1">
        <v>1399.0</v>
      </c>
      <c r="B1401" s="3" t="s">
        <v>1402</v>
      </c>
      <c r="C1401" s="3" t="str">
        <f>IFERROR(__xludf.DUMMYFUNCTION("GOOGLETRANSLATE(B1401,""id"",""en"")"),"['good', 'service', 'Telkomsel', 'contents',' voucher ',' package ',' data ',' gakbisa ',' system ',' busy ',' wait ',' please ',' repaired ',' system ',' already ',' customer ',' switch ',' card ',' package ',' network ',' service ',' service ',' destroy"&amp;"ed ',' ']")</f>
        <v>['good', 'service', 'Telkomsel', 'contents',' voucher ',' package ',' data ',' gakbisa ',' system ',' busy ',' wait ',' please ',' repaired ',' system ',' already ',' customer ',' switch ',' card ',' package ',' network ',' service ',' service ',' destroyed ',' ']</v>
      </c>
      <c r="D1401" s="3">
        <v>1.0</v>
      </c>
    </row>
    <row r="1402" ht="15.75" customHeight="1">
      <c r="A1402" s="1">
        <v>1400.0</v>
      </c>
      <c r="B1402" s="3" t="s">
        <v>1403</v>
      </c>
      <c r="C1402" s="3" t="str">
        <f>IFERROR(__xludf.DUMMYFUNCTION("GOOGLETRANSLATE(B1402,""id"",""en"")"),"['MyTelkomsel', 'Dear', 'Stop', 'Data', 'Cutting', 'Credit', 'Package', 'Out', 'Kaliii', 'Complaints',' Realized ',' Use ',' program ',' requirements ',' MNT ',' drive ',' loss ',' credit ',' RbU ',' Hny ',' Look "", 'Pants', 'Package', 'Sya', 'run out' ,"&amp;" 'think', 'nominal', 'TPI', 'how', 'Sya', 'drive', 'clock', 'pulse', 'sya', 'rbu', 'ludesss',' left ',' Even silver ',' ']")</f>
        <v>['MyTelkomsel', 'Dear', 'Stop', 'Data', 'Cutting', 'Credit', 'Package', 'Out', 'Kaliii', 'Complaints',' Realized ',' Use ',' program ',' requirements ',' MNT ',' drive ',' loss ',' credit ',' RbU ',' Hny ',' Look ", 'Pants', 'Package', 'Sya', 'run out' , 'think', 'nominal', 'TPI', 'how', 'Sya', 'drive', 'clock', 'pulse', 'sya', 'rbu', 'ludesss',' left ',' Even silver ',' ']</v>
      </c>
      <c r="D1402" s="3">
        <v>4.0</v>
      </c>
    </row>
    <row r="1403" ht="15.75" customHeight="1">
      <c r="A1403" s="1">
        <v>1401.0</v>
      </c>
      <c r="B1403" s="3" t="s">
        <v>1404</v>
      </c>
      <c r="C1403" s="3" t="str">
        <f>IFERROR(__xludf.DUMMYFUNCTION("GOOGLETRANSLATE(B1403,""id"",""en"")"),"['Exchange', 'Points',' Helpful ',' Exchange ',' Gift ',' Ngak ',' Ngak ',' Polls', 'Exchange', 'Credit', 'Quota', 'Internet', ' Please, 'Maklumi', 'Pademi', 'Difficult', 'Search', 'Money', '']")</f>
        <v>['Exchange', 'Points',' Helpful ',' Exchange ',' Gift ',' Ngak ',' Ngak ',' Polls', 'Exchange', 'Credit', 'Quota', 'Internet', ' Please, 'Maklumi', 'Pademi', 'Difficult', 'Search', 'Money', '']</v>
      </c>
      <c r="D1403" s="3">
        <v>3.0</v>
      </c>
    </row>
    <row r="1404" ht="15.75" customHeight="1">
      <c r="A1404" s="1">
        <v>1402.0</v>
      </c>
      <c r="B1404" s="3" t="s">
        <v>1405</v>
      </c>
      <c r="C1404" s="3" t="str">
        <f>IFERROR(__xludf.DUMMYFUNCTION("GOOGLETRANSLATE(B1404,""id"",""en"")"),"['application', 'idiot', 'buy', 'package', 'emergency', 'buy it', 'contents',' pulse ',' eehhh ',' direct ',' fotong ',' please ',' Pressure ',' Hohn ',' Harms', ""]")</f>
        <v>['application', 'idiot', 'buy', 'package', 'emergency', 'buy it', 'contents',' pulse ',' eehhh ',' direct ',' fotong ',' please ',' Pressure ',' Hohn ',' Harms', "]</v>
      </c>
      <c r="D1404" s="3">
        <v>1.0</v>
      </c>
    </row>
    <row r="1405" ht="15.75" customHeight="1">
      <c r="A1405" s="1">
        <v>1403.0</v>
      </c>
      <c r="B1405" s="3" t="s">
        <v>1406</v>
      </c>
      <c r="C1405" s="3" t="str">
        <f>IFERROR(__xludf.DUMMYFUNCTION("GOOGLETRANSLATE(B1405,""id"",""en"")"),"['operator', 'Telkomsel', 'service', 'bad', 'until', 'the application', 'NGK', 'functioning', 'service', 'bad', ""]")</f>
        <v>['operator', 'Telkomsel', 'service', 'bad', 'until', 'the application', 'NGK', 'functioning', 'service', 'bad', "]</v>
      </c>
      <c r="D1405" s="3">
        <v>1.0</v>
      </c>
    </row>
    <row r="1406" ht="15.75" customHeight="1">
      <c r="A1406" s="1">
        <v>1404.0</v>
      </c>
      <c r="B1406" s="3" t="s">
        <v>1407</v>
      </c>
      <c r="C1406" s="3" t="str">
        <f>IFERROR(__xludf.DUMMYFUNCTION("GOOGLETRANSLATE(B1406,""id"",""en"")"),"['Log', 'system', 'operation', 'application', 'check', 'buy', 'pulse', 'quota', 'pkai', 'system', 'operation', 'latest' BYK ',' Public ',' PKAI ',' Sitem ',' Operations', 'Android', 'old school', 'PKai', 'Telkomsel', 'buy', ""]")</f>
        <v>['Log', 'system', 'operation', 'application', 'check', 'buy', 'pulse', 'quota', 'pkai', 'system', 'operation', 'latest' BYK ',' Public ',' PKAI ',' Sitem ',' Operations', 'Android', 'old school', 'PKai', 'Telkomsel', 'buy', "]</v>
      </c>
      <c r="D1406" s="3">
        <v>1.0</v>
      </c>
    </row>
    <row r="1407" ht="15.75" customHeight="1">
      <c r="A1407" s="1">
        <v>1405.0</v>
      </c>
      <c r="B1407" s="3" t="s">
        <v>1408</v>
      </c>
      <c r="C1407" s="3" t="str">
        <f>IFERROR(__xludf.DUMMYFUNCTION("GOOGLETRANSLATE(B1407,""id"",""en"")"),"['The application', 'network', 'error', 'internet', 'open', 'application', 'provider', 'smooth', 'smooth', 'check', 'apply', 'error', ' MHN ',' Fix ',' Application ']")</f>
        <v>['The application', 'network', 'error', 'internet', 'open', 'application', 'provider', 'smooth', 'smooth', 'check', 'apply', 'error', ' MHN ',' Fix ',' Application ']</v>
      </c>
      <c r="D1407" s="3">
        <v>1.0</v>
      </c>
    </row>
    <row r="1408" ht="15.75" customHeight="1">
      <c r="A1408" s="1">
        <v>1406.0</v>
      </c>
      <c r="B1408" s="3" t="s">
        <v>1409</v>
      </c>
      <c r="C1408" s="3" t="str">
        <f>IFERROR(__xludf.DUMMYFUNCTION("GOOGLETRANSLATE(B1408,""id"",""en"")"),"['card', 'Dbonbled', 'reason', 'already', 'scorched', 'week', 'contents', 'pulse', 'quota', 'expensive', 'network', 'slow' ']")</f>
        <v>['card', 'Dbonbled', 'reason', 'already', 'scorched', 'week', 'contents', 'pulse', 'quota', 'expensive', 'network', 'slow' ']</v>
      </c>
      <c r="D1408" s="3">
        <v>2.0</v>
      </c>
    </row>
    <row r="1409" ht="15.75" customHeight="1">
      <c r="A1409" s="1">
        <v>1407.0</v>
      </c>
      <c r="B1409" s="3" t="s">
        <v>1410</v>
      </c>
      <c r="C1409" s="3" t="str">
        <f>IFERROR(__xludf.DUMMYFUNCTION("GOOGLETRANSLATE(B1409,""id"",""en"")"),"['customers',' sympathy ',' Telkomsel ',' forget ',' contents', 'pulse', 'date', 'March', 'llu', 'card', 'block', 'telephone', ' Grapari ',' activation ',' card ',' sympathy ',' officer ',' activated ',' migration ',' postpaid ',' card ',' hello ',' jwb '"&amp;",' can be ',' postpaid ' , 'TTP', 'prepaid', 'ttpi', 'officer', 'disappointed', 'Please', 'low', 'heart', 'tolerance', 'use', 'card', 'prepaid', ' thank you', '']")</f>
        <v>['customers',' sympathy ',' Telkomsel ',' forget ',' contents', 'pulse', 'date', 'March', 'llu', 'card', 'block', 'telephone', ' Grapari ',' activation ',' card ',' sympathy ',' officer ',' activated ',' migration ',' postpaid ',' card ',' hello ',' jwb ',' can be ',' postpaid ' , 'TTP', 'prepaid', 'ttpi', 'officer', 'disappointed', 'Please', 'low', 'heart', 'tolerance', 'use', 'card', 'prepaid', ' thank you', '']</v>
      </c>
      <c r="D1409" s="3">
        <v>1.0</v>
      </c>
    </row>
    <row r="1410" ht="15.75" customHeight="1">
      <c r="A1410" s="1">
        <v>1408.0</v>
      </c>
      <c r="B1410" s="3" t="s">
        <v>1411</v>
      </c>
      <c r="C1410" s="3" t="str">
        <f>IFERROR(__xludf.DUMMYFUNCTION("GOOGLETRANSLATE(B1410,""id"",""en"")"),"['Telkomsel', 'cheats',' customers', 'prepaid', 'postpaid', 'postpaid', 'prepaid', 'given', 'move', 'card', 'hello', 'harm', ' ']")</f>
        <v>['Telkomsel', 'cheats',' customers', 'prepaid', 'postpaid', 'postpaid', 'prepaid', 'given', 'move', 'card', 'hello', 'harm', ' ']</v>
      </c>
      <c r="D1410" s="3">
        <v>1.0</v>
      </c>
    </row>
    <row r="1411" ht="15.75" customHeight="1">
      <c r="A1411" s="1">
        <v>1409.0</v>
      </c>
      <c r="B1411" s="3" t="s">
        <v>1412</v>
      </c>
      <c r="C1411" s="3" t="str">
        <f>IFERROR(__xludf.DUMMYFUNCTION("GOOGLETRANSLATE(B1411,""id"",""en"")"),"['The application', 'gabisa', 'opened', 'gabisa', 'checked', 'quota', 'buy', 'writing', 'told', 'refresh', 'signal', 'use', ' good', '']")</f>
        <v>['The application', 'gabisa', 'opened', 'gabisa', 'checked', 'quota', 'buy', 'writing', 'told', 'refresh', 'signal', 'use', ' good', '']</v>
      </c>
      <c r="D1411" s="3">
        <v>1.0</v>
      </c>
    </row>
    <row r="1412" ht="15.75" customHeight="1">
      <c r="A1412" s="1">
        <v>1410.0</v>
      </c>
      <c r="B1412" s="3" t="s">
        <v>1413</v>
      </c>
      <c r="C1412" s="3" t="str">
        <f>IFERROR(__xludf.DUMMYFUNCTION("GOOGLETRANSLATE(B1412,""id"",""en"")"),"['knapa', 'pulse', 'cut', 'run out', 'fill', 'reset', 'please', 'disappointed', 'ntar', 'delete', ""]")</f>
        <v>['knapa', 'pulse', 'cut', 'run out', 'fill', 'reset', 'please', 'disappointed', 'ntar', 'delete', "]</v>
      </c>
      <c r="D1412" s="3">
        <v>1.0</v>
      </c>
    </row>
    <row r="1413" ht="15.75" customHeight="1">
      <c r="A1413" s="1">
        <v>1411.0</v>
      </c>
      <c r="B1413" s="3" t="s">
        <v>1414</v>
      </c>
      <c r="C1413" s="3" t="str">
        <f>IFERROR(__xludf.DUMMYFUNCTION("GOOGLETRANSLATE(B1413,""id"",""en"")"),"['Duh', 'already', 'week', 'network', 'slow', 'sick', 'heart', 'location', 'bekasi', 'city', 'mending', 'replace', ' Ato ',' Axis', 'Price', 'Worth', 'Quality', 'Already', 'Restar', 'Manual', 'Network', 'Until', 'Hardreset', 'Network', 'Survive' , 'Minute"&amp;"s', 'Doang', '']")</f>
        <v>['Duh', 'already', 'week', 'network', 'slow', 'sick', 'heart', 'location', 'bekasi', 'city', 'mending', 'replace', ' Ato ',' Axis', 'Price', 'Worth', 'Quality', 'Already', 'Restar', 'Manual', 'Network', 'Until', 'Hardreset', 'Network', 'Survive' , 'Minutes', 'Doang', '']</v>
      </c>
      <c r="D1413" s="3">
        <v>1.0</v>
      </c>
    </row>
    <row r="1414" ht="15.75" customHeight="1">
      <c r="A1414" s="1">
        <v>1412.0</v>
      </c>
      <c r="B1414" s="3" t="s">
        <v>1415</v>
      </c>
      <c r="C1414" s="3" t="str">
        <f>IFERROR(__xludf.DUMMYFUNCTION("GOOGLETRANSLATE(B1414,""id"",""en"")"),"['axis',' signal ',' axis', 'bapuk', 'change', 'Telkomsel', 'think', 'signal', 'no', 'bapuk', 'bapuk', 'signal', ' Telkomsel ',' contents', 'quota', 'stay', 'Jakarta', 'South', 'Please', 'repaired', 'servicenya', 'search', 'cuan', 'signal', 'bapuk' , '']")</f>
        <v>['axis',' signal ',' axis', 'bapuk', 'change', 'Telkomsel', 'think', 'signal', 'no', 'bapuk', 'bapuk', 'signal', ' Telkomsel ',' contents', 'quota', 'stay', 'Jakarta', 'South', 'Please', 'repaired', 'servicenya', 'search', 'cuan', 'signal', 'bapuk' , '']</v>
      </c>
      <c r="D1414" s="3">
        <v>1.0</v>
      </c>
    </row>
    <row r="1415" ht="15.75" customHeight="1">
      <c r="A1415" s="1">
        <v>1413.0</v>
      </c>
      <c r="B1415" s="3" t="s">
        <v>1416</v>
      </c>
      <c r="C1415" s="3" t="str">
        <f>IFERROR(__xludf.DUMMYFUNCTION("GOOGLETRANSLATE(B1415,""id"",""en"")"),"['Severe', 'really', 'write', 'description', 'package', 'active', 'following', 'quota', 'main', 'right', 'buy', 'a day', ' The reason ',' quota ',' dested ',' please ',' fix ']")</f>
        <v>['Severe', 'really', 'write', 'description', 'package', 'active', 'following', 'quota', 'main', 'right', 'buy', 'a day', ' The reason ',' quota ',' dested ',' please ',' fix ']</v>
      </c>
      <c r="D1415" s="3">
        <v>1.0</v>
      </c>
    </row>
    <row r="1416" ht="15.75" customHeight="1">
      <c r="A1416" s="1">
        <v>1414.0</v>
      </c>
      <c r="B1416" s="3" t="s">
        <v>1417</v>
      </c>
      <c r="C1416" s="3" t="str">
        <f>IFERROR(__xludf.DUMMYFUNCTION("GOOGLETRANSLATE(B1416,""id"",""en"")"),"['Telkomsel', 'job', 'artisan', 'sucked', 'pulse', 'person', 'activated', 'package', 'pulse', 'sumps',' furious', 'please', ' Terbitai ',' Provider ',' Mamangate ',' Customer ',' ']")</f>
        <v>['Telkomsel', 'job', 'artisan', 'sucked', 'pulse', 'person', 'activated', 'package', 'pulse', 'sumps',' furious', 'please', ' Terbitai ',' Provider ',' Mamangate ',' Customer ',' ']</v>
      </c>
      <c r="D1416" s="3">
        <v>1.0</v>
      </c>
    </row>
    <row r="1417" ht="15.75" customHeight="1">
      <c r="A1417" s="1">
        <v>1415.0</v>
      </c>
      <c r="B1417" s="3" t="s">
        <v>1418</v>
      </c>
      <c r="C1417" s="3" t="str">
        <f>IFERROR(__xludf.DUMMYFUNCTION("GOOGLETRANSLATE(B1417,""id"",""en"")"),"['already', 'many years',' use ',' card ',' already ',' millions', 'million', 'pulses',' bought ',' already ',' many ',' times', ' exchange ',' points', 'lottery', 'many', 'times',' disappointed ',' given ',' stock ',' contributions', 'customers',' loyal "&amp;"', ""]")</f>
        <v>['already', 'many years',' use ',' card ',' already ',' millions', 'million', 'pulses',' bought ',' already ',' many ',' times', ' exchange ',' points', 'lottery', 'many', 'times',' disappointed ',' given ',' stock ',' contributions', 'customers',' loyal ', "]</v>
      </c>
      <c r="D1417" s="3">
        <v>1.0</v>
      </c>
    </row>
    <row r="1418" ht="15.75" customHeight="1">
      <c r="A1418" s="1">
        <v>1416.0</v>
      </c>
      <c r="B1418" s="3" t="s">
        <v>1419</v>
      </c>
      <c r="C1418" s="3" t="str">
        <f>IFERROR(__xludf.DUMMYFUNCTION("GOOGLETRANSLATE(B1418,""id"",""en"")"),"['Telkomsel', 'Ter', 'respect', 'Please', 'Hold', 'Repair', 'Signal', 'Signal', 'Telkomsel', 'Already', 'Good', 'Uklum', ' Stay ',' village ']")</f>
        <v>['Telkomsel', 'Ter', 'respect', 'Please', 'Hold', 'Repair', 'Signal', 'Signal', 'Telkomsel', 'Already', 'Good', 'Uklum', ' Stay ',' village ']</v>
      </c>
      <c r="D1418" s="3">
        <v>1.0</v>
      </c>
    </row>
    <row r="1419" ht="15.75" customHeight="1">
      <c r="A1419" s="1">
        <v>1417.0</v>
      </c>
      <c r="B1419" s="3" t="s">
        <v>1420</v>
      </c>
      <c r="C1419" s="3" t="str">
        <f>IFERROR(__xludf.DUMMYFUNCTION("GOOGLETRANSLATE(B1419,""id"",""en"")"),"['buy', 'pulse', 'buy', 'quota', 'situ', 'written', 'disorder', 'system', 'wait', 'minute', 'wait', 'buy', ' Quota ',' pulses', 'Sumpot', '']")</f>
        <v>['buy', 'pulse', 'buy', 'quota', 'situ', 'written', 'disorder', 'system', 'wait', 'minute', 'wait', 'buy', ' Quota ',' pulses', 'Sumpot', '']</v>
      </c>
      <c r="D1419" s="3">
        <v>1.0</v>
      </c>
    </row>
    <row r="1420" ht="15.75" customHeight="1">
      <c r="A1420" s="1">
        <v>1418.0</v>
      </c>
      <c r="B1420" s="3" t="s">
        <v>1421</v>
      </c>
      <c r="C1420" s="3" t="str">
        <f>IFERROR(__xludf.DUMMYFUNCTION("GOOGLETRANSLATE(B1420,""id"",""en"")"),"['Credit', 'Sumpot', 'Can', 'Quota', 'Ministry of Education and Culture', 'On', 'Turn on', 'Quota', 'Data', 'Sumpot', 'Pulses',' Like ',' Take ',' pulse ',' right ',' return ',' credit ',' taken ',' right ',' operator ',' Telkomsel ',' loop ',' card ',' e"&amp;"ra ',' xovid ' , 'Take', 'Credit', 'People', 'Afraid', 'Create', 'Follow', 'Command', 'Nyolong', 'Credit', 'People', 'Rights',' AnjiiiiiiiiiiiiiiiiiiiiiiiiiiiiiiiiiiiIIIIIIIIIIIIIIIIIIIIIIIIIIIIIIIIIIIIIIIIIIIIIIIIIIIIIIIIII BIINGGGGGGGGGGGGGGGGGGGGGGGGGG"&amp;"GGGGGGGGGGG'S Bangataaaaaaaaaaaaaaaaaat ']")</f>
        <v>['Credit', 'Sumpot', 'Can', 'Quota', 'Ministry of Education and Culture', 'On', 'Turn on', 'Quota', 'Data', 'Sumpot', 'Pulses',' Like ',' Take ',' pulse ',' right ',' return ',' credit ',' taken ',' right ',' operator ',' Telkomsel ',' loop ',' card ',' era ',' xovid ' , 'Take', 'Credit', 'People', 'Afraid', 'Create', 'Follow', 'Command', 'Nyolong', 'Credit', 'People', 'Rights',' AnjiiiiiiiiiiiiiiiiiiiiiiiiiiiiiiiiiiiIIIIIIIIIIIIIIIIIIIIIIIIIIIIIIIIIIIIIIIIIIIIIIIIIIIIIIIIII BIINGGGGGGGGGGGGGGGGGGGGGGGGGGGGGGGGGGGGG'S Bangataaaaaaaaaaaaaaaaaat ']</v>
      </c>
      <c r="D1420" s="3">
        <v>1.0</v>
      </c>
    </row>
    <row r="1421" ht="15.75" customHeight="1">
      <c r="A1421" s="1">
        <v>1419.0</v>
      </c>
      <c r="B1421" s="3" t="s">
        <v>1422</v>
      </c>
      <c r="C1421" s="3" t="str">
        <f>IFERROR(__xludf.DUMMYFUNCTION("GOOGLETRANSLATE(B1421,""id"",""en"")"),"['Contents',' reset ',' pulse ',' cut ',' automatically ',' connection ',' wifi ',' please ',' delicious', 'already', 'package', 'inet', ' expensive ',' play ',' cut ',' please ',' return ',' pulse ',' rights', 'jngn', 'taken', 'bgsd']")</f>
        <v>['Contents',' reset ',' pulse ',' cut ',' automatically ',' connection ',' wifi ',' please ',' delicious', 'already', 'package', 'inet', ' expensive ',' play ',' cut ',' please ',' return ',' pulse ',' rights', 'jngn', 'taken', 'bgsd']</v>
      </c>
      <c r="D1421" s="3">
        <v>1.0</v>
      </c>
    </row>
    <row r="1422" ht="15.75" customHeight="1">
      <c r="A1422" s="1">
        <v>1420.0</v>
      </c>
      <c r="B1422" s="3" t="s">
        <v>1423</v>
      </c>
      <c r="C1422" s="3" t="str">
        <f>IFERROR(__xludf.DUMMYFUNCTION("GOOGLETRANSLATE(B1422,""id"",""en"")"),"['waaaa', 'good', 'really', 'apk', 'mytelkomsel', 'nyaaa', 'udh', 'subscription', 'pke', 'Telkomsel', 'family', 'pke', ' Telkomsel ',' PKE ',' Telkomsel ',' lbih ',' easy ',' that way ',' spirit ', ""]")</f>
        <v>['waaaa', 'good', 'really', 'apk', 'mytelkomsel', 'nyaaa', 'udh', 'subscription', 'pke', 'Telkomsel', 'family', 'pke', ' Telkomsel ',' PKE ',' Telkomsel ',' lbih ',' easy ',' that way ',' spirit ', "]</v>
      </c>
      <c r="D1422" s="3">
        <v>5.0</v>
      </c>
    </row>
    <row r="1423" ht="15.75" customHeight="1">
      <c r="A1423" s="1">
        <v>1421.0</v>
      </c>
      <c r="B1423" s="3" t="s">
        <v>1424</v>
      </c>
      <c r="C1423" s="3" t="str">
        <f>IFERROR(__xludf.DUMMYFUNCTION("GOOGLETRANSLATE(B1423,""id"",""en"")"),"['happy', 'easy', 'people', 'lay out', 'understand', 'deficiency', 'contents',' package ',' at home ',' Thank you ',' MyTelkom ',' Satisfied ',' ']")</f>
        <v>['happy', 'easy', 'people', 'lay out', 'understand', 'deficiency', 'contents',' package ',' at home ',' Thank you ',' MyTelkom ',' Satisfied ',' ']</v>
      </c>
      <c r="D1423" s="3">
        <v>5.0</v>
      </c>
    </row>
    <row r="1424" ht="15.75" customHeight="1">
      <c r="A1424" s="1">
        <v>1422.0</v>
      </c>
      <c r="B1424" s="3" t="s">
        <v>1425</v>
      </c>
      <c r="C1424" s="3" t="str">
        <f>IFERROR(__xludf.DUMMYFUNCTION("GOOGLETRANSLATE(B1424,""id"",""en"")"),"['access',' application ',' package ',' internet ',' run out ',' buy ',' application ',' benefits', 'application', 'checked', 'package', 'mending', ' Non ',' Activate ',' check ',' quota ',' use ',' GBT ', ""]")</f>
        <v>['access',' application ',' package ',' internet ',' run out ',' buy ',' application ',' benefits', 'application', 'checked', 'package', 'mending', ' Non ',' Activate ',' check ',' quota ',' use ',' GBT ', "]</v>
      </c>
      <c r="D1424" s="3">
        <v>2.0</v>
      </c>
    </row>
    <row r="1425" ht="15.75" customHeight="1">
      <c r="A1425" s="1">
        <v>1423.0</v>
      </c>
      <c r="B1425" s="3" t="s">
        <v>1426</v>
      </c>
      <c r="C1425" s="3" t="str">
        <f>IFERROR(__xludf.DUMMYFUNCTION("GOOGLETRANSLATE(B1425,""id"",""en"")"),"['Activin', 'monthly', 'already', 'active', 'clock', 'night', 'love', 'notification', 'disabled', 'read', 'emang', 'use', ' Activin ',' Nonactikan ',' as we like ',' heart ',' darling ',' pulse ',' wasted ',' gtu ']")</f>
        <v>['Activin', 'monthly', 'already', 'active', 'clock', 'night', 'love', 'notification', 'disabled', 'read', 'emang', 'use', ' Activin ',' Nonactikan ',' as we like ',' heart ',' darling ',' pulse ',' wasted ',' gtu ']</v>
      </c>
      <c r="D1425" s="3">
        <v>1.0</v>
      </c>
    </row>
    <row r="1426" ht="15.75" customHeight="1">
      <c r="A1426" s="1">
        <v>1424.0</v>
      </c>
      <c r="B1426" s="3" t="s">
        <v>1427</v>
      </c>
      <c r="C1426" s="3" t="str">
        <f>IFERROR(__xludf.DUMMYFUNCTION("GOOGLETRANSLATE(B1426,""id"",""en"")"),"['network', 'Telkomsel', 'disorder', 'ugly', 'package', 'data', 'contents', 'wonder', 'deh', 'ngeselin', ""]")</f>
        <v>['network', 'Telkomsel', 'disorder', 'ugly', 'package', 'data', 'contents', 'wonder', 'deh', 'ngeselin', "]</v>
      </c>
      <c r="D1426" s="3">
        <v>2.0</v>
      </c>
    </row>
    <row r="1427" ht="15.75" customHeight="1">
      <c r="A1427" s="1">
        <v>1425.0</v>
      </c>
      <c r="B1427" s="3" t="s">
        <v>1428</v>
      </c>
      <c r="C1427" s="3" t="str">
        <f>IFERROR(__xludf.DUMMYFUNCTION("GOOGLETRANSLATE(B1427,""id"",""en"")"),"['Nyedot', 'quota', 'internet', 'install', 'application', 'Telkomsel', 'internet', 'road', 'download', 'data', 'background', 'uninstall', ' safe ',' try ']")</f>
        <v>['Nyedot', 'quota', 'internet', 'install', 'application', 'Telkomsel', 'internet', 'road', 'download', 'data', 'background', 'uninstall', ' safe ',' try ']</v>
      </c>
      <c r="D1427" s="3">
        <v>1.0</v>
      </c>
    </row>
    <row r="1428" ht="15.75" customHeight="1">
      <c r="A1428" s="1">
        <v>1426.0</v>
      </c>
      <c r="B1428" s="3" t="s">
        <v>1429</v>
      </c>
      <c r="C1428" s="3" t="str">
        <f>IFERROR(__xludf.DUMMYFUNCTION("GOOGLETRANSLATE(B1428,""id"",""en"")"),"['walk', 'smooth', 'smpai', 'Kmaren', 'send', 'pulse', 'smpe', 'stage', 'payment', 'shopeepay', 'notif', 'mytelsel', ' Payment ',' SUCCESS ',' Suggested ',' Try ',' BBRAPA ',' then ',' Think ',' Krna ',' Disruption ',' Connection ',' Network ',' Try ',' D"&amp;"o it ' , 'payment', 'BGitu', 'check', 'shopeepay', 'tratyata', 'fund', 'trpotong', 'transaction', 'fail', 'auto', 'return', 'fund', ' Shopeepay ',' Qodarullah ',' Alhamdulillah ',' smpe ',' Dana ',' admin ',' Please ',' enhanced ','A']")</f>
        <v>['walk', 'smooth', 'smpai', 'Kmaren', 'send', 'pulse', 'smpe', 'stage', 'payment', 'shopeepay', 'notif', 'mytelsel', ' Payment ',' SUCCESS ',' Suggested ',' Try ',' BBRAPA ',' then ',' Think ',' Krna ',' Disruption ',' Connection ',' Network ',' Try ',' Do it ' , 'payment', 'BGitu', 'check', 'shopeepay', 'tratyata', 'fund', 'trpotong', 'transaction', 'fail', 'auto', 'return', 'fund', ' Shopeepay ',' Qodarullah ',' Alhamdulillah ',' smpe ',' Dana ',' admin ',' Please ',' enhanced ','A']</v>
      </c>
      <c r="D1428" s="3">
        <v>2.0</v>
      </c>
    </row>
    <row r="1429" ht="15.75" customHeight="1">
      <c r="A1429" s="1">
        <v>1427.0</v>
      </c>
      <c r="B1429" s="3" t="s">
        <v>1430</v>
      </c>
      <c r="C1429" s="3" t="str">
        <f>IFERROR(__xludf.DUMMYFUNCTION("GOOGLETRANSLATE(B1429,""id"",""en"")"),"['Experience', 'bad', 'pulse', 'quota', 'internet', 'quota', 'internet', 'type', 'wrong', 'finished', 'pulse', 'ilang', ' quota ',' used ',' so ',' trims', '']")</f>
        <v>['Experience', 'bad', 'pulse', 'quota', 'internet', 'quota', 'internet', 'type', 'wrong', 'finished', 'pulse', 'ilang', ' quota ',' used ',' so ',' trims', '']</v>
      </c>
      <c r="D1429" s="3">
        <v>2.0</v>
      </c>
    </row>
    <row r="1430" ht="15.75" customHeight="1">
      <c r="A1430" s="1">
        <v>1428.0</v>
      </c>
      <c r="B1430" s="3" t="s">
        <v>1431</v>
      </c>
      <c r="C1430" s="3" t="str">
        <f>IFERROR(__xludf.DUMMYFUNCTION("GOOGLETRANSLATE(B1430,""id"",""en"")"),"['Alhamdulillah', 'Network', 'Telkomsel', 'Region', 'Not bad', 'Current', 'Kenda', 'Dead', 'Lights',' Signal ',' Telkomsel ',' Lost ',' TPI ',' outside ',' Dri ',' NGK ',' Papa ',' Lahh ',' Thank you ',' Telkomsel ', ""]")</f>
        <v>['Alhamdulillah', 'Network', 'Telkomsel', 'Region', 'Not bad', 'Current', 'Kenda', 'Dead', 'Lights',' Signal ',' Telkomsel ',' Lost ',' TPI ',' outside ',' Dri ',' NGK ',' Papa ',' Lahh ',' Thank you ',' Telkomsel ', "]</v>
      </c>
      <c r="D1430" s="3">
        <v>5.0</v>
      </c>
    </row>
    <row r="1431" ht="15.75" customHeight="1">
      <c r="A1431" s="1">
        <v>1429.0</v>
      </c>
      <c r="B1431" s="3" t="s">
        <v>1432</v>
      </c>
      <c r="C1431" s="3" t="str">
        <f>IFERROR(__xludf.DUMMYFUNCTION("GOOGLETRANSLATE(B1431,""id"",""en"")"),"['Severe', 'Disappointed', 'Telkomsel', 'Yesterday', 'Afternoon', 'Purchase', 'Package', 'Combo', 'Sakti', 'Application', 'Telkomsel', 'Payment', ' Via ',' Shopee ',' Pay ',' Shopee ',' Shopee ',' Pay ',' Success', 'Balance', 'Cutting', 'Notification', 'A"&amp;"pplication', 'Telkomsel', 'PMBlayaran' , 'Success',' Hub ',' Telkomsel ',' confirm ',' package ',' entry ',' told ',' Wait ',' Clock ',' Blum ',' enter ',' buy ',' package', '']")</f>
        <v>['Severe', 'Disappointed', 'Telkomsel', 'Yesterday', 'Afternoon', 'Purchase', 'Package', 'Combo', 'Sakti', 'Application', 'Telkomsel', 'Payment', ' Via ',' Shopee ',' Pay ',' Shopee ',' Shopee ',' Pay ',' Success', 'Balance', 'Cutting', 'Notification', 'Application', 'Telkomsel', 'PMBlayaran' , 'Success',' Hub ',' Telkomsel ',' confirm ',' package ',' entry ',' told ',' Wait ',' Clock ',' Blum ',' enter ',' buy ',' package', '']</v>
      </c>
      <c r="D1431" s="3">
        <v>1.0</v>
      </c>
    </row>
    <row r="1432" ht="15.75" customHeight="1">
      <c r="A1432" s="1">
        <v>1430.0</v>
      </c>
      <c r="B1432" s="3" t="s">
        <v>1433</v>
      </c>
      <c r="C1432" s="3" t="str">
        <f>IFERROR(__xludf.DUMMYFUNCTION("GOOGLETRANSLATE(B1432,""id"",""en"")"),"['dapet', 'quota', 'Ministry of Education and Culture', 'used', 'his writing', 'internet', 'please', 'related', 'fix', 'school', 'package', 'detrimental', ' Toloooong ',' woiiii ',' Benerin ',' cave ',' school ',' difficult ']")</f>
        <v>['dapet', 'quota', 'Ministry of Education and Culture', 'used', 'his writing', 'internet', 'please', 'related', 'fix', 'school', 'package', 'detrimental', ' Toloooong ',' woiiii ',' Benerin ',' cave ',' school ',' difficult ']</v>
      </c>
      <c r="D1432" s="3">
        <v>1.0</v>
      </c>
    </row>
    <row r="1433" ht="15.75" customHeight="1">
      <c r="A1433" s="1">
        <v>1431.0</v>
      </c>
      <c r="B1433" s="3" t="s">
        <v>1434</v>
      </c>
      <c r="C1433" s="3" t="str">
        <f>IFERROR(__xludf.DUMMYFUNCTION("GOOGLETRANSLATE(B1433,""id"",""en"")"),"['Overall', 'Telkom', 'The', 'Best', 'Suggestion', 'Mending', 'Addin', 'Features',' Credit ',' Safe ',' Kek ',' Operator ',' Next to ',' Sumpot ',' Gara ',' Gara ',' Quota ',' Abis', 'Miatep', ""]")</f>
        <v>['Overall', 'Telkom', 'The', 'Best', 'Suggestion', 'Mending', 'Addin', 'Features',' Credit ',' Safe ',' Kek ',' Operator ',' Next to ',' Sumpot ',' Gara ',' Gara ',' Quota ',' Abis', 'Miatep', "]</v>
      </c>
      <c r="D1433" s="3">
        <v>4.0</v>
      </c>
    </row>
    <row r="1434" ht="15.75" customHeight="1">
      <c r="A1434" s="1">
        <v>1432.0</v>
      </c>
      <c r="B1434" s="3" t="s">
        <v>1435</v>
      </c>
      <c r="C1434" s="3" t="str">
        <f>IFERROR(__xludf.DUMMYFUNCTION("GOOGLETRANSLATE(B1434,""id"",""en"")"),"['Login', 'number', 'number', 'router', 'open', 'apps',' open ',' login ',' number ',' open ',' number ',' router ',' Logout ',' Verification ',' Ribet ',' Router ',' Installed ',' DIRECT ',' HOUSE ',' Please ',' Repaired ',' Logout ', ""]")</f>
        <v>['Login', 'number', 'number', 'router', 'open', 'apps',' open ',' login ',' number ',' open ',' number ',' router ',' Logout ',' Verification ',' Ribet ',' Router ',' Installed ',' DIRECT ',' HOUSE ',' Please ',' Repaired ',' Logout ', "]</v>
      </c>
      <c r="D1434" s="3">
        <v>3.0</v>
      </c>
    </row>
    <row r="1435" ht="15.75" customHeight="1">
      <c r="A1435" s="1">
        <v>1433.0</v>
      </c>
      <c r="B1435" s="3" t="s">
        <v>1436</v>
      </c>
      <c r="C1435" s="3" t="str">
        <f>IFERROR(__xludf.DUMMYFUNCTION("GOOGLETRANSLATE(B1435,""id"",""en"")"),"['Telkomsel', 'good', 'ugly', 'quality', 'skrg', 'udh', 'work', 'kemendikbud', 'ugly', 'lgi', 'network', 'slow', ' afternoon ',' TDI ',' Look for ',' task ',' gini ',' mending ',' move ',' operator ']")</f>
        <v>['Telkomsel', 'good', 'ugly', 'quality', 'skrg', 'udh', 'work', 'kemendikbud', 'ugly', 'lgi', 'network', 'slow', ' afternoon ',' TDI ',' Look for ',' task ',' gini ',' mending ',' move ',' operator ']</v>
      </c>
      <c r="D1435" s="3">
        <v>1.0</v>
      </c>
    </row>
    <row r="1436" ht="15.75" customHeight="1">
      <c r="A1436" s="1">
        <v>1434.0</v>
      </c>
      <c r="B1436" s="3" t="s">
        <v>1437</v>
      </c>
      <c r="C1436" s="3" t="str">
        <f>IFERROR(__xludf.DUMMYFUNCTION("GOOGLETRANSLATE(B1436,""id"",""en"")"),"['news',' receiving ',' quota ',' free ',' MB ',' contents', 'reset', 'credit', 'automatic', 'use', 'truncated', 'pulses',' Credit ',' Rupiah ',' how ',' Telkomsel ',' intention ',' send ',' free ',' given ',' money ',' truncated ',' proof ',' lived ',' h"&amp;"atch ' , 'Jawail', 'tired', 'replace', 'card', 'choice', 'best', 'use', 'Telkomsel', 'responsibility', 'ugly', 'card', ""]")</f>
        <v>['news',' receiving ',' quota ',' free ',' MB ',' contents', 'reset', 'credit', 'automatic', 'use', 'truncated', 'pulses',' Credit ',' Rupiah ',' how ',' Telkomsel ',' intention ',' send ',' free ',' given ',' money ',' truncated ',' proof ',' lived ',' hatch ' , 'Jawail', 'tired', 'replace', 'card', 'choice', 'best', 'use', 'Telkomsel', 'responsibility', 'ugly', 'card', "]</v>
      </c>
      <c r="D1436" s="3">
        <v>1.0</v>
      </c>
    </row>
    <row r="1437" ht="15.75" customHeight="1">
      <c r="A1437" s="1">
        <v>1435.0</v>
      </c>
      <c r="B1437" s="3" t="s">
        <v>1438</v>
      </c>
      <c r="C1437" s="3" t="str">
        <f>IFERROR(__xludf.DUMMYFUNCTION("GOOGLETRANSLATE(B1437,""id"",""en"")"),"['Star', 'Disappointed', 'Telkomsel', 'have', 'quota', 'internet', 'access',' internet ',' pulse ',' dries', 'thousand', 'accessible', ' Seconds', 'Sorry', 'Disappointed', '']")</f>
        <v>['Star', 'Disappointed', 'Telkomsel', 'have', 'quota', 'internet', 'access',' internet ',' pulse ',' dries', 'thousand', 'accessible', ' Seconds', 'Sorry', 'Disappointed', '']</v>
      </c>
      <c r="D1437" s="3">
        <v>1.0</v>
      </c>
    </row>
    <row r="1438" ht="15.75" customHeight="1">
      <c r="A1438" s="1">
        <v>1436.0</v>
      </c>
      <c r="B1438" s="3" t="s">
        <v>1439</v>
      </c>
      <c r="C1438" s="3" t="str">
        <f>IFERROR(__xludf.DUMMYFUNCTION("GOOGLETRANSLATE(B1438,""id"",""en"")"),"['disgust', 'signal', 'Telkomsel', 'bad', 'below', 'tri', 'sngat', 'disappointing', 'should', 'telkomsel', 'responsible', 'explanation', ' network ',' Telkomsel ',' as bad as', 'buy', 'expensive', 'quota', 'hope', 'replied', ""]")</f>
        <v>['disgust', 'signal', 'Telkomsel', 'bad', 'below', 'tri', 'sngat', 'disappointing', 'should', 'telkomsel', 'responsible', 'explanation', ' network ',' Telkomsel ',' as bad as', 'buy', 'expensive', 'quota', 'hope', 'replied', "]</v>
      </c>
      <c r="D1438" s="3">
        <v>1.0</v>
      </c>
    </row>
    <row r="1439" ht="15.75" customHeight="1">
      <c r="A1439" s="1">
        <v>1437.0</v>
      </c>
      <c r="B1439" s="3" t="s">
        <v>1440</v>
      </c>
      <c r="C1439" s="3" t="str">
        <f>IFERROR(__xludf.DUMMYFUNCTION("GOOGLETRANSLATE(B1439,""id"",""en"")"),"['Telkomsel', 'error', 'price', 'package', 'expensive', 'area', 'sedayu', 'bantul', 'jogjakarta', 'rain', 'dead', 'lights',' telkomsel ',' ilang ',' Friday ',' signal ',' severe ',' bnget ',' needin ',' browsing ',' online ',' child ',' child ',' please '"&amp;",' fix ' , 'Jangn', 'just', 'ride', 'price', 'quality', 'good', 'customer', 'satisfied', '']")</f>
        <v>['Telkomsel', 'error', 'price', 'package', 'expensive', 'area', 'sedayu', 'bantul', 'jogjakarta', 'rain', 'dead', 'lights',' telkomsel ',' ilang ',' Friday ',' signal ',' severe ',' bnget ',' needin ',' browsing ',' online ',' child ',' child ',' please ',' fix ' , 'Jangn', 'just', 'ride', 'price', 'quality', 'good', 'customer', 'satisfied', '']</v>
      </c>
      <c r="D1439" s="3">
        <v>1.0</v>
      </c>
    </row>
    <row r="1440" ht="15.75" customHeight="1">
      <c r="A1440" s="1">
        <v>1438.0</v>
      </c>
      <c r="B1440" s="3" t="s">
        <v>1441</v>
      </c>
      <c r="C1440" s="3" t="str">
        <f>IFERROR(__xludf.DUMMYFUNCTION("GOOGLETRANSLATE(B1440,""id"",""en"")"),"['Telkomsel', 'Lemot', 'Live', 'Priuk', 'Jaya', 'Bayur', 'Door', 'Dlu', 'Telkomsel', 'Comfortable', 'Really', 'The Network', ' fast ',' slow ',' stay ',' memories', '']")</f>
        <v>['Telkomsel', 'Lemot', 'Live', 'Priuk', 'Jaya', 'Bayur', 'Door', 'Dlu', 'Telkomsel', 'Comfortable', 'Really', 'The Network', ' fast ',' slow ',' stay ',' memories', '']</v>
      </c>
      <c r="D1440" s="3">
        <v>2.0</v>
      </c>
    </row>
    <row r="1441" ht="15.75" customHeight="1">
      <c r="A1441" s="1">
        <v>1439.0</v>
      </c>
      <c r="B1441" s="3" t="s">
        <v>1442</v>
      </c>
      <c r="C1441" s="3" t="str">
        <f>IFERROR(__xludf.DUMMYFUNCTION("GOOGLETRANSLATE(B1441,""id"",""en"")"),"['Ngani', 'suggestion', 'added', 'settings',' locking ',' credit ',' avoid ',' pulse ',' run out ',' because ',' call ',' deliberate ',' Data ',' active ',' package ',' useful ',' really ',' parent ',' child ',' hobby ',' Mainin ',' handpone ',' mother ',"&amp;"' his father ',' thank you ' ]")</f>
        <v>['Ngani', 'suggestion', 'added', 'settings',' locking ',' credit ',' avoid ',' pulse ',' run out ',' because ',' call ',' deliberate ',' Data ',' active ',' package ',' useful ',' really ',' parent ',' child ',' hobby ',' Mainin ',' handpone ',' mother ',' his father ',' thank you ' ]</v>
      </c>
      <c r="D1441" s="3">
        <v>4.0</v>
      </c>
    </row>
    <row r="1442" ht="15.75" customHeight="1">
      <c r="A1442" s="1">
        <v>1440.0</v>
      </c>
      <c r="B1442" s="3" t="s">
        <v>1443</v>
      </c>
      <c r="C1442" s="3" t="str">
        <f>IFERROR(__xludf.DUMMYFUNCTION("GOOGLETRANSLATE(B1442,""id"",""en"")"),"['thank', 'love', 'improvement', 'improvement', 'application', 'begged', 'repair', 'signal', 'in place', 'lined', 'signal', 'entered', ' home ',' exact ',' housing ',' bblip ',' sub-district ',' sekernan ',' district ',' muaro ',' jambi ',' hope ',' in pl"&amp;"ace ',' established ',' tower ' , 'transmitter', 'signal', 'in place', 'population', 'user', 'attention', 'said', 'thousands', 'thank you', 'Wassalam', '']")</f>
        <v>['thank', 'love', 'improvement', 'improvement', 'application', 'begged', 'repair', 'signal', 'in place', 'lined', 'signal', 'entered', ' home ',' exact ',' housing ',' bblip ',' sub-district ',' sekernan ',' district ',' muaro ',' jambi ',' hope ',' in place ',' established ',' tower ' , 'transmitter', 'signal', 'in place', 'population', 'user', 'attention', 'said', 'thousands', 'thank you', 'Wassalam', '']</v>
      </c>
      <c r="D1442" s="3">
        <v>5.0</v>
      </c>
    </row>
    <row r="1443" ht="15.75" customHeight="1">
      <c r="A1443" s="1">
        <v>1441.0</v>
      </c>
      <c r="B1443" s="3" t="s">
        <v>1444</v>
      </c>
      <c r="C1443" s="3" t="str">
        <f>IFERROR(__xludf.DUMMYFUNCTION("GOOGLETRANSLATE(B1443,""id"",""en"")"),"['Ngerti', 'card', 'sympathy', 'network', 'signal', 'best', 'best', 'Indonesia', 'in the area', 'Jabodetabek', 'network', 'signal', ' cards', 'sympathy', 'ugly', 'really', 'in the region', 'city', 'bogor', 'dibantarjati', 'road', 'padjajaran', 'chemai', '"&amp;"tip', 'network' , 'signal', 'ugly', 'really', 'taste', 'use', 'card', 'tree', 'network', 'signal', 'sympathy', 'defeated', 'network', ' signal ',' Indosat ',' axis', 'please', 'fix', 'network', 'signal', '']")</f>
        <v>['Ngerti', 'card', 'sympathy', 'network', 'signal', 'best', 'best', 'Indonesia', 'in the area', 'Jabodetabek', 'network', 'signal', ' cards', 'sympathy', 'ugly', 'really', 'in the region', 'city', 'bogor', 'dibantarjati', 'road', 'padjajaran', 'chemai', 'tip', 'network' , 'signal', 'ugly', 'really', 'taste', 'use', 'card', 'tree', 'network', 'signal', 'sympathy', 'defeated', 'network', ' signal ',' Indosat ',' axis', 'please', 'fix', 'network', 'signal', '']</v>
      </c>
      <c r="D1443" s="3">
        <v>1.0</v>
      </c>
    </row>
    <row r="1444" ht="15.75" customHeight="1">
      <c r="A1444" s="1">
        <v>1442.0</v>
      </c>
      <c r="B1444" s="3" t="s">
        <v>1445</v>
      </c>
      <c r="C1444" s="3" t="str">
        <f>IFERROR(__xludf.DUMMYFUNCTION("GOOGLETRANSLATE(B1444,""id"",""en"")"),"['Telkomsel', 'leftover', 'kouta', 'a day', 'come', 'kouta', 'right', 'take', 'kouta', 'come', 'loss',' leftover ',' Koutaa ',' Shame ',' please ',' help ',' gmn ']")</f>
        <v>['Telkomsel', 'leftover', 'kouta', 'a day', 'come', 'kouta', 'right', 'take', 'kouta', 'come', 'loss',' leftover ',' Koutaa ',' Shame ',' please ',' help ',' gmn ']</v>
      </c>
      <c r="D1444" s="3">
        <v>1.0</v>
      </c>
    </row>
    <row r="1445" ht="15.75" customHeight="1">
      <c r="A1445" s="1">
        <v>1443.0</v>
      </c>
      <c r="B1445" s="3" t="s">
        <v>1446</v>
      </c>
      <c r="C1445" s="3" t="str">
        <f>IFERROR(__xludf.DUMMYFUNCTION("GOOGLETRANSLATE(B1445,""id"",""en"")"),"['BSK', 'Discard', 'Card', 'Telkomsel', 'Change', 'Next', 'Internet', 'Lemot', 'Signal', 'Full', 'Lola', 'Large', ' The widest ',' Lola ',' ']")</f>
        <v>['BSK', 'Discard', 'Card', 'Telkomsel', 'Change', 'Next', 'Internet', 'Lemot', 'Signal', 'Full', 'Lola', 'Large', ' The widest ',' Lola ',' ']</v>
      </c>
      <c r="D1445" s="3">
        <v>1.0</v>
      </c>
    </row>
    <row r="1446" ht="15.75" customHeight="1">
      <c r="A1446" s="1">
        <v>1444.0</v>
      </c>
      <c r="B1446" s="3" t="s">
        <v>1447</v>
      </c>
      <c r="C1446" s="3" t="str">
        <f>IFERROR(__xludf.DUMMYFUNCTION("GOOGLETRANSLATE(B1446,""id"",""en"")"),"['Males',' Telkomsel ',' Mending ',' PKE ',' IM ',' Cheap ',' Kek ',' Telkomsel ',' expensive ',' signal ',' slow ',' Males', ' Gwe ',' actually ',' Gwe ',' users', 'Telkomsel', 'UDH', 'THN', 'NGA', 'Change', 'Already', 'Move', 'Suggestion', 'Telkomsel' ,"&amp;" 'change', '']")</f>
        <v>['Males',' Telkomsel ',' Mending ',' PKE ',' IM ',' Cheap ',' Kek ',' Telkomsel ',' expensive ',' signal ',' slow ',' Males', ' Gwe ',' actually ',' Gwe ',' users', 'Telkomsel', 'UDH', 'THN', 'NGA', 'Change', 'Already', 'Move', 'Suggestion', 'Telkomsel' , 'change', '']</v>
      </c>
      <c r="D1446" s="3">
        <v>1.0</v>
      </c>
    </row>
    <row r="1447" ht="15.75" customHeight="1">
      <c r="A1447" s="1">
        <v>1445.0</v>
      </c>
      <c r="B1447" s="3" t="s">
        <v>1448</v>
      </c>
      <c r="C1447" s="3" t="str">
        <f>IFERROR(__xludf.DUMMYFUNCTION("GOOGLETRANSLATE(B1447,""id"",""en"")"),"['Telkomsel', 'Please', 'Signal', 'Region', 'Condition', 'Vidiocall', 'Difficult', 'Jam', 'Please', 'Telkomsel', 'Please', 'fix', ' signal ',' Region ',' Aceh ',' South ',' Kecamatan ',' Pasie ',' King ',' Gampong ',' Pucok ',' Krueng ']")</f>
        <v>['Telkomsel', 'Please', 'Signal', 'Region', 'Condition', 'Vidiocall', 'Difficult', 'Jam', 'Please', 'Telkomsel', 'Please', 'fix', ' signal ',' Region ',' Aceh ',' South ',' Kecamatan ',' Pasie ',' King ',' Gampong ',' Pucok ',' Krueng ']</v>
      </c>
      <c r="D1447" s="3">
        <v>1.0</v>
      </c>
    </row>
    <row r="1448" ht="15.75" customHeight="1">
      <c r="A1448" s="1">
        <v>1446.0</v>
      </c>
      <c r="B1448" s="3" t="s">
        <v>1449</v>
      </c>
      <c r="C1448" s="3" t="str">
        <f>IFERROR(__xludf.DUMMYFUNCTION("GOOGLETRANSLATE(B1448,""id"",""en"")"),"['anjink', 'package', 'expensive', 'network', 'kek', 'snail', 'asw', 'fuck', 'right', 'tsel', 'anjink', 'game', ' Ngellag ',' Sosmed ',' Ngelag ',' Ngelag ',' Package ',' Mahalin ',' Network ',' Luemmmmoottt ',' Asuuuuu ',' Males', 'Tsellllll', 'already',"&amp;" 'expensive' , 'Network', 'Kek', 'Cape', 'Anjenk']")</f>
        <v>['anjink', 'package', 'expensive', 'network', 'kek', 'snail', 'asw', 'fuck', 'right', 'tsel', 'anjink', 'game', ' Ngellag ',' Sosmed ',' Ngelag ',' Ngelag ',' Package ',' Mahalin ',' Network ',' Luemmmmoottt ',' Asuuuuu ',' Males', 'Tsellllll', 'already', 'expensive' , 'Network', 'Kek', 'Cape', 'Anjenk']</v>
      </c>
      <c r="D1448" s="3">
        <v>1.0</v>
      </c>
    </row>
    <row r="1449" ht="15.75" customHeight="1">
      <c r="A1449" s="1">
        <v>1447.0</v>
      </c>
      <c r="B1449" s="3" t="s">
        <v>1450</v>
      </c>
      <c r="C1449" s="3" t="str">
        <f>IFERROR(__xludf.DUMMYFUNCTION("GOOGLETRANSLATE(B1449,""id"",""en"")"),"['Ngeluarin', 'product', 'ulimited', 'kayak', 'smartfreen', 'tetep', 'slow', 'tetep', 'smartfreen', 'disappointed', 'severe', ""]")</f>
        <v>['Ngeluarin', 'product', 'ulimited', 'kayak', 'smartfreen', 'tetep', 'slow', 'tetep', 'smartfreen', 'disappointed', 'severe', "]</v>
      </c>
      <c r="D1449" s="3">
        <v>1.0</v>
      </c>
    </row>
    <row r="1450" ht="15.75" customHeight="1">
      <c r="A1450" s="1">
        <v>1448.0</v>
      </c>
      <c r="B1450" s="3" t="s">
        <v>1451</v>
      </c>
      <c r="C1450" s="3" t="str">
        <f>IFERROR(__xludf.DUMMYFUNCTION("GOOGLETRANSLATE(B1450,""id"",""en"")"),"['Increases', 'Quality', 'Kwantintikan', 'Program', 'Tell', 'Program', 'Special', 'Card', 'Use', 'User', 'Active', ""]")</f>
        <v>['Increases', 'Quality', 'Kwantintikan', 'Program', 'Tell', 'Program', 'Special', 'Card', 'Use', 'User', 'Active', "]</v>
      </c>
      <c r="D1450" s="3">
        <v>4.0</v>
      </c>
    </row>
    <row r="1451" ht="15.75" customHeight="1">
      <c r="A1451" s="1">
        <v>1449.0</v>
      </c>
      <c r="B1451" s="3" t="s">
        <v>1452</v>
      </c>
      <c r="C1451" s="3" t="str">
        <f>IFERROR(__xludf.DUMMYFUNCTION("GOOGLETRANSLATE(B1451,""id"",""en"")"),"['Provider', 'savage', 'civilization', 'human', 'quota', 'run out', 'His time', 'clock', 'WIB', 'forgetting', 'activate', 'buy', ' package ',' consumption ',' internet ',' pulse ',' mode ',' free ',' quota ',' GB ',' effort ',' take ',' pulse you ',' your"&amp;" cellphone ',' find ' 'signal', 'pulsamu', 'massacred', 'goodness',' forgetting ',' switch off ',' data ',' force ',' slaughter ',' pulse ',' continue ',' huahahahahah '' Cinemi ',' sadistic ',' savage ',' Addin ',' ']")</f>
        <v>['Provider', 'savage', 'civilization', 'human', 'quota', 'run out', 'His time', 'clock', 'WIB', 'forgetting', 'activate', 'buy', ' package ',' consumption ',' internet ',' pulse ',' mode ',' free ',' quota ',' GB ',' effort ',' take ',' pulse you ',' your cellphone ',' find ' 'signal', 'pulsamu', 'massacred', 'goodness',' forgetting ',' switch off ',' data ',' force ',' slaughter ',' pulse ',' continue ',' huahahahahah '' Cinemi ',' sadistic ',' savage ',' Addin ',' ']</v>
      </c>
      <c r="D1451" s="3">
        <v>1.0</v>
      </c>
    </row>
    <row r="1452" ht="15.75" customHeight="1">
      <c r="A1452" s="1">
        <v>1450.0</v>
      </c>
      <c r="B1452" s="3" t="s">
        <v>1453</v>
      </c>
      <c r="C1452" s="3" t="str">
        <f>IFERROR(__xludf.DUMMYFUNCTION("GOOGLETRANSLATE(B1452,""id"",""en"")"),"['ngeleg', 'trusss',' regret ',' card ',' Telkomsel ',' signal ',' already ',' full ',' slow ',' really ',' please ',' fix ',' Quota ',' Shame ',' GB ',' Nyari ',' Money ',' Difficult ',' Kasian ',' Kampung ',' Sinyal ',' Aduhh ', ""]")</f>
        <v>['ngeleg', 'trusss',' regret ',' card ',' Telkomsel ',' signal ',' already ',' full ',' slow ',' really ',' please ',' fix ',' Quota ',' Shame ',' GB ',' Nyari ',' Money ',' Difficult ',' Kasian ',' Kampung ',' Sinyal ',' Aduhh ', "]</v>
      </c>
      <c r="D1452" s="3">
        <v>1.0</v>
      </c>
    </row>
    <row r="1453" ht="15.75" customHeight="1">
      <c r="A1453" s="1">
        <v>1451.0</v>
      </c>
      <c r="B1453" s="3" t="s">
        <v>1454</v>
      </c>
      <c r="C1453" s="3" t="str">
        <f>IFERROR(__xludf.DUMMYFUNCTION("GOOGLETRANSLATE(B1453,""id"",""en"")"),"['Telkomsel', 'smooth', 'the network', 'slow', 'really', 'open', 'web', 'wait', 'really', 'signal', 'good', 'jaringan', ' Slow ',' please ',' repaired ', ""]")</f>
        <v>['Telkomsel', 'smooth', 'the network', 'slow', 'really', 'open', 'web', 'wait', 'really', 'signal', 'good', 'jaringan', ' Slow ',' please ',' repaired ', "]</v>
      </c>
      <c r="D1453" s="3">
        <v>4.0</v>
      </c>
    </row>
    <row r="1454" ht="15.75" customHeight="1">
      <c r="A1454" s="1">
        <v>1452.0</v>
      </c>
      <c r="B1454" s="3" t="s">
        <v>1455</v>
      </c>
      <c r="C1454" s="3" t="str">
        <f>IFERROR(__xludf.DUMMYFUNCTION("GOOGLETRANSLATE(B1454,""id"",""en"")"),"['Please', 'fix', 'signal', 'style', 'package', 'internet', 'expensive', 'signal', 'slow', 'play', 'game', 'difficult', ' how', '']")</f>
        <v>['Please', 'fix', 'signal', 'style', 'package', 'internet', 'expensive', 'signal', 'slow', 'play', 'game', 'difficult', ' how', '']</v>
      </c>
      <c r="D1454" s="3">
        <v>1.0</v>
      </c>
    </row>
    <row r="1455" ht="15.75" customHeight="1">
      <c r="A1455" s="1">
        <v>1453.0</v>
      </c>
      <c r="B1455" s="3" t="s">
        <v>1456</v>
      </c>
      <c r="C1455" s="3" t="str">
        <f>IFERROR(__xludf.DUMMYFUNCTION("GOOGLETRANSLATE(B1455,""id"",""en"")"),"['Hello', 'Problems',' Natural ',' Credit ',' Reduced ',' Notif ',' Reduction ',' Credit ',' Network ',' Bad ',' Quota ',' GB ',' network ',' full ',' open ',' youtube ',' game ',' browser ',' buffering ',' buffering ',' gimna ',' telkomsel ',' adlah ',' "&amp;"provider ',' biggest ' , 'Indonesia', 'Telkomsel', 'Provider', 'Worst']")</f>
        <v>['Hello', 'Problems',' Natural ',' Credit ',' Reduced ',' Notif ',' Reduction ',' Credit ',' Network ',' Bad ',' Quota ',' GB ',' network ',' full ',' open ',' youtube ',' game ',' browser ',' buffering ',' buffering ',' gimna ',' telkomsel ',' adlah ',' provider ',' biggest ' , 'Indonesia', 'Telkomsel', 'Provider', 'Worst']</v>
      </c>
      <c r="D1455" s="3">
        <v>1.0</v>
      </c>
    </row>
    <row r="1456" ht="15.75" customHeight="1">
      <c r="A1456" s="1">
        <v>1454.0</v>
      </c>
      <c r="B1456" s="3" t="s">
        <v>1457</v>
      </c>
      <c r="C1456" s="3" t="str">
        <f>IFERROR(__xludf.DUMMYFUNCTION("GOOGLETRANSLATE(B1456,""id"",""en"")"),"['', 'Lord', 'Mbak', 'contents',' quota ',' ngelag ',' noon ',' contents', 'malem', 'play', 'game', 'ngelag', 'honest ',' Disappointed ',' really ',' price ',' expensive ',' network ',' Not bad ',' dahlah ', ""]")</f>
        <v>['', 'Lord', 'Mbak', 'contents',' quota ',' ngelag ',' noon ',' contents', 'malem', 'play', 'game', 'ngelag', 'honest ',' Disappointed ',' really ',' price ',' expensive ',' network ',' Not bad ',' dahlah ', "]</v>
      </c>
      <c r="D1456" s="3">
        <v>1.0</v>
      </c>
    </row>
    <row r="1457" ht="15.75" customHeight="1">
      <c r="A1457" s="1">
        <v>1455.0</v>
      </c>
      <c r="B1457" s="3" t="s">
        <v>1458</v>
      </c>
      <c r="C1457" s="3" t="str">
        <f>IFERROR(__xludf.DUMMYFUNCTION("GOOGLETRANSLATE(B1457,""id"",""en"")"),"['buy', 'package', 'expensive', 'signal', 'severe', 'severe', 'lose', 'provider', 'cheap', 'mending', 'moved', 'provider', ' network ',' internet ',' stable ',' goodby ',' Telkomsel ',' accompany ',' sya ',' yrs', ""]")</f>
        <v>['buy', 'package', 'expensive', 'signal', 'severe', 'severe', 'lose', 'provider', 'cheap', 'mending', 'moved', 'provider', ' network ',' internet ',' stable ',' goodby ',' Telkomsel ',' accompany ',' sya ',' yrs', "]</v>
      </c>
      <c r="D1457" s="3">
        <v>1.0</v>
      </c>
    </row>
    <row r="1458" ht="15.75" customHeight="1">
      <c r="A1458" s="1">
        <v>1456.0</v>
      </c>
      <c r="B1458" s="3" t="s">
        <v>1459</v>
      </c>
      <c r="C1458" s="3" t="str">
        <f>IFERROR(__xludf.DUMMYFUNCTION("GOOGLETRANSLATE(B1458,""id"",""en"")"),"['quota', 'usage', 'smooth', 'Jaya', 'pulse', 'run out', 'sucked', 'right', 'check', 'self', 'pulse', 'run out', ' usage ',' internet ',' use ',' quota ',' display ',' thank you ']")</f>
        <v>['quota', 'usage', 'smooth', 'Jaya', 'pulse', 'run out', 'sucked', 'right', 'check', 'self', 'pulse', 'run out', ' usage ',' internet ',' use ',' quota ',' display ',' thank you ']</v>
      </c>
      <c r="D1458" s="3">
        <v>3.0</v>
      </c>
    </row>
    <row r="1459" ht="15.75" customHeight="1">
      <c r="A1459" s="1">
        <v>1457.0</v>
      </c>
      <c r="B1459" s="3" t="s">
        <v>1460</v>
      </c>
      <c r="C1459" s="3" t="str">
        <f>IFERROR(__xludf.DUMMYFUNCTION("GOOGLETRANSLATE(B1459,""id"",""en"")"),"['Please', 'Returned', 'Balance', 'Shopee', 'Pay', 'Cook', 'Report', 'Application', 'Telkomsel', 'FAILURE', 'Application', 'Shopee', ' Successful ',' Lho ',' Heart ',' Friend ',' Buy ',' Package ',' Via ',' Application ',' ']")</f>
        <v>['Please', 'Returned', 'Balance', 'Shopee', 'Pay', 'Cook', 'Report', 'Application', 'Telkomsel', 'FAILURE', 'Application', 'Shopee', ' Successful ',' Lho ',' Heart ',' Friend ',' Buy ',' Package ',' Via ',' Application ',' ']</v>
      </c>
      <c r="D1459" s="3">
        <v>1.0</v>
      </c>
    </row>
    <row r="1460" ht="15.75" customHeight="1">
      <c r="A1460" s="1">
        <v>1458.0</v>
      </c>
      <c r="B1460" s="3" t="s">
        <v>1461</v>
      </c>
      <c r="C1460" s="3" t="str">
        <f>IFERROR(__xludf.DUMMYFUNCTION("GOOGLETRANSLATE(B1460,""id"",""en"")"),"['Hey', 'Telkomsel', 'Experiencing', 'Disorders',' Connection ',' Internet ',' Date ',' March ',' Contact ',' Telkomsel ',' Solution ',' Restart ',' network ',' please ',' addressed ',' connectivity ',' network ',' honest ',' customer ',' disappointed ','"&amp;" solution ', ""]")</f>
        <v>['Hey', 'Telkomsel', 'Experiencing', 'Disorders',' Connection ',' Internet ',' Date ',' March ',' Contact ',' Telkomsel ',' Solution ',' Restart ',' network ',' please ',' addressed ',' connectivity ',' network ',' honest ',' customer ',' disappointed ',' solution ', "]</v>
      </c>
      <c r="D1460" s="3">
        <v>1.0</v>
      </c>
    </row>
    <row r="1461" ht="15.75" customHeight="1">
      <c r="A1461" s="1">
        <v>1459.0</v>
      </c>
      <c r="B1461" s="3" t="s">
        <v>1462</v>
      </c>
      <c r="C1461" s="3" t="str">
        <f>IFERROR(__xludf.DUMMYFUNCTION("GOOGLETRANSLATE(B1461,""id"",""en"")"),"['buy', 'quota', 'package', 'self-independent', 'unlimited', 'GB', 'package', 'severe', 'GB', 'slow', 'accept', 'Oderan', ' Gojek ',' Loding ',' Please ',' Telkomsel ',' Quota ',' Swadaya ',' Unlimited ',' Where ',' Package ',' Swadaya ',' Lost ',' Packag"&amp;"e ',' Lemot ' , 'thank you']")</f>
        <v>['buy', 'quota', 'package', 'self-independent', 'unlimited', 'GB', 'package', 'severe', 'GB', 'slow', 'accept', 'Oderan', ' Gojek ',' Loding ',' Please ',' Telkomsel ',' Quota ',' Swadaya ',' Unlimited ',' Where ',' Package ',' Swadaya ',' Lost ',' Package ',' Lemot ' , 'thank you']</v>
      </c>
      <c r="D1461" s="3">
        <v>3.0</v>
      </c>
    </row>
    <row r="1462" ht="15.75" customHeight="1">
      <c r="A1462" s="1">
        <v>1460.0</v>
      </c>
      <c r="B1462" s="3" t="s">
        <v>1463</v>
      </c>
      <c r="C1462" s="3" t="str">
        <f>IFERROR(__xludf.DUMMYFUNCTION("GOOGLETRANSLATE(B1462,""id"",""en"")"),"['Good', 'really', 'the application', 'just', 'kada', 'down', 'sight', 'really', 'hope', 'hope', 'in the future', 'repaired', ' Success', 'Telkomsel']")</f>
        <v>['Good', 'really', 'the application', 'just', 'kada', 'down', 'sight', 'really', 'hope', 'hope', 'in the future', 'repaired', ' Success', 'Telkomsel']</v>
      </c>
      <c r="D1462" s="3">
        <v>3.0</v>
      </c>
    </row>
    <row r="1463" ht="15.75" customHeight="1">
      <c r="A1463" s="1">
        <v>1461.0</v>
      </c>
      <c r="B1463" s="3" t="s">
        <v>1464</v>
      </c>
      <c r="C1463" s="3" t="str">
        <f>IFERROR(__xludf.DUMMYFUNCTION("GOOGLETRANSLATE(B1463,""id"",""en"")"),"['Komen', 'Karna', 'Telkomsel', 'Network', 'Largest', 'Lestward', 'Indonesia', 'Raya', 'Sampesampe', 'Taun', 'Slow', 'Severe', ' Stayed ',' Seatap ',' user ',' card ',' biscibility ',' Telkomsel ',' plump ',' looks', 'lines',' white ',' the network ',' wa"&amp;"hwahh ',' honest ' , 'use', 'Telkomsel', 'already', 'Markotop', 'plump', 'lamalama', 'baky', 'left', 'user', 'hope', 'hope', ' ']")</f>
        <v>['Komen', 'Karna', 'Telkomsel', 'Network', 'Largest', 'Lestward', 'Indonesia', 'Raya', 'Sampesampe', 'Taun', 'Slow', 'Severe', ' Stayed ',' Seatap ',' user ',' card ',' biscibility ',' Telkomsel ',' plump ',' looks', 'lines',' white ',' the network ',' wahwahh ',' honest ' , 'use', 'Telkomsel', 'already', 'Markotop', 'plump', 'lamalama', 'baky', 'left', 'user', 'hope', 'hope', ' ']</v>
      </c>
      <c r="D1463" s="3">
        <v>1.0</v>
      </c>
    </row>
    <row r="1464" ht="15.75" customHeight="1">
      <c r="A1464" s="1">
        <v>1462.0</v>
      </c>
      <c r="B1464" s="3" t="s">
        <v>1465</v>
      </c>
      <c r="C1464" s="3" t="str">
        <f>IFERROR(__xludf.DUMMYFUNCTION("GOOGLETRANSLATE(B1464,""id"",""en"")"),"['', 'see', 'satisfied', 'Telkomsel', 'oath', 'network', 'bad', 'open', 'browser', 'really', 'bizarre', 'provider', 'the biggest ',' quality ',' signal ',' rich ',' gini ']")</f>
        <v>['', 'see', 'satisfied', 'Telkomsel', 'oath', 'network', 'bad', 'open', 'browser', 'really', 'bizarre', 'provider', 'the biggest ',' quality ',' signal ',' rich ',' gini ']</v>
      </c>
      <c r="D1464" s="3">
        <v>1.0</v>
      </c>
    </row>
    <row r="1465" ht="15.75" customHeight="1">
      <c r="A1465" s="1">
        <v>1463.0</v>
      </c>
      <c r="B1465" s="3" t="s">
        <v>1466</v>
      </c>
      <c r="C1465" s="3" t="str">
        <f>IFERROR(__xludf.DUMMYFUNCTION("GOOGLETRANSLATE(B1465,""id"",""en"")"),"['What', 'buy', 'quota', 'pay', 'use', 'shopee', 'pay', 'applied', 'say it', 'payment', 'fail', 'TPI', ' Shopee ',' Pay ',' Cut ',' Loss']")</f>
        <v>['What', 'buy', 'quota', 'pay', 'use', 'shopee', 'pay', 'applied', 'say it', 'payment', 'fail', 'TPI', ' Shopee ',' Pay ',' Cut ',' Loss']</v>
      </c>
      <c r="D1465" s="3">
        <v>1.0</v>
      </c>
    </row>
    <row r="1466" ht="15.75" customHeight="1">
      <c r="A1466" s="1">
        <v>1464.0</v>
      </c>
      <c r="B1466" s="3" t="s">
        <v>1467</v>
      </c>
      <c r="C1466" s="3" t="str">
        <f>IFERROR(__xludf.DUMMYFUNCTION("GOOGLETRANSLATE(B1466,""id"",""en"")"),"['Telkomsel', 'please', 'card', 'promo', 'package', 'cheap', 'family', 'Telkomsel', 'package', 'expensive', 'expensive', 'signal', ' Sekarng ',' ugly ',' please ',' Developer ',' Telkomsel ']")</f>
        <v>['Telkomsel', 'please', 'card', 'promo', 'package', 'cheap', 'family', 'Telkomsel', 'package', 'expensive', 'expensive', 'signal', ' Sekarng ',' ugly ',' please ',' Developer ',' Telkomsel ']</v>
      </c>
      <c r="D1466" s="3">
        <v>5.0</v>
      </c>
    </row>
    <row r="1467" ht="15.75" customHeight="1">
      <c r="A1467" s="1">
        <v>1465.0</v>
      </c>
      <c r="B1467" s="3" t="s">
        <v>1468</v>
      </c>
      <c r="C1467" s="3" t="str">
        <f>IFERROR(__xludf.DUMMYFUNCTION("GOOGLETRANSLATE(B1467,""id"",""en"")"),"['please', 'Telkomsel', 'network', 'ugly', 'really', 'good', 'call', 'call', 'center', 'many', 'convoluted', 'user', ' card ',' Hello ',' signal ',' good ',' TPI ',' skrang ',' ugly ',' really ']")</f>
        <v>['please', 'Telkomsel', 'network', 'ugly', 'really', 'good', 'call', 'call', 'center', 'many', 'convoluted', 'user', ' card ',' Hello ',' signal ',' good ',' TPI ',' skrang ',' ugly ',' really ']</v>
      </c>
      <c r="D1467" s="3">
        <v>2.0</v>
      </c>
    </row>
    <row r="1468" ht="15.75" customHeight="1">
      <c r="A1468" s="1">
        <v>1466.0</v>
      </c>
      <c r="B1468" s="3" t="s">
        <v>1469</v>
      </c>
      <c r="C1468" s="3" t="str">
        <f>IFERROR(__xludf.DUMMYFUNCTION("GOOGLETRANSLATE(B1468,""id"",""en"")"),"['Provider', 'buy', 'package', 'expensive', 'expensive', 'network', 'according to', 'Pay', 'really', 'sanagt', 'disappointing', 'reason', ' Improvements', 'improvements',' how ',' months', '']")</f>
        <v>['Provider', 'buy', 'package', 'expensive', 'expensive', 'network', 'according to', 'Pay', 'really', 'sanagt', 'disappointing', 'reason', ' Improvements', 'improvements',' how ',' months', '']</v>
      </c>
      <c r="D1468" s="3">
        <v>1.0</v>
      </c>
    </row>
    <row r="1469" ht="15.75" customHeight="1">
      <c r="A1469" s="1">
        <v>1467.0</v>
      </c>
      <c r="B1469" s="3" t="s">
        <v>1470</v>
      </c>
      <c r="C1469" s="3" t="str">
        <f>IFERROR(__xludf.DUMMYFUNCTION("GOOGLETRANSLATE(B1469,""id"",""en"")"),"['Ayooo', 'residents',' Pejaten ',' West ',' moved ',' Bahh ',' crazy ',' good ',' really ',' tower ',' Different ',' Tsel ',' price ',' expensive ',' network ',' nyesel ',' lohhh ',' msh ',' keep ',' tsel ',' at home ',' tsel ',' good ',' bye ',' please "&amp;"' , 'Sorry', 'Sis',' Hairul ',' complaints', 'access',' internet ',' slow ',' mimin ',' help ',' please ',' confirm ',' telegram ',' etc. ',' lie ',' really ',' you're ',' UDH ',' Email ',' Complain ',' Severe ',' Team ',' Tsel ',' his staff ']")</f>
        <v>['Ayooo', 'residents',' Pejaten ',' West ',' moved ',' Bahh ',' crazy ',' good ',' really ',' tower ',' Different ',' Tsel ',' price ',' expensive ',' network ',' nyesel ',' lohhh ',' msh ',' keep ',' tsel ',' at home ',' tsel ',' good ',' bye ',' please ' , 'Sorry', 'Sis',' Hairul ',' complaints', 'access',' internet ',' slow ',' mimin ',' help ',' please ',' confirm ',' telegram ',' etc. ',' lie ',' really ',' you're ',' UDH ',' Email ',' Complain ',' Severe ',' Team ',' Tsel ',' his staff ']</v>
      </c>
      <c r="D1469" s="3">
        <v>1.0</v>
      </c>
    </row>
    <row r="1470" ht="15.75" customHeight="1">
      <c r="A1470" s="1">
        <v>1468.0</v>
      </c>
      <c r="B1470" s="3" t="s">
        <v>1471</v>
      </c>
      <c r="C1470" s="3" t="str">
        <f>IFERROR(__xludf.DUMMYFUNCTION("GOOGLETRANSLATE(B1470,""id"",""en"")"),"['PLIS', 'Package', 'Unlimited', 'Max', 'Free', 'YouTube', 'Reality', 'Cave', 'Bela', 'Belain', 'Buy', 'Get', ' Free ',' cheated ',' Plislah ',' Gaada ',' quota ',' free ',' unlimited ',' stated ',' fooling ',' sorry ',' talking ',' polite ',' gini ' , ''"&amp;"]")</f>
        <v>['PLIS', 'Package', 'Unlimited', 'Max', 'Free', 'YouTube', 'Reality', 'Cave', 'Bela', 'Belain', 'Buy', 'Get', ' Free ',' cheated ',' Plislah ',' Gaada ',' quota ',' free ',' unlimited ',' stated ',' fooling ',' sorry ',' talking ',' polite ',' gini ' , '']</v>
      </c>
      <c r="D1470" s="3">
        <v>1.0</v>
      </c>
    </row>
    <row r="1471" ht="15.75" customHeight="1">
      <c r="A1471" s="1">
        <v>1469.0</v>
      </c>
      <c r="B1471" s="3" t="s">
        <v>1472</v>
      </c>
      <c r="C1471" s="3" t="str">
        <f>IFERROR(__xludf.DUMMYFUNCTION("GOOGLETRANSLATE(B1471,""id"",""en"")"),"['Good', 'can', 'promo', 'cheap', 'purchase', 'buy', 'contents',' pulse ',' point ',' lottery ',' chosen ',' knp ',' Can "", 'gift', 'Mimin', 'Tlong', 'translucent', 'prize',""]")</f>
        <v>['Good', 'can', 'promo', 'cheap', 'purchase', 'buy', 'contents',' pulse ',' point ',' lottery ',' chosen ',' knp ',' Can ", 'gift', 'Mimin', 'Tlong', 'translucent', 'prize',"]</v>
      </c>
      <c r="D1471" s="3">
        <v>5.0</v>
      </c>
    </row>
    <row r="1472" ht="15.75" customHeight="1">
      <c r="A1472" s="1">
        <v>1470.0</v>
      </c>
      <c r="B1472" s="3" t="s">
        <v>1473</v>
      </c>
      <c r="C1472" s="3" t="str">
        <f>IFERROR(__xludf.DUMMYFUNCTION("GOOGLETRANSLATE(B1472,""id"",""en"")"),"['disappointed', 'buy', 'pulse', 'application', 'balance', 'reduced', 'pay', 'shopee', 'balance', 'reduced', 'pulse', 'ndak', ' Enter ',' Notif ',' SUCCESS ',' Disappointing ',' sucks', ""]")</f>
        <v>['disappointed', 'buy', 'pulse', 'application', 'balance', 'reduced', 'pay', 'shopee', 'balance', 'reduced', 'pulse', 'ndak', ' Enter ',' Notif ',' SUCCESS ',' Disappointing ',' sucks', "]</v>
      </c>
      <c r="D1472" s="3">
        <v>1.0</v>
      </c>
    </row>
    <row r="1473" ht="15.75" customHeight="1">
      <c r="A1473" s="1">
        <v>1471.0</v>
      </c>
      <c r="B1473" s="3" t="s">
        <v>1474</v>
      </c>
      <c r="C1473" s="3" t="str">
        <f>IFERROR(__xludf.DUMMYFUNCTION("GOOGLETRANSLATE(B1473,""id"",""en"")"),"['Telkomsel', 'juice', 'rich', 'snail', 'village', 'jakarta', 'high school', 'jakarta', 'north', 'juice', 'package', 'kepakai', ' GRA ',' JALING ',' RICH ',' Snail ',' brjalan ',' Telkomsel ',' use ',' ']")</f>
        <v>['Telkomsel', 'juice', 'rich', 'snail', 'village', 'jakarta', 'high school', 'jakarta', 'north', 'juice', 'package', 'kepakai', ' GRA ',' JALING ',' RICH ',' Snail ',' brjalan ',' Telkomsel ',' use ',' ']</v>
      </c>
      <c r="D1473" s="3">
        <v>1.0</v>
      </c>
    </row>
    <row r="1474" ht="15.75" customHeight="1">
      <c r="A1474" s="1">
        <v>1472.0</v>
      </c>
      <c r="B1474" s="3" t="s">
        <v>1475</v>
      </c>
      <c r="C1474" s="3" t="str">
        <f>IFERROR(__xludf.DUMMYFUNCTION("GOOGLETRANSLATE(B1474,""id"",""en"")"),"['Package', 'Data', 'Enter', 'Balance', 'Shoopepay', 'Reduced', 'Payment', 'Successful', 'Application', 'How', 'Thisi', ""]")</f>
        <v>['Package', 'Data', 'Enter', 'Balance', 'Shoopepay', 'Reduced', 'Payment', 'Successful', 'Application', 'How', 'Thisi', "]</v>
      </c>
      <c r="D1474" s="3">
        <v>1.0</v>
      </c>
    </row>
    <row r="1475" ht="15.75" customHeight="1">
      <c r="A1475" s="1">
        <v>1473.0</v>
      </c>
      <c r="B1475" s="3" t="s">
        <v>1476</v>
      </c>
      <c r="C1475" s="3" t="str">
        <f>IFERROR(__xludf.DUMMYFUNCTION("GOOGLETRANSLATE(B1475,""id"",""en"")"),"['Please', 'what', 'buy', 'quota', 'learn', 'pay it', 'shopeepay', 'right', 'UDH', 'pay', 'payment', 'SUCCESS', ' Money ',' Target ',' Out ',' Quota ',' Enter ',' How ',' Severe ',' Press', 'Pay', 'Times',' Money ',' Kali ',' Kebawa ' , 'quota', 'enter', "&amp;"'Please', 'solution', '']")</f>
        <v>['Please', 'what', 'buy', 'quota', 'learn', 'pay it', 'shopeepay', 'right', 'UDH', 'pay', 'payment', 'SUCCESS', ' Money ',' Target ',' Out ',' Quota ',' Enter ',' How ',' Severe ',' Press', 'Pay', 'Times',' Money ',' Kali ',' Kebawa ' , 'quota', 'enter', 'Please', 'solution', '']</v>
      </c>
      <c r="D1475" s="3">
        <v>1.0</v>
      </c>
    </row>
    <row r="1476" ht="15.75" customHeight="1">
      <c r="A1476" s="1">
        <v>1474.0</v>
      </c>
      <c r="B1476" s="3" t="s">
        <v>1477</v>
      </c>
      <c r="C1476" s="3" t="str">
        <f>IFERROR(__xludf.DUMMYFUNCTION("GOOGLETRANSLATE(B1476,""id"",""en"")"),"['send', 'pulse', 'writing', 'sorry', 'system', 'busy', 'try', 'for days',' writing ',' package ',' slow ',' buy ',' pulses ',' thousand ',' pulse ',' thousand ',' kenapaya ',' hope ',' hope ',' behavior ',' telkomsel ',' hopefully ',' get ',' reply ',' b"&amp;"ecause 'because' , 'card', 'person', 'old', 'card', 'waste', 'card', 'ngakali']")</f>
        <v>['send', 'pulse', 'writing', 'sorry', 'system', 'busy', 'try', 'for days',' writing ',' package ',' slow ',' buy ',' pulses ',' thousand ',' pulse ',' thousand ',' kenapaya ',' hope ',' hope ',' behavior ',' telkomsel ',' hopefully ',' get ',' reply ',' because 'because' , 'card', 'person', 'old', 'card', 'waste', 'card', 'ngakali']</v>
      </c>
      <c r="D1476" s="3">
        <v>1.0</v>
      </c>
    </row>
    <row r="1477" ht="15.75" customHeight="1">
      <c r="A1477" s="1">
        <v>1475.0</v>
      </c>
      <c r="B1477" s="3" t="s">
        <v>1478</v>
      </c>
      <c r="C1477" s="3" t="str">
        <f>IFERROR(__xludf.DUMMYFUNCTION("GOOGLETRANSLATE(B1477,""id"",""en"")"),"['Telkomsel', 'Different', 'palm', 'friend', 'buy', 'package', 'cheap', 'cheap', 'combo', 'Sakti', 'buy', 'packetan', ' Cheap ',' palm ',' expensive ',' combo ',' Sakti ',' app ',' telkosel ',' extend ',' active ',' quota ', ""]")</f>
        <v>['Telkomsel', 'Different', 'palm', 'friend', 'buy', 'package', 'cheap', 'cheap', 'combo', 'Sakti', 'buy', 'packetan', ' Cheap ',' palm ',' expensive ',' combo ',' Sakti ',' app ',' telkosel ',' extend ',' active ',' quota ', "]</v>
      </c>
      <c r="D1477" s="3">
        <v>1.0</v>
      </c>
    </row>
    <row r="1478" ht="15.75" customHeight="1">
      <c r="A1478" s="1">
        <v>1476.0</v>
      </c>
      <c r="B1478" s="3" t="s">
        <v>1479</v>
      </c>
      <c r="C1478" s="3" t="str">
        <f>IFERROR(__xludf.DUMMYFUNCTION("GOOGLETRANSLATE(B1478,""id"",""en"")"),"['Please', 'Keep', 'Privacy', 'Card', 'People', 'I', 'SMS', 'Loan', 'Online', 'People', 'Ngak', 'Already', ' Paketan ',' expensive ',' ngak ',' guard ',' data ',' customer ',' slow ',' ']")</f>
        <v>['Please', 'Keep', 'Privacy', 'Card', 'People', 'I', 'SMS', 'Loan', 'Online', 'People', 'Ngak', 'Already', ' Paketan ',' expensive ',' ngak ',' guard ',' data ',' customer ',' slow ',' ']</v>
      </c>
      <c r="D1478" s="3">
        <v>1.0</v>
      </c>
    </row>
    <row r="1479" ht="15.75" customHeight="1">
      <c r="A1479" s="1">
        <v>1477.0</v>
      </c>
      <c r="B1479" s="3" t="s">
        <v>1480</v>
      </c>
      <c r="C1479" s="3" t="str">
        <f>IFERROR(__xludf.DUMMYFUNCTION("GOOGLETRANSLATE(B1479,""id"",""en"")"),"['good', 'help', 'as complete', 'rich', 'because', 'application', 'link', 'application', 'Telkomsel', 'appears',' balance ',' link ',' Stay ',' Download ',' Application ',' Link ',' Ribet ',' ']")</f>
        <v>['good', 'help', 'as complete', 'rich', 'because', 'application', 'link', 'application', 'Telkomsel', 'appears',' balance ',' link ',' Stay ',' Download ',' Application ',' Link ',' Ribet ',' ']</v>
      </c>
      <c r="D1479" s="3">
        <v>5.0</v>
      </c>
    </row>
    <row r="1480" ht="15.75" customHeight="1">
      <c r="A1480" s="1">
        <v>1478.0</v>
      </c>
      <c r="B1480" s="3" t="s">
        <v>1481</v>
      </c>
      <c r="C1480" s="3" t="str">
        <f>IFERROR(__xludf.DUMMYFUNCTION("GOOGLETRANSLATE(B1480,""id"",""en"")"),"['Please', 'Sorry', 'given', 'Mangkritik', 'Kouta', 'Games',' Max ',' Kouta ',' Games', 'Review', 'Kouta', 'Games',' Game ',' Mobile ',' Legend ',' Bang ',' Bang ',' Written ',' Kouta ',' Games', 'Games',' Free ',' Fire ',' Pub ',' Etc. ' , 'Tatapi', 'wri"&amp;"tten', 'Konissi', 'failed', 'Please', 'concerned', 'Fix', 'Satisfied', 'Thank you', ""]")</f>
        <v>['Please', 'Sorry', 'given', 'Mangkritik', 'Kouta', 'Games',' Max ',' Kouta ',' Games', 'Review', 'Kouta', 'Games',' Game ',' Mobile ',' Legend ',' Bang ',' Bang ',' Written ',' Kouta ',' Games', 'Games',' Free ',' Fire ',' Pub ',' Etc. ' , 'Tatapi', 'written', 'Konissi', 'failed', 'Please', 'concerned', 'Fix', 'Satisfied', 'Thank you', "]</v>
      </c>
      <c r="D1480" s="3">
        <v>4.0</v>
      </c>
    </row>
    <row r="1481" ht="15.75" customHeight="1">
      <c r="A1481" s="1">
        <v>1479.0</v>
      </c>
      <c r="B1481" s="3" t="s">
        <v>1482</v>
      </c>
      <c r="C1481" s="3" t="str">
        <f>IFERROR(__xludf.DUMMYFUNCTION("GOOGLETRANSLATE(B1481,""id"",""en"")"),"['Network', 'rich', 'gini', 'call', 'call', 'center', 'tetep', 'improve', 'quality', 'decline', 'drastic', 'the network', ' Invites', 'fight', '']")</f>
        <v>['Network', 'rich', 'gini', 'call', 'call', 'center', 'tetep', 'improve', 'quality', 'decline', 'drastic', 'the network', ' Invites', 'fight', '']</v>
      </c>
      <c r="D1481" s="3">
        <v>1.0</v>
      </c>
    </row>
    <row r="1482" ht="15.75" customHeight="1">
      <c r="A1482" s="1">
        <v>1480.0</v>
      </c>
      <c r="B1482" s="3" t="s">
        <v>1483</v>
      </c>
      <c r="C1482" s="3" t="str">
        <f>IFERROR(__xludf.DUMMYFUNCTION("GOOGLETRANSLATE(B1482,""id"",""en"")"),"['Telkomsel', 'students',' comfortable ',' quality ',' signal ',' bad ',' assistance ',' quota ',' government ',' signal ',' provider ',' supports', ' Please, 'repaired', 'quality', 'signal', '']")</f>
        <v>['Telkomsel', 'students',' comfortable ',' quality ',' signal ',' bad ',' assistance ',' quota ',' government ',' signal ',' provider ',' supports', ' Please, 'repaired', 'quality', 'signal', '']</v>
      </c>
      <c r="D1482" s="3">
        <v>1.0</v>
      </c>
    </row>
    <row r="1483" ht="15.75" customHeight="1">
      <c r="A1483" s="1">
        <v>1481.0</v>
      </c>
      <c r="B1483" s="3" t="s">
        <v>1484</v>
      </c>
      <c r="C1483" s="3" t="str">
        <f>IFERROR(__xludf.DUMMYFUNCTION("GOOGLETRANSLATE(B1483,""id"",""en"")"),"['Provider', 'perpetrators', 'hoax', 'said', 'perpetrators', 'lies', 'public', 'say it', 'promo', 'cut', 'pulse', 'say "",' Network ',' strongest ',' widest ',' diIndonesia ',' jakarta ',' signal ',' Tiarp ',' Mulu ',' I ',' tri ',' jakarta ',' safe ',' s"&amp;"afe ' , 'classmate', 'sympathy', 'Jakarta', 'ilang', 'Mulu', 'signal']")</f>
        <v>['Provider', 'perpetrators', 'hoax', 'said', 'perpetrators', 'lies', 'public', 'say it', 'promo', 'cut', 'pulse', 'say ",' Network ',' strongest ',' widest ',' diIndonesia ',' jakarta ',' signal ',' Tiarp ',' Mulu ',' I ',' tri ',' jakarta ',' safe ',' safe ' , 'classmate', 'sympathy', 'Jakarta', 'ilang', 'Mulu', 'signal']</v>
      </c>
      <c r="D1483" s="3">
        <v>1.0</v>
      </c>
    </row>
    <row r="1484" ht="15.75" customHeight="1">
      <c r="A1484" s="1">
        <v>1482.0</v>
      </c>
      <c r="B1484" s="3" t="s">
        <v>1485</v>
      </c>
      <c r="C1484" s="3" t="str">
        <f>IFERROR(__xludf.DUMMYFUNCTION("GOOGLETRANSLATE(B1484,""id"",""en"")"),"['Bener', 'Bener', 'Satisfied', 'Application', 'Register', 'Current', 'Current', 'Fitting', 'Enter', 'said', 'Internet', 'connection', ' WiFi ',' lined ',' card ',' turn on ',' data ',' data ',' appears', 'dead', 'please', 'repaired', 'thank', 'love']")</f>
        <v>['Bener', 'Bener', 'Satisfied', 'Application', 'Register', 'Current', 'Current', 'Fitting', 'Enter', 'said', 'Internet', 'connection', ' WiFi ',' lined ',' card ',' turn on ',' data ',' data ',' appears', 'dead', 'please', 'repaired', 'thank', 'love']</v>
      </c>
      <c r="D1484" s="3">
        <v>1.0</v>
      </c>
    </row>
    <row r="1485" ht="15.75" customHeight="1">
      <c r="A1485" s="1">
        <v>1483.0</v>
      </c>
      <c r="B1485" s="3" t="s">
        <v>1486</v>
      </c>
      <c r="C1485" s="3" t="str">
        <f>IFERROR(__xludf.DUMMYFUNCTION("GOOGLETRANSLATE(B1485,""id"",""en"")"),"['comment', 'Komen', 'Trima', 'That's',' Already ',' Application ',' Belom ',' Kalok ',' Already ',' Relationship ',' Kalok ',' Sayu ',' Stay ',' replace ',' card ',' difficult ',' imagine ',' application ',' then 'comment', 'kayak', 'gini', 'feel', 'that"&amp;"'s', 'high school' , 'Komenin', 'Live', 'Enjoy', 'Difficult', '']")</f>
        <v>['comment', 'Komen', 'Trima', 'That's',' Already ',' Application ',' Belom ',' Kalok ',' Already ',' Relationship ',' Kalok ',' Sayu ',' Stay ',' replace ',' card ',' difficult ',' imagine ',' application ',' then 'comment', 'kayak', 'gini', 'feel', 'that's', 'high school' , 'Komenin', 'Live', 'Enjoy', 'Difficult', '']</v>
      </c>
      <c r="D1485" s="3">
        <v>5.0</v>
      </c>
    </row>
    <row r="1486" ht="15.75" customHeight="1">
      <c r="A1486" s="1">
        <v>1484.0</v>
      </c>
      <c r="B1486" s="3" t="s">
        <v>1487</v>
      </c>
      <c r="C1486" s="3" t="str">
        <f>IFERROR(__xludf.DUMMYFUNCTION("GOOGLETRANSLATE(B1486,""id"",""en"")"),"['Severe', 'Bener', 'Telkomsel', 'buy', 'package', 'use', 'the network', 'lemooot', 'really', 'his oprator', 'try', 'check', ' network ',' region ',' kedungwaringin ',' kab ',' bekasi ',' already ',' network ',' internet ',' slow ',' pisan ',' euy ', ""]")</f>
        <v>['Severe', 'Bener', 'Telkomsel', 'buy', 'package', 'use', 'the network', 'lemooot', 'really', 'his oprator', 'try', 'check', ' network ',' region ',' kedungwaringin ',' kab ',' bekasi ',' already ',' network ',' internet ',' slow ',' pisan ',' euy ', "]</v>
      </c>
      <c r="D1486" s="3">
        <v>3.0</v>
      </c>
    </row>
    <row r="1487" ht="15.75" customHeight="1">
      <c r="A1487" s="1">
        <v>1485.0</v>
      </c>
      <c r="B1487" s="3" t="s">
        <v>1488</v>
      </c>
      <c r="C1487" s="3" t="str">
        <f>IFERROR(__xludf.DUMMYFUNCTION("GOOGLETRANSLATE(B1487,""id"",""en"")"),"['habit', 'warning', 'quota', 'run out', 'direct', 'sucked', 'pulse', 'network', 'slow', 'select', 'Telokmsel', 'choice', ' Office ',' requires', 'repaired', 'problem', 'network', 'missing', 'change', ""]")</f>
        <v>['habit', 'warning', 'quota', 'run out', 'direct', 'sucked', 'pulse', 'network', 'slow', 'select', 'Telokmsel', 'choice', ' Office ',' requires', 'repaired', 'problem', 'network', 'missing', 'change', "]</v>
      </c>
      <c r="D1487" s="3">
        <v>1.0</v>
      </c>
    </row>
    <row r="1488" ht="15.75" customHeight="1">
      <c r="A1488" s="1">
        <v>1486.0</v>
      </c>
      <c r="B1488" s="3" t="s">
        <v>1489</v>
      </c>
      <c r="C1488" s="3" t="str">
        <f>IFERROR(__xludf.DUMMYFUNCTION("GOOGLETRANSLATE(B1488,""id"",""en"")"),"['asyikkk', 'already', 'digited', 'download', 'times',' download ',' yeay ',' already ',' already ',' so ',' point ',' daily ',' exchanged ',' quota ',' basically ',' good ',' deh ',' sorry ',' comment ',' ugly ',' basics', 'download', 'yaa', 'dadah', '']")</f>
        <v>['asyikkk', 'already', 'digited', 'download', 'times',' download ',' yeay ',' already ',' already ',' so ',' point ',' daily ',' exchanged ',' quota ',' basically ',' good ',' deh ',' sorry ',' comment ',' ugly ',' basics', 'download', 'yaa', 'dadah', '']</v>
      </c>
      <c r="D1488" s="3">
        <v>5.0</v>
      </c>
    </row>
    <row r="1489" ht="15.75" customHeight="1">
      <c r="A1489" s="1">
        <v>1487.0</v>
      </c>
      <c r="B1489" s="3" t="s">
        <v>1490</v>
      </c>
      <c r="C1489" s="3" t="str">
        <f>IFERROR(__xludf.DUMMYFUNCTION("GOOGLETRANSLATE(B1489,""id"",""en"")"),"['confused', 'aing', 'choice', 'package', 'Nilagan', 'leftover', 'package', 'conference', 'package', 'night', 'disorder', 'how' Please, 'Dongg']")</f>
        <v>['confused', 'aing', 'choice', 'package', 'Nilagan', 'leftover', 'package', 'conference', 'package', 'night', 'disorder', 'how' Please, 'Dongg']</v>
      </c>
      <c r="D1489" s="3">
        <v>2.0</v>
      </c>
    </row>
    <row r="1490" ht="15.75" customHeight="1">
      <c r="A1490" s="1">
        <v>1488.0</v>
      </c>
      <c r="B1490" s="3" t="s">
        <v>1491</v>
      </c>
      <c r="C1490" s="3" t="str">
        <f>IFERROR(__xludf.DUMMYFUNCTION("GOOGLETRANSLATE(B1490,""id"",""en"")"),"['credit', 'ilang', 'buy', 'package', 'unlimited', 'RB', 'leftover', 'pulse', 'ilang', 'telephone', 'sms',' subscribe ',' whatever ',' ilang ',' please ',' return ',' pulse ',' thousand ',' useful ',' hmbagi ',' cheating ',' finished ',' contents', 'pulse"&amp;"', 'sms' , 'fraud', 'Telkomsel', 'number', 'personal', 'contents', 'counter', 'pulse', 'money', 'ATM']")</f>
        <v>['credit', 'ilang', 'buy', 'package', 'unlimited', 'RB', 'leftover', 'pulse', 'ilang', 'telephone', 'sms',' subscribe ',' whatever ',' ilang ',' please ',' return ',' pulse ',' thousand ',' useful ',' hmbagi ',' cheating ',' finished ',' contents', 'pulse', 'sms' , 'fraud', 'Telkomsel', 'number', 'personal', 'contents', 'counter', 'pulse', 'money', 'ATM']</v>
      </c>
      <c r="D1490" s="3">
        <v>1.0</v>
      </c>
    </row>
    <row r="1491" ht="15.75" customHeight="1">
      <c r="A1491" s="1">
        <v>1489.0</v>
      </c>
      <c r="B1491" s="3" t="s">
        <v>1492</v>
      </c>
      <c r="C1491" s="3" t="str">
        <f>IFERROR(__xludf.DUMMYFUNCTION("GOOGLETRANSLATE(B1491,""id"",""en"")"),"['Please', 'Sorry', 'Telkomsel', 'Price', 'Suitable', 'Armediaries',' And above ',' Medium ',' Down ',' Suitable ',' Network ',' broad ',' enjoy ',' people ',' buy ',' expensive ',' times', 'want', 'tried', 'signal', 'recommended', 'right', 'maen', 'game'"&amp;" , 'ping', 'normal', 'ms', 'ms']")</f>
        <v>['Please', 'Sorry', 'Telkomsel', 'Price', 'Suitable', 'Armediaries',' And above ',' Medium ',' Down ',' Suitable ',' Network ',' broad ',' enjoy ',' people ',' buy ',' expensive ',' times', 'want', 'tried', 'signal', 'recommended', 'right', 'maen', 'game' , 'ping', 'normal', 'ms', 'ms']</v>
      </c>
      <c r="D1491" s="3">
        <v>2.0</v>
      </c>
    </row>
    <row r="1492" ht="15.75" customHeight="1">
      <c r="A1492" s="1">
        <v>1490.0</v>
      </c>
      <c r="B1492" s="3" t="s">
        <v>1493</v>
      </c>
      <c r="C1492" s="3" t="str">
        <f>IFERROR(__xludf.DUMMYFUNCTION("GOOGLETRANSLATE(B1492,""id"",""en"")"),"['Telkomsel', 'strange', 'pulses',' used ',' reduced ',' knowledge ',' where ',' pulse ',' stored ',' so ',' take ',' Credit ',' knowledge ',' Costumer ',' ']")</f>
        <v>['Telkomsel', 'strange', 'pulses',' used ',' reduced ',' knowledge ',' where ',' pulse ',' stored ',' so ',' take ',' Credit ',' knowledge ',' Costumer ',' ']</v>
      </c>
      <c r="D1492" s="3">
        <v>1.0</v>
      </c>
    </row>
    <row r="1493" ht="15.75" customHeight="1">
      <c r="A1493" s="1">
        <v>1491.0</v>
      </c>
      <c r="B1493" s="3" t="s">
        <v>1494</v>
      </c>
      <c r="C1493" s="3" t="str">
        <f>IFERROR(__xludf.DUMMYFUNCTION("GOOGLETRANSLATE(B1493,""id"",""en"")"),"['The application', 'gabisa', 'opened', 'just', 'nongol', 'white', 'doang', 'udh', 'pdhl', 'network', 'good', 'what', ' Min ',' open ',' application ',' that's', 'already', 'update', 'please', 'fix']")</f>
        <v>['The application', 'gabisa', 'opened', 'just', 'nongol', 'white', 'doang', 'udh', 'pdhl', 'network', 'good', 'what', ' Min ',' open ',' application ',' that's', 'already', 'update', 'please', 'fix']</v>
      </c>
      <c r="D1493" s="3">
        <v>1.0</v>
      </c>
    </row>
    <row r="1494" ht="15.75" customHeight="1">
      <c r="A1494" s="1">
        <v>1492.0</v>
      </c>
      <c r="B1494" s="3" t="s">
        <v>1495</v>
      </c>
      <c r="C1494" s="3" t="str">
        <f>IFERROR(__xludf.DUMMYFUNCTION("GOOGLETRANSLATE(B1494,""id"",""en"")"),"['Sorry', 'option', 'cancel', 'subscribe', 'package', 'buy', 'package', 'because', 'apply', 'package', 'finished', 'BTS', ' The speed ',' package ',' quota ',' buy ',' used ',' told ',' contact ',' option ',' deactivates', 'package', 'please', 'fix', ""]")</f>
        <v>['Sorry', 'option', 'cancel', 'subscribe', 'package', 'buy', 'package', 'because', 'apply', 'package', 'finished', 'BTS', ' The speed ',' package ',' quota ',' buy ',' used ',' told ',' contact ',' option ',' deactivates', 'package', 'please', 'fix', "]</v>
      </c>
      <c r="D1494" s="3">
        <v>2.0</v>
      </c>
    </row>
    <row r="1495" ht="15.75" customHeight="1">
      <c r="A1495" s="1">
        <v>1493.0</v>
      </c>
      <c r="B1495" s="3" t="s">
        <v>1496</v>
      </c>
      <c r="C1495" s="3" t="str">
        <f>IFERROR(__xludf.DUMMYFUNCTION("GOOGLETRANSLATE(B1495,""id"",""en"")"),"['Application', 'Error', 'Buy', 'Package', 'Quota', 'Combo', 'Sakti', 'Package', 'Lost', 'Bought', 'Jekas',' Package ',' quota ',' internet ',' Telkomsel ',' hmpir ',' yrs', 'subscribe', 'good', 'here', 'ugly', '']")</f>
        <v>['Application', 'Error', 'Buy', 'Package', 'Quota', 'Combo', 'Sakti', 'Package', 'Lost', 'Bought', 'Jekas',' Package ',' quota ',' internet ',' Telkomsel ',' hmpir ',' yrs', 'subscribe', 'good', 'here', 'ugly', '']</v>
      </c>
      <c r="D1495" s="3">
        <v>1.0</v>
      </c>
    </row>
    <row r="1496" ht="15.75" customHeight="1">
      <c r="A1496" s="1">
        <v>1494.0</v>
      </c>
      <c r="B1496" s="3" t="s">
        <v>1497</v>
      </c>
      <c r="C1496" s="3" t="str">
        <f>IFERROR(__xludf.DUMMYFUNCTION("GOOGLETRANSLATE(B1496,""id"",""en"")"),"['Information', 'provided', 'according to', 'quota', 'application', 'trial', 'full', 'error', 'Telkomsel', 'wrong', 'provider', 'Indonesia', ' Embarrassed', '']")</f>
        <v>['Information', 'provided', 'according to', 'quota', 'application', 'trial', 'full', 'error', 'Telkomsel', 'wrong', 'provider', 'Indonesia', ' Embarrassed', '']</v>
      </c>
      <c r="D1496" s="3">
        <v>1.0</v>
      </c>
    </row>
    <row r="1497" ht="15.75" customHeight="1">
      <c r="A1497" s="1">
        <v>1495.0</v>
      </c>
      <c r="B1497" s="3" t="s">
        <v>1498</v>
      </c>
      <c r="C1497" s="3" t="str">
        <f>IFERROR(__xludf.DUMMYFUNCTION("GOOGLETRANSLATE(B1497,""id"",""en"")"),"['APK', 'update', 'lose', 'APK', 'Next to', 'update', 'dri', 'APK', 'Abis',' network ',' kab ',' bandung ',' Gada ',' really ',' disappointing ',' already ',' pulse ',' suck ',' Ampe ',' Abis', 'search', 'money', 'difficult', 'woiii', 'jagan' , 'Take', 'p"&amp;"ulse', 'need', 'internet', 'use', 'learn', 'understand', 'come', '']")</f>
        <v>['APK', 'update', 'lose', 'APK', 'Next to', 'update', 'dri', 'APK', 'Abis',' network ',' kab ',' bandung ',' Gada ',' really ',' disappointing ',' already ',' pulse ',' suck ',' Ampe ',' Abis', 'search', 'money', 'difficult', 'woiii', 'jagan' , 'Take', 'pulse', 'need', 'internet', 'use', 'learn', 'understand', 'come', '']</v>
      </c>
      <c r="D1497" s="3">
        <v>1.0</v>
      </c>
    </row>
    <row r="1498" ht="15.75" customHeight="1">
      <c r="A1498" s="1">
        <v>1496.0</v>
      </c>
      <c r="B1498" s="3" t="s">
        <v>1499</v>
      </c>
      <c r="C1498" s="3" t="str">
        <f>IFERROR(__xludf.DUMMYFUNCTION("GOOGLETRANSLATE(B1498,""id"",""en"")"),"['Disappointed', 'Telkomsel', 'Friends',' Contacted ',' Contact ',' Center ',' Related ',' Moving ',' At God's', 'Hallo', 'Postpaid', 'Karna', ' detrimental ',' move ',' ate ',' prepaid ',' option ',' continue ',' number ',' blocked ',' regret ',' move ',"&amp;"' because ',' I'll ""talk ' , 'Contact', 'Center', 'Stop', 'subscribe', 'Scratch', 'Resikony']")</f>
        <v>['Disappointed', 'Telkomsel', 'Friends',' Contacted ',' Contact ',' Center ',' Related ',' Moving ',' At God's', 'Hallo', 'Postpaid', 'Karna', ' detrimental ',' move ',' ate ',' prepaid ',' option ',' continue ',' number ',' blocked ',' regret ',' move ',' because ',' I'll "talk ' , 'Contact', 'Center', 'Stop', 'subscribe', 'Scratch', 'Resikony']</v>
      </c>
      <c r="D1498" s="3">
        <v>3.0</v>
      </c>
    </row>
    <row r="1499" ht="15.75" customHeight="1">
      <c r="A1499" s="1">
        <v>1497.0</v>
      </c>
      <c r="B1499" s="3" t="s">
        <v>1500</v>
      </c>
      <c r="C1499" s="3" t="str">
        <f>IFERROR(__xludf.DUMMYFUNCTION("GOOGLETRANSLATE(B1499,""id"",""en"")"),"['buy', 'package', 'internet', 'pulse', 'package', 'internet', 'enter', 'number', 'strange', 'pulse', 'truncated', 'severe', ' ']")</f>
        <v>['buy', 'package', 'internet', 'pulse', 'package', 'internet', 'enter', 'number', 'strange', 'pulse', 'truncated', 'severe', ' ']</v>
      </c>
      <c r="D1499" s="3">
        <v>1.0</v>
      </c>
    </row>
    <row r="1500" ht="15.75" customHeight="1">
      <c r="A1500" s="1">
        <v>1498.0</v>
      </c>
      <c r="B1500" s="3" t="s">
        <v>1501</v>
      </c>
      <c r="C1500" s="3" t="str">
        <f>IFERROR(__xludf.DUMMYFUNCTION("GOOGLETRANSLATE(B1500,""id"",""en"")"),"['Honest', 'Flip "",' Telkomsel ',' Signal ',' smooth ',' really ',' that's ',' Sometimes ',' sometimes ',' like ',' ngelag ',' paje ',' Maen ',' Game ',' Please ',' Fix ',' In the future ',' card ',' expensive ', ""]")</f>
        <v>['Honest', 'Flip ",' Telkomsel ',' Signal ',' smooth ',' really ',' that's ',' Sometimes ',' sometimes ',' like ',' ngelag ',' paje ',' Maen ',' Game ',' Please ',' Fix ',' In the future ',' card ',' expensive ', "]</v>
      </c>
      <c r="D1500" s="3">
        <v>2.0</v>
      </c>
    </row>
    <row r="1501" ht="15.75" customHeight="1">
      <c r="A1501" s="1">
        <v>1499.0</v>
      </c>
      <c r="B1501" s="3" t="s">
        <v>1502</v>
      </c>
      <c r="C1501" s="3" t="str">
        <f>IFERROR(__xludf.DUMMYFUNCTION("GOOGLETRANSLATE(B1501,""id"",""en"")"),"['Contents',' pulse ',' pulses', 'run out', 'Gara', 'YouTube', 'premium', 'no', 'take', 'youtube', 'premium', 'no', ' Notifications', 'Delicious',' Take ',' Money ',' People ',' ']")</f>
        <v>['Contents',' pulse ',' pulses', 'run out', 'Gara', 'YouTube', 'premium', 'no', 'take', 'youtube', 'premium', 'no', ' Notifications', 'Delicious',' Take ',' Money ',' People ',' ']</v>
      </c>
      <c r="D1501" s="3">
        <v>1.0</v>
      </c>
    </row>
    <row r="1502" ht="15.75" customHeight="1">
      <c r="A1502" s="1">
        <v>1500.0</v>
      </c>
      <c r="B1502" s="3" t="s">
        <v>1503</v>
      </c>
      <c r="C1502" s="3" t="str">
        <f>IFERROR(__xludf.DUMMYFUNCTION("GOOGLETRANSLATE(B1502,""id"",""en"")"),"['How', 'wants', 'Kmaren', 'buy', 'package', 'request', 'process', 'mulu', 'say it', 'process', 'process', 'then' Try ',' balance ',' balance ',' already ',' price ',' package ',' how ',' intention ',' Snapola ',' APK ',' Kekewe ',' really ', ""]")</f>
        <v>['How', 'wants', 'Kmaren', 'buy', 'package', 'request', 'process', 'mulu', 'say it', 'process', 'process', 'then' Try ',' balance ',' balance ',' already ',' price ',' package ',' how ',' intention ',' Snapola ',' APK ',' Kekewe ',' really ', "]</v>
      </c>
      <c r="D1502" s="3">
        <v>1.0</v>
      </c>
    </row>
    <row r="1503" ht="15.75" customHeight="1">
      <c r="A1503" s="1">
        <v>1501.0</v>
      </c>
      <c r="B1503" s="3" t="s">
        <v>1504</v>
      </c>
      <c r="C1503" s="3" t="str">
        <f>IFERROR(__xludf.DUMMYFUNCTION("GOOGLETRANSLATE(B1503,""id"",""en"")"),"['buy', 'simcard', 'date', 'March', 'LSG', 'activation', 'all', 'package', 'complete', 'combo', 'thronging', 'activated', ' Thinking ',' YouTube ',' quota ',' main ',' smooth ',' date ',' March ',' check ',' LSG ',' contents', 'pulse', 'right', 'APLI' , '"&amp;"MyT', 'package', 'missing', 'all', 'package', 'TLP', 'SMS', 'check', 'answer', 'thank', 'love', 'request', ' The process', 'context', 'Veronica', 'Connect', 'Mimin', 'Gada', 'Solution', 'Flexi', 'Middle', 'Migration', 'Forgot', 'Number', 'Scorched' , 'Tel"&amp;"komsel', 'skrg', 't hebelkang', 'shame', ""]")</f>
        <v>['buy', 'simcard', 'date', 'March', 'LSG', 'activation', 'all', 'package', 'complete', 'combo', 'thronging', 'activated', ' Thinking ',' YouTube ',' quota ',' main ',' smooth ',' date ',' March ',' check ',' LSG ',' contents', 'pulse', 'right', 'APLI' , 'MyT', 'package', 'missing', 'all', 'package', 'TLP', 'SMS', 'check', 'answer', 'thank', 'love', 'request', ' The process', 'context', 'Veronica', 'Connect', 'Mimin', 'Gada', 'Solution', 'Flexi', 'Middle', 'Migration', 'Forgot', 'Number', 'Scorched' , 'Telkomsel', 'skrg', 't hebelkang', 'shame', "]</v>
      </c>
      <c r="D1503" s="3">
        <v>1.0</v>
      </c>
    </row>
    <row r="1504" ht="15.75" customHeight="1">
      <c r="A1504" s="1">
        <v>1502.0</v>
      </c>
      <c r="B1504" s="3" t="s">
        <v>1505</v>
      </c>
      <c r="C1504" s="3" t="str">
        <f>IFERROR(__xludf.DUMMYFUNCTION("GOOGLETRANSLATE(B1504,""id"",""en"")"),"['Momantap', 'Unfortunately', 'Signal', 'Telkomsel', 'Choose', 'Choose', 'Room', 'The Network', 'Repair']")</f>
        <v>['Momantap', 'Unfortunately', 'Signal', 'Telkomsel', 'Choose', 'Choose', 'Room', 'The Network', 'Repair']</v>
      </c>
      <c r="D1504" s="3">
        <v>5.0</v>
      </c>
    </row>
    <row r="1505" ht="15.75" customHeight="1">
      <c r="A1505" s="1">
        <v>1503.0</v>
      </c>
      <c r="B1505" s="3" t="s">
        <v>1506</v>
      </c>
      <c r="C1505" s="3" t="str">
        <f>IFERROR(__xludf.DUMMYFUNCTION("GOOGLETRANSLATE(B1505,""id"",""en"")"),"['How', 'Telkomsel', 'Unlimited', 'promo', 'Date', 'March', 'Click', 'Turn', 'Click', 'Package', 'Emergency', 'TPI', ' Package ',' Unlimited ',' ']")</f>
        <v>['How', 'Telkomsel', 'Unlimited', 'promo', 'Date', 'March', 'Click', 'Turn', 'Click', 'Package', 'Emergency', 'TPI', ' Package ',' Unlimited ',' ']</v>
      </c>
      <c r="D1505" s="3">
        <v>5.0</v>
      </c>
    </row>
    <row r="1506" ht="15.75" customHeight="1">
      <c r="A1506" s="1">
        <v>1504.0</v>
      </c>
      <c r="B1506" s="3" t="s">
        <v>1507</v>
      </c>
      <c r="C1506" s="3" t="str">
        <f>IFERROR(__xludf.DUMMYFUNCTION("GOOGLETRANSLATE(B1506,""id"",""en"")"),"['Telkomsel', 'slow', 'lose', 'provider', 'UDH', 'improvement', 'signal', 'price', 'package', 'UDH', 'Not bad', 'expensive', ' network ',' slow ',' lazy ',' telkom ']")</f>
        <v>['Telkomsel', 'slow', 'lose', 'provider', 'UDH', 'improvement', 'signal', 'price', 'package', 'UDH', 'Not bad', 'expensive', ' network ',' slow ',' lazy ',' telkom ']</v>
      </c>
      <c r="D1506" s="3">
        <v>1.0</v>
      </c>
    </row>
    <row r="1507" ht="15.75" customHeight="1">
      <c r="A1507" s="1">
        <v>1505.0</v>
      </c>
      <c r="B1507" s="3" t="s">
        <v>1508</v>
      </c>
      <c r="C1507" s="3" t="str">
        <f>IFERROR(__xludf.DUMMYFUNCTION("GOOGLETRANSLATE(B1507,""id"",""en"")"),"['Match', 'morning', 'SMS', 'Telkomsel', 'contains',' dptkn ',' voucher ',' googleplay ',' rb ',' pulse ',' tsel ',' rb ',' Tel ',' SMS ',' Tsel ',' buy ',' quota ',' GAMES ',' GB ',' RB ',' RB ',' Check ',' Tsel ',' Gold ',' Promo ' , 'Mar', 'pulse', 'cu"&amp;"t', 'automatic', 'contents',' pulse ',' right ',' call ',' pulses', 'already', 'finished', 'eaten', ' Telkomsel ',' Please ',' Solution ',' GMNA ',' Stopped ',' Thanks', ""]")</f>
        <v>['Match', 'morning', 'SMS', 'Telkomsel', 'contains',' dptkn ',' voucher ',' googleplay ',' rb ',' pulse ',' tsel ',' rb ',' Tel ',' SMS ',' Tsel ',' buy ',' quota ',' GAMES ',' GB ',' RB ',' RB ',' Check ',' Tsel ',' Gold ',' Promo ' , 'Mar', 'pulse', 'cut', 'automatic', 'contents',' pulse ',' right ',' call ',' pulses', 'already', 'finished', 'eaten', ' Telkomsel ',' Please ',' Solution ',' GMNA ',' Stopped ',' Thanks', "]</v>
      </c>
      <c r="D1507" s="3">
        <v>1.0</v>
      </c>
    </row>
    <row r="1508" ht="15.75" customHeight="1">
      <c r="A1508" s="1">
        <v>1506.0</v>
      </c>
      <c r="B1508" s="3" t="s">
        <v>1509</v>
      </c>
      <c r="C1508" s="3" t="str">
        <f>IFERROR(__xludf.DUMMYFUNCTION("GOOGLETRANSLATE(B1508,""id"",""en"")"),"['pulse', 'missing', 'package', 'debt', 'pulse', 'quota', 'pulse', 'lost', 'clock', 'pulses',' so ',' please ',' already ',' times', 'rich', 'gini']")</f>
        <v>['pulse', 'missing', 'package', 'debt', 'pulse', 'quota', 'pulse', 'lost', 'clock', 'pulses',' so ',' please ',' already ',' times', 'rich', 'gini']</v>
      </c>
      <c r="D1508" s="3">
        <v>1.0</v>
      </c>
    </row>
    <row r="1509" ht="15.75" customHeight="1">
      <c r="A1509" s="1">
        <v>1507.0</v>
      </c>
      <c r="B1509" s="3" t="s">
        <v>1510</v>
      </c>
      <c r="C1509" s="3" t="str">
        <f>IFERROR(__xludf.DUMMYFUNCTION("GOOGLETRANSLATE(B1509,""id"",""en"")"),"['Developer', 'gmn', 'pulse', 'package', 'cheerful', 'active', 'quota', 'fun', 'access',' lite ',' enter ',' sms', ' Telkomsel ',' access', 'internet', 'tariff', 'non', 'package', 'leftover', 'pulse', 'sumps',' left ', ""]")</f>
        <v>['Developer', 'gmn', 'pulse', 'package', 'cheerful', 'active', 'quota', 'fun', 'access',' lite ',' enter ',' sms', ' Telkomsel ',' access', 'internet', 'tariff', 'non', 'package', 'leftover', 'pulse', 'sumps',' left ', "]</v>
      </c>
      <c r="D1509" s="3">
        <v>1.0</v>
      </c>
    </row>
    <row r="1510" ht="15.75" customHeight="1">
      <c r="A1510" s="1">
        <v>1508.0</v>
      </c>
      <c r="B1510" s="3" t="s">
        <v>1511</v>
      </c>
      <c r="C1510" s="3" t="str">
        <f>IFERROR(__xludf.DUMMYFUNCTION("GOOGLETRANSLATE(B1510,""id"",""en"")"),"['Good', 'please', 'Telkomsel', 'card', 'card', 'prepaid', 'buy', 'package', 'combo', 'saktinya', 'yaa', 'mintak', ' Please, 'card', 'package', 'combo', 'sick', 'difficult', 'buy', 'package', 'apps', 'Telkomsel', 'read', 'dapetin', 'package' , 'combo', 's"&amp;"ick', 'card', 'prepaid', 'prepaid', 'ktny', 'card', 'minimal', 'bru', 'can', 'combo', 'sick', ' Sya ',' bln ']")</f>
        <v>['Good', 'please', 'Telkomsel', 'card', 'card', 'prepaid', 'buy', 'package', 'combo', 'saktinya', 'yaa', 'mintak', ' Please, 'card', 'package', 'combo', 'sick', 'difficult', 'buy', 'package', 'apps', 'Telkomsel', 'read', 'dapetin', 'package' , 'combo', 'sick', 'card', 'prepaid', 'prepaid', 'ktny', 'card', 'minimal', 'bru', 'can', 'combo', 'sick', ' Sya ',' bln ']</v>
      </c>
      <c r="D1510" s="3">
        <v>5.0</v>
      </c>
    </row>
    <row r="1511" ht="15.75" customHeight="1">
      <c r="A1511" s="1">
        <v>1509.0</v>
      </c>
      <c r="B1511" s="3" t="s">
        <v>1512</v>
      </c>
      <c r="C1511" s="3" t="str">
        <f>IFERROR(__xludf.DUMMYFUNCTION("GOOGLETRANSLATE(B1511,""id"",""en"")"),"['week', 'QPLICATION', 'Telkomsel', 'error', 'TRS', 'Try', 'Upgrade', 'Delete', 'Data', 'Uninstall', 'TRS', 'Install', ' Tetep ',' error ',' kluar ',' See ',' Dafar ',' Package ',' Quota ',' Application ',' Stopped ',' Change ',' Review ',' Application ',"&amp;"' Telkomsel ' , 'normal', '']")</f>
        <v>['week', 'QPLICATION', 'Telkomsel', 'error', 'TRS', 'Try', 'Upgrade', 'Delete', 'Data', 'Uninstall', 'TRS', 'Install', ' Tetep ',' error ',' kluar ',' See ',' Dafar ',' Package ',' Quota ',' Application ',' Stopped ',' Change ',' Review ',' Application ',' Telkomsel ' , 'normal', '']</v>
      </c>
      <c r="D1511" s="3">
        <v>1.0</v>
      </c>
    </row>
    <row r="1512" ht="15.75" customHeight="1">
      <c r="A1512" s="1">
        <v>1510.0</v>
      </c>
      <c r="B1512" s="3" t="s">
        <v>1513</v>
      </c>
      <c r="C1512" s="3" t="str">
        <f>IFERROR(__xludf.DUMMYFUNCTION("GOOGLETRANSLATE(B1512,""id"",""en"")"),"['Please', 'Fix', 'Buy', 'Package', 'Credit', 'TPI', 'Seteleh', 'Purchase', 'Credit', 'Adequate', 'Credit']")</f>
        <v>['Please', 'Fix', 'Buy', 'Package', 'Credit', 'TPI', 'Seteleh', 'Purchase', 'Credit', 'Adequate', 'Credit']</v>
      </c>
      <c r="D1512" s="3">
        <v>1.0</v>
      </c>
    </row>
    <row r="1513" ht="15.75" customHeight="1">
      <c r="A1513" s="1">
        <v>1511.0</v>
      </c>
      <c r="B1513" s="3" t="s">
        <v>1514</v>
      </c>
      <c r="C1513" s="3" t="str">
        <f>IFERROR(__xludf.DUMMYFUNCTION("GOOGLETRANSLATE(B1513,""id"",""en"")"),"['grateful', 'given', 'quota', 'GB', 'no', 'claim', 'notification', 'exchange', 'past', 'limit', 'maximum', 'claim', ' Please, 'bug', 'repaired', '']")</f>
        <v>['grateful', 'given', 'quota', 'GB', 'no', 'claim', 'notification', 'exchange', 'past', 'limit', 'maximum', 'claim', ' Please, 'bug', 'repaired', '']</v>
      </c>
      <c r="D1513" s="3">
        <v>2.0</v>
      </c>
    </row>
    <row r="1514" ht="15.75" customHeight="1">
      <c r="A1514" s="1">
        <v>1512.0</v>
      </c>
      <c r="B1514" s="3" t="s">
        <v>1515</v>
      </c>
      <c r="C1514" s="3" t="str">
        <f>IFERROR(__xludf.DUMMYFUNCTION("GOOGLETRANSLATE(B1514,""id"",""en"")"),"['Good', 'Laur', 'perish', 'perish', 'sense', 'package', 'local', 'change', 'ISA', 'use', 'GB', 'Liatin', ' Isa ',' kepakai ',' good ',' reality ',' ']")</f>
        <v>['Good', 'Laur', 'perish', 'perish', 'sense', 'package', 'local', 'change', 'ISA', 'use', 'GB', 'Liatin', ' Isa ',' kepakai ',' good ',' reality ',' ']</v>
      </c>
      <c r="D1514" s="3">
        <v>5.0</v>
      </c>
    </row>
    <row r="1515" ht="15.75" customHeight="1">
      <c r="A1515" s="1">
        <v>1513.0</v>
      </c>
      <c r="B1515" s="3" t="s">
        <v>1516</v>
      </c>
      <c r="C1515" s="3" t="str">
        <f>IFERROR(__xludf.DUMMYFUNCTION("GOOGLETRANSLATE(B1515,""id"",""en"")"),"['Contents',' Credit ',' Check ',' Week ',' Cut ',' Internet ',' Pakek ',' WiFi ',' Game ',' Telkomsel ',' Search ',' Dileh ',' ']")</f>
        <v>['Contents',' Credit ',' Check ',' Week ',' Cut ',' Internet ',' Pakek ',' WiFi ',' Game ',' Telkomsel ',' Search ',' Dileh ',' ']</v>
      </c>
      <c r="D1515" s="3">
        <v>1.0</v>
      </c>
    </row>
    <row r="1516" ht="15.75" customHeight="1">
      <c r="A1516" s="1">
        <v>1514.0</v>
      </c>
      <c r="B1516" s="3" t="s">
        <v>1517</v>
      </c>
      <c r="C1516" s="3" t="str">
        <f>IFERROR(__xludf.DUMMYFUNCTION("GOOGLETRANSLATE(B1516,""id"",""en"")"),"['Telkomsel', 'org', 'pulse', 'dicharge', 'pulse', 'skrg', 'pulse', 'ngepain', 'pulse', 'koplak', 'exchange', 'point', ' Exchange ',' Coupons', 'Dicharge', 'Credit', 'Thinking', 'Pulses',' Monday ',' Thursday ',' ']")</f>
        <v>['Telkomsel', 'org', 'pulse', 'dicharge', 'pulse', 'skrg', 'pulse', 'ngepain', 'pulse', 'koplak', 'exchange', 'point', ' Exchange ',' Coupons', 'Dicharge', 'Credit', 'Thinking', 'Pulses',' Monday ',' Thursday ',' ']</v>
      </c>
      <c r="D1516" s="3">
        <v>1.0</v>
      </c>
    </row>
    <row r="1517" ht="15.75" customHeight="1">
      <c r="A1517" s="1">
        <v>1515.0</v>
      </c>
      <c r="B1517" s="3" t="s">
        <v>1518</v>
      </c>
      <c r="C1517" s="3" t="str">
        <f>IFERROR(__xludf.DUMMYFUNCTION("GOOGLETRANSLATE(B1517,""id"",""en"")"),"['Ribet', 'really', 'log', 'Mulu', 'lag', 'quota', 'expensive', 'tissue', 'slow', 'emotion', 'default', 'quota', ' Entertainment ',' Dahlah ',' dizzy ',' really ',' Gibahin ',' ']")</f>
        <v>['Ribet', 'really', 'log', 'Mulu', 'lag', 'quota', 'expensive', 'tissue', 'slow', 'emotion', 'default', 'quota', ' Entertainment ',' Dahlah ',' dizzy ',' really ',' Gibahin ',' ']</v>
      </c>
      <c r="D1517" s="3">
        <v>1.0</v>
      </c>
    </row>
    <row r="1518" ht="15.75" customHeight="1">
      <c r="A1518" s="1">
        <v>1516.0</v>
      </c>
      <c r="B1518" s="3" t="s">
        <v>1519</v>
      </c>
      <c r="C1518" s="3" t="str">
        <f>IFERROR(__xludf.DUMMYFUNCTION("GOOGLETRANSLATE(B1518,""id"",""en"")"),"['Bagusan', 'version', 'version', 'Loading', 'Content', 'just', 'already', 'so', 'slow', 'spend', 'quota', 'check', ' Remaining ',' quota ',' ']")</f>
        <v>['Bagusan', 'version', 'version', 'Loading', 'Content', 'just', 'already', 'so', 'slow', 'spend', 'quota', 'check', ' Remaining ',' quota ',' ']</v>
      </c>
      <c r="D1518" s="3">
        <v>2.0</v>
      </c>
    </row>
    <row r="1519" ht="15.75" customHeight="1">
      <c r="A1519" s="1">
        <v>1517.0</v>
      </c>
      <c r="B1519" s="3" t="s">
        <v>1520</v>
      </c>
      <c r="C1519" s="3" t="str">
        <f>IFERROR(__xludf.DUMMYFUNCTION("GOOGLETRANSLATE(B1519,""id"",""en"")"),"['Veronikya', 'Aduhai', 'sms',' blasting ',' entry ',' bother ',' block ',' bonus', 'package', 'useful', 'chat', 'veronika', ' ',' Morning ',' said ',' kakaak ',' please ',' bonus', 'please', 'submit', 'request', 'stop', 'promo', 'tsel', 'bodayamat' , 'pr"&amp;"omo', 'merchant', 'use', 'package', 'buy', 'pay', 'bonus',' sms', 'blast', 'mensert', 'hope', 'Denny', ' Siregar ',' Win ',' Court ', ""]")</f>
        <v>['Veronikya', 'Aduhai', 'sms',' blasting ',' entry ',' bother ',' block ',' bonus', 'package', 'useful', 'chat', 'veronika', ' ',' Morning ',' said ',' kakaak ',' please ',' bonus', 'please', 'submit', 'request', 'stop', 'promo', 'tsel', 'bodayamat' , 'promo', 'merchant', 'use', 'package', 'buy', 'pay', 'bonus',' sms', 'blast', 'mensert', 'hope', 'Denny', ' Siregar ',' Win ',' Court ', "]</v>
      </c>
      <c r="D1519" s="3">
        <v>1.0</v>
      </c>
    </row>
    <row r="1520" ht="15.75" customHeight="1">
      <c r="A1520" s="1">
        <v>1518.0</v>
      </c>
      <c r="B1520" s="3" t="s">
        <v>1521</v>
      </c>
      <c r="C1520" s="3" t="str">
        <f>IFERROR(__xludf.DUMMYFUNCTION("GOOGLETRANSLATE(B1520,""id"",""en"")"),"['Haii', 'Min', 'Complen', 'Dalem', 'Please', 'Telkomsel', 'Promo', 'Package', 'Good', 'Good', 'Package', 'Combo', ' OMG ',' Mulu ',' already ',' a year ',' no ',' promo ',' package ',' bored ',' package ',' omg ',' expensive ',' student ']")</f>
        <v>['Haii', 'Min', 'Complen', 'Dalem', 'Please', 'Telkomsel', 'Promo', 'Package', 'Good', 'Good', 'Package', 'Combo', ' OMG ',' Mulu ',' already ',' a year ',' no ',' promo ',' package ',' bored ',' package ',' omg ',' expensive ',' student ']</v>
      </c>
      <c r="D1520" s="3">
        <v>1.0</v>
      </c>
    </row>
    <row r="1521" ht="15.75" customHeight="1">
      <c r="A1521" s="1">
        <v>1519.0</v>
      </c>
      <c r="B1521" s="3" t="s">
        <v>1522</v>
      </c>
      <c r="C1521" s="3" t="str">
        <f>IFERROR(__xludf.DUMMYFUNCTION("GOOGLETRANSLATE(B1521,""id"",""en"")"),"['Please', 'repaired', 'Sekarmg', 'Minutes',' appears', 'Advertising', 'Wage', 'Package', 'Game', 'Through', 'Info', 'Operator', ' Appearing ',' every time ',' SNGAT ',' annoying ',' network ',' cellular ',' stop ',' annoying ',' activity ',' Sya ',' play"&amp;" ',' cellphone ',' connection ' , 'Internet', 'Bad', 'BURIK', 'MALES', 'SKRNG', 'I'M,' Proud of ',' Maslah ', ""]")</f>
        <v>['Please', 'repaired', 'Sekarmg', 'Minutes',' appears', 'Advertising', 'Wage', 'Package', 'Game', 'Through', 'Info', 'Operator', ' Appearing ',' every time ',' SNGAT ',' annoying ',' network ',' cellular ',' stop ',' annoying ',' activity ',' Sya ',' play ',' cellphone ',' connection ' , 'Internet', 'Bad', 'BURIK', 'MALES', 'SKRNG', 'I'M,' Proud of ',' Maslah ', "]</v>
      </c>
      <c r="D1521" s="3">
        <v>1.0</v>
      </c>
    </row>
    <row r="1522" ht="15.75" customHeight="1">
      <c r="A1522" s="1">
        <v>1520.0</v>
      </c>
      <c r="B1522" s="3" t="s">
        <v>1523</v>
      </c>
      <c r="C1522" s="3" t="str">
        <f>IFERROR(__xludf.DUMMYFUNCTION("GOOGLETRANSLATE(B1522,""id"",""en"")"),"['Please', 'repaired', 'network', 'data', 'in the area', 'kec', 'keritang', 'inhil', 'Riau', 'because', 'Tower', 'Telkomsel', ' network ',' data ',' hurrieduuuuk ',' disappointing ',' ']")</f>
        <v>['Please', 'repaired', 'network', 'data', 'in the area', 'kec', 'keritang', 'inhil', 'Riau', 'because', 'Tower', 'Telkomsel', ' network ',' data ',' hurrieduuuuk ',' disappointing ',' ']</v>
      </c>
      <c r="D1522" s="3">
        <v>1.0</v>
      </c>
    </row>
    <row r="1523" ht="15.75" customHeight="1">
      <c r="A1523" s="1">
        <v>1521.0</v>
      </c>
      <c r="B1523" s="3" t="s">
        <v>1524</v>
      </c>
      <c r="C1523" s="3" t="str">
        <f>IFERROR(__xludf.DUMMYFUNCTION("GOOGLETRANSLATE(B1523,""id"",""en"")"),"['oath', 'package', 'unlimited', 'super', 'slow', 'GB', 'sosmed', 'as long as',' open ',' post ',' picture ',' Buffering ',' ']")</f>
        <v>['oath', 'package', 'unlimited', 'super', 'slow', 'GB', 'sosmed', 'as long as',' open ',' post ',' picture ',' Buffering ',' ']</v>
      </c>
      <c r="D1523" s="3">
        <v>2.0</v>
      </c>
    </row>
    <row r="1524" ht="15.75" customHeight="1">
      <c r="A1524" s="1">
        <v>1522.0</v>
      </c>
      <c r="B1524" s="3" t="s">
        <v>1525</v>
      </c>
      <c r="C1524" s="3" t="str">
        <f>IFERROR(__xludf.DUMMYFUNCTION("GOOGLETRANSLATE(B1524,""id"",""en"")"),"['Telkom', 'please', 'fix', 'network', 'game', 'knapa', 'disturbing', 'nga', 'support', 'bnget', 'game', 'smooth', ' already ',' pke ',' interference ',' original ',' woy ',' kli ',' bner ',' salty ',' lgi ',' tournament ',' macth ',' mpuk ',' knapa ' , '"&amp;"Kyk', 'PKE', 'PKET', 'Game', 'AXIS', 'Card', 'Sultan', 'Standard', '']")</f>
        <v>['Telkom', 'please', 'fix', 'network', 'game', 'knapa', 'disturbing', 'nga', 'support', 'bnget', 'game', 'smooth', ' already ',' pke ',' interference ',' original ',' woy ',' kli ',' bner ',' salty ',' lgi ',' tournament ',' macth ',' mpuk ',' knapa ' , 'Kyk', 'PKE', 'PKET', 'Game', 'AXIS', 'Card', 'Sultan', 'Standard', '']</v>
      </c>
      <c r="D1524" s="3">
        <v>1.0</v>
      </c>
    </row>
    <row r="1525" ht="15.75" customHeight="1">
      <c r="A1525" s="1">
        <v>1523.0</v>
      </c>
      <c r="B1525" s="3" t="s">
        <v>1526</v>
      </c>
      <c r="C1525" s="3" t="str">
        <f>IFERROR(__xludf.DUMMYFUNCTION("GOOGLETRANSLATE(B1525,""id"",""en"")"),"['buy', 'quota', 'internet', 'application', 'no', 'connection', 'my network', 'already', 'good', 'pulses',' already ',' buy ',' quota ',' call ',' system ',' busy ',' please ',' apk ',' updated ',' disorder ',' system ']")</f>
        <v>['buy', 'quota', 'internet', 'application', 'no', 'connection', 'my network', 'already', 'good', 'pulses',' already ',' buy ',' quota ',' call ',' system ',' busy ',' please ',' apk ',' updated ',' disorder ',' system ']</v>
      </c>
      <c r="D1525" s="3">
        <v>3.0</v>
      </c>
    </row>
    <row r="1526" ht="15.75" customHeight="1">
      <c r="A1526" s="1">
        <v>1524.0</v>
      </c>
      <c r="B1526" s="3" t="s">
        <v>1527</v>
      </c>
      <c r="C1526" s="3" t="str">
        <f>IFERROR(__xludf.DUMMYFUNCTION("GOOGLETRANSLATE(B1526,""id"",""en"")"),"['difficult', 'complain', 'signal', 'ilang', 'Nilagan', 'in the region', 'features',' chat ',' custemer ',' care ',' customer ',' operator ',' Interaction ',' Solve ',' MSLH ',' Customer ',' Ribet ',' Application ']")</f>
        <v>['difficult', 'complain', 'signal', 'ilang', 'Nilagan', 'in the region', 'features',' chat ',' custemer ',' care ',' customer ',' operator ',' Interaction ',' Solve ',' MSLH ',' Customer ',' Ribet ',' Application ']</v>
      </c>
      <c r="D1526" s="3">
        <v>1.0</v>
      </c>
    </row>
    <row r="1527" ht="15.75" customHeight="1">
      <c r="A1527" s="1">
        <v>1525.0</v>
      </c>
      <c r="B1527" s="3" t="s">
        <v>1528</v>
      </c>
      <c r="C1527" s="3" t="str">
        <f>IFERROR(__xludf.DUMMYFUNCTION("GOOGLETRANSLATE(B1527,""id"",""en"")"),"['satisfied', 'Telkomsel', 'activity', 'related', 'data', 'internet', 'Telkomsel', 'satisfying', 'since' since 'pandemic', 'covid', 'a year', ' activities', 'dikolar', 'home', 'service', 'internet', 'run', 'maximum', 'child', 'child', 'colleague', 'collea"&amp;"gue', 'work', 'Telkomsel' , 'Anyway', 'Telkomsel', 'siip', 'no', 'secondly', ""]")</f>
        <v>['satisfied', 'Telkomsel', 'activity', 'related', 'data', 'internet', 'Telkomsel', 'satisfying', 'since' since 'pandemic', 'covid', 'a year', ' activities', 'dikolar', 'home', 'service', 'internet', 'run', 'maximum', 'child', 'child', 'colleague', 'colleague', 'work', 'Telkomsel' , 'Anyway', 'Telkomsel', 'siip', 'no', 'secondly', "]</v>
      </c>
      <c r="D1527" s="3">
        <v>5.0</v>
      </c>
    </row>
    <row r="1528" ht="15.75" customHeight="1">
      <c r="A1528" s="1">
        <v>1526.0</v>
      </c>
      <c r="B1528" s="3" t="s">
        <v>1529</v>
      </c>
      <c r="C1528" s="3" t="str">
        <f>IFERROR(__xludf.DUMMYFUNCTION("GOOGLETRANSLATE(B1528,""id"",""en"")"),"['Star', 'swear', 'Telkomsel', 'cave', 'buy', 'package', 'pulse', 'cave', 'exceed', 'price', 'package', 'cook', ' yes', 'pulse', 'cave', 'sufficient', 'oath', 'strange']")</f>
        <v>['Star', 'swear', 'Telkomsel', 'cave', 'buy', 'package', 'pulse', 'cave', 'exceed', 'price', 'package', 'cook', ' yes', 'pulse', 'cave', 'sufficient', 'oath', 'strange']</v>
      </c>
      <c r="D1528" s="3">
        <v>1.0</v>
      </c>
    </row>
    <row r="1529" ht="15.75" customHeight="1">
      <c r="A1529" s="1">
        <v>1527.0</v>
      </c>
      <c r="B1529" s="3" t="s">
        <v>1530</v>
      </c>
      <c r="C1529" s="3" t="str">
        <f>IFERROR(__xludf.DUMMYFUNCTION("GOOGLETRANSLATE(B1529,""id"",""en"")"),"['signal', 'Telkomsel', 'ganguan', 'min', 'yaa', 'honest', 'card', 'expensive', 'signal', 'difficult', 'comfortable', '']")</f>
        <v>['signal', 'Telkomsel', 'ganguan', 'min', 'yaa', 'honest', 'card', 'expensive', 'signal', 'difficult', 'comfortable', '']</v>
      </c>
      <c r="D1529" s="3">
        <v>3.0</v>
      </c>
    </row>
    <row r="1530" ht="15.75" customHeight="1">
      <c r="A1530" s="1">
        <v>1528.0</v>
      </c>
      <c r="B1530" s="3" t="s">
        <v>1531</v>
      </c>
      <c r="C1530" s="3" t="str">
        <f>IFERROR(__xludf.DUMMYFUNCTION("GOOGLETRANSLATE(B1530,""id"",""en"")"),"['Hadeh', 'signal', 'good', 'take', 'room', 'shower', 'ilang', 'room', 'guest', 'then', 'signalnaya', 'ilang', ' Stabill ',' City ',' GMna ']")</f>
        <v>['Hadeh', 'signal', 'good', 'take', 'room', 'shower', 'ilang', 'room', 'guest', 'then', 'signalnaya', 'ilang', ' Stabill ',' City ',' GMna ']</v>
      </c>
      <c r="D1530" s="3">
        <v>1.0</v>
      </c>
    </row>
    <row r="1531" ht="15.75" customHeight="1">
      <c r="A1531" s="1">
        <v>1529.0</v>
      </c>
      <c r="B1531" s="3" t="s">
        <v>1532</v>
      </c>
      <c r="C1531" s="3" t="str">
        <f>IFERROR(__xludf.DUMMYFUNCTION("GOOGLETRANSLATE(B1531,""id"",""en"")"),"['Telkomsel', 'Region', 'Performance', 'Regency', 'Pringsewu', 'Lampung', 'Signal', 'Good', 'Signal', 'Bad', 'Maximum', 'Please', ' Note ',' Telkomsel ',' Lost ',' Operator ',' Next ',' Continuous', 'Move', 'Next to']")</f>
        <v>['Telkomsel', 'Region', 'Performance', 'Regency', 'Pringsewu', 'Lampung', 'Signal', 'Good', 'Signal', 'Bad', 'Maximum', 'Please', ' Note ',' Telkomsel ',' Lost ',' Operator ',' Next ',' Continuous', 'Move', 'Next to']</v>
      </c>
      <c r="D1531" s="3">
        <v>3.0</v>
      </c>
    </row>
    <row r="1532" ht="15.75" customHeight="1">
      <c r="A1532" s="1">
        <v>1530.0</v>
      </c>
      <c r="B1532" s="3" t="s">
        <v>1533</v>
      </c>
      <c r="C1532" s="3" t="str">
        <f>IFERROR(__xludf.DUMMYFUNCTION("GOOGLETRANSLATE(B1532,""id"",""en"")"),"['Please', 'Sorry', 'Signal', 'Indosat', 'Signal', 'Telkomsel', 'Signal', 'Telkomsel', 'Weak', 'Internet', 'Indosat', 'Good', ' experience', '']")</f>
        <v>['Please', 'Sorry', 'Signal', 'Indosat', 'Signal', 'Telkomsel', 'Signal', 'Telkomsel', 'Weak', 'Internet', 'Indosat', 'Good', ' experience', '']</v>
      </c>
      <c r="D1532" s="3">
        <v>1.0</v>
      </c>
    </row>
    <row r="1533" ht="15.75" customHeight="1">
      <c r="A1533" s="1">
        <v>1531.0</v>
      </c>
      <c r="B1533" s="3" t="s">
        <v>1534</v>
      </c>
      <c r="C1533" s="3" t="str">
        <f>IFERROR(__xludf.DUMMYFUNCTION("GOOGLETRANSLATE(B1533,""id"",""en"")"),"['', 'Please', 'Network', 'Telkomsel', 'Fix', 'Emang', 'Disorders',' Telkomsel ',' Network ',' Threat ',' Very ',' City ',' Kampung ',' Toling ',' Selayed ',' Doang ',' Ngrasin ',' Kya ',' BNI ', ""]")</f>
        <v>['', 'Please', 'Network', 'Telkomsel', 'Fix', 'Emang', 'Disorders',' Telkomsel ',' Network ',' Threat ',' Very ',' City ',' Kampung ',' Toling ',' Selayed ',' Doang ',' Ngrasin ',' Kya ',' BNI ', "]</v>
      </c>
      <c r="D1533" s="3">
        <v>1.0</v>
      </c>
    </row>
    <row r="1534" ht="15.75" customHeight="1">
      <c r="A1534" s="1">
        <v>1532.0</v>
      </c>
      <c r="B1534" s="3" t="s">
        <v>1535</v>
      </c>
      <c r="C1534" s="3" t="str">
        <f>IFERROR(__xludf.DUMMYFUNCTION("GOOGLETRANSLATE(B1534,""id"",""en"")"),"['Package', 'internet', 'rb', 'GB', 'already', 'skrng', 'package', 'internet', 'expensive', 'unlimites',' rban ',' udh ',' Males', 'card', 'darling', 'already', 'practical', 'skrng', 'card', 'trima', 'telephone', 'doang', '']")</f>
        <v>['Package', 'internet', 'rb', 'GB', 'already', 'skrng', 'package', 'internet', 'expensive', 'unlimites',' rban ',' udh ',' Males', 'card', 'darling', 'already', 'practical', 'skrng', 'card', 'trima', 'telephone', 'doang', '']</v>
      </c>
      <c r="D1534" s="3">
        <v>2.0</v>
      </c>
    </row>
    <row r="1535" ht="15.75" customHeight="1">
      <c r="A1535" s="1">
        <v>1533.0</v>
      </c>
      <c r="B1535" s="3" t="s">
        <v>1536</v>
      </c>
      <c r="C1535" s="3" t="str">
        <f>IFERROR(__xludf.DUMMYFUNCTION("GOOGLETRANSLATE(B1535,""id"",""en"")"),"['Pusingg', 'BGT', 'Application', 'Okay', 'Okay', 'Gaada', 'Constraints',' Here ',' Yesterday ',' Buy ',' Credit ',' Sumpot ',' already ',' transaction ',' payment ',' package ',' package ',' no ',' enter ',' credit ',' sumps', 'run out', 'buy', 'pulse', "&amp;"'shoope' , 'Pay', 'Wait', 'Until', 'Belom', 'Enter', 'Pulses', 'Application', 'Bankrupt', 'Gini', 'The story', ""]")</f>
        <v>['Pusingg', 'BGT', 'Application', 'Okay', 'Okay', 'Gaada', 'Constraints',' Here ',' Yesterday ',' Buy ',' Credit ',' Sumpot ',' already ',' transaction ',' payment ',' package ',' package ',' no ',' enter ',' credit ',' sumps', 'run out', 'buy', 'pulse', 'shoope' , 'Pay', 'Wait', 'Until', 'Belom', 'Enter', 'Pulses', 'Application', 'Bankrupt', 'Gini', 'The story', "]</v>
      </c>
      <c r="D1535" s="3">
        <v>1.0</v>
      </c>
    </row>
    <row r="1536" ht="15.75" customHeight="1">
      <c r="A1536" s="1">
        <v>1534.0</v>
      </c>
      <c r="B1536" s="3" t="s">
        <v>1537</v>
      </c>
      <c r="C1536" s="3" t="str">
        <f>IFERROR(__xludf.DUMMYFUNCTION("GOOGLETRANSLATE(B1536,""id"",""en"")"),"['package', 'active', 'cook', 'package', 'active', 'run out', 'first', 'package', 'only', 'stay', 'use', 'darling', ' The data ',' expensive ',' duh ',' comfortable ',' invented ']")</f>
        <v>['package', 'active', 'cook', 'package', 'active', 'run out', 'first', 'package', 'only', 'stay', 'use', 'darling', ' The data ',' expensive ',' duh ',' comfortable ',' invented ']</v>
      </c>
      <c r="D1536" s="3">
        <v>3.0</v>
      </c>
    </row>
    <row r="1537" ht="15.75" customHeight="1">
      <c r="A1537" s="1">
        <v>1535.0</v>
      </c>
      <c r="B1537" s="3" t="s">
        <v>1538</v>
      </c>
      <c r="C1537" s="3" t="str">
        <f>IFERROR(__xludf.DUMMYFUNCTION("GOOGLETRANSLATE(B1537,""id"",""en"")"),"['regret', 'buy', 'quota', 'Telkomsel', 'signal', 'kayak', 'disconnected', 'in the city', 'pantesan', 'already', 'cheap', 'quota', ' quota ',' play ',' already ',' deh ',' ngayal ',' good ',' card ',' buy ',' quota ',' telkomsel ',' mending ',' success', "&amp;"""]")</f>
        <v>['regret', 'buy', 'quota', 'Telkomsel', 'signal', 'kayak', 'disconnected', 'in the city', 'pantesan', 'already', 'cheap', 'quota', ' quota ',' play ',' already ',' deh ',' ngayal ',' good ',' card ',' buy ',' quota ',' telkomsel ',' mending ',' success', "]</v>
      </c>
      <c r="D1537" s="3">
        <v>1.0</v>
      </c>
    </row>
    <row r="1538" ht="15.75" customHeight="1">
      <c r="A1538" s="1">
        <v>1536.0</v>
      </c>
      <c r="B1538" s="3" t="s">
        <v>1539</v>
      </c>
      <c r="C1538" s="3" t="str">
        <f>IFERROR(__xludf.DUMMYFUNCTION("GOOGLETRANSLATE(B1538,""id"",""en"")"),"['Try', 'Buy', 'Package', 'Combo', 'Thrifty', 'BLM', 'Credit', 'Credit', 'Adequate', 'Contents',' Re-Credit ',' Sorry ',' disorder ',' system ',' hour ',' nonstop ',' disturbance ',' thumb ',' swollen ',' disorder ', ""]")</f>
        <v>['Try', 'Buy', 'Package', 'Combo', 'Thrifty', 'BLM', 'Credit', 'Credit', 'Adequate', 'Contents',' Re-Credit ',' Sorry ',' disorder ',' system ',' hour ',' nonstop ',' disturbance ',' thumb ',' swollen ',' disorder ', "]</v>
      </c>
      <c r="D1538" s="3">
        <v>1.0</v>
      </c>
    </row>
    <row r="1539" ht="15.75" customHeight="1">
      <c r="A1539" s="1">
        <v>1537.0</v>
      </c>
      <c r="B1539" s="3" t="s">
        <v>1540</v>
      </c>
      <c r="C1539" s="3" t="str">
        <f>IFERROR(__xludf.DUMMYFUNCTION("GOOGLETRANSLATE(B1539,""id"",""en"")"),"['Congratulations',' Package ',' On ',' Apply ',' Date ',' PKL ',' WIB ',' Check ',' Status', 'Stop', 'Subscribe', 'Telkomsel', ' Apps', 'Hub', 'info', 'mah', 'clock', 'intention', 'buy', 'tomorrow', 'poor', 'package', 'daily', 'complicated', 'his name' ,"&amp;" 'Hour', 'buy', 'package', 'clock', 'his head', 'until', 'tomorrow', 'his day', ""]")</f>
        <v>['Congratulations',' Package ',' On ',' Apply ',' Date ',' PKL ',' WIB ',' Check ',' Status', 'Stop', 'Subscribe', 'Telkomsel', ' Apps', 'Hub', 'info', 'mah', 'clock', 'intention', 'buy', 'tomorrow', 'poor', 'package', 'daily', 'complicated', 'his name' , 'Hour', 'buy', 'package', 'clock', 'his head', 'until', 'tomorrow', 'his day', "]</v>
      </c>
      <c r="D1539" s="3">
        <v>1.0</v>
      </c>
    </row>
    <row r="1540" ht="15.75" customHeight="1">
      <c r="A1540" s="1">
        <v>1538.0</v>
      </c>
      <c r="B1540" s="3" t="s">
        <v>1541</v>
      </c>
      <c r="C1540" s="3" t="str">
        <f>IFERROR(__xludf.DUMMYFUNCTION("GOOGLETRANSLATE(B1540,""id"",""en"")"),"['Come', 'ugly', 'cellular', 'already', 'price', 'quota', 'internet', 'expensive', 'signal', 'quota', 'internet', 'run out', ' Direct ',' MOTH ',' Credit ',' main ',' ']")</f>
        <v>['Come', 'ugly', 'cellular', 'already', 'price', 'quota', 'internet', 'expensive', 'signal', 'quota', 'internet', 'run out', ' Direct ',' MOTH ',' Credit ',' main ',' ']</v>
      </c>
      <c r="D1540" s="3">
        <v>1.0</v>
      </c>
    </row>
    <row r="1541" ht="15.75" customHeight="1">
      <c r="A1541" s="1">
        <v>1539.0</v>
      </c>
      <c r="B1541" s="3" t="s">
        <v>1542</v>
      </c>
      <c r="C1541" s="3" t="str">
        <f>IFERROR(__xludf.DUMMYFUNCTION("GOOGLETRANSLATE(B1541,""id"",""en"")"),"['LAKNAT', 'Times',' Network ',' Changed ',' Waiting ',' Direct ',' Nyedot ',' Credit ',' Out ',' mind ',' Feature ',' Credit ',' Save ',' Kayak ',' Network ',' ']")</f>
        <v>['LAKNAT', 'Times',' Network ',' Changed ',' Waiting ',' Direct ',' Nyedot ',' Credit ',' Out ',' mind ',' Feature ',' Credit ',' Save ',' Kayak ',' Network ',' ']</v>
      </c>
      <c r="D1541" s="3">
        <v>1.0</v>
      </c>
    </row>
    <row r="1542" ht="15.75" customHeight="1">
      <c r="A1542" s="1">
        <v>1540.0</v>
      </c>
      <c r="B1542" s="3" t="s">
        <v>1543</v>
      </c>
      <c r="C1542" s="3" t="str">
        <f>IFERROR(__xludf.DUMMYFUNCTION("GOOGLETRANSLATE(B1542,""id"",""en"")"),"['subscription', 'package', 'emergency', 'registered', 'contents', 'pulse', 'truncated', 'Disable', 'Sometimes', 'pulse', 'chick', ""]")</f>
        <v>['subscription', 'package', 'emergency', 'registered', 'contents', 'pulse', 'truncated', 'Disable', 'Sometimes', 'pulse', 'chick', "]</v>
      </c>
      <c r="D1542" s="3">
        <v>1.0</v>
      </c>
    </row>
    <row r="1543" ht="15.75" customHeight="1">
      <c r="A1543" s="1">
        <v>1541.0</v>
      </c>
      <c r="B1543" s="3" t="s">
        <v>1544</v>
      </c>
      <c r="C1543" s="3" t="str">
        <f>IFERROR(__xludf.DUMMYFUNCTION("GOOGLETRANSLATE(B1543,""id"",""en"")"),"['Most', 'choice', 'package', 'confusion', 'determination', 'package', 'use', 'number', 'cook', 'where', 'internet', 'local', ' Used ',' ']")</f>
        <v>['Most', 'choice', 'package', 'confusion', 'determination', 'package', 'use', 'number', 'cook', 'where', 'internet', 'local', ' Used ',' ']</v>
      </c>
      <c r="D1543" s="3">
        <v>1.0</v>
      </c>
    </row>
    <row r="1544" ht="15.75" customHeight="1">
      <c r="A1544" s="1">
        <v>1542.0</v>
      </c>
      <c r="B1544" s="3" t="s">
        <v>1545</v>
      </c>
      <c r="C1544" s="3" t="str">
        <f>IFERROR(__xludf.DUMMYFUNCTION("GOOGLETRANSLATE(B1544,""id"",""en"")"),"['Hi', 'Telkomsel', 'Dear', 'tells',' Telkomsel ',' used ',' lag ',' Please ',' Sorry ',' Looking ',' Loss', ' Buy ',' pulse ',' lied ',' lag ']")</f>
        <v>['Hi', 'Telkomsel', 'Dear', 'tells',' Telkomsel ',' used ',' lag ',' Please ',' Sorry ',' Looking ',' Loss', ' Buy ',' pulse ',' lied ',' lag ']</v>
      </c>
      <c r="D1544" s="3">
        <v>1.0</v>
      </c>
    </row>
    <row r="1545" ht="15.75" customHeight="1">
      <c r="A1545" s="1">
        <v>1543.0</v>
      </c>
      <c r="B1545" s="3" t="s">
        <v>1546</v>
      </c>
      <c r="C1545" s="3" t="str">
        <f>IFERROR(__xludf.DUMMYFUNCTION("GOOGLETRANSLATE(B1545,""id"",""en"")"),"['Sorry', 'Telkomsel', 'Makai', 'card', 'sympathy', 'hope', 'get', 'package', 'good', 'brother', 'package', 'combo', ' Sakti ',' disappointed ',' oath ']")</f>
        <v>['Sorry', 'Telkomsel', 'Makai', 'card', 'sympathy', 'hope', 'get', 'package', 'good', 'brother', 'package', 'combo', ' Sakti ',' disappointed ',' oath ']</v>
      </c>
      <c r="D1545" s="3">
        <v>1.0</v>
      </c>
    </row>
    <row r="1546" ht="15.75" customHeight="1">
      <c r="A1546" s="1">
        <v>1544.0</v>
      </c>
      <c r="B1546" s="3" t="s">
        <v>1547</v>
      </c>
      <c r="C1546" s="3" t="str">
        <f>IFERROR(__xludf.DUMMYFUNCTION("GOOGLETRANSLATE(B1546,""id"",""en"")"),"['What', 'Telkomsel', 'Damaged', 'Application', 'Activation', 'Package', 'Package', 'Enter', 'Credit', 'Cutting', 'Already', 'Try', ' Restart ',' in ',' Benerin ',' Package ',' Doang ',' Expensive ',' Quality ',' Application ',' Bad ', ""]")</f>
        <v>['What', 'Telkomsel', 'Damaged', 'Application', 'Activation', 'Package', 'Package', 'Enter', 'Credit', 'Cutting', 'Already', 'Try', ' Restart ',' in ',' Benerin ',' Package ',' Doang ',' Expensive ',' Quality ',' Application ',' Bad ', "]</v>
      </c>
      <c r="D1546" s="3">
        <v>1.0</v>
      </c>
    </row>
    <row r="1547" ht="15.75" customHeight="1">
      <c r="A1547" s="1">
        <v>1545.0</v>
      </c>
      <c r="B1547" s="3" t="s">
        <v>1548</v>
      </c>
      <c r="C1547" s="3" t="str">
        <f>IFERROR(__xludf.DUMMYFUNCTION("GOOGLETRANSLATE(B1547,""id"",""en"")"),"['Package', 'Card', 'Freedom', 'Max', 'Unlimited', 'Active', 'Non', 'Activate', 'Wrong', 'Package', 'TSB', 'What', ' Package ',' Gunain ']")</f>
        <v>['Package', 'Card', 'Freedom', 'Max', 'Unlimited', 'Active', 'Non', 'Activate', 'Wrong', 'Package', 'TSB', 'What', ' Package ',' Gunain ']</v>
      </c>
      <c r="D1547" s="3">
        <v>2.0</v>
      </c>
    </row>
    <row r="1548" ht="15.75" customHeight="1">
      <c r="A1548" s="1">
        <v>1546.0</v>
      </c>
      <c r="B1548" s="3" t="s">
        <v>1549</v>
      </c>
      <c r="C1548" s="3" t="str">
        <f>IFERROR(__xludf.DUMMYFUNCTION("GOOGLETRANSLATE(B1548,""id"",""en"")"),"['Telkomsel', 'poor', 'signal', 'Internet', 'Bener', 'Severe', 'Harms',' subscribe ',' PKAI ',' Telkomsel ',' Sya ',' buy ',' package ',' internet ',' cheap ',' smpai ',' hbis', 'thousand', 'tpi', 'quality', 'signal', 'bad', 'mending', 'moved', 'krtu' , '"&amp;"SJA', 'disappointing', '']")</f>
        <v>['Telkomsel', 'poor', 'signal', 'Internet', 'Bener', 'Severe', 'Harms',' subscribe ',' PKAI ',' Telkomsel ',' Sya ',' buy ',' package ',' internet ',' cheap ',' smpai ',' hbis', 'thousand', 'tpi', 'quality', 'signal', 'bad', 'mending', 'moved', 'krtu' , 'SJA', 'disappointing', '']</v>
      </c>
      <c r="D1548" s="3">
        <v>1.0</v>
      </c>
    </row>
    <row r="1549" ht="15.75" customHeight="1">
      <c r="A1549" s="1">
        <v>1547.0</v>
      </c>
      <c r="B1549" s="3" t="s">
        <v>1550</v>
      </c>
      <c r="C1549" s="3" t="str">
        <f>IFERROR(__xludf.DUMMYFUNCTION("GOOGLETRANSLATE(B1549,""id"",""en"")"),"['Help', 'application', 'thisz', 'buy', 'package', 'anything', 'stay', 'leftover', 'balance', 'anything', 'unfortunate', 'price', ' expensive ',' TPI ',' network ',' cheap ',' area ',' Cirebon ',' east ',' smooth ',' for a while ',' ngelagnya ',' outerlye"&amp;"ring ',' play ',' game ' , 'on line']")</f>
        <v>['Help', 'application', 'thisz', 'buy', 'package', 'anything', 'stay', 'leftover', 'balance', 'anything', 'unfortunate', 'price', ' expensive ',' TPI ',' network ',' cheap ',' area ',' Cirebon ',' east ',' smooth ',' for a while ',' ngelagnya ',' outerlyering ',' play ',' game ' , 'on line']</v>
      </c>
      <c r="D1549" s="3">
        <v>3.0</v>
      </c>
    </row>
    <row r="1550" ht="15.75" customHeight="1">
      <c r="A1550" s="1">
        <v>1548.0</v>
      </c>
      <c r="B1550" s="3" t="s">
        <v>1551</v>
      </c>
      <c r="C1550" s="3" t="str">
        <f>IFERROR(__xludf.DUMMYFUNCTION("GOOGLETRANSLATE(B1550,""id"",""en"")"),"['Hello', 'Sis',' Miss', 'Disappointed', 'Krna', 'Package', 'Internet', 'Expensive', 'Package', 'Learning', 'Package', 'Internet', ' students', 'difficulty', 'bought', 'internet', 'night', 'price', 'package', 'internet', 'expensive', 'lgi', 'pandemic', 's"&amp;"earch', 'money' , 'difficult', 'Mohoh', 'lightening', 'down', 'price', 'package', 'internet', 'thanks', ""]")</f>
        <v>['Hello', 'Sis',' Miss', 'Disappointed', 'Krna', 'Package', 'Internet', 'Expensive', 'Package', 'Learning', 'Package', 'Internet', ' students', 'difficulty', 'bought', 'internet', 'night', 'price', 'package', 'internet', 'expensive', 'lgi', 'pandemic', 'search', 'money' , 'difficult', 'Mohoh', 'lightening', 'down', 'price', 'package', 'internet', 'thanks', "]</v>
      </c>
      <c r="D1550" s="3">
        <v>1.0</v>
      </c>
    </row>
    <row r="1551" ht="15.75" customHeight="1">
      <c r="A1551" s="1">
        <v>1549.0</v>
      </c>
      <c r="B1551" s="3" t="s">
        <v>1552</v>
      </c>
      <c r="C1551" s="3" t="str">
        <f>IFERROR(__xludf.DUMMYFUNCTION("GOOGLETRANSLATE(B1551,""id"",""en"")"),"['buy', 'package', 'expensive', 'network', 'slow', 'really', 'mending', 'price', 'package', 'down', 'speed', 'kayak', ' Snail ',' slow ',' really ',' Please ',' Sorry ',' Stay ',' City ',' around ',' Jakarta ']")</f>
        <v>['buy', 'package', 'expensive', 'network', 'slow', 'really', 'mending', 'price', 'package', 'down', 'speed', 'kayak', ' Snail ',' slow ',' really ',' Please ',' Sorry ',' Stay ',' City ',' around ',' Jakarta ']</v>
      </c>
      <c r="D1551" s="3">
        <v>1.0</v>
      </c>
    </row>
    <row r="1552" ht="15.75" customHeight="1">
      <c r="A1552" s="1">
        <v>1550.0</v>
      </c>
      <c r="B1552" s="3" t="s">
        <v>1553</v>
      </c>
      <c r="C1552" s="3" t="str">
        <f>IFERROR(__xludf.DUMMYFUNCTION("GOOGLETRANSLATE(B1552,""id"",""en"")"),"['Love', 'star', 'Yesterday', 'promo', 'missing', 'hope', 'MyTlkomsel', 'Please', 'responding', 'About', ""]")</f>
        <v>['Love', 'star', 'Yesterday', 'promo', 'missing', 'hope', 'MyTlkomsel', 'Please', 'responding', 'About', "]</v>
      </c>
      <c r="D1552" s="3">
        <v>3.0</v>
      </c>
    </row>
    <row r="1553" ht="15.75" customHeight="1">
      <c r="A1553" s="1">
        <v>1551.0</v>
      </c>
      <c r="B1553" s="3" t="s">
        <v>1554</v>
      </c>
      <c r="C1553" s="3" t="str">
        <f>IFERROR(__xludf.DUMMYFUNCTION("GOOGLETRANSLATE(B1553,""id"",""en"")"),"['cave', 'buy', 'package', 'promo', 'process',' mulu ',' sorted ',' actually ',' serious', 'gave', 'promo', 'buy', ' Package ',' Package ',' Promo ',' Process', 'BERES', 'OK']")</f>
        <v>['cave', 'buy', 'package', 'promo', 'process',' mulu ',' sorted ',' actually ',' serious', 'gave', 'promo', 'buy', ' Package ',' Package ',' Promo ',' Process', 'BERES', 'OK']</v>
      </c>
      <c r="D1553" s="3">
        <v>1.0</v>
      </c>
    </row>
    <row r="1554" ht="15.75" customHeight="1">
      <c r="A1554" s="1">
        <v>1552.0</v>
      </c>
      <c r="B1554" s="3" t="s">
        <v>1555</v>
      </c>
      <c r="C1554" s="3" t="str">
        <f>IFERROR(__xludf.DUMMYFUNCTION("GOOGLETRANSLATE(B1554,""id"",""en"")"),"['network', 'Telkomsel', 'slow', 'slow', 'please', 'fix', 'pity', 'stay', 'village', 'village', 'ngak', 'enjoy', ' Jarigan ',' good ',' Klau ',' already ',' fix ',' just ',' cave ',' kasi ',' star ', ""]")</f>
        <v>['network', 'Telkomsel', 'slow', 'slow', 'please', 'fix', 'pity', 'stay', 'village', 'village', 'ngak', 'enjoy', ' Jarigan ',' good ',' Klau ',' already ',' fix ',' just ',' cave ',' kasi ',' star ', "]</v>
      </c>
      <c r="D1554" s="3">
        <v>2.0</v>
      </c>
    </row>
    <row r="1555" ht="15.75" customHeight="1">
      <c r="A1555" s="1">
        <v>1553.0</v>
      </c>
      <c r="B1555" s="3" t="s">
        <v>1556</v>
      </c>
      <c r="C1555" s="3" t="str">
        <f>IFERROR(__xludf.DUMMYFUNCTION("GOOGLETRANSLATE(B1555,""id"",""en"")"),"['Try', 'buy', 'package', 'lapse', 'youtube', 'apply', 'a day', 'already', 'dipake', 'there', 'description', 'youtube', ' The rest of ',' severe ',' network ',' here ',' ugly ',' city ',' village ']")</f>
        <v>['Try', 'buy', 'package', 'lapse', 'youtube', 'apply', 'a day', 'already', 'dipake', 'there', 'description', 'youtube', ' The rest of ',' severe ',' network ',' here ',' ugly ',' city ',' village ']</v>
      </c>
      <c r="D1555" s="3">
        <v>1.0</v>
      </c>
    </row>
    <row r="1556" ht="15.75" customHeight="1">
      <c r="A1556" s="1">
        <v>1554.0</v>
      </c>
      <c r="B1556" s="3" t="s">
        <v>1557</v>
      </c>
      <c r="C1556" s="3" t="str">
        <f>IFERROR(__xludf.DUMMYFUNCTION("GOOGLETRANSLATE(B1556,""id"",""en"")"),"['What', 'buy', 'Package', 'Telkomsel', 'SDAH', 'Min', 'process', 'pulse', 'whole', 'quota', 'enter', ""]")</f>
        <v>['What', 'buy', 'Package', 'Telkomsel', 'SDAH', 'Min', 'process', 'pulse', 'whole', 'quota', 'enter', "]</v>
      </c>
      <c r="D1556" s="3">
        <v>1.0</v>
      </c>
    </row>
    <row r="1557" ht="15.75" customHeight="1">
      <c r="A1557" s="1">
        <v>1555.0</v>
      </c>
      <c r="B1557" s="3" t="s">
        <v>1558</v>
      </c>
      <c r="C1557" s="3" t="str">
        <f>IFERROR(__xludf.DUMMYFUNCTION("GOOGLETRANSLATE(B1557,""id"",""en"")"),"['Telkomsel', 'buy', 'package', 'unlimited', 'youtube', 'right', 'open', 'youtube', 'notification', 'package', 'walk', 'stay', ' etc. ',' gaje ']")</f>
        <v>['Telkomsel', 'buy', 'package', 'unlimited', 'youtube', 'right', 'open', 'youtube', 'notification', 'package', 'walk', 'stay', ' etc. ',' gaje ']</v>
      </c>
      <c r="D1557" s="3">
        <v>1.0</v>
      </c>
    </row>
    <row r="1558" ht="15.75" customHeight="1">
      <c r="A1558" s="1">
        <v>1556.0</v>
      </c>
      <c r="B1558" s="3" t="s">
        <v>1559</v>
      </c>
      <c r="C1558" s="3" t="str">
        <f>IFERROR(__xludf.DUMMYFUNCTION("GOOGLETRANSLATE(B1558,""id"",""en"")"),"['Telkomsel', 'Thinking', 'Thinking', 'Dlu', 'Service', 'Telkomsel', 'Kayak', 'Disappointing', 'Work', 'Need', 'Internet', 'Fast', ' Rela ',' Pay ',' Expensive ',' Buy ',' Package ',' Card ',' Card ',' Telkomsel ',' Champion ',' Price ',' Mahalll ',' Abis"&amp;"', 'Disappointing' , 'according to', 'hope', 'area', 'Banda', 'Aceh', 'internet', 'destroyed', 'run out', 'internet', 'fast', 'easily', 'Telkomsel']")</f>
        <v>['Telkomsel', 'Thinking', 'Thinking', 'Dlu', 'Service', 'Telkomsel', 'Kayak', 'Disappointing', 'Work', 'Need', 'Internet', 'Fast', ' Rela ',' Pay ',' Expensive ',' Buy ',' Package ',' Card ',' Card ',' Telkomsel ',' Champion ',' Price ',' Mahalll ',' Abis', 'Disappointing' , 'according to', 'hope', 'area', 'Banda', 'Aceh', 'internet', 'destroyed', 'run out', 'internet', 'fast', 'easily', 'Telkomsel']</v>
      </c>
      <c r="D1558" s="3">
        <v>1.0</v>
      </c>
    </row>
    <row r="1559" ht="15.75" customHeight="1">
      <c r="A1559" s="1">
        <v>1557.0</v>
      </c>
      <c r="B1559" s="3" t="s">
        <v>1560</v>
      </c>
      <c r="C1559" s="3" t="str">
        <f>IFERROR(__xludf.DUMMYFUNCTION("GOOGLETRANSLATE(B1559,""id"",""en"")"),"['Addin', 'Bintang', 'Happy', 'Acquired', 'Continue', 'Direct', 'Fix', 'Region', 'Uda', 'Complaints',' Signal ',' Stable ',' gamers', 'distance', 'tower', 'meters',' village ',' kaabon ',' kec ',' ambal ',' kab ',' kebumen ',' jateng ',' please ',' check "&amp;"' , 'location', 'ntar', 'uda', 'normal', 'wish', 'addin', 'star', 'community', 'acceptable', 'love']")</f>
        <v>['Addin', 'Bintang', 'Happy', 'Acquired', 'Continue', 'Direct', 'Fix', 'Region', 'Uda', 'Complaints',' Signal ',' Stable ',' gamers', 'distance', 'tower', 'meters',' village ',' kaabon ',' kec ',' ambal ',' kab ',' kebumen ',' jateng ',' please ',' check ' , 'location', 'ntar', 'uda', 'normal', 'wish', 'addin', 'star', 'community', 'acceptable', 'love']</v>
      </c>
      <c r="D1559" s="3">
        <v>4.0</v>
      </c>
    </row>
    <row r="1560" ht="15.75" customHeight="1">
      <c r="A1560" s="1">
        <v>1558.0</v>
      </c>
      <c r="B1560" s="3" t="s">
        <v>1561</v>
      </c>
      <c r="C1560" s="3" t="str">
        <f>IFERROR(__xludf.DUMMYFUNCTION("GOOGLETRANSLATE(B1560,""id"",""en"")"),"['activation', 'internet', 'application', 'stated', 'payment', 'process',' action ',' pulse ',' rb ',' truncated ',' rb ',' access', ' Internet ',' Application ',' DST ',' Loss', 'Customer', 'TLP', 'Call', 'Center', 'BLM', 'Continuation', 'neighbor', 'klw"&amp;"', 'open' , 'Application', 'Wear', 'Costs', 'Disappointing', 'Use', 'Telkomsel', 'Application', '']")</f>
        <v>['activation', 'internet', 'application', 'stated', 'payment', 'process',' action ',' pulse ',' rb ',' truncated ',' rb ',' access', ' Internet ',' Application ',' DST ',' Loss', 'Customer', 'TLP', 'Call', 'Center', 'BLM', 'Continuation', 'neighbor', 'klw', 'open' , 'Application', 'Wear', 'Costs', 'Disappointing', 'Use', 'Telkomsel', 'Application', '']</v>
      </c>
      <c r="D1560" s="3">
        <v>2.0</v>
      </c>
    </row>
    <row r="1561" ht="15.75" customHeight="1">
      <c r="A1561" s="1">
        <v>1559.0</v>
      </c>
      <c r="B1561" s="3" t="s">
        <v>1562</v>
      </c>
      <c r="C1561" s="3" t="str">
        <f>IFERROR(__xludf.DUMMYFUNCTION("GOOGLETRANSLATE(B1561,""id"",""en"")"),"['likes',' the application ',' check ',' pulse ',' package ',' data ',' stay ',' click ',' application ',' prize ',' exchange ',' point ',' Mending ',' eliminated ',' interesting ',' consumer ',' lottery ',' ']")</f>
        <v>['likes',' the application ',' check ',' pulse ',' package ',' data ',' stay ',' click ',' application ',' prize ',' exchange ',' point ',' Mending ',' eliminated ',' interesting ',' consumer ',' lottery ',' ']</v>
      </c>
      <c r="D1561" s="3">
        <v>5.0</v>
      </c>
    </row>
    <row r="1562" ht="15.75" customHeight="1">
      <c r="A1562" s="1">
        <v>1560.0</v>
      </c>
      <c r="B1562" s="3" t="s">
        <v>1563</v>
      </c>
      <c r="C1562" s="3" t="str">
        <f>IFERROR(__xludf.DUMMYFUNCTION("GOOGLETRANSLATE(B1562,""id"",""en"")"),"['entry', 'application', 'connection', 'stable', 'wifi', 'tetep', 'open', 'upgrade', 'version', 'newest', ""]")</f>
        <v>['entry', 'application', 'connection', 'stable', 'wifi', 'tetep', 'open', 'upgrade', 'version', 'newest', "]</v>
      </c>
      <c r="D1562" s="3">
        <v>1.0</v>
      </c>
    </row>
    <row r="1563" ht="15.75" customHeight="1">
      <c r="A1563" s="1">
        <v>1561.0</v>
      </c>
      <c r="B1563" s="3" t="s">
        <v>1564</v>
      </c>
      <c r="C1563" s="3" t="str">
        <f>IFERROR(__xludf.DUMMYFUNCTION("GOOGLETRANSLATE(B1563,""id"",""en"")"),"['Like', 'Features',' Daily ',' Check ',' Not bad ',' quota ',' extra ',' signal ',' Sometimes', 'Telkomsel', 'slow', 'TPI', ' Sometimes', 'Current', 'Thank you', 'Telkomsel']")</f>
        <v>['Like', 'Features',' Daily ',' Check ',' Not bad ',' quota ',' extra ',' signal ',' Sometimes', 'Telkomsel', 'slow', 'TPI', ' Sometimes', 'Current', 'Thank you', 'Telkomsel']</v>
      </c>
      <c r="D1563" s="3">
        <v>5.0</v>
      </c>
    </row>
    <row r="1564" ht="15.75" customHeight="1">
      <c r="A1564" s="1">
        <v>1562.0</v>
      </c>
      <c r="B1564" s="3" t="s">
        <v>1565</v>
      </c>
      <c r="C1564" s="3" t="str">
        <f>IFERROR(__xludf.DUMMYFUNCTION("GOOGLETRANSLATE(B1564,""id"",""en"")"),"['Package', 'learn', 'buy', 'money', 'snack', 'open', 'browserpn', 'pulse', 'sumps',' run out ',' nyesel ',' nyesek ',' Miris', 'Mending', 'snack', 'child', 'rather than', 'provider', 'eat', 'pulse', 'customer', 'right', 'nyesek', 'sad', 'work' , 'Ceklis'"&amp;",' Routine ',' Doang ',' Disadvantages', 'Customer', 'Considered', 'Seeds',' Please ',' Fix ',' Lacking ',' Impact ',' Consumer ',' Salary ',' Be thankful ',' ']")</f>
        <v>['Package', 'learn', 'buy', 'money', 'snack', 'open', 'browserpn', 'pulse', 'sumps',' run out ',' nyesel ',' nyesek ',' Miris', 'Mending', 'snack', 'child', 'rather than', 'provider', 'eat', 'pulse', 'customer', 'right', 'nyesek', 'sad', 'work' , 'Ceklis',' Routine ',' Doang ',' Disadvantages', 'Customer', 'Considered', 'Seeds',' Please ',' Fix ',' Lacking ',' Impact ',' Consumer ',' Salary ',' Be thankful ',' ']</v>
      </c>
      <c r="D1564" s="3">
        <v>1.0</v>
      </c>
    </row>
    <row r="1565" ht="15.75" customHeight="1">
      <c r="A1565" s="1">
        <v>1563.0</v>
      </c>
      <c r="B1565" s="3" t="s">
        <v>1566</v>
      </c>
      <c r="C1565" s="3" t="str">
        <f>IFERROR(__xludf.DUMMYFUNCTION("GOOGLETRANSLATE(B1565,""id"",""en"")"),"['application', 'BURIK', 'lie']")</f>
        <v>['application', 'BURIK', 'lie']</v>
      </c>
      <c r="D1565" s="3">
        <v>5.0</v>
      </c>
    </row>
    <row r="1566" ht="15.75" customHeight="1">
      <c r="A1566" s="1">
        <v>1564.0</v>
      </c>
      <c r="B1566" s="3" t="s">
        <v>1567</v>
      </c>
      <c r="C1566" s="3" t="str">
        <f>IFERROR(__xludf.DUMMYFUNCTION("GOOGLETRANSLATE(B1566,""id"",""en"")"),"['', 'Telkomsel', 'Kaneka', 'ugly', 'cook', 'Connect', 'account', 'funds',' then ',' buy ',' pulse ',' what ',' balance ',' Fund ',' what ',' please ',' fast ',' fix ',' threat ',' already ',' update ']")</f>
        <v>['', 'Telkomsel', 'Kaneka', 'ugly', 'cook', 'Connect', 'account', 'funds',' then ',' buy ',' pulse ',' what ',' balance ',' Fund ',' what ',' please ',' fast ',' fix ',' threat ',' already ',' update ']</v>
      </c>
      <c r="D1566" s="3">
        <v>1.0</v>
      </c>
    </row>
    <row r="1567" ht="15.75" customHeight="1">
      <c r="A1567" s="1">
        <v>1565.0</v>
      </c>
      <c r="B1567" s="3" t="s">
        <v>1568</v>
      </c>
      <c r="C1567" s="3" t="str">
        <f>IFERROR(__xludf.DUMMYFUNCTION("GOOGLETRANSLATE(B1567,""id"",""en"")"),"['What', 'Telkomsel', 'Uda', 'pulse', 'price', 'package', 'Masi', 'told', 'Wait', 'Minutes',' Stay ',' Success', ' difficult ',' really ',' pulse ',' yes', 'understand', 'pulse', 'price', 'package', 'persuhit', 'cave', 'uda', 'pakek', 'card' , 'Telkomsel'"&amp;", 'buy', 'Package', 'Persulit', '']")</f>
        <v>['What', 'Telkomsel', 'Uda', 'pulse', 'price', 'package', 'Masi', 'told', 'Wait', 'Minutes',' Stay ',' Success', ' difficult ',' really ',' pulse ',' yes', 'understand', 'pulse', 'price', 'package', 'persuhit', 'cave', 'uda', 'pakek', 'card' , 'Telkomsel', 'buy', 'Package', 'Persulit', '']</v>
      </c>
      <c r="D1567" s="3">
        <v>1.0</v>
      </c>
    </row>
    <row r="1568" ht="15.75" customHeight="1">
      <c r="A1568" s="1">
        <v>1566.0</v>
      </c>
      <c r="B1568" s="3" t="s">
        <v>1569</v>
      </c>
      <c r="C1568" s="3" t="str">
        <f>IFERROR(__xludf.DUMMYFUNCTION("GOOGLETRANSLATE(B1568,""id"",""en"")"),"['Quota', 'Telkomsel', 'Dracula', 'Cepet', 'Abis',' Dipake ',' Nongol ',' Motif ',' Bentar ',' Notif ',' LGI ',' LGI ',' Signal ',' Super ',' Leet ',' Telkom ',' ']")</f>
        <v>['Quota', 'Telkomsel', 'Dracula', 'Cepet', 'Abis',' Dipake ',' Nongol ',' Motif ',' Bentar ',' Notif ',' LGI ',' LGI ',' Signal ',' Super ',' Leet ',' Telkom ',' ']</v>
      </c>
      <c r="D1568" s="3">
        <v>3.0</v>
      </c>
    </row>
    <row r="1569" ht="15.75" customHeight="1">
      <c r="A1569" s="1">
        <v>1567.0</v>
      </c>
      <c r="B1569" s="3" t="s">
        <v>1570</v>
      </c>
      <c r="C1569" s="3" t="str">
        <f>IFERROR(__xludf.DUMMYFUNCTION("GOOGLETRANSLATE(B1569,""id"",""en"")"),"['For days',' Open ',' Application ',' Enter ',' Telkomsel ',' Udh ',' Update ',' Tetep ',' Discard ',' Quota ',' Taunya ',' Uninstall ',' DLU ',' Gini ',' Telkomsel ',' Mahae ',' Bae ',' Suuuuueeee ']")</f>
        <v>['For days',' Open ',' Application ',' Enter ',' Telkomsel ',' Udh ',' Update ',' Tetep ',' Discard ',' Quota ',' Taunya ',' Uninstall ',' DLU ',' Gini ',' Telkomsel ',' Mahae ',' Bae ',' Suuuuueeee ']</v>
      </c>
      <c r="D1569" s="3">
        <v>1.0</v>
      </c>
    </row>
    <row r="1570" ht="15.75" customHeight="1">
      <c r="A1570" s="1">
        <v>1568.0</v>
      </c>
      <c r="B1570" s="3" t="s">
        <v>1571</v>
      </c>
      <c r="C1570" s="3" t="str">
        <f>IFERROR(__xludf.DUMMYFUNCTION("GOOGLETRANSLATE(B1570,""id"",""en"")"),"['Customer', 'Telkomsel', 'yrs',' bgtu ',' open ',' application ',' telkomsel ',' package ',' expensive ',' card ',' telkomsel ',' package ',' Cheap ',' please ',' donk ',' package ',' card ',' cheap ']")</f>
        <v>['Customer', 'Telkomsel', 'yrs',' bgtu ',' open ',' application ',' telkomsel ',' package ',' expensive ',' card ',' telkomsel ',' package ',' Cheap ',' please ',' donk ',' package ',' card ',' cheap ']</v>
      </c>
      <c r="D1570" s="3">
        <v>2.0</v>
      </c>
    </row>
    <row r="1571" ht="15.75" customHeight="1">
      <c r="A1571" s="1">
        <v>1569.0</v>
      </c>
      <c r="B1571" s="3" t="s">
        <v>1572</v>
      </c>
      <c r="C1571" s="3" t="str">
        <f>IFERROR(__xludf.DUMMYFUNCTION("GOOGLETRANSLATE(B1571,""id"",""en"")"),"['Please', 'Price', 'Paketan', 'Please', 'Fix', 'Element', 'Society', 'Yng', 'Buy', 'Package', 'Price', 'Yng', ' relative ',' expensive ',' comfortable ',' burdened ',' price ',' decent ',' expensive ',' ']")</f>
        <v>['Please', 'Price', 'Paketan', 'Please', 'Fix', 'Element', 'Society', 'Yng', 'Buy', 'Package', 'Price', 'Yng', ' relative ',' expensive ',' comfortable ',' burdened ',' price ',' decent ',' expensive ',' ']</v>
      </c>
      <c r="D1571" s="3">
        <v>5.0</v>
      </c>
    </row>
    <row r="1572" ht="15.75" customHeight="1">
      <c r="A1572" s="1">
        <v>1570.0</v>
      </c>
      <c r="B1572" s="3" t="s">
        <v>1573</v>
      </c>
      <c r="C1572" s="3" t="str">
        <f>IFERROR(__xludf.DUMMYFUNCTION("GOOGLETRANSLATE(B1572,""id"",""en"")"),"['application', 'ugly', 'error', 'enter', 'message', 'wait', 'run out', 'warning', 'wasteful', 'battery', 'tablet', ""]")</f>
        <v>['application', 'ugly', 'error', 'enter', 'message', 'wait', 'run out', 'warning', 'wasteful', 'battery', 'tablet', "]</v>
      </c>
      <c r="D1572" s="3">
        <v>1.0</v>
      </c>
    </row>
    <row r="1573" ht="15.75" customHeight="1">
      <c r="A1573" s="1">
        <v>1571.0</v>
      </c>
      <c r="B1573" s="3" t="s">
        <v>1574</v>
      </c>
      <c r="C1573" s="3" t="str">
        <f>IFERROR(__xludf.DUMMYFUNCTION("GOOGLETRANSLATE(B1573,""id"",""en"")"),"['Vocer', 'enter', 'system', 'busy', 'mulu', 'tungu', 'for a while', 'have', 'vacation', 'buy', 'Vocer', 'Gunain', ' Pandemics', 'Ganguan', '']")</f>
        <v>['Vocer', 'enter', 'system', 'busy', 'mulu', 'tungu', 'for a while', 'have', 'vacation', 'buy', 'Vocer', 'Gunain', ' Pandemics', 'Ganguan', '']</v>
      </c>
      <c r="D1573" s="3">
        <v>1.0</v>
      </c>
    </row>
    <row r="1574" ht="15.75" customHeight="1">
      <c r="A1574" s="1">
        <v>1572.0</v>
      </c>
      <c r="B1574" s="3" t="s">
        <v>1575</v>
      </c>
      <c r="C1574" s="3" t="str">
        <f>IFERROR(__xludf.DUMMYFUNCTION("GOOGLETRANSLATE(B1574,""id"",""en"")"),"['Please', 'network', 'repaired', 'rich', 'snail', 'gini', 'cmn', 'luck', 'doang', 'think', 'convenience', 'customer', ' Loss', 'Customer', '']")</f>
        <v>['Please', 'network', 'repaired', 'rich', 'snail', 'gini', 'cmn', 'luck', 'doang', 'think', 'convenience', 'customer', ' Loss', 'Customer', '']</v>
      </c>
      <c r="D1574" s="3">
        <v>1.0</v>
      </c>
    </row>
    <row r="1575" ht="15.75" customHeight="1">
      <c r="A1575" s="1">
        <v>1573.0</v>
      </c>
      <c r="B1575" s="3" t="s">
        <v>1576</v>
      </c>
      <c r="C1575" s="3" t="str">
        <f>IFERROR(__xludf.DUMMYFUNCTION("GOOGLETRANSLATE(B1575,""id"",""en"")"),"['promo', 'bought', 'emang', 'wrong', 'price', 'please', 'omitted', 'umb', 'APK', 'mytsel', 'alibi', 'improve', ' disappointed', '']")</f>
        <v>['promo', 'bought', 'emang', 'wrong', 'price', 'please', 'omitted', 'umb', 'APK', 'mytsel', 'alibi', 'improve', ' disappointed', '']</v>
      </c>
      <c r="D1575" s="3">
        <v>1.0</v>
      </c>
    </row>
    <row r="1576" ht="15.75" customHeight="1">
      <c r="A1576" s="1">
        <v>1574.0</v>
      </c>
      <c r="B1576" s="3" t="s">
        <v>1577</v>
      </c>
      <c r="C1576" s="3" t="str">
        <f>IFERROR(__xludf.DUMMYFUNCTION("GOOGLETRANSLATE(B1576,""id"",""en"")"),"['network', 'Telkomsel', 'good', 'super', 'speeding', 'use', 'Telkomsel', 'experience', 'network', 'good', 'call', 'call', ' Center ',' Telkomsel ',' related ',' network ',' answer ',' told ',' refresh ',' mode ',' plane ',' check ',' APN ',' the rest ','"&amp;" told ' , 'Be patient', '']")</f>
        <v>['network', 'Telkomsel', 'good', 'super', 'speeding', 'use', 'Telkomsel', 'experience', 'network', 'good', 'call', 'call', ' Center ',' Telkomsel ',' related ',' network ',' answer ',' told ',' refresh ',' mode ',' plane ',' check ',' APN ',' the rest ',' told ' , 'Be patient', '']</v>
      </c>
      <c r="D1576" s="3">
        <v>1.0</v>
      </c>
    </row>
    <row r="1577" ht="15.75" customHeight="1">
      <c r="A1577" s="1">
        <v>1575.0</v>
      </c>
      <c r="B1577" s="3" t="s">
        <v>1578</v>
      </c>
      <c r="C1577" s="3" t="str">
        <f>IFERROR(__xludf.DUMMYFUNCTION("GOOGLETRANSLATE(B1577,""id"",""en"")"),"['Telkomsel', 'bad', 'use', 'tekomsel', 'yrs',' slrang ',' disappointed ',' domiciled ',' district ',' bogor ',' signal ',' Telkomsel ',' Bad ',' Trims', 'Change', 'Card', 'Otw', '']")</f>
        <v>['Telkomsel', 'bad', 'use', 'tekomsel', 'yrs',' slrang ',' disappointed ',' domiciled ',' district ',' bogor ',' signal ',' Telkomsel ',' Bad ',' Trims', 'Change', 'Card', 'Otw', '']</v>
      </c>
      <c r="D1577" s="3">
        <v>1.0</v>
      </c>
    </row>
    <row r="1578" ht="15.75" customHeight="1">
      <c r="A1578" s="1">
        <v>1576.0</v>
      </c>
      <c r="B1578" s="3" t="s">
        <v>1579</v>
      </c>
      <c r="C1578" s="3" t="str">
        <f>IFERROR(__xludf.DUMMYFUNCTION("GOOGLETRANSLATE(B1578,""id"",""en"")"),"['Signal', 'Telkomsel', 'Severe', 'Performance', 'Decreases', 'rivals', 'declined', 'position', 'city', 'signal', 'bar']")</f>
        <v>['Signal', 'Telkomsel', 'Severe', 'Performance', 'Decreases', 'rivals', 'declined', 'position', 'city', 'signal', 'bar']</v>
      </c>
      <c r="D1578" s="3">
        <v>1.0</v>
      </c>
    </row>
    <row r="1579" ht="15.75" customHeight="1">
      <c r="A1579" s="1">
        <v>1577.0</v>
      </c>
      <c r="B1579" s="3" t="s">
        <v>1580</v>
      </c>
      <c r="C1579" s="3" t="str">
        <f>IFERROR(__xludf.DUMMYFUNCTION("GOOGLETRANSLATE(B1579,""id"",""en"")"),"['oooiiiiiii', 'Nape', 'signal', 'ugly', 'Muluuu', 'Jakarta', 'Java', 'Cirebon', 'Sampe', 'right', 'Surabaya', ' Terooos', 'Season', 'right', 'Maen', 'Game', 'NGLEG', '']")</f>
        <v>['oooiiiiiii', 'Nape', 'signal', 'ugly', 'Muluuu', 'Jakarta', 'Java', 'Cirebon', 'Sampe', 'right', 'Surabaya', ' Terooos', 'Season', 'right', 'Maen', 'Game', 'NGLEG', '']</v>
      </c>
      <c r="D1579" s="3">
        <v>2.0</v>
      </c>
    </row>
    <row r="1580" ht="15.75" customHeight="1">
      <c r="A1580" s="1">
        <v>1578.0</v>
      </c>
      <c r="B1580" s="3" t="s">
        <v>1581</v>
      </c>
      <c r="C1580" s="3" t="str">
        <f>IFERROR(__xludf.DUMMYFUNCTION("GOOGLETRANSLATE(B1580,""id"",""en"")"),"['signal', 'error', 'package', 'ngojek', 'slow', 'gaporan', 'yellow', 'signal']")</f>
        <v>['signal', 'error', 'package', 'ngojek', 'slow', 'gaporan', 'yellow', 'signal']</v>
      </c>
      <c r="D1580" s="3">
        <v>3.0</v>
      </c>
    </row>
    <row r="1581" ht="15.75" customHeight="1">
      <c r="A1581" s="1">
        <v>1579.0</v>
      </c>
      <c r="B1581" s="3" t="s">
        <v>1582</v>
      </c>
      <c r="C1581" s="3" t="str">
        <f>IFERROR(__xludf.DUMMYFUNCTION("GOOGLETRANSLATE(B1581,""id"",""en"")"),"['Complete', 'Features',' TRS ',' Network ',' Strong ',' Telkomsel ',' original ',' Bahagiain ',' Orng ',' Strez ',' Please ',' Strong ',' The network is', 'Region', 'Depok', 'Donggg', ""]")</f>
        <v>['Complete', 'Features',' TRS ',' Network ',' Strong ',' Telkomsel ',' original ',' Bahagiain ',' Orng ',' Strez ',' Please ',' Strong ',' The network is', 'Region', 'Depok', 'Donggg', "]</v>
      </c>
      <c r="D1581" s="3">
        <v>1.0</v>
      </c>
    </row>
    <row r="1582" ht="15.75" customHeight="1">
      <c r="A1582" s="1">
        <v>1580.0</v>
      </c>
      <c r="B1582" s="3" t="s">
        <v>1583</v>
      </c>
      <c r="C1582" s="3" t="str">
        <f>IFERROR(__xludf.DUMMYFUNCTION("GOOGLETRANSLATE(B1582,""id"",""en"")"),"['update', 'finished', 'application', 'slow', 'really', 'login', 'application', 'need', 'minute', 'android', 'application', '']")</f>
        <v>['update', 'finished', 'application', 'slow', 'really', 'login', 'application', 'need', 'minute', 'android', 'application', '']</v>
      </c>
      <c r="D1582" s="3">
        <v>1.0</v>
      </c>
    </row>
    <row r="1583" ht="15.75" customHeight="1">
      <c r="A1583" s="1">
        <v>1581.0</v>
      </c>
      <c r="B1583" s="3" t="s">
        <v>1584</v>
      </c>
      <c r="C1583" s="3" t="str">
        <f>IFERROR(__xludf.DUMMYFUNCTION("GOOGLETRANSLATE(B1583,""id"",""en"")"),"['Bener', 'Bener', 'Experts', 'Stealing', 'Credit', 'Unlimited', 'Iyaaaa', 'Credit', 'Edible', 'sympathy', 'sympathetic', ""]")</f>
        <v>['Bener', 'Bener', 'Experts', 'Stealing', 'Credit', 'Unlimited', 'Iyaaaa', 'Credit', 'Edible', 'sympathy', 'sympathetic', "]</v>
      </c>
      <c r="D1583" s="3">
        <v>1.0</v>
      </c>
    </row>
    <row r="1584" ht="15.75" customHeight="1">
      <c r="A1584" s="1">
        <v>1582.0</v>
      </c>
      <c r="B1584" s="3" t="s">
        <v>1585</v>
      </c>
      <c r="C1584" s="3" t="str">
        <f>IFERROR(__xludf.DUMMYFUNCTION("GOOGLETRANSLATE(B1584,""id"",""en"")"),"['Mbak', 'Mr.', 'Dear', 'Complains',' Via ',' Twitter ',' Email ',' Respond ',' Signal ',' Complaints', 'Dri', 'December', ' Via ',' telephone ',' Tell ',' Close ',' TPI ',' Signal ',' Severe ',' Signal ',' Severe ',' Severe ',' ugly ',' Hiding ',' Promo "&amp;"' , 'quota', 'cheap', 'cover', 'signal', 'see', 'twiter', 'complaint', 'signal', 'internet', 'waiting', 'mending', 'quota', ' Promo ',' Eliminated ',' TPI ',' Signal ',' Internet ',' Stable ',' ']")</f>
        <v>['Mbak', 'Mr.', 'Dear', 'Complains',' Via ',' Twitter ',' Email ',' Respond ',' Signal ',' Complaints', 'Dri', 'December', ' Via ',' telephone ',' Tell ',' Close ',' TPI ',' Signal ',' Severe ',' Signal ',' Severe ',' Severe ',' ugly ',' Hiding ',' Promo ' , 'quota', 'cheap', 'cover', 'signal', 'see', 'twiter', 'complaint', 'signal', 'internet', 'waiting', 'mending', 'quota', ' Promo ',' Eliminated ',' TPI ',' Signal ',' Internet ',' Stable ',' ']</v>
      </c>
      <c r="D1584" s="3">
        <v>1.0</v>
      </c>
    </row>
    <row r="1585" ht="15.75" customHeight="1">
      <c r="A1585" s="1">
        <v>1583.0</v>
      </c>
      <c r="B1585" s="3" t="s">
        <v>1586</v>
      </c>
      <c r="C1585" s="3" t="str">
        <f>IFERROR(__xludf.DUMMYFUNCTION("GOOGLETRANSLATE(B1585,""id"",""en"")"),"['signal', 'Telkomsel', 'price', 'Doang', 'expensive', 'right', 'play', 'game', 'signal', 'kek', 'taii', 'cave', ' play ',' urban ',' lose ',' village ',' shy ',' shame ',' city ',' pole ',' mountain ',' oath ',' regret ',' really ',' cave ' , 'Make', 'Ni"&amp;"hh', 'card']")</f>
        <v>['signal', 'Telkomsel', 'price', 'Doang', 'expensive', 'right', 'play', 'game', 'signal', 'kek', 'taii', 'cave', ' play ',' urban ',' lose ',' village ',' shy ',' shame ',' city ',' pole ',' mountain ',' oath ',' regret ',' really ',' cave ' , 'Make', 'Nihh', 'card']</v>
      </c>
      <c r="D1585" s="3">
        <v>1.0</v>
      </c>
    </row>
    <row r="1586" ht="15.75" customHeight="1">
      <c r="A1586" s="1">
        <v>1584.0</v>
      </c>
      <c r="B1586" s="3" t="s">
        <v>1587</v>
      </c>
      <c r="C1586" s="3" t="str">
        <f>IFERROR(__xludf.DUMMYFUNCTION("GOOGLETRANSLATE(B1586,""id"",""en"")"),"['apk', 'BURIK', 'really', 'boong', 'apk', 'good', 'really', '']")</f>
        <v>['apk', 'BURIK', 'really', 'boong', 'apk', 'good', 'really', '']</v>
      </c>
      <c r="D1586" s="3">
        <v>5.0</v>
      </c>
    </row>
    <row r="1587" ht="15.75" customHeight="1">
      <c r="A1587" s="1">
        <v>1585.0</v>
      </c>
      <c r="B1587" s="3" t="s">
        <v>1588</v>
      </c>
      <c r="C1587" s="3" t="str">
        <f>IFERROR(__xludf.DUMMYFUNCTION("GOOGLETRANSLATE(B1587,""id"",""en"")"),"['Please', 'Attention', 'Consumers', 'Subscribe', 'Telkomsel', 'Sunday', 'Daley', 'Data', 'Selur', 'Please', 'Caution', 'Telkomsel']")</f>
        <v>['Please', 'Attention', 'Consumers', 'Subscribe', 'Telkomsel', 'Sunday', 'Daley', 'Data', 'Selur', 'Please', 'Caution', 'Telkomsel']</v>
      </c>
      <c r="D1587" s="3">
        <v>1.0</v>
      </c>
    </row>
    <row r="1588" ht="15.75" customHeight="1">
      <c r="A1588" s="1">
        <v>1586.0</v>
      </c>
      <c r="B1588" s="3" t="s">
        <v>1589</v>
      </c>
      <c r="C1588" s="3" t="str">
        <f>IFERROR(__xludf.DUMMYFUNCTION("GOOGLETRANSLATE(B1588,""id"",""en"")"),"['Sorry', 'Telkomsel', 'Signal', 'Kenceng', 'Please', 'Repaired', 'Credit', 'Cut', 'Quota', 'Internet', 'Please', 'Update', ' The system is', 'Customer', 'Disappointed', 'Move', 'Operator', '']")</f>
        <v>['Sorry', 'Telkomsel', 'Signal', 'Kenceng', 'Please', 'Repaired', 'Credit', 'Cut', 'Quota', 'Internet', 'Please', 'Update', ' The system is', 'Customer', 'Disappointed', 'Move', 'Operator', '']</v>
      </c>
      <c r="D1588" s="3">
        <v>1.0</v>
      </c>
    </row>
    <row r="1589" ht="15.75" customHeight="1">
      <c r="A1589" s="1">
        <v>1587.0</v>
      </c>
      <c r="B1589" s="3" t="s">
        <v>1590</v>
      </c>
      <c r="C1589" s="3" t="str">
        <f>IFERROR(__xludf.DUMMYFUNCTION("GOOGLETRANSLATE(B1589,""id"",""en"")"),"['WOI', 'Please', 'Perfect', 'Quality', 'Network', 'Closed', 'Network', 'Aniing', 'Network', 'Good', 'City', 'City', ' The point is', 'Kampung', 'Thinking', 'Boss',' Eat ',' Delicious', 'Klean', 'Buy', 'Package', 'Service', 'Satisfying', 'Hopefully', 'Not"&amp;"ice' , '']")</f>
        <v>['WOI', 'Please', 'Perfect', 'Quality', 'Network', 'Closed', 'Network', 'Aniing', 'Network', 'Good', 'City', 'City', ' The point is', 'Kampung', 'Thinking', 'Boss',' Eat ',' Delicious', 'Klean', 'Buy', 'Package', 'Service', 'Satisfying', 'Hopefully', 'Notice' , '']</v>
      </c>
      <c r="D1589" s="3">
        <v>1.0</v>
      </c>
    </row>
    <row r="1590" ht="15.75" customHeight="1">
      <c r="A1590" s="1">
        <v>1588.0</v>
      </c>
      <c r="B1590" s="3" t="s">
        <v>1591</v>
      </c>
      <c r="C1590" s="3" t="str">
        <f>IFERROR(__xludf.DUMMYFUNCTION("GOOGLETRANSLATE(B1590,""id"",""en"")"),"['Alhamdulillah', 'already', 'Telkomsel', 'Alhamdulillah', 'The network', 'smooth', 'Thankkasi', 'Telkomsel', 'Success', 'Amiin']")</f>
        <v>['Alhamdulillah', 'already', 'Telkomsel', 'Alhamdulillah', 'The network', 'smooth', 'Thankkasi', 'Telkomsel', 'Success', 'Amiin']</v>
      </c>
      <c r="D1590" s="3">
        <v>5.0</v>
      </c>
    </row>
    <row r="1591" ht="15.75" customHeight="1">
      <c r="A1591" s="1">
        <v>1589.0</v>
      </c>
      <c r="B1591" s="3" t="s">
        <v>1592</v>
      </c>
      <c r="C1591" s="3" t="str">
        <f>IFERROR(__xludf.DUMMYFUNCTION("GOOGLETRANSLATE(B1591,""id"",""en"")"),"['network', 'area', 'good', 'chaotic', 'chaotic', 'network', 'please', 'assisted', 'package', 'sosmed', 'games',' unlimited ',' Take up ',' a month ',' fraud ',' many ',' times', 'kayak', 'gini']")</f>
        <v>['network', 'area', 'good', 'chaotic', 'chaotic', 'network', 'please', 'assisted', 'package', 'sosmed', 'games',' unlimited ',' Take up ',' a month ',' fraud ',' many ',' times', 'kayak', 'gini']</v>
      </c>
      <c r="D1591" s="3">
        <v>1.0</v>
      </c>
    </row>
    <row r="1592" ht="15.75" customHeight="1">
      <c r="A1592" s="1">
        <v>1590.0</v>
      </c>
      <c r="B1592" s="3" t="s">
        <v>1593</v>
      </c>
      <c r="C1592" s="3" t="str">
        <f>IFERROR(__xludf.DUMMYFUNCTION("GOOGLETRANSLATE(B1592,""id"",""en"")"),"['The package', 'run out', 'please', 'dismissed', 'internet', 'pulse', 'sumps', 'seconds', 'sumps', 'until', 'tens', 'thousand']")</f>
        <v>['The package', 'run out', 'please', 'dismissed', 'internet', 'pulse', 'sumps', 'seconds', 'sumps', 'until', 'tens', 'thousand']</v>
      </c>
      <c r="D1592" s="3">
        <v>3.0</v>
      </c>
    </row>
    <row r="1593" ht="15.75" customHeight="1">
      <c r="A1593" s="1">
        <v>1591.0</v>
      </c>
      <c r="B1593" s="3" t="s">
        <v>1594</v>
      </c>
      <c r="C1593" s="3" t="str">
        <f>IFERROR(__xludf.DUMMYFUNCTION("GOOGLETRANSLATE(B1593,""id"",""en"")"),"['Change', 'card', 'sympathy', 'hello', 'hybrid', 'regret', 'fox', 'sympathy', 'rules',' strange ',' understand ',' will ',' Customers', 'buy', 'package', 'difficult', 'busy', 'want', 'Telkomsel', 'bother', 'customer']")</f>
        <v>['Change', 'card', 'sympathy', 'hello', 'hybrid', 'regret', 'fox', 'sympathy', 'rules',' strange ',' understand ',' will ',' Customers', 'buy', 'package', 'difficult', 'busy', 'want', 'Telkomsel', 'bother', 'customer']</v>
      </c>
      <c r="D1593" s="3">
        <v>1.0</v>
      </c>
    </row>
    <row r="1594" ht="15.75" customHeight="1">
      <c r="A1594" s="1">
        <v>1592.0</v>
      </c>
      <c r="B1594" s="3" t="s">
        <v>1595</v>
      </c>
      <c r="C1594" s="3" t="str">
        <f>IFERROR(__xludf.DUMMYFUNCTION("GOOGLETRANSLATE(B1594,""id"",""en"")"),"['Management', 'buy', 'Package', 'Credit', 'Telkomsel', 'Ribet', 'Simple', 'Preparation', 'Thank you', 'Telkomsel']")</f>
        <v>['Management', 'buy', 'Package', 'Credit', 'Telkomsel', 'Ribet', 'Simple', 'Preparation', 'Thank you', 'Telkomsel']</v>
      </c>
      <c r="D1594" s="3">
        <v>5.0</v>
      </c>
    </row>
    <row r="1595" ht="15.75" customHeight="1">
      <c r="A1595" s="1">
        <v>1593.0</v>
      </c>
      <c r="B1595" s="3" t="s">
        <v>1596</v>
      </c>
      <c r="C1595" s="3" t="str">
        <f>IFERROR(__xludf.DUMMYFUNCTION("GOOGLETRANSLATE(B1595,""id"",""en"")"),"['Telkomsel', 'stood', 'buy', 'package', 'quota', 'right', 'contents',' pulse ',' package ',' missing ',' package ',' package ',' Rupiah ',' pulses', 'right', 'severe', 'game', 'capitalist', 'CORANG', 'Hina', ""]")</f>
        <v>['Telkomsel', 'stood', 'buy', 'package', 'quota', 'right', 'contents',' pulse ',' package ',' missing ',' package ',' package ',' Rupiah ',' pulses', 'right', 'severe', 'game', 'capitalist', 'CORANG', 'Hina', "]</v>
      </c>
      <c r="D1595" s="3">
        <v>1.0</v>
      </c>
    </row>
    <row r="1596" ht="15.75" customHeight="1">
      <c r="A1596" s="1">
        <v>1594.0</v>
      </c>
      <c r="B1596" s="3" t="s">
        <v>1597</v>
      </c>
      <c r="C1596" s="3" t="str">
        <f>IFERROR(__xludf.DUMMYFUNCTION("GOOGLETRANSLATE(B1596,""id"",""en"")"),"['Child', 'Help', 'stingy', 'forgiveness',' Customer ',' UDH ',' buy ',' pulse ',' can ',' pulse ',' donk ',' gatherin ',' Points', 'Ampe', 'buy', 'pulse', 'JT', 'DPT', 'bonus',' pulse ',' pulp ']")</f>
        <v>['Child', 'Help', 'stingy', 'forgiveness',' Customer ',' UDH ',' buy ',' pulse ',' can ',' pulse ',' donk ',' gatherin ',' Points', 'Ampe', 'buy', 'pulse', 'JT', 'DPT', 'bonus',' pulse ',' pulp ']</v>
      </c>
      <c r="D1596" s="3">
        <v>1.0</v>
      </c>
    </row>
    <row r="1597" ht="15.75" customHeight="1">
      <c r="A1597" s="1">
        <v>1595.0</v>
      </c>
      <c r="B1597" s="3" t="s">
        <v>1598</v>
      </c>
      <c r="C1597" s="3" t="str">
        <f>IFERROR(__xludf.DUMMYFUNCTION("GOOGLETRANSLATE(B1597,""id"",""en"")"),"['Telkomsel', 'ugly', 'price', 'expensive', 'signal', 'slow', 'means',' user ',' satisfied ',' service ',' Telkomsel ',' in the future ',' Please ',' Enhanced ']")</f>
        <v>['Telkomsel', 'ugly', 'price', 'expensive', 'signal', 'slow', 'means',' user ',' satisfied ',' service ',' Telkomsel ',' in the future ',' Please ',' Enhanced ']</v>
      </c>
      <c r="D1597" s="3">
        <v>4.0</v>
      </c>
    </row>
    <row r="1598" ht="15.75" customHeight="1">
      <c r="A1598" s="1">
        <v>1596.0</v>
      </c>
      <c r="B1598" s="3" t="s">
        <v>1599</v>
      </c>
      <c r="C1598" s="3" t="str">
        <f>IFERROR(__xludf.DUMMYFUNCTION("GOOGLETRANSLATE(B1598,""id"",""en"")"),"['Purchase', 'package', 'error', 'yaa', 'gatau', 'mytelkomsel', 'told', 'waiting', 'minute', 'clock', 'gabisa', 'Tefak', ' going ',' ride ',' star ',' serusion ']")</f>
        <v>['Purchase', 'package', 'error', 'yaa', 'gatau', 'mytelkomsel', 'told', 'waiting', 'minute', 'clock', 'gabisa', 'Tefak', ' going ',' ride ',' star ',' serusion ']</v>
      </c>
      <c r="D1598" s="3">
        <v>1.0</v>
      </c>
    </row>
    <row r="1599" ht="15.75" customHeight="1">
      <c r="A1599" s="1">
        <v>1597.0</v>
      </c>
      <c r="B1599" s="3" t="s">
        <v>1600</v>
      </c>
      <c r="C1599" s="3" t="str">
        <f>IFERROR(__xludf.DUMMYFUNCTION("GOOGLETRANSLATE(B1599,""id"",""en"")"),"['Good', 'application', 'just', 'come on', 'Telkomsel', 'suck', 'pulse', 'main', 'quota', 'package', 'Abis',' really ',' So ',' Genesis', 'Yesterday', 'night', 'On', 'quota', 'Abis',' right ',' buy ',' Package ',' pulse ',' because ',' Kumpot ' , 'Notif',"&amp;" 'expensive', '']")</f>
        <v>['Good', 'application', 'just', 'come on', 'Telkomsel', 'suck', 'pulse', 'main', 'quota', 'package', 'Abis',' really ',' So ',' Genesis', 'Yesterday', 'night', 'On', 'quota', 'Abis',' right ',' buy ',' Package ',' pulse ',' because ',' Kumpot ' , 'Notif', 'expensive', '']</v>
      </c>
      <c r="D1599" s="3">
        <v>3.0</v>
      </c>
    </row>
    <row r="1600" ht="15.75" customHeight="1">
      <c r="A1600" s="1">
        <v>1598.0</v>
      </c>
      <c r="B1600" s="3" t="s">
        <v>1601</v>
      </c>
      <c r="C1600" s="3" t="str">
        <f>IFERROR(__xludf.DUMMYFUNCTION("GOOGLETRANSLATE(B1600,""id"",""en"")"),"['package', 'internet', 'application', 'cheap', 'lost', 'dial', 'buy', 'wish', 'move', 'operator', ""]")</f>
        <v>['package', 'internet', 'application', 'cheap', 'lost', 'dial', 'buy', 'wish', 'move', 'operator', "]</v>
      </c>
      <c r="D1600" s="3">
        <v>1.0</v>
      </c>
    </row>
    <row r="1601" ht="15.75" customHeight="1">
      <c r="A1601" s="1">
        <v>1599.0</v>
      </c>
      <c r="B1601" s="3" t="s">
        <v>1602</v>
      </c>
      <c r="C1601" s="3" t="str">
        <f>IFERROR(__xludf.DUMMYFUNCTION("GOOGLETRANSLATE(B1601,""id"",""en"")"),"['intentionally', 'contents',' credit ',' Telkomsel ',' card ',' use ',' use ',' card ',' internet ',' etc. ',' a little ',' reduced ',' Used ',' Hahaha ',' Telkomsel ',' Looking ',' Benefits', 'Consumers',' Consider ',' Alms', 'Ntar', 'Out', 'Contents','"&amp;" Alms', 'Telkomsel' , '']")</f>
        <v>['intentionally', 'contents',' credit ',' Telkomsel ',' card ',' use ',' use ',' card ',' internet ',' etc. ',' a little ',' reduced ',' Used ',' Hahaha ',' Telkomsel ',' Looking ',' Benefits', 'Consumers',' Consider ',' Alms', 'Ntar', 'Out', 'Contents',' Alms', 'Telkomsel' , '']</v>
      </c>
      <c r="D1601" s="3">
        <v>1.0</v>
      </c>
    </row>
    <row r="1602" ht="15.75" customHeight="1">
      <c r="A1602" s="1">
        <v>1600.0</v>
      </c>
      <c r="B1602" s="3" t="s">
        <v>1603</v>
      </c>
      <c r="C1602" s="3" t="str">
        <f>IFERROR(__xludf.DUMMYFUNCTION("GOOGLETRANSLATE(B1602,""id"",""en"")"),"['Understand', 'Purchase', 'Package', 'Available', 'Buy', 'Process',' Sampe ',' Wait ',' Process', 'Try', 'Package', 'Promo', ' Package ',' apply ',' buy ',' ']")</f>
        <v>['Understand', 'Purchase', 'Package', 'Available', 'Buy', 'Process',' Sampe ',' Wait ',' Process', 'Try', 'Package', 'Promo', ' Package ',' apply ',' buy ',' ']</v>
      </c>
      <c r="D1602" s="3">
        <v>1.0</v>
      </c>
    </row>
    <row r="1603" ht="15.75" customHeight="1">
      <c r="A1603" s="1">
        <v>1601.0</v>
      </c>
      <c r="B1603" s="3" t="s">
        <v>1604</v>
      </c>
      <c r="C1603" s="3" t="str">
        <f>IFERROR(__xludf.DUMMYFUNCTION("GOOGLETRANSLATE(B1603,""id"",""en"")"),"['Please', 'Telkomsel', 'Mutation', 'Complete', 'Detailed', 'Enter', 'Credit', 'Controlled', 'Effective', 'Credit', 'Enter', 'Thank you', ' ']")</f>
        <v>['Please', 'Telkomsel', 'Mutation', 'Complete', 'Detailed', 'Enter', 'Credit', 'Controlled', 'Effective', 'Credit', 'Enter', 'Thank you', ' ']</v>
      </c>
      <c r="D1603" s="3">
        <v>3.0</v>
      </c>
    </row>
    <row r="1604" ht="15.75" customHeight="1">
      <c r="A1604" s="1">
        <v>1602.0</v>
      </c>
      <c r="B1604" s="3" t="s">
        <v>1605</v>
      </c>
      <c r="C1604" s="3" t="str">
        <f>IFERROR(__xludf.DUMMYFUNCTION("GOOGLETRANSLATE(B1604,""id"",""en"")"),"['Please', 'buy', 'package', 'internet', 'pulse', 'enter', 'enter', 'access',' succeed ',' that's', 'package', 'blm', ' Enter ',' enter ',' balance ',' truncated ',' please ',' fix ',' thank you ', ""]")</f>
        <v>['Please', 'buy', 'package', 'internet', 'pulse', 'enter', 'enter', 'access',' succeed ',' that's', 'package', 'blm', ' Enter ',' enter ',' balance ',' truncated ',' please ',' fix ',' thank you ', "]</v>
      </c>
      <c r="D1604" s="3">
        <v>1.0</v>
      </c>
    </row>
    <row r="1605" ht="15.75" customHeight="1">
      <c r="A1605" s="1">
        <v>1603.0</v>
      </c>
      <c r="B1605" s="3" t="s">
        <v>1606</v>
      </c>
      <c r="C1605" s="3" t="str">
        <f>IFERROR(__xludf.DUMMYFUNCTION("GOOGLETRANSLATE(B1605,""id"",""en"")"),"['signal', 'Telkomsel', 'doubt', 'game', 'down', 'mulu', 'signal', 'already', 'package', 'expensive', 'signal', 'according to' Bekasi ',' ugly ',' really ',' city ']")</f>
        <v>['signal', 'Telkomsel', 'doubt', 'game', 'down', 'mulu', 'signal', 'already', 'package', 'expensive', 'signal', 'according to' Bekasi ',' ugly ',' really ',' city ']</v>
      </c>
      <c r="D1605" s="3">
        <v>1.0</v>
      </c>
    </row>
    <row r="1606" ht="15.75" customHeight="1">
      <c r="A1606" s="1">
        <v>1604.0</v>
      </c>
      <c r="B1606" s="3" t="s">
        <v>1607</v>
      </c>
      <c r="C1606" s="3" t="str">
        <f>IFERROR(__xludf.DUMMYFUNCTION("GOOGLETRANSLATE(B1606,""id"",""en"")"),"['operator', 'Telkomsel', 'service', 'ugly', 'disorder', 'Telkomsel', 'here', 'BURIK', '']")</f>
        <v>['operator', 'Telkomsel', 'service', 'ugly', 'disorder', 'Telkomsel', 'here', 'BURIK', '']</v>
      </c>
      <c r="D1606" s="3">
        <v>1.0</v>
      </c>
    </row>
    <row r="1607" ht="15.75" customHeight="1">
      <c r="A1607" s="1">
        <v>1605.0</v>
      </c>
      <c r="B1607" s="3" t="s">
        <v>1608</v>
      </c>
      <c r="C1607" s="3" t="str">
        <f>IFERROR(__xludf.DUMMYFUNCTION("GOOGLETRANSLATE(B1607,""id"",""en"")"),"['Thank you', 'Telkomsel', 'program', 'Daily', 'checkin', 'help', 'pocket', 'right', 'Please', 'maintained', 'eliminated', 'suggestion', ' Gifts', 'Plus',' HRI ',' HRI ',' Thank you ',' Telkomsel ', ""]")</f>
        <v>['Thank you', 'Telkomsel', 'program', 'Daily', 'checkin', 'help', 'pocket', 'right', 'Please', 'maintained', 'eliminated', 'suggestion', ' Gifts', 'Plus',' HRI ',' HRI ',' Thank you ',' Telkomsel ', "]</v>
      </c>
      <c r="D1607" s="3">
        <v>5.0</v>
      </c>
    </row>
    <row r="1608" ht="15.75" customHeight="1">
      <c r="A1608" s="1">
        <v>1606.0</v>
      </c>
      <c r="B1608" s="3" t="s">
        <v>1609</v>
      </c>
      <c r="C1608" s="3" t="str">
        <f>IFERROR(__xludf.DUMMYFUNCTION("GOOGLETRANSLATE(B1608,""id"",""en"")"),"['play', 'suck', 'pulse', 'already', 'package', 'a week', 'dicarek', 'pulse', 'klau', 'pulse', 'dicarek', 'then', ' Credit ',' Klau ',' Credit ',' Cuman ',' Taken ',' Fast ',' Rich ',' JGAN ',' GTU ',' Package ',' Internet ',' Already ',' Enabled ' , 'sai"&amp;"d', 'quota', 'mksd', '']")</f>
        <v>['play', 'suck', 'pulse', 'already', 'package', 'a week', 'dicarek', 'pulse', 'klau', 'pulse', 'dicarek', 'then', ' Credit ',' Klau ',' Credit ',' Cuman ',' Taken ',' Fast ',' Rich ',' JGAN ',' GTU ',' Package ',' Internet ',' Already ',' Enabled ' , 'said', 'quota', 'mksd', '']</v>
      </c>
      <c r="D1608" s="3">
        <v>1.0</v>
      </c>
    </row>
    <row r="1609" ht="15.75" customHeight="1">
      <c r="A1609" s="1">
        <v>1607.0</v>
      </c>
      <c r="B1609" s="3" t="s">
        <v>1610</v>
      </c>
      <c r="C1609" s="3" t="str">
        <f>IFERROR(__xludf.DUMMYFUNCTION("GOOGLETRANSLATE(B1609,""id"",""en"")"),"['Provider', 'garbage', 'signal', 'ugly', 'Loe', 'school', 'college', 'TPI', 'network', 'right', 'the application', 'slow', ' Honestly ',' employees', 'Telkomsel', 'contents',' people ',' idiot ', ""]")</f>
        <v>['Provider', 'garbage', 'signal', 'ugly', 'Loe', 'school', 'college', 'TPI', 'network', 'right', 'the application', 'slow', ' Honestly ',' employees', 'Telkomsel', 'contents',' people ',' idiot ', "]</v>
      </c>
      <c r="D1609" s="3">
        <v>1.0</v>
      </c>
    </row>
    <row r="1610" ht="15.75" customHeight="1">
      <c r="A1610" s="1">
        <v>1608.0</v>
      </c>
      <c r="B1610" s="3" t="s">
        <v>1611</v>
      </c>
      <c r="C1610" s="3" t="str">
        <f>IFERROR(__xludf.DUMMYFUNCTION("GOOGLETRANSLATE(B1610,""id"",""en"")"),"['Telkomsel', 'card', 'internet', 'pulse', 'sms',' call ',' wasteful ',' card ',' as expensive ',' believe ',' check ',' Google ',' Maklumi ',' expensive ',' quality ',' top ',' quality ',' already ',' ugly ',' Indosat ',' price ',' expensive ',' love ','"&amp;" rating ' , 'Star', 'Delete', 'Play', 'Store', '']")</f>
        <v>['Telkomsel', 'card', 'internet', 'pulse', 'sms',' call ',' wasteful ',' card ',' as expensive ',' believe ',' check ',' Google ',' Maklumi ',' expensive ',' quality ',' top ',' quality ',' already ',' ugly ',' Indosat ',' price ',' expensive ',' love ',' rating ' , 'Star', 'Delete', 'Play', 'Store', '']</v>
      </c>
      <c r="D1610" s="3">
        <v>1.0</v>
      </c>
    </row>
    <row r="1611" ht="15.75" customHeight="1">
      <c r="A1611" s="1">
        <v>1609.0</v>
      </c>
      <c r="B1611" s="3" t="s">
        <v>1612</v>
      </c>
      <c r="C1611" s="3" t="str">
        <f>IFERROR(__xludf.DUMMYFUNCTION("GOOGLETRANSLATE(B1611,""id"",""en"")"),"['Signal', 'ugly', 'Keq', 'sympathy', 'signal', 'good', 'already', 'signal', 'ugly', 'keq', 'arranged', 'remote', ' watch ',' open ',' app ',' process', 'open', 'game', 'difficult', 'call', 'difficult', 'sound', 'call', 'dusted', 'already' , 'buy', 'packa"&amp;"ge', 'internet', 'expensive', 'disappointed', 'customer', 'loyal', 'Telkomsel', 'dozens',' times', 'replace', 'operator', ' Salute ',' ']")</f>
        <v>['Signal', 'ugly', 'Keq', 'sympathy', 'signal', 'good', 'already', 'signal', 'ugly', 'keq', 'arranged', 'remote', ' watch ',' open ',' app ',' process', 'open', 'game', 'difficult', 'call', 'difficult', 'sound', 'call', 'dusted', 'already' , 'buy', 'package', 'internet', 'expensive', 'disappointed', 'customer', 'loyal', 'Telkomsel', 'dozens',' times', 'replace', 'operator', ' Salute ',' ']</v>
      </c>
      <c r="D1611" s="3">
        <v>1.0</v>
      </c>
    </row>
    <row r="1612" ht="15.75" customHeight="1">
      <c r="A1612" s="1">
        <v>1610.0</v>
      </c>
      <c r="B1612" s="3" t="s">
        <v>1613</v>
      </c>
      <c r="C1612" s="3" t="str">
        <f>IFERROR(__xludf.DUMMYFUNCTION("GOOGLETRANSLATE(B1612,""id"",""en"")"),"['disappointing', 'try', 'card', 'Telkomsel', 'hope', 'card', 'bad', 'bad', 'times',' buy ',' paketan ',' maxstream ',' The application ',' according to ',' offered ',' VIU ',' iFlix ',' HBO ',' Telkomsel ', ""]")</f>
        <v>['disappointing', 'try', 'card', 'Telkomsel', 'hope', 'card', 'bad', 'bad', 'times',' buy ',' paketan ',' maxstream ',' The application ',' according to ',' offered ',' VIU ',' iFlix ',' HBO ',' Telkomsel ', "]</v>
      </c>
      <c r="D1612" s="3">
        <v>1.0</v>
      </c>
    </row>
    <row r="1613" ht="15.75" customHeight="1">
      <c r="A1613" s="1">
        <v>1611.0</v>
      </c>
      <c r="B1613" s="3" t="s">
        <v>1614</v>
      </c>
      <c r="C1613" s="3" t="str">
        <f>IFERROR(__xludf.DUMMYFUNCTION("GOOGLETRANSLATE(B1613,""id"",""en"")"),"['Application', 'ugly', 'Boong', ""]")</f>
        <v>['Application', 'ugly', 'Boong', "]</v>
      </c>
      <c r="D1613" s="3">
        <v>3.0</v>
      </c>
    </row>
    <row r="1614" ht="15.75" customHeight="1">
      <c r="A1614" s="1">
        <v>1612.0</v>
      </c>
      <c r="B1614" s="3" t="s">
        <v>1615</v>
      </c>
      <c r="C1614" s="3" t="str">
        <f>IFERROR(__xludf.DUMMYFUNCTION("GOOGLETRANSLATE(B1614,""id"",""en"")"),"['already', 'collect', 'stamp', 'daily', 'check', 'got', 'reward', 'point', 'condition', 'mending', 'provider', 'next door' ']")</f>
        <v>['already', 'collect', 'stamp', 'daily', 'check', 'got', 'reward', 'point', 'condition', 'mending', 'provider', 'next door' ']</v>
      </c>
      <c r="D1614" s="3">
        <v>1.0</v>
      </c>
    </row>
    <row r="1615" ht="15.75" customHeight="1">
      <c r="A1615" s="1">
        <v>1613.0</v>
      </c>
      <c r="B1615" s="3" t="s">
        <v>1616</v>
      </c>
      <c r="C1615" s="3" t="str">
        <f>IFERROR(__xludf.DUMMYFUNCTION("GOOGLETRANSLATE(B1615,""id"",""en"")"),"['Sell', 'Package', 'Description', 'Disappointed', 'Victim', 'PHP', 'Telkomsel', 'Package', 'YouTube', 'Buy', 'Use', 'Have', ' Package ',' Regular ',' Veronika ',' Huh ',' Duh ',' chaotic ']")</f>
        <v>['Sell', 'Package', 'Description', 'Disappointed', 'Victim', 'PHP', 'Telkomsel', 'Package', 'YouTube', 'Buy', 'Use', 'Have', ' Package ',' Regular ',' Veronika ',' Huh ',' Duh ',' chaotic ']</v>
      </c>
      <c r="D1615" s="3">
        <v>1.0</v>
      </c>
    </row>
    <row r="1616" ht="15.75" customHeight="1">
      <c r="A1616" s="1">
        <v>1614.0</v>
      </c>
      <c r="B1616" s="3" t="s">
        <v>1617</v>
      </c>
      <c r="C1616" s="3" t="str">
        <f>IFERROR(__xludf.DUMMYFUNCTION("GOOGLETRANSLATE(B1616,""id"",""en"")"),"['Please', 'min', 'update', 'version', 'newest', 'package', 'internet', 'buy', 'kox', 'check', 'jdi', 'please', ' Fix ',' disappointed ',' package ',' internet ',' expensive ',' expensive ',' package ',' price ',' below ',' thousand ']")</f>
        <v>['Please', 'min', 'update', 'version', 'newest', 'package', 'internet', 'buy', 'kox', 'check', 'jdi', 'please', ' Fix ',' disappointed ',' package ',' internet ',' expensive ',' expensive ',' package ',' price ',' below ',' thousand ']</v>
      </c>
      <c r="D1616" s="3">
        <v>2.0</v>
      </c>
    </row>
    <row r="1617" ht="15.75" customHeight="1">
      <c r="A1617" s="1">
        <v>1615.0</v>
      </c>
      <c r="B1617" s="3" t="s">
        <v>1618</v>
      </c>
      <c r="C1617" s="3" t="str">
        <f>IFERROR(__xludf.DUMMYFUNCTION("GOOGLETRANSLATE(B1617,""id"",""en"")"),"['application', 'babyyak', 'bug', 'please', 'fix', 'donk', 'nihhh', 'ahhhh', 'times',' trs', 'buy', 'package', ' vafites', 'warning', 'Please', 'Sorry', 'Package', 'Discover', 'Region', 'try', ""]")</f>
        <v>['application', 'babyyak', 'bug', 'please', 'fix', 'donk', 'nihhh', 'ahhhh', 'times',' trs', 'buy', 'package', ' vafites', 'warning', 'Please', 'Sorry', 'Package', 'Discover', 'Region', 'try', "]</v>
      </c>
      <c r="D1617" s="3">
        <v>1.0</v>
      </c>
    </row>
    <row r="1618" ht="15.75" customHeight="1">
      <c r="A1618" s="1">
        <v>1616.0</v>
      </c>
      <c r="B1618" s="3" t="s">
        <v>1619</v>
      </c>
      <c r="C1618" s="3" t="str">
        <f>IFERROR(__xludf.DUMMYFUNCTION("GOOGLETRANSLATE(B1618,""id"",""en"")"),"['', 'Telkomsel', 'SGT', 'helped me', 'promo', 'pulse', 'can', 'internet', 'GB', 'credit', 'Rb', 'can', 'internet ',' Semingu ',' Not bad ',' a month ',' SMS ',' enter ',' directly ',' contents', 'pulse', 'prnh', 'clock', 'mlm', 'sms',' sms', 'Enter', 'pu"&amp;"lse', 'type', 'chosen', 'wkwkwk', ""]")</f>
        <v>['', 'Telkomsel', 'SGT', 'helped me', 'promo', 'pulse', 'can', 'internet', 'GB', 'credit', 'Rb', 'can', 'internet ',' Semingu ',' Not bad ',' a month ',' SMS ',' enter ',' directly ',' contents', 'pulse', 'prnh', 'clock', 'mlm', 'sms',' sms', 'Enter', 'pulse', 'type', 'chosen', 'wkwkwk', "]</v>
      </c>
      <c r="D1618" s="3">
        <v>5.0</v>
      </c>
    </row>
    <row r="1619" ht="15.75" customHeight="1">
      <c r="A1619" s="1">
        <v>1617.0</v>
      </c>
      <c r="B1619" s="3" t="s">
        <v>1620</v>
      </c>
      <c r="C1619" s="3" t="str">
        <f>IFERROR(__xludf.DUMMYFUNCTION("GOOGLETRANSLATE(B1619,""id"",""en"")"),"['Telkomsel', 'signal', 'ter', 'taik', 'already', 'expensive', 'slow', 'emotion', 'dead', 'think', 'calm', 'play', ' Game ',' replied ',' chat ',' Mampus', 'Thinking', 'already', 'expensive', 'price', 'please', 'my best', 'network', 'equivalent', 'price' "&amp;", 'disappointed', 'play', 'forced', 'use', 'network', 'please', 'comfortable', 'consumer', 'consumer', 'forced', 'use', 'network', ' TRIMS ']")</f>
        <v>['Telkomsel', 'signal', 'ter', 'taik', 'already', 'expensive', 'slow', 'emotion', 'dead', 'think', 'calm', 'play', ' Game ',' replied ',' chat ',' Mampus', 'Thinking', 'already', 'expensive', 'price', 'please', 'my best', 'network', 'equivalent', 'price' , 'disappointed', 'play', 'forced', 'use', 'network', 'please', 'comfortable', 'consumer', 'consumer', 'forced', 'use', 'network', ' TRIMS ']</v>
      </c>
      <c r="D1619" s="3">
        <v>1.0</v>
      </c>
    </row>
    <row r="1620" ht="15.75" customHeight="1">
      <c r="A1620" s="1">
        <v>1618.0</v>
      </c>
      <c r="B1620" s="3" t="s">
        <v>1621</v>
      </c>
      <c r="C1620" s="3" t="str">
        <f>IFERROR(__xludf.DUMMYFUNCTION("GOOGLETRANSLATE(B1620,""id"",""en"")"),"['Telkomsel', 'eat', 'pulse', 'pulse', 'stay', 'morning', 'check', 'stay', 'don't work', 'please', 'buy', 'use', ' Money ',' leaves', 'heh', 'UDH', 'contact', 'kagak', 'enter', 'sense', 'response', 'damn', ""]")</f>
        <v>['Telkomsel', 'eat', 'pulse', 'pulse', 'stay', 'morning', 'check', 'stay', 'don't work', 'please', 'buy', 'use', ' Money ',' leaves', 'heh', 'UDH', 'contact', 'kagak', 'enter', 'sense', 'response', 'damn', "]</v>
      </c>
      <c r="D1620" s="3">
        <v>2.0</v>
      </c>
    </row>
    <row r="1621" ht="15.75" customHeight="1">
      <c r="A1621" s="1">
        <v>1619.0</v>
      </c>
      <c r="B1621" s="3" t="s">
        <v>1622</v>
      </c>
      <c r="C1621" s="3" t="str">
        <f>IFERROR(__xludf.DUMMYFUNCTION("GOOGLETRANSLATE(B1621,""id"",""en"")"),"['Haloo', 'hope', 'reply', 'gabisa', 'buy', 'package', 'buy', 'package', 'date', 'March', 'it's the' package ',' cheap ',' Garaa ',' no ',' money ',' buy ',' expensive ',' mahaal ',' so eat ',' need ',' Telkomsel ',' Gara ',' package ',' cheap ' , 'rather"&amp;" than', 'buy', 'package', 'manual', 'thanks']")</f>
        <v>['Haloo', 'hope', 'reply', 'gabisa', 'buy', 'package', 'buy', 'package', 'date', 'March', 'it's the' package ',' cheap ',' Garaa ',' no ',' money ',' buy ',' expensive ',' mahaal ',' so eat ',' need ',' Telkomsel ',' Gara ',' package ',' cheap ' , 'rather than', 'buy', 'package', 'manual', 'thanks']</v>
      </c>
      <c r="D1621" s="3">
        <v>1.0</v>
      </c>
    </row>
    <row r="1622" ht="15.75" customHeight="1">
      <c r="A1622" s="1">
        <v>1620.0</v>
      </c>
      <c r="B1622" s="3" t="s">
        <v>1623</v>
      </c>
      <c r="C1622" s="3" t="str">
        <f>IFERROR(__xludf.DUMMYFUNCTION("GOOGLETRANSLATE(B1622,""id"",""en"")"),"['Login', 'fast', 'confusing', 'sometimes', 'login', 'detection', 'account', 'difficult', 'essence', 'login']")</f>
        <v>['Login', 'fast', 'confusing', 'sometimes', 'login', 'detection', 'account', 'difficult', 'essence', 'login']</v>
      </c>
      <c r="D1622" s="3">
        <v>3.0</v>
      </c>
    </row>
    <row r="1623" ht="15.75" customHeight="1">
      <c r="A1623" s="1">
        <v>1621.0</v>
      </c>
      <c r="B1623" s="3" t="s">
        <v>1624</v>
      </c>
      <c r="C1623" s="3" t="str">
        <f>IFERROR(__xludf.DUMMYFUNCTION("GOOGLETRANSLATE(B1623,""id"",""en"")"),"['Buy', 'expensive', 'expensive', 'rb', 'love', 'signal', 'ugly', 'open', 'youtube', 'ampe', 'minute', 'signal', ' Fix ',' Lost ',' Ama ',' Axis', 'Change', 'Card', 'AXIS']")</f>
        <v>['Buy', 'expensive', 'expensive', 'rb', 'love', 'signal', 'ugly', 'open', 'youtube', 'ampe', 'minute', 'signal', ' Fix ',' Lost ',' Ama ',' Axis', 'Change', 'Card', 'AXIS']</v>
      </c>
      <c r="D1623" s="3">
        <v>1.0</v>
      </c>
    </row>
    <row r="1624" ht="15.75" customHeight="1">
      <c r="A1624" s="1">
        <v>1622.0</v>
      </c>
      <c r="B1624" s="3" t="s">
        <v>1625</v>
      </c>
      <c r="C1624" s="3" t="str">
        <f>IFERROR(__xludf.DUMMYFUNCTION("GOOGLETRANSLATE(B1624,""id"",""en"")"),"['Event', 'Dially', 'Checkin', 'Reward', 'Taken', 'Considered', 'Event', 'Bener', 'Sincere', 'Delete', 'Event', 'Plus',' Update ',' times', 'I', 'Log', '']")</f>
        <v>['Event', 'Dially', 'Checkin', 'Reward', 'Taken', 'Considered', 'Event', 'Bener', 'Sincere', 'Delete', 'Event', 'Plus',' Update ',' times', 'I', 'Log', '']</v>
      </c>
      <c r="D1624" s="3">
        <v>5.0</v>
      </c>
    </row>
    <row r="1625" ht="15.75" customHeight="1">
      <c r="A1625" s="1">
        <v>1623.0</v>
      </c>
      <c r="B1625" s="3" t="s">
        <v>1626</v>
      </c>
      <c r="C1625" s="3" t="str">
        <f>IFERROR(__xludf.DUMMYFUNCTION("GOOGLETRANSLATE(B1625,""id"",""en"")"),"['buy', 'pulse', 'buy', 'paketan', 'whastsapp', 'for', 'pulses',' zero ',' pdhal ',' right ',' buy ',' wifi ',' Data ',' dead ',' right ',' spends', 'pulses',' really ',' regret ',' buy ',' card ',' Telkomsel ']")</f>
        <v>['buy', 'pulse', 'buy', 'paketan', 'whastsapp', 'for', 'pulses',' zero ',' pdhal ',' right ',' buy ',' wifi ',' Data ',' dead ',' right ',' spends', 'pulses',' really ',' regret ',' buy ',' card ',' Telkomsel ']</v>
      </c>
      <c r="D1625" s="3">
        <v>1.0</v>
      </c>
    </row>
    <row r="1626" ht="15.75" customHeight="1">
      <c r="A1626" s="1">
        <v>1624.0</v>
      </c>
      <c r="B1626" s="3" t="s">
        <v>1627</v>
      </c>
      <c r="C1626" s="3" t="str">
        <f>IFERROR(__xludf.DUMMYFUNCTION("GOOGLETRANSLATE(B1626,""id"",""en"")"),"['regret', 'buy', 'package', 'sympathy', 'buy', 'package', 'self-service', 'price', 'rb', 'gb', 'emang', 'cheap', ' sii ',' oath ',' slow ',' bro ',' change ',' forced ',' stop ',' subscription ',' sympathy ',' ']")</f>
        <v>['regret', 'buy', 'package', 'sympathy', 'buy', 'package', 'self-service', 'price', 'rb', 'gb', 'emang', 'cheap', ' sii ',' oath ',' slow ',' bro ',' change ',' forced ',' stop ',' subscription ',' sympathy ',' ']</v>
      </c>
      <c r="D1626" s="3">
        <v>1.0</v>
      </c>
    </row>
    <row r="1627" ht="15.75" customHeight="1">
      <c r="A1627" s="1">
        <v>1625.0</v>
      </c>
      <c r="B1627" s="3" t="s">
        <v>1628</v>
      </c>
      <c r="C1627" s="3" t="str">
        <f>IFERROR(__xludf.DUMMYFUNCTION("GOOGLETRANSLATE(B1627,""id"",""en"")"),"['Hopefully', 'Telkomsel', 'Jaya', 'Love', 'Customers',' Society ',' Thankful ',' Offer ',' Offer ',' Telkomsel ',' Anyway ',' Jaya ',' Alrastrous', 'Telkomsel', '']")</f>
        <v>['Hopefully', 'Telkomsel', 'Jaya', 'Love', 'Customers',' Society ',' Thankful ',' Offer ',' Offer ',' Telkomsel ',' Anyway ',' Jaya ',' Alrastrous', 'Telkomsel', '']</v>
      </c>
      <c r="D1627" s="3">
        <v>5.0</v>
      </c>
    </row>
    <row r="1628" ht="15.75" customHeight="1">
      <c r="A1628" s="1">
        <v>1626.0</v>
      </c>
      <c r="B1628" s="3" t="s">
        <v>1629</v>
      </c>
      <c r="C1628" s="3" t="str">
        <f>IFERROR(__xludf.DUMMYFUNCTION("GOOGLETRANSLATE(B1628,""id"",""en"")"),"['Application', 'Okey', 'Choice', 'Program', 'Payment', 'Choice', 'Payment', 'Saved', 'Automatic', 'Ribet', 'Enter', 'Application', ' Save ',' Automatic ',' Linkaja ',' Fund ',' Ovo ',' Shopeepay ',' Gopay ',' ']")</f>
        <v>['Application', 'Okey', 'Choice', 'Program', 'Payment', 'Choice', 'Payment', 'Saved', 'Automatic', 'Ribet', 'Enter', 'Application', ' Save ',' Automatic ',' Linkaja ',' Fund ',' Ovo ',' Shopeepay ',' Gopay ',' ']</v>
      </c>
      <c r="D1628" s="3">
        <v>5.0</v>
      </c>
    </row>
    <row r="1629" ht="15.75" customHeight="1">
      <c r="A1629" s="1">
        <v>1627.0</v>
      </c>
      <c r="B1629" s="3" t="s">
        <v>1630</v>
      </c>
      <c r="C1629" s="3" t="str">
        <f>IFERROR(__xludf.DUMMYFUNCTION("GOOGLETRANSLATE(B1629,""id"",""en"")"),"['likes',' suck ',' pulse ',' package ',' data ',' run out ',' make sure ',' pulse ',' buy ',' package ',' no ',' fill ',' pulses', 'emported', 'provider', 'play', 'suck', 'pulse', 'min', 'no', 'responsibility', 'no', 'until', 'minutes',' signal ' , 'Masy"&amp;"a', 'God', 'Bumet', 'really', 'until', 'tired', 'waiting', 'Muter', ""]")</f>
        <v>['likes',' suck ',' pulse ',' package ',' data ',' run out ',' make sure ',' pulse ',' buy ',' package ',' no ',' fill ',' pulses', 'emported', 'provider', 'play', 'suck', 'pulse', 'min', 'no', 'responsibility', 'no', 'until', 'minutes',' signal ' , 'Masya', 'God', 'Bumet', 'really', 'until', 'tired', 'waiting', 'Muter', "]</v>
      </c>
      <c r="D1629" s="3">
        <v>2.0</v>
      </c>
    </row>
    <row r="1630" ht="15.75" customHeight="1">
      <c r="A1630" s="1">
        <v>1628.0</v>
      </c>
      <c r="B1630" s="3" t="s">
        <v>1631</v>
      </c>
      <c r="C1630" s="3" t="str">
        <f>IFERROR(__xludf.DUMMYFUNCTION("GOOGLETRANSLATE(B1630,""id"",""en"")"),"['special', 'application', 'good', 'simple', 'easy', 'use', 'promo', 'suggestion', 'feature', 'lock', 'lock', 'pulse', ' Service ',' Profider ',' Next to ',' Package ',' Data ',' Out ',' Forgotten ',' Deadly ',' Data ',' Cellular ',' Credit ',' Sucked ','"&amp;" Out ' , '']")</f>
        <v>['special', 'application', 'good', 'simple', 'easy', 'use', 'promo', 'suggestion', 'feature', 'lock', 'lock', 'pulse', ' Service ',' Profider ',' Next to ',' Package ',' Data ',' Out ',' Forgotten ',' Deadly ',' Data ',' Cellular ',' Credit ',' Sucked ',' Out ' , '']</v>
      </c>
      <c r="D1630" s="3">
        <v>5.0</v>
      </c>
    </row>
    <row r="1631" ht="15.75" customHeight="1">
      <c r="A1631" s="1">
        <v>1629.0</v>
      </c>
      <c r="B1631" s="3" t="s">
        <v>1632</v>
      </c>
      <c r="C1631" s="3" t="str">
        <f>IFERROR(__xludf.DUMMYFUNCTION("GOOGLETRANSLATE(B1631,""id"",""en"")"),"['Update', 'Application', 'MyTelkomsel', 'Newest', 'Menu', 'Dially', 'Check', 'Disappear', 'Wanted', 'Meet', 'Give', 'Review', ' Daily ',' check ',' already ',' thank ',' love ', ""]")</f>
        <v>['Update', 'Application', 'MyTelkomsel', 'Newest', 'Menu', 'Dially', 'Check', 'Disappear', 'Wanted', 'Meet', 'Give', 'Review', ' Daily ',' check ',' already ',' thank ',' love ', "]</v>
      </c>
      <c r="D1631" s="3">
        <v>5.0</v>
      </c>
    </row>
    <row r="1632" ht="15.75" customHeight="1">
      <c r="A1632" s="1">
        <v>1630.0</v>
      </c>
      <c r="B1632" s="3" t="s">
        <v>1633</v>
      </c>
      <c r="C1632" s="3" t="str">
        <f>IFERROR(__xludf.DUMMYFUNCTION("GOOGLETRANSLATE(B1632,""id"",""en"")"),"['Want', 'Curhat', 'Response', 'signal', 'KEK', 'Action', 'Improvement', 'Signal', 'Credit', 'Sumpot', 'Notif', 'Enter', ' package ',' entry ',' user ',' restless', 'buy', 'package', 'unlimited', 'GB', 'okay', 'bbrp', 'times',' buy ',' set ' , 'GB', 'move"&amp;"s', 'GB', 'Joss', 'Buriq']")</f>
        <v>['Want', 'Curhat', 'Response', 'signal', 'KEK', 'Action', 'Improvement', 'Signal', 'Credit', 'Sumpot', 'Notif', 'Enter', ' package ',' entry ',' user ',' restless', 'buy', 'package', 'unlimited', 'GB', 'okay', 'bbrp', 'times',' buy ',' set ' , 'GB', 'moves', 'GB', 'Joss', 'Buriq']</v>
      </c>
      <c r="D1632" s="3">
        <v>1.0</v>
      </c>
    </row>
    <row r="1633" ht="15.75" customHeight="1">
      <c r="A1633" s="1">
        <v>1631.0</v>
      </c>
      <c r="B1633" s="3" t="s">
        <v>1634</v>
      </c>
      <c r="C1633" s="3" t="str">
        <f>IFERROR(__xludf.DUMMYFUNCTION("GOOGLETRANSLATE(B1633,""id"",""en"")"),"['Return', 'credit', 'buy', 'package', 'malem', 'package', 'useful', 'speed', 'slow', 'maen', 'game', 'open', ' Google ',' lemooooootttt ',' really ',' then ',' pket ',' mlm ',' return ',' pulse ',' please ',' pket ',' malem ',' useful ',' skali ' , 'regr"&amp;"et', 'buy', 'PKET', 'MLM', 'Telkomsel', 'Balikin', 'pulse', 'package', 'night', 'detrimental']")</f>
        <v>['Return', 'credit', 'buy', 'package', 'malem', 'package', 'useful', 'speed', 'slow', 'maen', 'game', 'open', ' Google ',' lemooooootttt ',' really ',' then ',' pket ',' mlm ',' return ',' pulse ',' please ',' pket ',' malem ',' useful ',' skali ' , 'regret', 'buy', 'PKET', 'MLM', 'Telkomsel', 'Balikin', 'pulse', 'package', 'night', 'detrimental']</v>
      </c>
      <c r="D1633" s="3">
        <v>1.0</v>
      </c>
    </row>
    <row r="1634" ht="15.75" customHeight="1">
      <c r="A1634" s="1">
        <v>1632.0</v>
      </c>
      <c r="B1634" s="3" t="s">
        <v>1635</v>
      </c>
      <c r="C1634" s="3" t="str">
        <f>IFERROR(__xludf.DUMMYFUNCTION("GOOGLETRANSLATE(B1634,""id"",""en"")"),"['disappointed', 'name', 'accompanied', 'quality', 'network', 'change', 'care', 'network', 'smooth', 'connection', 'meeting', 'client', ' Via ',' Conference ',' Call ',' Failed ',' Gara ',' ']")</f>
        <v>['disappointed', 'name', 'accompanied', 'quality', 'network', 'change', 'care', 'network', 'smooth', 'connection', 'meeting', 'client', ' Via ',' Conference ',' Call ',' Failed ',' Gara ',' ']</v>
      </c>
      <c r="D1634" s="3">
        <v>1.0</v>
      </c>
    </row>
    <row r="1635" ht="15.75" customHeight="1">
      <c r="A1635" s="1">
        <v>1633.0</v>
      </c>
      <c r="B1635" s="3" t="s">
        <v>1636</v>
      </c>
      <c r="C1635" s="3" t="str">
        <f>IFERROR(__xludf.DUMMYFUNCTION("GOOGLETRANSLATE(B1635,""id"",""en"")"),"['', 'aware', 'rate', 'star', 'proven', 'service', 'bad', 'Addin', 'Telkomsel', 'ugly', 'service', 'the network', 'nie ',' Important ',' bknnya ',' repaired ',' bad ',' network ',' proven ',' out ',' review ',' network ',' really ',' expensive ',' doank '"&amp;", 'Service', 'good', 'buy', 'package', 'ehhhh', 'ugly', 'quota', 'full', 'dipake', 'blm', 'love', 'rate', 'bibdongi ']")</f>
        <v>['', 'aware', 'rate', 'star', 'proven', 'service', 'bad', 'Addin', 'Telkomsel', 'ugly', 'service', 'the network', 'nie ',' Important ',' bknnya ',' repaired ',' bad ',' network ',' proven ',' out ',' review ',' network ',' really ',' expensive ',' doank ', 'Service', 'good', 'buy', 'package', 'ehhhh', 'ugly', 'quota', 'full', 'dipake', 'blm', 'love', 'rate', 'bibdongi ']</v>
      </c>
      <c r="D1635" s="3">
        <v>1.0</v>
      </c>
    </row>
    <row r="1636" ht="15.75" customHeight="1">
      <c r="A1636" s="1">
        <v>1634.0</v>
      </c>
      <c r="B1636" s="3" t="s">
        <v>1637</v>
      </c>
      <c r="C1636" s="3" t="str">
        <f>IFERROR(__xludf.DUMMYFUNCTION("GOOGLETRANSLATE(B1636,""id"",""en"")"),"['Area', 'Java', 'Kecamatan', 'Mandiraja', 'Kulon', 'Exact', 'Border', 'Banjarnegara', 'Kebumen', 'Please', 'Fix', 'Quality', ' Sinyal ',' Area ',' Mountains', 'Telkomsel', 'Famous',' Speed ​​',' Connection ',' There ',' Difficult ']")</f>
        <v>['Area', 'Java', 'Kecamatan', 'Mandiraja', 'Kulon', 'Exact', 'Border', 'Banjarnegara', 'Kebumen', 'Please', 'Fix', 'Quality', ' Sinyal ',' Area ',' Mountains', 'Telkomsel', 'Famous',' Speed ​​',' Connection ',' There ',' Difficult ']</v>
      </c>
      <c r="D1636" s="3">
        <v>3.0</v>
      </c>
    </row>
    <row r="1637" ht="15.75" customHeight="1">
      <c r="A1637" s="1">
        <v>1635.0</v>
      </c>
      <c r="B1637" s="3" t="s">
        <v>1638</v>
      </c>
      <c r="C1637" s="3" t="str">
        <f>IFERROR(__xludf.DUMMYFUNCTION("GOOGLETRANSLATE(B1637,""id"",""en"")"),"['Telkomsel', 'wipples',' package ',' unlimited ',' sosmed ',' chat ',' music ',' games', 'send', 'gambr', 'slow', 'open', ' Game ',' Susa ',' Bener ',' Disappointed ',' PDHAL ',' PKE ',' Unlimited ',' Msih ',' Current ',' Game ',' YouTube ',' KNPA ',' Re"&amp;"stricted ' , 'Telkomsel', 'brick', 'neck']")</f>
        <v>['Telkomsel', 'wipples',' package ',' unlimited ',' sosmed ',' chat ',' music ',' games', 'send', 'gambr', 'slow', 'open', ' Game ',' Susa ',' Bener ',' Disappointed ',' PDHAL ',' PKE ',' Unlimited ',' Msih ',' Current ',' Game ',' YouTube ',' KNPA ',' Restricted ' , 'Telkomsel', 'brick', 'neck']</v>
      </c>
      <c r="D1637" s="3">
        <v>1.0</v>
      </c>
    </row>
    <row r="1638" ht="15.75" customHeight="1">
      <c r="A1638" s="1">
        <v>1636.0</v>
      </c>
      <c r="B1638" s="3" t="s">
        <v>1639</v>
      </c>
      <c r="C1638" s="3" t="str">
        <f>IFERROR(__xludf.DUMMYFUNCTION("GOOGLETRANSLATE(B1638,""id"",""en"")"),"['Please', 'min', 'application', 'bug', 'sya', 'buy', 'package', 'night', 'times',' data ',' entry ',' active ',' Pay ',' buy ',' Credit ',' Shoppepay ',' App ',' Telkomsel ',' his writing ',' Success']")</f>
        <v>['Please', 'min', 'application', 'bug', 'sya', 'buy', 'package', 'night', 'times',' data ',' entry ',' active ',' Pay ',' buy ',' Credit ',' Shoppepay ',' App ',' Telkomsel ',' his writing ',' Success']</v>
      </c>
      <c r="D1638" s="3">
        <v>2.0</v>
      </c>
    </row>
    <row r="1639" ht="15.75" customHeight="1">
      <c r="A1639" s="1">
        <v>1637.0</v>
      </c>
      <c r="B1639" s="3" t="s">
        <v>1640</v>
      </c>
      <c r="C1639" s="3" t="str">
        <f>IFERROR(__xludf.DUMMYFUNCTION("GOOGLETRANSLATE(B1639,""id"",""en"")"),"['Name', 'Telkomsel', 'Network', 'Place', 'Live', 'Severe', 'Abis',' Bray ',' Increases', 'Network', 'Data', 'Buy', ' free ',' dapet ',' ugly ',' nge ',' lag ',' play ',' mobile ',' legend ',' severe ',' service ',' satisfaction ',' customer ',' network '"&amp;" , 'Data', 'Lose', 'Network', 'Tree', 'Good', 'Competition', 'Good', 'Severe', 'Telkomsel', 'Customer', 'Telkomsel', 'Known', ' wide', '']")</f>
        <v>['Name', 'Telkomsel', 'Network', 'Place', 'Live', 'Severe', 'Abis',' Bray ',' Increases', 'Network', 'Data', 'Buy', ' free ',' dapet ',' ugly ',' nge ',' lag ',' play ',' mobile ',' legend ',' severe ',' service ',' satisfaction ',' customer ',' network ' , 'Data', 'Lose', 'Network', 'Tree', 'Good', 'Competition', 'Good', 'Severe', 'Telkomsel', 'Customer', 'Telkomsel', 'Known', ' wide', '']</v>
      </c>
      <c r="D1639" s="3">
        <v>1.0</v>
      </c>
    </row>
    <row r="1640" ht="15.75" customHeight="1">
      <c r="A1640" s="1">
        <v>1638.0</v>
      </c>
      <c r="B1640" s="3" t="s">
        <v>1641</v>
      </c>
      <c r="C1640" s="3" t="str">
        <f>IFERROR(__xludf.DUMMYFUNCTION("GOOGLETRANSLATE(B1640,""id"",""en"")"),"['Telkomsel', 'troubling', 'buy', 'package', 'GB', 'payment', 'via', 'Shopee', 'Pay', 'Notification', 'Shopee', 'SUCCESS', ' balance ',' cut ',' package ',' internet ',' active ',' plis', 'times',' contents', 'pulse', 'link', 'entry', 'complain', 'nominal"&amp;"' , 'little', 'here', 'gini', 'please', 'return', 'balance', 'shopee', '']")</f>
        <v>['Telkomsel', 'troubling', 'buy', 'package', 'GB', 'payment', 'via', 'Shopee', 'Pay', 'Notification', 'Shopee', 'SUCCESS', ' balance ',' cut ',' package ',' internet ',' active ',' plis', 'times',' contents', 'pulse', 'link', 'entry', 'complain', 'nominal' , 'little', 'here', 'gini', 'please', 'return', 'balance', 'shopee', '']</v>
      </c>
      <c r="D1640" s="3">
        <v>1.0</v>
      </c>
    </row>
    <row r="1641" ht="15.75" customHeight="1">
      <c r="A1641" s="1">
        <v>1639.0</v>
      </c>
      <c r="B1641" s="3" t="s">
        <v>1642</v>
      </c>
      <c r="C1641" s="3" t="str">
        <f>IFERROR(__xludf.DUMMYFUNCTION("GOOGLETRANSLATE(B1641,""id"",""en"")"),"['Contents',' pulse ',' buy ',' package ',' dri ',' TDI ',' morning ',' samle ',' skrng ',' night ',' blm ',' fill ',' TDI ',' noon ',' pulse ',' because ',' eaten ',' then ',' can ',' sms', 'tdak', 'buy', 'package', 'krna', 'pulse' , 'contents',' reset '"&amp;",' TPI ',' yield ',' nil ',' meek ',' package ',' skali ',' pulse ',' reduced ',' beg ',' karahari ',' Gini ',' Mending ',' Move ',' Card ',' ']")</f>
        <v>['Contents',' pulse ',' buy ',' package ',' dri ',' TDI ',' morning ',' samle ',' skrng ',' night ',' blm ',' fill ',' TDI ',' noon ',' pulse ',' because ',' eaten ',' then ',' can ',' sms', 'tdak', 'buy', 'package', 'krna', 'pulse' , 'contents',' reset ',' TPI ',' yield ',' nil ',' meek ',' package ',' skali ',' pulse ',' reduced ',' beg ',' karahari ',' Gini ',' Mending ',' Move ',' Card ',' ']</v>
      </c>
      <c r="D1641" s="3">
        <v>1.0</v>
      </c>
    </row>
    <row r="1642" ht="15.75" customHeight="1">
      <c r="A1642" s="1">
        <v>1640.0</v>
      </c>
      <c r="B1642" s="3" t="s">
        <v>1643</v>
      </c>
      <c r="C1642" s="3" t="str">
        <f>IFERROR(__xludf.DUMMYFUNCTION("GOOGLETRANSLATE(B1642,""id"",""en"")"),"['tired', 'contents',' quota ',' expensive ',' network ',' ngk ',' as good ',' dlu ',' please ',' fix ',' system ',' the network ',' network ',' NGK ',' MOVING ',' PDHL ',' ISI ',' Quota ',' Change ',' Operator ',' Lazy ',' Karna ',' Uda ',' Subscribe ','"&amp;" Telkomsel ' , '']")</f>
        <v>['tired', 'contents',' quota ',' expensive ',' network ',' ngk ',' as good ',' dlu ',' please ',' fix ',' system ',' the network ',' network ',' NGK ',' MOVING ',' PDHL ',' ISI ',' Quota ',' Change ',' Operator ',' Lazy ',' Karna ',' Uda ',' Subscribe ',' Telkomsel ' , '']</v>
      </c>
      <c r="D1642" s="3">
        <v>1.0</v>
      </c>
    </row>
    <row r="1643" ht="15.75" customHeight="1">
      <c r="A1643" s="1">
        <v>1641.0</v>
      </c>
      <c r="B1643" s="3" t="s">
        <v>1644</v>
      </c>
      <c r="C1643" s="3" t="str">
        <f>IFERROR(__xludf.DUMMYFUNCTION("GOOGLETRANSLATE(B1643,""id"",""en"")"),"['The application', 'ugly', 'function', 'quota', 'runs',' normal ',' buy ',' package ',' learn ',' quota ',' main ',' sumps', ' Quota ',' study ',' Reduced ',' ']")</f>
        <v>['The application', 'ugly', 'function', 'quota', 'runs',' normal ',' buy ',' package ',' learn ',' quota ',' main ',' sumps', ' Quota ',' study ',' Reduced ',' ']</v>
      </c>
      <c r="D1643" s="3">
        <v>1.0</v>
      </c>
    </row>
    <row r="1644" ht="15.75" customHeight="1">
      <c r="A1644" s="1">
        <v>1642.0</v>
      </c>
      <c r="B1644" s="3" t="s">
        <v>1645</v>
      </c>
      <c r="C1644" s="3" t="str">
        <f>IFERROR(__xludf.DUMMYFUNCTION("GOOGLETRANSLATE(B1644,""id"",""en"")"),"['', 'star', 'tar', 'already', 'service', 'pls',' Lock ',' rich ',' neighbor ',' next door ',' package ',' data ',' run out ',' pls', 'safe', 'suck', 'love', 'trimakasih', 'telkomsel']")</f>
        <v>['', 'star', 'tar', 'already', 'service', 'pls',' Lock ',' rich ',' neighbor ',' next door ',' package ',' data ',' run out ',' pls', 'safe', 'suck', 'love', 'trimakasih', 'telkomsel']</v>
      </c>
      <c r="D1644" s="3">
        <v>3.0</v>
      </c>
    </row>
    <row r="1645" ht="15.75" customHeight="1">
      <c r="A1645" s="1">
        <v>1643.0</v>
      </c>
      <c r="B1645" s="3" t="s">
        <v>1646</v>
      </c>
      <c r="C1645" s="3" t="str">
        <f>IFERROR(__xludf.DUMMYFUNCTION("GOOGLETRANSLATE(B1645,""id"",""en"")"),"['application', 'Telkomsel', 'choice', 'use', 'reason', 'survive', 'make it easy', 'check', 'quota', 'data', 'internet', 'phone', ' sms', 'pulse', 'complete', 'details',' information ',' boundary ',' use ',' transaction ',' credit ',' gift ',' gift ',' fr"&amp;"iend ',' darling ' , 'Claim', 'Prizes', 'Chek', 'FAILURE', 'What's', 'Satisfying', 'Heart', 'Check', 'Buy', 'Credit', 'Data']")</f>
        <v>['application', 'Telkomsel', 'choice', 'use', 'reason', 'survive', 'make it easy', 'check', 'quota', 'data', 'internet', 'phone', ' sms', 'pulse', 'complete', 'details',' information ',' boundary ',' use ',' transaction ',' credit ',' gift ',' gift ',' friend ',' darling ' , 'Claim', 'Prizes', 'Chek', 'FAILURE', 'What's', 'Satisfying', 'Heart', 'Check', 'Buy', 'Credit', 'Data']</v>
      </c>
      <c r="D1645" s="3">
        <v>5.0</v>
      </c>
    </row>
    <row r="1646" ht="15.75" customHeight="1">
      <c r="A1646" s="1">
        <v>1644.0</v>
      </c>
      <c r="B1646" s="3" t="s">
        <v>1647</v>
      </c>
      <c r="C1646" s="3" t="str">
        <f>IFERROR(__xludf.DUMMYFUNCTION("GOOGLETRANSLATE(B1646,""id"",""en"")"),"['price', 'package', 'data', 'tsel', 'price', 'quality', 'tissue', 'destroyed', 'how', 'nhe', 'tsel', 'network', ' Data ',' threat ',' already ',' buy ',' quota ',' make ',' rich ',' interior ',' network ',' missing ',' appears', ""]")</f>
        <v>['price', 'package', 'data', 'tsel', 'price', 'quality', 'tissue', 'destroyed', 'how', 'nhe', 'tsel', 'network', ' Data ',' threat ',' already ',' buy ',' quota ',' make ',' rich ',' interior ',' network ',' missing ',' appears', "]</v>
      </c>
      <c r="D1646" s="3">
        <v>1.0</v>
      </c>
    </row>
    <row r="1647" ht="15.75" customHeight="1">
      <c r="A1647" s="1">
        <v>1645.0</v>
      </c>
      <c r="B1647" s="3" t="s">
        <v>1648</v>
      </c>
      <c r="C1647" s="3" t="str">
        <f>IFERROR(__xludf.DUMMYFUNCTION("GOOGLETRANSLATE(B1647,""id"",""en"")"),"['inconvenient', 'tsel', 'already', 'package', 'expensive', 'pulse', 'sumps',' provider ',' laen ',' lock ',' pulses', 'buy', ' package ',' second ',' run out ',' crazy ',' right ',' fix ',' plumn you ',' blur ',' ']")</f>
        <v>['inconvenient', 'tsel', 'already', 'package', 'expensive', 'pulse', 'sumps',' provider ',' laen ',' lock ',' pulses', 'buy', ' package ',' second ',' run out ',' crazy ',' right ',' fix ',' plumn you ',' blur ',' ']</v>
      </c>
      <c r="D1647" s="3">
        <v>1.0</v>
      </c>
    </row>
    <row r="1648" ht="15.75" customHeight="1">
      <c r="A1648" s="1">
        <v>1646.0</v>
      </c>
      <c r="B1648" s="3" t="s">
        <v>1649</v>
      </c>
      <c r="C1648" s="3" t="str">
        <f>IFERROR(__xludf.DUMMYFUNCTION("GOOGLETRANSLATE(B1648,""id"",""en"")"),"['Registration', 'Package', 'Fair', 'Fair', 'Register', 'Package', 'February', 'Ration', 'March', 'Limit', 'Paketan', 'date', ' Fair ',' applied ',' package ',' a month ',' February ',' Genapin ',' HR ',' date ',' March ',' disappointed ', ""]")</f>
        <v>['Registration', 'Package', 'Fair', 'Fair', 'Register', 'Package', 'February', 'Ration', 'March', 'Limit', 'Paketan', 'date', ' Fair ',' applied ',' package ',' a month ',' February ',' Genapin ',' HR ',' date ',' March ',' disappointed ', "]</v>
      </c>
      <c r="D1648" s="3">
        <v>1.0</v>
      </c>
    </row>
    <row r="1649" ht="15.75" customHeight="1">
      <c r="A1649" s="1">
        <v>1647.0</v>
      </c>
      <c r="B1649" s="3" t="s">
        <v>1649</v>
      </c>
      <c r="C1649" s="3" t="str">
        <f>IFERROR(__xludf.DUMMYFUNCTION("GOOGLETRANSLATE(B1649,""id"",""en"")"),"['Registration', 'Package', 'Fair', 'Fair', 'Register', 'Package', 'February', 'Ration', 'March', 'Limit', 'Paketan', 'date', ' Fair ',' applied ',' package ',' a month ',' February ',' Genapin ',' HR ',' date ',' March ',' disappointed ', ""]")</f>
        <v>['Registration', 'Package', 'Fair', 'Fair', 'Register', 'Package', 'February', 'Ration', 'March', 'Limit', 'Paketan', 'date', ' Fair ',' applied ',' package ',' a month ',' February ',' Genapin ',' HR ',' date ',' March ',' disappointed ', "]</v>
      </c>
      <c r="D1649" s="3">
        <v>1.0</v>
      </c>
    </row>
    <row r="1650" ht="15.75" customHeight="1">
      <c r="A1650" s="1">
        <v>1648.0</v>
      </c>
      <c r="B1650" s="3" t="s">
        <v>1650</v>
      </c>
      <c r="C1650" s="3" t="str">
        <f>IFERROR(__xludf.DUMMYFUNCTION("GOOGLETRANSLATE(B1650,""id"",""en"")"),"['SBNR', 'use', 'Telkomsel', 'here', 'slow', 'towards',' afternoon ',' night ',' interested ',' lyrics', 'provider', 'Telkomsel', ' Famous', 'Suck', 'Credit', 'Data', 'Cruel', '']")</f>
        <v>['SBNR', 'use', 'Telkomsel', 'here', 'slow', 'towards',' afternoon ',' night ',' interested ',' lyrics', 'provider', 'Telkomsel', ' Famous', 'Suck', 'Credit', 'Data', 'Cruel', '']</v>
      </c>
      <c r="D1650" s="3">
        <v>1.0</v>
      </c>
    </row>
    <row r="1651" ht="15.75" customHeight="1">
      <c r="A1651" s="1">
        <v>1649.0</v>
      </c>
      <c r="B1651" s="3" t="s">
        <v>1651</v>
      </c>
      <c r="C1651" s="3" t="str">
        <f>IFERROR(__xludf.DUMMYFUNCTION("GOOGLETRANSLATE(B1651,""id"",""en"")"),"['Wonder', 'Dehh', 'Sya', 'contents',' pulse ',' then ',' buy ',' package ',' data ',' network ',' jdi ',' ugly ',' Buy ',' Kouta ',' expensive ',' difficult ',' Usage ',' Solution ', ""]")</f>
        <v>['Wonder', 'Dehh', 'Sya', 'contents',' pulse ',' then ',' buy ',' package ',' data ',' network ',' jdi ',' ugly ',' Buy ',' Kouta ',' expensive ',' difficult ',' Usage ',' Solution ', "]</v>
      </c>
      <c r="D1651" s="3">
        <v>1.0</v>
      </c>
    </row>
    <row r="1652" ht="15.75" customHeight="1">
      <c r="A1652" s="1">
        <v>1650.0</v>
      </c>
      <c r="B1652" s="3" t="s">
        <v>1652</v>
      </c>
      <c r="C1652" s="3" t="str">
        <f>IFERROR(__xludf.DUMMYFUNCTION("GOOGLETRANSLATE(B1652,""id"",""en"")"),"['Region', 'City', 'Cimahi', 'Javanese', 'West', 'Network', 'Please', 'Fix', 'fix', 'hope', 'Price', ' Connection ',' ']")</f>
        <v>['Region', 'City', 'Cimahi', 'Javanese', 'West', 'Network', 'Please', 'Fix', 'fix', 'hope', 'Price', ' Connection ',' ']</v>
      </c>
      <c r="D1652" s="3">
        <v>2.0</v>
      </c>
    </row>
    <row r="1653" ht="15.75" customHeight="1">
      <c r="A1653" s="1">
        <v>1651.0</v>
      </c>
      <c r="B1653" s="3" t="s">
        <v>1653</v>
      </c>
      <c r="C1653" s="3" t="str">
        <f>IFERROR(__xludf.DUMMYFUNCTION("GOOGLETRANSLATE(B1653,""id"",""en"")"),"['already', 'kayak', 'suck', 'Telkomsel', 'leftover', 'pulse', 'collapse', 'package', 'internet', 'active', 'right', 'rupiah', ' The rest of ',' pulses ',' safe ',' BERES ',' Provider ',' told ',' Complain ',' Twitter ',' What's ',' already ',' Rating ','"&amp;" Review ',' Climb "" , '']")</f>
        <v>['already', 'kayak', 'suck', 'Telkomsel', 'leftover', 'pulse', 'collapse', 'package', 'internet', 'active', 'right', 'rupiah', ' The rest of ',' pulses ',' safe ',' BERES ',' Provider ',' told ',' Complain ',' Twitter ',' What's ',' already ',' Rating ',' Review ',' Climb " , '']</v>
      </c>
      <c r="D1653" s="3">
        <v>1.0</v>
      </c>
    </row>
    <row r="1654" ht="15.75" customHeight="1">
      <c r="A1654" s="1">
        <v>1652.0</v>
      </c>
      <c r="B1654" s="3" t="s">
        <v>1654</v>
      </c>
      <c r="C1654" s="3" t="str">
        <f>IFERROR(__xludf.DUMMYFUNCTION("GOOGLETRANSLATE(B1654,""id"",""en"")"),"['buy', 'quota', 'giga', 'thousand', 'money', 'network', 'ampunn', 'slow', 'loading', 'smart', 'really', 'promo', ' network ',' LELETT ',' MOVEMENT ',' HALUAN ',' ']")</f>
        <v>['buy', 'quota', 'giga', 'thousand', 'money', 'network', 'ampunn', 'slow', 'loading', 'smart', 'really', 'promo', ' network ',' LELETT ',' MOVEMENT ',' HALUAN ',' ']</v>
      </c>
      <c r="D1654" s="3">
        <v>1.0</v>
      </c>
    </row>
    <row r="1655" ht="15.75" customHeight="1">
      <c r="A1655" s="1">
        <v>1653.0</v>
      </c>
      <c r="B1655" s="3" t="s">
        <v>1655</v>
      </c>
      <c r="C1655" s="3" t="str">
        <f>IFERROR(__xludf.DUMMYFUNCTION("GOOGLETRANSLATE(B1655,""id"",""en"")"),"['application', 'ugly', 'bonus',' credit ',' CMA ',' dipake ',' open ',' application ',' mytelkomselnya ',' already ',' gtu ',' package ',' Subscribe ',' Fly ',' name ',' ']")</f>
        <v>['application', 'ugly', 'bonus',' credit ',' CMA ',' dipake ',' open ',' application ',' mytelkomselnya ',' already ',' gtu ',' package ',' Subscribe ',' Fly ',' name ',' ']</v>
      </c>
      <c r="D1655" s="3">
        <v>1.0</v>
      </c>
    </row>
    <row r="1656" ht="15.75" customHeight="1">
      <c r="A1656" s="1">
        <v>1654.0</v>
      </c>
      <c r="B1656" s="3" t="s">
        <v>1656</v>
      </c>
      <c r="C1656" s="3" t="str">
        <f>IFERROR(__xludf.DUMMYFUNCTION("GOOGLETRANSLATE(B1656,""id"",""en"")"),"['Genting', 'really', 'buy', 'package', 'data', 'error', 'app', 'gini', 'telkomsel', 'equivalent', 'smartfren', 'just', ' different ',' price ',' wkwkwk ',' jancooookkk ',' price ',' exorbitant ',' quality ',' little ']")</f>
        <v>['Genting', 'really', 'buy', 'package', 'data', 'error', 'app', 'gini', 'telkomsel', 'equivalent', 'smartfren', 'just', ' different ',' price ',' wkwkwk ',' jancooookkk ',' price ',' exorbitant ',' quality ',' little ']</v>
      </c>
      <c r="D1656" s="3">
        <v>1.0</v>
      </c>
    </row>
    <row r="1657" ht="15.75" customHeight="1">
      <c r="A1657" s="1">
        <v>1655.0</v>
      </c>
      <c r="B1657" s="3" t="s">
        <v>1657</v>
      </c>
      <c r="C1657" s="3" t="str">
        <f>IFERROR(__xludf.DUMMYFUNCTION("GOOGLETRANSLATE(B1657,""id"",""en"")"),"['Update', 'error', 'buy', 'paketan', 'tried', 'repeat', 'times',' love ',' star ',' error ',' already ',' gabisa ',' Transactions', 'Disappointed', 'Telkomsel', 'already', 'Disanan', 'already', 'Try', 'Twitter', 'responded', 'disappointing', '']")</f>
        <v>['Update', 'error', 'buy', 'paketan', 'tried', 'repeat', 'times',' love ',' star ',' error ',' already ',' gabisa ',' Transactions', 'Disappointed', 'Telkomsel', 'already', 'Disanan', 'already', 'Try', 'Twitter', 'responded', 'disappointing', '']</v>
      </c>
      <c r="D1657" s="3">
        <v>1.0</v>
      </c>
    </row>
    <row r="1658" ht="15.75" customHeight="1">
      <c r="A1658" s="1">
        <v>1656.0</v>
      </c>
      <c r="B1658" s="3" t="s">
        <v>1658</v>
      </c>
      <c r="C1658" s="3" t="str">
        <f>IFERROR(__xludf.DUMMYFUNCTION("GOOGLETRANSLATE(B1658,""id"",""en"")"),"['Network', 'bad', 'day', 'buy', 'package', 'look for', 'network', 'stable', 'fast', 'get', 'decline', 'really', ' Telkomsel ',' Disappointed ',' Heavy ']")</f>
        <v>['Network', 'bad', 'day', 'buy', 'package', 'look for', 'network', 'stable', 'fast', 'get', 'decline', 'really', ' Telkomsel ',' Disappointed ',' Heavy ']</v>
      </c>
      <c r="D1658" s="3">
        <v>1.0</v>
      </c>
    </row>
    <row r="1659" ht="15.75" customHeight="1">
      <c r="A1659" s="1">
        <v>1657.0</v>
      </c>
      <c r="B1659" s="3" t="s">
        <v>1659</v>
      </c>
      <c r="C1659" s="3" t="str">
        <f>IFERROR(__xludf.DUMMYFUNCTION("GOOGLETRANSLATE(B1659,""id"",""en"")"),"['Package', 'Koutaa', 'Internet', 'Credit', 'Suck', 'Contents',' Sumpot ',' Aza ',' get ',' Solution ',' Sya ',' loyal ',' Use ',' Telkomsel ',' Trims']")</f>
        <v>['Package', 'Koutaa', 'Internet', 'Credit', 'Suck', 'Contents',' Sumpot ',' Aza ',' get ',' Solution ',' Sya ',' loyal ',' Use ',' Telkomsel ',' Trims']</v>
      </c>
      <c r="D1659" s="3">
        <v>2.0</v>
      </c>
    </row>
    <row r="1660" ht="15.75" customHeight="1">
      <c r="A1660" s="1">
        <v>1658.0</v>
      </c>
      <c r="B1660" s="3" t="s">
        <v>1660</v>
      </c>
      <c r="C1660" s="3" t="str">
        <f>IFERROR(__xludf.DUMMYFUNCTION("GOOGLETRANSLATE(B1660,""id"",""en"")"),"['application', 'fraudster', 'TDI', 'noon', 'buy', 'package', 'internet', 'pulseku', 'truncated', 'TPI', 'package', 'Damn', ' Pantes', 'Telkomsel', 'bad', ""]")</f>
        <v>['application', 'fraudster', 'TDI', 'noon', 'buy', 'package', 'internet', 'pulseku', 'truncated', 'TPI', 'package', 'Damn', ' Pantes', 'Telkomsel', 'bad', "]</v>
      </c>
      <c r="D1660" s="3">
        <v>1.0</v>
      </c>
    </row>
    <row r="1661" ht="15.75" customHeight="1">
      <c r="A1661" s="1">
        <v>1659.0</v>
      </c>
      <c r="B1661" s="3" t="s">
        <v>1661</v>
      </c>
      <c r="C1661" s="3" t="str">
        <f>IFERROR(__xludf.DUMMYFUNCTION("GOOGLETRANSLATE(B1661,""id"",""en"")"),"['Application', 'Daily', 'Check', 'FAILURE', 'Melt', 'Stamp', 'Gift', 'GB', 'Ration', 'Lost', 'Contact', 'Via', ' Phone ',' apps', 'results',' disappointing ',' ']")</f>
        <v>['Application', 'Daily', 'Check', 'FAILURE', 'Melt', 'Stamp', 'Gift', 'GB', 'Ration', 'Lost', 'Contact', 'Via', ' Phone ',' apps', 'results',' disappointing ',' ']</v>
      </c>
      <c r="D1661" s="3">
        <v>1.0</v>
      </c>
    </row>
    <row r="1662" ht="15.75" customHeight="1">
      <c r="A1662" s="1">
        <v>1660.0</v>
      </c>
      <c r="B1662" s="3" t="s">
        <v>1662</v>
      </c>
      <c r="C1662" s="3" t="str">
        <f>IFERROR(__xludf.DUMMYFUNCTION("GOOGLETRANSLATE(B1662,""id"",""en"")"),"['buy', 'pulse', 'thousand', 'intention', 'buy', 'package', 'data', 'app', 'Telkomsel', 'minute', 'pulse', 'right', ' decreases', 'drastically', 'stay', 'thousand', 'criticism', 'hi', 'Sis',' sorry ',' Create ',' comfortable ',' blla ',' blah ',' blah ' ,"&amp;" 'Ujung', 'told', 'Cat', 'Twitter', 'Hungi', 'App', 'Telkomsel', 'bother', 'Direct', 'fix', 'the application', 'run out', ' Send ',' The answer ',' Search ',' Fortune ',' Please ',' Harm ',' People ',' Sis', ""]")</f>
        <v>['buy', 'pulse', 'thousand', 'intention', 'buy', 'package', 'data', 'app', 'Telkomsel', 'minute', 'pulse', 'right', ' decreases', 'drastically', 'stay', 'thousand', 'criticism', 'hi', 'Sis',' sorry ',' Create ',' comfortable ',' blla ',' blah ',' blah ' , 'Ujung', 'told', 'Cat', 'Twitter', 'Hungi', 'App', 'Telkomsel', 'bother', 'Direct', 'fix', 'the application', 'run out', ' Send ',' The answer ',' Search ',' Fortune ',' Please ',' Harm ',' People ',' Sis', "]</v>
      </c>
      <c r="D1662" s="3">
        <v>2.0</v>
      </c>
    </row>
    <row r="1663" ht="15.75" customHeight="1">
      <c r="A1663" s="1">
        <v>1661.0</v>
      </c>
      <c r="B1663" s="3" t="s">
        <v>1663</v>
      </c>
      <c r="C1663" s="3" t="str">
        <f>IFERROR(__xludf.DUMMYFUNCTION("GOOGLETRANSLATE(B1663,""id"",""en"")"),"['The application', 'loss',' buy ',' unlimited ',' max ',' quota ',' local ',' abis', 'already', 'quota', 'the rest', 'unemployed', ' slow ',' kayak ',' quota ',' free ',' seems', 'Telkomsel', 'roll', 'mat', 'sampek', 'rich', 'so', 'culuced', 'smooth' , '"&amp;"person', '']")</f>
        <v>['The application', 'loss',' buy ',' unlimited ',' max ',' quota ',' local ',' abis', 'already', 'quota', 'the rest', 'unemployed', ' slow ',' kayak ',' quota ',' free ',' seems', 'Telkomsel', 'roll', 'mat', 'sampek', 'rich', 'so', 'culuced', 'smooth' , 'person', '']</v>
      </c>
      <c r="D1663" s="3">
        <v>1.0</v>
      </c>
    </row>
    <row r="1664" ht="15.75" customHeight="1">
      <c r="A1664" s="1">
        <v>1662.0</v>
      </c>
      <c r="B1664" s="3" t="s">
        <v>1664</v>
      </c>
      <c r="C1664" s="3" t="str">
        <f>IFERROR(__xludf.DUMMYFUNCTION("GOOGLETRANSLATE(B1664,""id"",""en"")"),"['Min', 'buy', 'package', 'special', 'for', 'You', 'transaction', 'managed', 'his package', 'visits',' entered ',' Yesterday ',' "", 'Telkomsel', '']")</f>
        <v>['Min', 'buy', 'package', 'special', 'for', 'You', 'transaction', 'managed', 'his package', 'visits',' entered ',' Yesterday ',' ", 'Telkomsel', '']</v>
      </c>
      <c r="D1664" s="3">
        <v>1.0</v>
      </c>
    </row>
    <row r="1665" ht="15.75" customHeight="1">
      <c r="A1665" s="1">
        <v>1663.0</v>
      </c>
      <c r="B1665" s="3" t="s">
        <v>1665</v>
      </c>
      <c r="C1665" s="3" t="str">
        <f>IFERROR(__xludf.DUMMYFUNCTION("GOOGLETRANSLATE(B1665,""id"",""en"")"),"['Telkomsel', 'Please', 'noticed', 'quota', 'main', 'drained', 'gmeet', 'quota', 'study', 'whole', 'please', 'pay attention', ' Because ',' Disight ', ""]")</f>
        <v>['Telkomsel', 'Please', 'noticed', 'quota', 'main', 'drained', 'gmeet', 'quota', 'study', 'whole', 'please', 'pay attention', ' Because ',' Disight ', "]</v>
      </c>
      <c r="D1665" s="3">
        <v>2.0</v>
      </c>
    </row>
    <row r="1666" ht="15.75" customHeight="1">
      <c r="A1666" s="1">
        <v>1664.0</v>
      </c>
      <c r="B1666" s="3" t="s">
        <v>1666</v>
      </c>
      <c r="C1666" s="3" t="str">
        <f>IFERROR(__xludf.DUMMYFUNCTION("GOOGLETRANSLATE(B1666,""id"",""en"")"),"['Sorry', 'complement', 'told', 'pay', 'debt', 'prah', 'owe', 'contents',' pulse ',' sucked ',' pay ',' debt ',' Nomer ']")</f>
        <v>['Sorry', 'complement', 'told', 'pay', 'debt', 'prah', 'owe', 'contents',' pulse ',' sucked ',' pay ',' debt ',' Nomer ']</v>
      </c>
      <c r="D1666" s="3">
        <v>3.0</v>
      </c>
    </row>
    <row r="1667" ht="15.75" customHeight="1">
      <c r="A1667" s="1">
        <v>1665.0</v>
      </c>
      <c r="B1667" s="3" t="s">
        <v>1667</v>
      </c>
      <c r="C1667" s="3" t="str">
        <f>IFERROR(__xludf.DUMMYFUNCTION("GOOGLETRANSLATE(B1667,""id"",""en"")"),"['Alhamdulillah', 'PKE', 'TELKOM', 'prestige', 'Ajah', 'because' expensive ',' network ',' internet ',' TLP ',' suggest ',' Mending ',' There ',' Axis', 'Indosat', 'Join', 'Child', 'fruit', 'company', '']")</f>
        <v>['Alhamdulillah', 'PKE', 'TELKOM', 'prestige', 'Ajah', 'because' expensive ',' network ',' internet ',' TLP ',' suggest ',' Mending ',' There ',' Axis', 'Indosat', 'Join', 'Child', 'fruit', 'company', '']</v>
      </c>
      <c r="D1667" s="3">
        <v>1.0</v>
      </c>
    </row>
    <row r="1668" ht="15.75" customHeight="1">
      <c r="A1668" s="1">
        <v>1666.0</v>
      </c>
      <c r="B1668" s="3" t="s">
        <v>1668</v>
      </c>
      <c r="C1668" s="3" t="str">
        <f>IFERROR(__xludf.DUMMYFUNCTION("GOOGLETRANSLATE(B1668,""id"",""en"")"),"['ugly', 'really', 'app', 'boong', 'hayuk', ""]")</f>
        <v>['ugly', 'really', 'app', 'boong', 'hayuk', "]</v>
      </c>
      <c r="D1668" s="3">
        <v>5.0</v>
      </c>
    </row>
    <row r="1669" ht="15.75" customHeight="1">
      <c r="A1669" s="1">
        <v>1667.0</v>
      </c>
      <c r="B1669" s="3" t="s">
        <v>1669</v>
      </c>
      <c r="C1669" s="3" t="str">
        <f>IFERROR(__xludf.DUMMYFUNCTION("GOOGLETRANSLATE(B1669,""id"",""en"")"),"['application', 'MyTelkomsel', 'easy', 'price', 'promo', 'surrounding', 'Telkomsel', 'free', 'choose', 'match', 'right', 'transaction', ' Anyway ',' application ',' MyTelkomsel ',' obstacles', 'resolved', 'pulse', 'package', 'data', 'essence', 'satisfied'"&amp;", 'service', 'mytelkomsel']")</f>
        <v>['application', 'MyTelkomsel', 'easy', 'price', 'promo', 'surrounding', 'Telkomsel', 'free', 'choose', 'match', 'right', 'transaction', ' Anyway ',' application ',' MyTelkomsel ',' obstacles', 'resolved', 'pulse', 'package', 'data', 'essence', 'satisfied', 'service', 'mytelkomsel']</v>
      </c>
      <c r="D1669" s="3">
        <v>5.0</v>
      </c>
    </row>
    <row r="1670" ht="15.75" customHeight="1">
      <c r="A1670" s="1">
        <v>1668.0</v>
      </c>
      <c r="B1670" s="3" t="s">
        <v>1670</v>
      </c>
      <c r="C1670" s="3" t="str">
        <f>IFERROR(__xludf.DUMMYFUNCTION("GOOGLETRANSLATE(B1670,""id"",""en"")"),"['Like', 'Program', 'Daily', 'Check', 'Not bad', 'Pas',' Out ',' Quota ',' Additional ',' Mksh ',' Tsel ',' Customer ',' Tsel ',' card ',' Tsel ',' Family ',' Tsel ',' APLG ',' SKRG ',' Free ',' Quotes', 'BNYK', 'LIKE', '']")</f>
        <v>['Like', 'Program', 'Daily', 'Check', 'Not bad', 'Pas',' Out ',' Quota ',' Additional ',' Mksh ',' Tsel ',' Customer ',' Tsel ',' card ',' Tsel ',' Family ',' Tsel ',' APLG ',' SKRG ',' Free ',' Quotes', 'BNYK', 'LIKE', '']</v>
      </c>
      <c r="D1670" s="3">
        <v>5.0</v>
      </c>
    </row>
    <row r="1671" ht="15.75" customHeight="1">
      <c r="A1671" s="1">
        <v>1669.0</v>
      </c>
      <c r="B1671" s="3" t="s">
        <v>1671</v>
      </c>
      <c r="C1671" s="3" t="str">
        <f>IFERROR(__xludf.DUMMYFUNCTION("GOOGLETRANSLATE(B1671,""id"",""en"")"),"['gile', 'provider', 'add', 'severe', 'signal', 'complain', 'difficult', 'complain', 'win', 'complain', 'change', 'quota', ' Expensive ',' Signal ',' Severe ',' GSM ',' Only ',' Signal ',' Cuman ',' Batang ',' Recommended ',' ']")</f>
        <v>['gile', 'provider', 'add', 'severe', 'signal', 'complain', 'difficult', 'complain', 'win', 'complain', 'change', 'quota', ' Expensive ',' Signal ',' Severe ',' GSM ',' Only ',' Signal ',' Cuman ',' Batang ',' Recommended ',' ']</v>
      </c>
      <c r="D1671" s="3">
        <v>1.0</v>
      </c>
    </row>
    <row r="1672" ht="15.75" customHeight="1">
      <c r="A1672" s="1">
        <v>1670.0</v>
      </c>
      <c r="B1672" s="3" t="s">
        <v>1672</v>
      </c>
      <c r="C1672" s="3" t="str">
        <f>IFERROR(__xludf.DUMMYFUNCTION("GOOGLETRANSLATE(B1672,""id"",""en"")"),"['strange', 'contents',' reset ',' pulse ',' reduced ',' pay ',' debt ',' package ',' emergency ',' pdhal ',' activated ',' buy ',' Package ',' Package ',' Out ',' ']")</f>
        <v>['strange', 'contents',' reset ',' pulse ',' reduced ',' pay ',' debt ',' package ',' emergency ',' pdhal ',' activated ',' buy ',' Package ',' Package ',' Out ',' ']</v>
      </c>
      <c r="D1672" s="3">
        <v>2.0</v>
      </c>
    </row>
    <row r="1673" ht="15.75" customHeight="1">
      <c r="A1673" s="1">
        <v>1671.0</v>
      </c>
      <c r="B1673" s="3" t="s">
        <v>1673</v>
      </c>
      <c r="C1673" s="3" t="str">
        <f>IFERROR(__xludf.DUMMYFUNCTION("GOOGLETRANSLATE(B1673,""id"",""en"")"),"['Telkomsel', 'tasty', 'ajah', 'emg', 'price', 'expensive', 'hny', 'want', 'purpose', 'quota', 'unlimited', 'yaa']")</f>
        <v>['Telkomsel', 'tasty', 'ajah', 'emg', 'price', 'expensive', 'hny', 'want', 'purpose', 'quota', 'unlimited', 'yaa']</v>
      </c>
      <c r="D1673" s="3">
        <v>4.0</v>
      </c>
    </row>
    <row r="1674" ht="15.75" customHeight="1">
      <c r="A1674" s="1">
        <v>1672.0</v>
      </c>
      <c r="B1674" s="3" t="s">
        <v>1674</v>
      </c>
      <c r="C1674" s="3" t="str">
        <f>IFERROR(__xludf.DUMMYFUNCTION("GOOGLETRANSLATE(B1674,""id"",""en"")"),"['Service', 'Telkomsel', 'Application', 'Good', 'Telkomsel', 'Quota', 'Free', 'Daily', 'Daily', 'Check', 'Thank you', 'Price', ' Quota ',' Telkomsel ',' expensive ',' beg "", 'made easier', 'buy', 'quota', 'price', 'affordable', 'Telkomsel']")</f>
        <v>['Service', 'Telkomsel', 'Application', 'Good', 'Telkomsel', 'Quota', 'Free', 'Daily', 'Daily', 'Check', 'Thank you', 'Price', ' Quota ',' Telkomsel ',' expensive ',' beg ", 'made easier', 'buy', 'quota', 'price', 'affordable', 'Telkomsel']</v>
      </c>
      <c r="D1674" s="3">
        <v>5.0</v>
      </c>
    </row>
    <row r="1675" ht="15.75" customHeight="1">
      <c r="A1675" s="1">
        <v>1673.0</v>
      </c>
      <c r="B1675" s="3" t="s">
        <v>1675</v>
      </c>
      <c r="C1675" s="3" t="str">
        <f>IFERROR(__xludf.DUMMYFUNCTION("GOOGLETRANSLATE(B1675,""id"",""en"")"),"['thank', 'love', 'Telkomsel', 'package', 'internet', 'free', 'check', 'hopefully', 'Telkomsel', 'reward', 'user', 'loyal', ' Telkomsel ']")</f>
        <v>['thank', 'love', 'Telkomsel', 'package', 'internet', 'free', 'check', 'hopefully', 'Telkomsel', 'reward', 'user', 'loyal', ' Telkomsel ']</v>
      </c>
      <c r="D1675" s="3">
        <v>5.0</v>
      </c>
    </row>
    <row r="1676" ht="15.75" customHeight="1">
      <c r="A1676" s="1">
        <v>1674.0</v>
      </c>
      <c r="B1676" s="3" t="s">
        <v>1676</v>
      </c>
      <c r="C1676" s="3" t="str">
        <f>IFERROR(__xludf.DUMMYFUNCTION("GOOGLETRANSLATE(B1676,""id"",""en"")"),"['look', 'okay', 'feature', 'language', 'easy', 'understood', 'confirm', 'login', 'customer', 'has', 'device', 'different' Links', 'code', 'make it easy', 'thank', 'love', ""]")</f>
        <v>['look', 'okay', 'feature', 'language', 'easy', 'understood', 'confirm', 'login', 'customer', 'has', 'device', 'different' Links', 'code', 'make it easy', 'thank', 'love', "]</v>
      </c>
      <c r="D1676" s="3">
        <v>5.0</v>
      </c>
    </row>
    <row r="1677" ht="15.75" customHeight="1">
      <c r="A1677" s="1">
        <v>1675.0</v>
      </c>
      <c r="B1677" s="3" t="s">
        <v>1677</v>
      </c>
      <c r="C1677" s="3" t="str">
        <f>IFERROR(__xludf.DUMMYFUNCTION("GOOGLETRANSLATE(B1677,""id"",""en"")"),"['usage', 'bad', 'program', 'description', 'package', 'internet', 'provided', 'professional', 'detrimental', 'consumer', 'lied to', 'provider', ' improvement ',' program ']")</f>
        <v>['usage', 'bad', 'program', 'description', 'package', 'internet', 'provided', 'professional', 'detrimental', 'consumer', 'lied to', 'provider', ' improvement ',' program ']</v>
      </c>
      <c r="D1677" s="3">
        <v>5.0</v>
      </c>
    </row>
    <row r="1678" ht="15.75" customHeight="1">
      <c r="A1678" s="1">
        <v>1676.0</v>
      </c>
      <c r="B1678" s="3" t="s">
        <v>1678</v>
      </c>
      <c r="C1678" s="3" t="str">
        <f>IFERROR(__xludf.DUMMYFUNCTION("GOOGLETRANSLATE(B1678,""id"",""en"")"),"['love', 'mode', 'pulse', 'safe', 'min', 'pulse', 'Empor', 'just', 'like', 'application', 'mytelkomsel', 'handy', ' Bonus', 'gift', 'month', 'loss',' install ',' application ',' ']")</f>
        <v>['love', 'mode', 'pulse', 'safe', 'min', 'pulse', 'Empor', 'just', 'like', 'application', 'mytelkomsel', 'handy', ' Bonus', 'gift', 'month', 'loss',' install ',' application ',' ']</v>
      </c>
      <c r="D1678" s="3">
        <v>5.0</v>
      </c>
    </row>
    <row r="1679" ht="15.75" customHeight="1">
      <c r="A1679" s="1">
        <v>1677.0</v>
      </c>
      <c r="B1679" s="3" t="s">
        <v>1679</v>
      </c>
      <c r="C1679" s="3" t="str">
        <f>IFERROR(__xludf.DUMMYFUNCTION("GOOGLETRANSLATE(B1679,""id"",""en"")"),"['Telkomsel', 'expensive', 'costs',' network ',' slumped ',' operator ',' servicenya ',' operator ',' please ',' sorry ',' location ',' setting ',' Check ',' Ristrit ',' reset ',' Turn off ',' Minutes', 'Turn on', 'Help', 'Basic', 'Error', 'Delimits',' Re"&amp;"solved ',' Location ',' The result ' , 'Turuti', 'setting', 'result', '']")</f>
        <v>['Telkomsel', 'expensive', 'costs',' network ',' slumped ',' operator ',' servicenya ',' operator ',' please ',' sorry ',' location ',' setting ',' Check ',' Ristrit ',' reset ',' Turn off ',' Minutes', 'Turn on', 'Help', 'Basic', 'Error', 'Delimits',' Resolved ',' Location ',' The result ' , 'Turuti', 'setting', 'result', '']</v>
      </c>
      <c r="D1679" s="3">
        <v>1.0</v>
      </c>
    </row>
    <row r="1680" ht="15.75" customHeight="1">
      <c r="A1680" s="1">
        <v>1678.0</v>
      </c>
      <c r="B1680" s="3" t="s">
        <v>1680</v>
      </c>
      <c r="C1680" s="3" t="str">
        <f>IFERROR(__xludf.DUMMYFUNCTION("GOOGLETRANSLATE(B1680,""id"",""en"")"),"['Hi', 'Telkomsel', 'users',' Telkomsel ',' Since ',' yrs', 'number', 'change', 'SNGT', 'regret', 'bln', 'blkgan', ' The network is', 'weak', 'PJJ', 'Upload', 'Task', 'GCR', 'ORAHAANYA', 'Forgiveness',' Open ',' APPLK ',' YouTube ',' so weak ',' weak ' , "&amp;"'requires',' have ',' network ',' Indosat ',' backup ',' KNPA ',' might ',' LBH ',' Telkomsel ',' Slalu ',' now ',' the opposite ',' Please ',' Fix ',' Increase ',' KMBLI ',' Quality ',' The Network ',' Thank ',' Love ']")</f>
        <v>['Hi', 'Telkomsel', 'users',' Telkomsel ',' Since ',' yrs', 'number', 'change', 'SNGT', 'regret', 'bln', 'blkgan', ' The network is', 'weak', 'PJJ', 'Upload', 'Task', 'GCR', 'ORAHAANYA', 'Forgiveness',' Open ',' APPLK ',' YouTube ',' so weak ',' weak ' , 'requires',' have ',' network ',' Indosat ',' backup ',' KNPA ',' might ',' LBH ',' Telkomsel ',' Slalu ',' now ',' the opposite ',' Please ',' Fix ',' Increase ',' KMBLI ',' Quality ',' The Network ',' Thank ',' Love ']</v>
      </c>
      <c r="D1680" s="3">
        <v>3.0</v>
      </c>
    </row>
    <row r="1681" ht="15.75" customHeight="1">
      <c r="A1681" s="1">
        <v>1679.0</v>
      </c>
      <c r="B1681" s="3" t="s">
        <v>1681</v>
      </c>
      <c r="C1681" s="3" t="str">
        <f>IFERROR(__xludf.DUMMYFUNCTION("GOOGLETRANSLATE(B1681,""id"",""en"")"),"['Get', 'Notif', 'Extra', 'Combo', 'Cheap', 'Nyobain', 'BLM', 'Get', 'A Day', 'Game', 'Lemot', 'Really', ' expensive ',' yes', 'tasty', 'disappointed', '']")</f>
        <v>['Get', 'Notif', 'Extra', 'Combo', 'Cheap', 'Nyobain', 'BLM', 'Get', 'A Day', 'Game', 'Lemot', 'Really', ' expensive ',' yes', 'tasty', 'disappointed', '']</v>
      </c>
      <c r="D1681" s="3">
        <v>1.0</v>
      </c>
    </row>
    <row r="1682" ht="15.75" customHeight="1">
      <c r="A1682" s="1">
        <v>1680.0</v>
      </c>
      <c r="B1682" s="3" t="s">
        <v>1682</v>
      </c>
      <c r="C1682" s="3" t="str">
        <f>IFERROR(__xludf.DUMMYFUNCTION("GOOGLETRANSLATE(B1682,""id"",""en"")"),"['Delicious',' See ',' Easy ',' Settings', 'Additional', 'Sis',' Please ',' User ',' Hello ',' Late ',' Pay ',' Block ',' number ',' burn ',' total ',' bill ',' used ',' add ',' late ',' use ',' before ',' late ',' blm ',' use ',' pay ' , '']")</f>
        <v>['Delicious',' See ',' Easy ',' Settings', 'Additional', 'Sis',' Please ',' User ',' Hello ',' Late ',' Pay ',' Block ',' number ',' burn ',' total ',' bill ',' used ',' add ',' late ',' use ',' before ',' late ',' blm ',' use ',' pay ' , '']</v>
      </c>
      <c r="D1682" s="3">
        <v>3.0</v>
      </c>
    </row>
    <row r="1683" ht="15.75" customHeight="1">
      <c r="A1683" s="1">
        <v>1681.0</v>
      </c>
      <c r="B1683" s="3" t="s">
        <v>1683</v>
      </c>
      <c r="C1683" s="3" t="str">
        <f>IFERROR(__xludf.DUMMYFUNCTION("GOOGLETRANSLATE(B1683,""id"",""en"")"),"['application', 'signal', 'area', 'difficult', 'smooth', 'a week', 'signal', 'ugly', 'disruption', 'users',' Telkomsel ',' area ',' Experiencing ',' open ',' application ',' Google ',' Play ',' Store ',' Crome ',' WhatsApp ',' Slow ',' Meeting ',' Instagr"&amp;"am ',' Facebook ',' Game ' , 'Etc.', 'difficult', 'open', 'signal', 'slow', ""]")</f>
        <v>['application', 'signal', 'area', 'difficult', 'smooth', 'a week', 'signal', 'ugly', 'disruption', 'users',' Telkomsel ',' area ',' Experiencing ',' open ',' application ',' Google ',' Play ',' Store ',' Crome ',' WhatsApp ',' Slow ',' Meeting ',' Instagram ',' Facebook ',' Game ' , 'Etc.', 'difficult', 'open', 'signal', 'slow', "]</v>
      </c>
      <c r="D1683" s="3">
        <v>2.0</v>
      </c>
    </row>
    <row r="1684" ht="15.75" customHeight="1">
      <c r="A1684" s="1">
        <v>1682.0</v>
      </c>
      <c r="B1684" s="3" t="s">
        <v>1684</v>
      </c>
      <c r="C1684" s="3" t="str">
        <f>IFERROR(__xludf.DUMMYFUNCTION("GOOGLETRANSLATE(B1684,""id"",""en"")"),"['What', 'Tsel', 'Please', 'Help', 'Times',' Claim ',' Package ',' Daily ',' Check ',' Then ',' Credit ',' Berkrg ',' times', 'uda', 'gmna', 'direction', 'system', 'daily', 'check', 'can', 'package', 'pulse', 'berkrg', 'mending', 'uda' , 'restart', 'pulse"&amp;"', 'ttap', 'berkrg', 'until', 'leftover', ""]")</f>
        <v>['What', 'Tsel', 'Please', 'Help', 'Times',' Claim ',' Package ',' Daily ',' Check ',' Then ',' Credit ',' Berkrg ',' times', 'uda', 'gmna', 'direction', 'system', 'daily', 'check', 'can', 'package', 'pulse', 'berkrg', 'mending', 'uda' , 'restart', 'pulse', 'ttap', 'berkrg', 'until', 'leftover', "]</v>
      </c>
      <c r="D1684" s="3">
        <v>2.0</v>
      </c>
    </row>
    <row r="1685" ht="15.75" customHeight="1">
      <c r="A1685" s="1">
        <v>1683.0</v>
      </c>
      <c r="B1685" s="3" t="s">
        <v>1685</v>
      </c>
      <c r="C1685" s="3" t="str">
        <f>IFERROR(__xludf.DUMMYFUNCTION("GOOGLETRANSLATE(B1685,""id"",""en"")"),"['buy', 'package', 'data', 'Telkomsel', 'payment', 'link', 'number', 'payment', 'managed', 'package', 'data', 'enter', ' ']")</f>
        <v>['buy', 'package', 'data', 'Telkomsel', 'payment', 'link', 'number', 'payment', 'managed', 'package', 'data', 'enter', ' ']</v>
      </c>
      <c r="D1685" s="3">
        <v>1.0</v>
      </c>
    </row>
    <row r="1686" ht="15.75" customHeight="1">
      <c r="A1686" s="1">
        <v>1684.0</v>
      </c>
      <c r="B1686" s="3" t="s">
        <v>1686</v>
      </c>
      <c r="C1686" s="3" t="str">
        <f>IFERROR(__xludf.DUMMYFUNCTION("GOOGLETRANSLATE(B1686,""id"",""en"")"),"['Thinking', 'Thinking', 'Deh', 'Skrg', 'Use', 'Telkomsel', 'Network', 'Threat', 'Complain', 'Many', 'Times',' Action ',' Gain ',' CMA ',' Kash ',' Complain ',' Results']")</f>
        <v>['Thinking', 'Thinking', 'Deh', 'Skrg', 'Use', 'Telkomsel', 'Network', 'Threat', 'Complain', 'Many', 'Times',' Action ',' Gain ',' CMA ',' Kash ',' Complain ',' Results']</v>
      </c>
      <c r="D1686" s="3">
        <v>1.0</v>
      </c>
    </row>
    <row r="1687" ht="15.75" customHeight="1">
      <c r="A1687" s="1">
        <v>1685.0</v>
      </c>
      <c r="B1687" s="3" t="s">
        <v>1687</v>
      </c>
      <c r="C1687" s="3" t="str">
        <f>IFERROR(__xludf.DUMMYFUNCTION("GOOGLETRANSLATE(B1687,""id"",""en"")"),"['package', 'buy', 'sii', 'package', 'unlimited', 'package', 'booster', 'Langanan', 'vain', 'sain', 'contents',' pulses', ' Buy ',' Package ',' ']")</f>
        <v>['package', 'buy', 'sii', 'package', 'unlimited', 'package', 'booster', 'Langanan', 'vain', 'sain', 'contents',' pulses', ' Buy ',' Package ',' ']</v>
      </c>
      <c r="D1687" s="3">
        <v>1.0</v>
      </c>
    </row>
    <row r="1688" ht="15.75" customHeight="1">
      <c r="A1688" s="1">
        <v>1686.0</v>
      </c>
      <c r="B1688" s="3" t="s">
        <v>1688</v>
      </c>
      <c r="C1688" s="3" t="str">
        <f>IFERROR(__xludf.DUMMYFUNCTION("GOOGLETRANSLATE(B1688,""id"",""en"")"),"['', 'Please', 'fix', 'system', 'login', 'reset', 'already', 'try', 'times',' login ',' tetep ',' reading ',' link ',' Invalid ',' Expired ',' Clear ',' Cache ',' Clear ',' Data ',' Tetep ',' Read ',' Link ',' Invalid ',' Expired ',' Login ']")</f>
        <v>['', 'Please', 'fix', 'system', 'login', 'reset', 'already', 'try', 'times',' login ',' tetep ',' reading ',' link ',' Invalid ',' Expired ',' Clear ',' Cache ',' Clear ',' Data ',' Tetep ',' Read ',' Link ',' Invalid ',' Expired ',' Login ']</v>
      </c>
      <c r="D1688" s="3">
        <v>1.0</v>
      </c>
    </row>
    <row r="1689" ht="15.75" customHeight="1">
      <c r="A1689" s="1">
        <v>1687.0</v>
      </c>
      <c r="B1689" s="3" t="s">
        <v>1689</v>
      </c>
      <c r="C1689" s="3" t="str">
        <f>IFERROR(__xludf.DUMMYFUNCTION("GOOGLETRANSLATE(B1689,""id"",""en"")"),"['Fix', 'Donk', 'Quality', 'The network', 'CMN', 'Uodate', 'package', 'internet', 'language', 'unlimited', 'proof', 'open', ' Application ',' CMN ',' Loadiiiiiiiiiii, 'Bad', 'Quality', 'Network', 'Atambua', 'NTT', 'NTT', '']")</f>
        <v>['Fix', 'Donk', 'Quality', 'The network', 'CMN', 'Uodate', 'package', 'internet', 'language', 'unlimited', 'proof', 'open', ' Application ',' CMN ',' Loadiiiiiiiiiii, 'Bad', 'Quality', 'Network', 'Atambua', 'NTT', 'NTT', '']</v>
      </c>
      <c r="D1689" s="3">
        <v>1.0</v>
      </c>
    </row>
    <row r="1690" ht="15.75" customHeight="1">
      <c r="A1690" s="1">
        <v>1688.0</v>
      </c>
      <c r="B1690" s="3" t="s">
        <v>1690</v>
      </c>
      <c r="C1690" s="3" t="str">
        <f>IFERROR(__xludf.DUMMYFUNCTION("GOOGLETRANSLATE(B1690,""id"",""en"")"),"['Daily', 'Check', 'Ngg', 'Claim', 'Please', 'Repaired', 'Bug', 'Bug', 'Udh', 'Fix', 'Star', 'Ride', ' times', 'love', 'star', 'thank you']")</f>
        <v>['Daily', 'Check', 'Ngg', 'Claim', 'Please', 'Repaired', 'Bug', 'Bug', 'Udh', 'Fix', 'Star', 'Ride', ' times', 'love', 'star', 'thank you']</v>
      </c>
      <c r="D1690" s="3">
        <v>1.0</v>
      </c>
    </row>
    <row r="1691" ht="15.75" customHeight="1">
      <c r="A1691" s="1">
        <v>1689.0</v>
      </c>
      <c r="B1691" s="3" t="s">
        <v>1691</v>
      </c>
      <c r="C1691" s="3" t="str">
        <f>IFERROR(__xludf.DUMMYFUNCTION("GOOGLETRANSLATE(B1691,""id"",""en"")"),"['TELKOMSE', 'Please', 'fix', 'network', 'stable', 'slow', 'loding', 'sunguh', 'disappointed', 'Telkomsel', 'disappointing', 'first', ' Please, 'Follow', 'Naises', 'Network', 'Deputy', 'Thank you']")</f>
        <v>['TELKOMSE', 'Please', 'fix', 'network', 'stable', 'slow', 'loding', 'sunguh', 'disappointed', 'Telkomsel', 'disappointing', 'first', ' Please, 'Follow', 'Naises', 'Network', 'Deputy', 'Thank you']</v>
      </c>
      <c r="D1691" s="3">
        <v>1.0</v>
      </c>
    </row>
    <row r="1692" ht="15.75" customHeight="1">
      <c r="A1692" s="1">
        <v>1690.0</v>
      </c>
      <c r="B1692" s="3" t="s">
        <v>1692</v>
      </c>
      <c r="C1692" s="3" t="str">
        <f>IFERROR(__xludf.DUMMYFUNCTION("GOOGLETRANSLATE(B1692,""id"",""en"")"),"['Assalamu', 'alaikum', 'permission', 'Telkomsel', 'opened', 'connection', 'stable', 'please', 'repeat', 'weeks', 'week "",' Please ',' Confirmation ',' Sis', 'Thank you']")</f>
        <v>['Assalamu', 'alaikum', 'permission', 'Telkomsel', 'opened', 'connection', 'stable', 'please', 'repeat', 'weeks', 'week ",' Please ',' Confirmation ',' Sis', 'Thank you']</v>
      </c>
      <c r="D1692" s="3">
        <v>5.0</v>
      </c>
    </row>
    <row r="1693" ht="15.75" customHeight="1">
      <c r="A1693" s="1">
        <v>1691.0</v>
      </c>
      <c r="B1693" s="3" t="s">
        <v>1693</v>
      </c>
      <c r="C1693" s="3" t="str">
        <f>IFERROR(__xludf.DUMMYFUNCTION("GOOGLETRANSLATE(B1693,""id"",""en"")"),"['It's easy', 'access',' network ',' location ',' hopefully ',' Telkomsel ',' convenience ',' community ',' child ',' school ',' pandemic ',' process', ' Learning ',' Online ',' Online ',' Success', 'Telkomsel', 'Besides',' Telkomsel ',' Bored ',' Promo '"&amp;",' Costumer ',' Customer ',' User ',' Network ' , 'Telkomsel', 'users', 'Telkomsel', 'use', 'network', 'Telkomsel', 'pennantelkomsel', 'feel it']")</f>
        <v>['It's easy', 'access',' network ',' location ',' hopefully ',' Telkomsel ',' convenience ',' community ',' child ',' school ',' pandemic ',' process', ' Learning ',' Online ',' Online ',' Success', 'Telkomsel', 'Besides',' Telkomsel ',' Bored ',' Promo ',' Costumer ',' Customer ',' User ',' Network ' , 'Telkomsel', 'users', 'Telkomsel', 'use', 'network', 'Telkomsel', 'pennantelkomsel', 'feel it']</v>
      </c>
      <c r="D1693" s="3">
        <v>5.0</v>
      </c>
    </row>
    <row r="1694" ht="15.75" customHeight="1">
      <c r="A1694" s="1">
        <v>1692.0</v>
      </c>
      <c r="B1694" s="3" t="s">
        <v>1694</v>
      </c>
      <c r="C1694" s="3" t="str">
        <f>IFERROR(__xludf.DUMMYFUNCTION("GOOGLETRANSLATE(B1694,""id"",""en"")"),"['Please', 'sorry', 'love', 'star', 'APK', 'good', 'promo', 'right', 'buy', 'package', 'promo', 'expiration', ' the package ',' buy ',' please ',' admin ',' fix ',' package ',' promo ',' buy ',' thank ',' love ',' ']")</f>
        <v>['Please', 'sorry', 'love', 'star', 'APK', 'good', 'promo', 'right', 'buy', 'package', 'promo', 'expiration', ' the package ',' buy ',' please ',' admin ',' fix ',' package ',' promo ',' buy ',' thank ',' love ',' ']</v>
      </c>
      <c r="D1694" s="3">
        <v>2.0</v>
      </c>
    </row>
    <row r="1695" ht="15.75" customHeight="1">
      <c r="A1695" s="1">
        <v>1693.0</v>
      </c>
      <c r="B1695" s="3" t="s">
        <v>1695</v>
      </c>
      <c r="C1695" s="3" t="str">
        <f>IFERROR(__xludf.DUMMYFUNCTION("GOOGLETRANSLATE(B1695,""id"",""en"")"),"['Charging', 'anything', 'application', 'error', 'balance', 'enter', 'transaction', 'success', 'wallet', 'recorded', 'application']")</f>
        <v>['Charging', 'anything', 'application', 'error', 'balance', 'enter', 'transaction', 'success', 'wallet', 'recorded', 'application']</v>
      </c>
      <c r="D1695" s="3">
        <v>1.0</v>
      </c>
    </row>
    <row r="1696" ht="15.75" customHeight="1">
      <c r="A1696" s="1">
        <v>1694.0</v>
      </c>
      <c r="B1696" s="3" t="s">
        <v>1696</v>
      </c>
      <c r="C1696" s="3" t="str">
        <f>IFERROR(__xludf.DUMMYFUNCTION("GOOGLETRANSLATE(B1696,""id"",""en"")"),"['Just', 'contents',' pulse ',' rb ',' buy ',' package ',' combo ',' rb ',' balance ',' leftover ',' rb ',' rb ',' the rest of ',' pulse ',' seblm ',' blm ',' gini ',' info ',' admin ',' disappointed ']")</f>
        <v>['Just', 'contents',' pulse ',' rb ',' buy ',' package ',' combo ',' rb ',' balance ',' leftover ',' rb ',' rb ',' the rest of ',' pulse ',' seblm ',' blm ',' gini ',' info ',' admin ',' disappointed ']</v>
      </c>
      <c r="D1696" s="3">
        <v>1.0</v>
      </c>
    </row>
    <row r="1697" ht="15.75" customHeight="1">
      <c r="A1697" s="1">
        <v>1695.0</v>
      </c>
      <c r="B1697" s="3" t="s">
        <v>1697</v>
      </c>
      <c r="C1697" s="3" t="str">
        <f>IFERROR(__xludf.DUMMYFUNCTION("GOOGLETRANSLATE(B1697,""id"",""en"")"),"['pulse', 'thousand', 'stall', 'next door', 'already', 'get', 'quota', 'quota', 'main', 'different', 'ama', 'thousand', ' quota ',' main ',' quota ',' local ',' city ',' quota ',' local ',' use ', ""]")</f>
        <v>['pulse', 'thousand', 'stall', 'next door', 'already', 'get', 'quota', 'quota', 'main', 'different', 'ama', 'thousand', ' quota ',' main ',' quota ',' local ',' city ',' quota ',' local ',' use ', "]</v>
      </c>
      <c r="D1697" s="3">
        <v>3.0</v>
      </c>
    </row>
    <row r="1698" ht="15.75" customHeight="1">
      <c r="A1698" s="1">
        <v>1696.0</v>
      </c>
      <c r="B1698" s="3" t="s">
        <v>1698</v>
      </c>
      <c r="C1698" s="3" t="str">
        <f>IFERROR(__xludf.DUMMYFUNCTION("GOOGLETRANSLATE(B1698,""id"",""en"")"),"['reply', 'email', 'Facebook', 'twiter', 'yabg', 'bot', ""]")</f>
        <v>['reply', 'email', 'Facebook', 'twiter', 'yabg', 'bot', "]</v>
      </c>
      <c r="D1698" s="3">
        <v>1.0</v>
      </c>
    </row>
    <row r="1699" ht="15.75" customHeight="1">
      <c r="A1699" s="1">
        <v>1697.0</v>
      </c>
      <c r="B1699" s="3" t="s">
        <v>1699</v>
      </c>
      <c r="C1699" s="3" t="str">
        <f>IFERROR(__xludf.DUMMYFUNCTION("GOOGLETRANSLATE(B1699,""id"",""en"")"),"['signal', 'poor', 'maen', 'game', 'online', 'guaranteed', 'lose', 'try', 'use', 'provider', 'daaan', 'good', ' Stable ',' Telkomsel ',' Contact ',' Try ',' Price ',' Enter ',' Word ',' Good ', ""]")</f>
        <v>['signal', 'poor', 'maen', 'game', 'online', 'guaranteed', 'lose', 'try', 'use', 'provider', 'daaan', 'good', ' Stable ',' Telkomsel ',' Contact ',' Try ',' Price ',' Enter ',' Word ',' Good ', "]</v>
      </c>
      <c r="D1699" s="3">
        <v>1.0</v>
      </c>
    </row>
    <row r="1700" ht="15.75" customHeight="1">
      <c r="A1700" s="1">
        <v>1698.0</v>
      </c>
      <c r="B1700" s="3" t="s">
        <v>1700</v>
      </c>
      <c r="C1700" s="3" t="str">
        <f>IFERROR(__xludf.DUMMYFUNCTION("GOOGLETRANSLATE(B1700,""id"",""en"")"),"['disappointed', 'application', 'bug', 'application', 'sometimes',' open ',' application ',' performance ',' hard ',' hot ',' application ',' not ',' responding ',' stuck ',' sudden ',' peak ',' sudden ',' hot ',' dead ',' after ',' life ',' broken ',' sc"&amp;"reen ',' leave ',' used ' , 'Shadow', 'Burn', 'Samsung', 'Galaxy', 'Note', 'Used', 'Play', 'Game', 'Sosmed', 'Thanks', ""]")</f>
        <v>['disappointed', 'application', 'bug', 'application', 'sometimes',' open ',' application ',' performance ',' hard ',' hot ',' application ',' not ',' responding ',' stuck ',' sudden ',' peak ',' sudden ',' hot ',' dead ',' after ',' life ',' broken ',' screen ',' leave ',' used ' , 'Shadow', 'Burn', 'Samsung', 'Galaxy', 'Note', 'Used', 'Play', 'Game', 'Sosmed', 'Thanks', "]</v>
      </c>
      <c r="D1700" s="3">
        <v>1.0</v>
      </c>
    </row>
    <row r="1701" ht="15.75" customHeight="1">
      <c r="A1701" s="1">
        <v>1699.0</v>
      </c>
      <c r="B1701" s="3" t="s">
        <v>1701</v>
      </c>
      <c r="C1701" s="3" t="str">
        <f>IFERROR(__xludf.DUMMYFUNCTION("GOOGLETRANSLATE(B1701,""id"",""en"")"),"['Package', 'unlimited', 'game', 'Lemod', 'really', 'hard', 'no', 'play', 'Please', 'fix', 'disappointed', ""]")</f>
        <v>['Package', 'unlimited', 'game', 'Lemod', 'really', 'hard', 'no', 'play', 'Please', 'fix', 'disappointed', "]</v>
      </c>
      <c r="D1701" s="3">
        <v>1.0</v>
      </c>
    </row>
    <row r="1702" ht="15.75" customHeight="1">
      <c r="A1702" s="1">
        <v>1700.0</v>
      </c>
      <c r="B1702" s="3" t="s">
        <v>1702</v>
      </c>
      <c r="C1702" s="3" t="str">
        <f>IFERROR(__xludf.DUMMYFUNCTION("GOOGLETRANSLATE(B1702,""id"",""en"")"),"['Disappointed', 'bet', 'oath', 'number', 'dead', 'week', 'contents',' credit ',' extension ',' card ',' Udh ',' APK ',' Telkomsel ',' error ',' gabisa ',' opened ',' writing ',' network ',' emg ',' ngentd ']")</f>
        <v>['Disappointed', 'bet', 'oath', 'number', 'dead', 'week', 'contents',' credit ',' extension ',' card ',' Udh ',' APK ',' Telkomsel ',' error ',' gabisa ',' opened ',' writing ',' network ',' emg ',' ngentd ']</v>
      </c>
      <c r="D1702" s="3">
        <v>1.0</v>
      </c>
    </row>
    <row r="1703" ht="15.75" customHeight="1">
      <c r="A1703" s="1">
        <v>1701.0</v>
      </c>
      <c r="B1703" s="3" t="s">
        <v>1703</v>
      </c>
      <c r="C1703" s="3" t="str">
        <f>IFERROR(__xludf.DUMMYFUNCTION("GOOGLETRANSLATE(B1703,""id"",""en"")"),"['buy', 'package', 'MB', 'a day', 'already', 'dipake', 'enter', 'a day', 'clock', 'a day', 'clock', 'quota', ' She ',' MB ',' Sebel ']")</f>
        <v>['buy', 'package', 'MB', 'a day', 'already', 'dipake', 'enter', 'a day', 'clock', 'a day', 'clock', 'quota', ' She ',' MB ',' Sebel ']</v>
      </c>
      <c r="D1703" s="3">
        <v>1.0</v>
      </c>
    </row>
    <row r="1704" ht="15.75" customHeight="1">
      <c r="A1704" s="1">
        <v>1702.0</v>
      </c>
      <c r="B1704" s="3" t="s">
        <v>1704</v>
      </c>
      <c r="C1704" s="3" t="str">
        <f>IFERROR(__xludf.DUMMYFUNCTION("GOOGLETRANSLATE(B1704,""id"",""en"")"),"['Network', 'Bad', 'Claim', 'Saidak', 'Telkomsel', 'Via', 'APK', 'told', 'Macem', 'Macem', 'Kaga', 'tip', ' Network ',' Tetep ',' Bad ',' Buy ',' Quota ',' Internet ',' APK ',' Direct ',' Edge ',' Credit ',' Direct ',' Reduced ',' Nomer ' , 'Direct', 'cav"&amp;"e', 'replace', 'report', 'telkom', 'back', 'network', ""]")</f>
        <v>['Network', 'Bad', 'Claim', 'Saidak', 'Telkomsel', 'Via', 'APK', 'told', 'Macem', 'Macem', 'Kaga', 'tip', ' Network ',' Tetep ',' Bad ',' Buy ',' Quota ',' Internet ',' APK ',' Direct ',' Edge ',' Credit ',' Direct ',' Reduced ',' Nomer ' , 'Direct', 'cave', 'replace', 'report', 'telkom', 'back', 'network', "]</v>
      </c>
      <c r="D1704" s="3">
        <v>1.0</v>
      </c>
    </row>
    <row r="1705" ht="15.75" customHeight="1">
      <c r="A1705" s="1">
        <v>1703.0</v>
      </c>
      <c r="B1705" s="3" t="s">
        <v>1705</v>
      </c>
      <c r="C1705" s="3" t="str">
        <f>IFERROR(__xludf.DUMMYFUNCTION("GOOGLETRANSLATE(B1705,""id"",""en"")"),"['buy', 'package', 'internet', 'week', 'thousand', 'get', 'promo', 'told', 'buy', 'Telkomsel', 'right', 'already', ' finished ',' pay ',' get ',' message ',' notification ',' told ',' wait ',' minute ',' tried ',' minute ',' told ',' wait ',' please ' , '"&amp;"really', 'learn', 'preparation', 'exam', 'like', 'gini', 'inhibits',' detrimental ',' already ',' contents', 'pulses',' directly ',' no ',' told ',' check ',' email ',' Lahh ',' Lahh ',' tip ',' end ',' response ', ""]")</f>
        <v>['buy', 'package', 'internet', 'week', 'thousand', 'get', 'promo', 'told', 'buy', 'Telkomsel', 'right', 'already', ' finished ',' pay ',' get ',' message ',' notification ',' told ',' wait ',' minute ',' tried ',' minute ',' told ',' wait ',' please ' , 'really', 'learn', 'preparation', 'exam', 'like', 'gini', 'inhibits',' detrimental ',' already ',' contents', 'pulses',' directly ',' no ',' told ',' check ',' email ',' Lahh ',' Lahh ',' tip ',' end ',' response ', "]</v>
      </c>
      <c r="D1705" s="3">
        <v>1.0</v>
      </c>
    </row>
    <row r="1706" ht="15.75" customHeight="1">
      <c r="A1706" s="1">
        <v>1704.0</v>
      </c>
      <c r="B1706" s="3" t="s">
        <v>1706</v>
      </c>
      <c r="C1706" s="3" t="str">
        <f>IFERROR(__xludf.DUMMYFUNCTION("GOOGLETRANSLATE(B1706,""id"",""en"")"),"['game', 'ugly', 'boong']")</f>
        <v>['game', 'ugly', 'boong']</v>
      </c>
      <c r="D1706" s="3">
        <v>1.0</v>
      </c>
    </row>
    <row r="1707" ht="15.75" customHeight="1">
      <c r="A1707" s="1">
        <v>1705.0</v>
      </c>
      <c r="B1707" s="3" t="s">
        <v>1707</v>
      </c>
      <c r="C1707" s="3" t="str">
        <f>IFERROR(__xludf.DUMMYFUNCTION("GOOGLETRANSLATE(B1707,""id"",""en"")"),"['network', 'Telkomsel', 'here', 'guarantee', 'smooth', 'internet', 'use', 'have', 'complaint', 'enter', 'account', 'number', ' Enter ',' account ',' Telkomsel ',' here ',' difficult ',' makes it easier ',' best ',' defense ']")</f>
        <v>['network', 'Telkomsel', 'here', 'guarantee', 'smooth', 'internet', 'use', 'have', 'complaint', 'enter', 'account', 'number', ' Enter ',' account ',' Telkomsel ',' here ',' difficult ',' makes it easier ',' best ',' defense ']</v>
      </c>
      <c r="D1707" s="3">
        <v>2.0</v>
      </c>
    </row>
    <row r="1708" ht="15.75" customHeight="1">
      <c r="A1708" s="1">
        <v>1706.0</v>
      </c>
      <c r="B1708" s="3" t="s">
        <v>1708</v>
      </c>
      <c r="C1708" s="3" t="str">
        <f>IFERROR(__xludf.DUMMYFUNCTION("GOOGLETRANSLATE(B1708,""id"",""en"")"),"['trapping', 'customers',' buy ',' package ',' corporate ',' quota ',' local ',' used ',' apply ',' package ',' emang ',' area ',' Elu ',' promotionin ',' I ',' ']")</f>
        <v>['trapping', 'customers',' buy ',' package ',' corporate ',' quota ',' local ',' used ',' apply ',' package ',' emang ',' area ',' Elu ',' promotionin ',' I ',' ']</v>
      </c>
      <c r="D1708" s="3">
        <v>2.0</v>
      </c>
    </row>
    <row r="1709" ht="15.75" customHeight="1">
      <c r="A1709" s="1">
        <v>1707.0</v>
      </c>
      <c r="B1709" s="3" t="s">
        <v>1709</v>
      </c>
      <c r="C1709" s="3" t="str">
        <f>IFERROR(__xludf.DUMMYFUNCTION("GOOGLETRANSLATE(B1709,""id"",""en"")"),"['buy', 'kouta', 'situ', 'written', 'process', 'notifkasi', 'kouta', 'enter', 'please', 'fix', 'network', 'slow']")</f>
        <v>['buy', 'kouta', 'situ', 'written', 'process', 'notifkasi', 'kouta', 'enter', 'please', 'fix', 'network', 'slow']</v>
      </c>
      <c r="D1709" s="3">
        <v>3.0</v>
      </c>
    </row>
    <row r="1710" ht="15.75" customHeight="1">
      <c r="A1710" s="1">
        <v>1708.0</v>
      </c>
      <c r="B1710" s="3" t="s">
        <v>1710</v>
      </c>
      <c r="C1710" s="3" t="str">
        <f>IFERROR(__xludf.DUMMYFUNCTION("GOOGLETRANSLATE(B1710,""id"",""en"")"),"['Disappointed', 'buy', 'package', 'night', 'connection', 'stable', 'dlu', 'smooth', 'Jaya', 'please', 'understand', 'download', ' Game ',' tens', 'JDI', 'Cancel', 'Gara', 'Download', 'Weather', 'Stable', 'Disruption', 'Connect', 'Slow', 'Sia', 'Buy' , 'P"&amp;"ackage', 'night', 'disappointed', '']")</f>
        <v>['Disappointed', 'buy', 'package', 'night', 'connection', 'stable', 'dlu', 'smooth', 'Jaya', 'please', 'understand', 'download', ' Game ',' tens', 'JDI', 'Cancel', 'Gara', 'Download', 'Weather', 'Stable', 'Disruption', 'Connect', 'Slow', 'Sia', 'Buy' , 'Package', 'night', 'disappointed', '']</v>
      </c>
      <c r="D1710" s="3">
        <v>1.0</v>
      </c>
    </row>
    <row r="1711" ht="15.75" customHeight="1">
      <c r="A1711" s="1">
        <v>1709.0</v>
      </c>
      <c r="B1711" s="3" t="s">
        <v>1711</v>
      </c>
      <c r="C1711" s="3" t="str">
        <f>IFERROR(__xludf.DUMMYFUNCTION("GOOGLETRANSLATE(B1711,""id"",""en"")"),"['Actually', 'Telkomsel', 'intention', 'love', 'bonus',' love ',' bonus', 'signs',' no ',' use ',' internet ',' slow ',' update ',' apk ',' spent ',' benerin ',' quota ',' package ',' run out ',' event ',' suck ',' suck ',' pulse ',' stay ' , 'Disconnect'"&amp;", 'internet', 'Doang', 'wonder', 'card', 'safe', 'suck', 'suck', 'number', 'gift', 'parents',' udh ',' throw away', '']")</f>
        <v>['Actually', 'Telkomsel', 'intention', 'love', 'bonus',' love ',' bonus', 'signs',' no ',' use ',' internet ',' slow ',' update ',' apk ',' spent ',' benerin ',' quota ',' package ',' run out ',' event ',' suck ',' suck ',' pulse ',' stay ' , 'Disconnect', 'internet', 'Doang', 'wonder', 'card', 'safe', 'suck', 'suck', 'number', 'gift', 'parents',' udh ',' throw away', '']</v>
      </c>
      <c r="D1711" s="3">
        <v>1.0</v>
      </c>
    </row>
    <row r="1712" ht="15.75" customHeight="1">
      <c r="A1712" s="1">
        <v>1710.0</v>
      </c>
      <c r="B1712" s="3" t="s">
        <v>1712</v>
      </c>
      <c r="C1712" s="3" t="str">
        <f>IFERROR(__xludf.DUMMYFUNCTION("GOOGLETRANSLATE(B1712,""id"",""en"")"),"['', 'network', 'quality', 'severe', 'abis',' buy ',' package ',' anything ',' make sure ',' pulse ',' leftover ',' pulses', 'left ',' Live ',' Wait ',' Wkt ​​',' Telkomsel ',' Tarihara ',' Leoples', 'Special', 'Curi', 'Credit', ""]")</f>
        <v>['', 'network', 'quality', 'severe', 'abis',' buy ',' package ',' anything ',' make sure ',' pulse ',' leftover ',' pulses', 'left ',' Live ',' Wait ',' Wkt ​​',' Telkomsel ',' Tarihara ',' Leoples', 'Special', 'Curi', 'Credit', "]</v>
      </c>
      <c r="D1712" s="3">
        <v>1.0</v>
      </c>
    </row>
    <row r="1713" ht="15.75" customHeight="1">
      <c r="A1713" s="1">
        <v>1711.0</v>
      </c>
      <c r="B1713" s="3" t="s">
        <v>1713</v>
      </c>
      <c r="C1713" s="3" t="str">
        <f>IFERROR(__xludf.DUMMYFUNCTION("GOOGLETRANSLATE(B1713,""id"",""en"")"),"['Proveider', 'Suitable', 'People', 'Rich', 'Doank', 'Price', 'Package', 'Internet', 'Expensive', 'Get', 'Quota', 'Doank', ' Eating ',' pulse ',' buy ',' package ',' Next ',' Time ',' quota ',' price ',' promo ',' quota ',' enter ',' sense ',' appeal ' , "&amp;"'Price', 'Eeeeh', 'connection', 'Kayak', 'Siputttt', 'Leleeeet', 'Pantes',' mah ',' proveider ',' old ',' good ',' Telfon ',' ama ',' sms', 'doank', 'internet', 'mah', 'circles',' doank ',' people ',' mah ',' kagak ', ""]")</f>
        <v>['Proveider', 'Suitable', 'People', 'Rich', 'Doank', 'Price', 'Package', 'Internet', 'Expensive', 'Get', 'Quota', 'Doank', ' Eating ',' pulse ',' buy ',' package ',' Next ',' Time ',' quota ',' price ',' promo ',' quota ',' enter ',' sense ',' appeal ' , 'Price', 'Eeeeh', 'connection', 'Kayak', 'Siputttt', 'Leleeeet', 'Pantes',' mah ',' proveider ',' old ',' good ',' Telfon ',' ama ',' sms', 'doank', 'internet', 'mah', 'circles',' doank ',' people ',' mah ',' kagak ', "]</v>
      </c>
      <c r="D1713" s="3">
        <v>1.0</v>
      </c>
    </row>
    <row r="1714" ht="15.75" customHeight="1">
      <c r="A1714" s="1">
        <v>1712.0</v>
      </c>
      <c r="B1714" s="3" t="s">
        <v>1714</v>
      </c>
      <c r="C1714" s="3" t="str">
        <f>IFERROR(__xludf.DUMMYFUNCTION("GOOGLETRANSLATE(B1714,""id"",""en"")"),"['love', 'Star', 'fill', 'data', 'GB', 'ulimited', 'data', 'already', 'data', 'fill in', 'pulse', 'please', ' Telkomsel ',' fix ']")</f>
        <v>['love', 'Star', 'fill', 'data', 'GB', 'ulimited', 'data', 'already', 'data', 'fill in', 'pulse', 'please', ' Telkomsel ',' fix ']</v>
      </c>
      <c r="D1714" s="3">
        <v>5.0</v>
      </c>
    </row>
    <row r="1715" ht="15.75" customHeight="1">
      <c r="A1715" s="1">
        <v>1713.0</v>
      </c>
      <c r="B1715" s="3" t="s">
        <v>1715</v>
      </c>
      <c r="C1715" s="3" t="str">
        <f>IFERROR(__xludf.DUMMYFUNCTION("GOOGLETRANSLATE(B1715,""id"",""en"")"),"['payment', 'link', 'how', 'times', 'send', 'email', 'response', 'severe']")</f>
        <v>['payment', 'link', 'how', 'times', 'send', 'email', 'response', 'severe']</v>
      </c>
      <c r="D1715" s="3">
        <v>1.0</v>
      </c>
    </row>
    <row r="1716" ht="15.75" customHeight="1">
      <c r="A1716" s="1">
        <v>1714.0</v>
      </c>
      <c r="B1716" s="3" t="s">
        <v>1716</v>
      </c>
      <c r="C1716" s="3" t="str">
        <f>IFERROR(__xludf.DUMMYFUNCTION("GOOGLETRANSLATE(B1716,""id"",""en"")"),"['buy', 'quota', 'Thousand', 'thousand', 'rupiah', 'run out', 'AKTIP', 'clock', 'clock', 'run out', 'quota', 'buy', ' package ',' quota ',' thousand ',' Telkomsel ',' date ',' run out ',' change ',' buy ',' reset ',' package ',' luck ',' Telkomsel ',' buy"&amp;" ' , 'reset', 'package', 'leftover', 'minute', 'clock', 'already', 'run out', 'please', ""]")</f>
        <v>['buy', 'quota', 'Thousand', 'thousand', 'rupiah', 'run out', 'AKTIP', 'clock', 'clock', 'run out', 'quota', 'buy', ' package ',' quota ',' thousand ',' Telkomsel ',' date ',' run out ',' change ',' buy ',' reset ',' package ',' luck ',' Telkomsel ',' buy ' , 'reset', 'package', 'leftover', 'minute', 'clock', 'already', 'run out', 'please', "]</v>
      </c>
      <c r="D1716" s="3">
        <v>1.0</v>
      </c>
    </row>
    <row r="1717" ht="15.75" customHeight="1">
      <c r="A1717" s="1">
        <v>1715.0</v>
      </c>
      <c r="B1717" s="3" t="s">
        <v>1717</v>
      </c>
      <c r="C1717" s="3" t="str">
        <f>IFERROR(__xludf.DUMMYFUNCTION("GOOGLETRANSLATE(B1717,""id"",""en"")"),"['What', 'wanted', 'buy', 'package', 'cheerful', 'yesterday', 'buy', 'package', 'unlimited', 'knpaaaa', 'please', 'minnn', ' Gini ',' mah ',' sain ',' contents', 'pulse', 'mending', 'buy', 'card', 'dri', 'buy', 'lngsung', 'dri', 'apk' , 'Nyaa', ""]")</f>
        <v>['What', 'wanted', 'buy', 'package', 'cheerful', 'yesterday', 'buy', 'package', 'unlimited', 'knpaaaa', 'please', 'minnn', ' Gini ',' mah ',' sain ',' contents', 'pulse', 'mending', 'buy', 'card', 'dri', 'buy', 'lngsung', 'dri', 'apk' , 'Nyaa', "]</v>
      </c>
      <c r="D1717" s="3">
        <v>1.0</v>
      </c>
    </row>
    <row r="1718" ht="15.75" customHeight="1">
      <c r="A1718" s="1">
        <v>1716.0</v>
      </c>
      <c r="B1718" s="3" t="s">
        <v>1718</v>
      </c>
      <c r="C1718" s="3" t="str">
        <f>IFERROR(__xludf.DUMMYFUNCTION("GOOGLETRANSLATE(B1718,""id"",""en"")"),"['package', 'tsel', 'cheerful', 'slow', 'promo', 'cheap', 'mending', 'promo', 'interesting', 'customer', 'customer', 'disappointed']")</f>
        <v>['package', 'tsel', 'cheerful', 'slow', 'promo', 'cheap', 'mending', 'promo', 'interesting', 'customer', 'customer', 'disappointed']</v>
      </c>
      <c r="D1718" s="3">
        <v>1.0</v>
      </c>
    </row>
    <row r="1719" ht="15.75" customHeight="1">
      <c r="A1719" s="1">
        <v>1717.0</v>
      </c>
      <c r="B1719" s="3" t="s">
        <v>1719</v>
      </c>
      <c r="C1719" s="3" t="str">
        <f>IFERROR(__xludf.DUMMYFUNCTION("GOOGLETRANSLATE(B1719,""id"",""en"")"),"['Suggestion', 'Points',' Telkomsel ',' Make ',' Voucher ',' Purchase ',' Package ',' Pumbelian ',' Package ',' Nominal ',' Package ',' Reduced ',' Expensive ',' Until ',' Points', 'MNDapat', 'GB', 'Collect', 'Points',' Requires', 'Credit', 'Certainly', '"&amp;"Impossible', 'Sampe', 'That Seight' , 'Considered', 'Useful', 'Mending', 'Points',' Can ',' MB ',' Waiting ',' Points', 'Consider', 'Quota', 'Backup', 'Process',' PEBELIAN ',' Package ',' Kmbali ',' Thanks']")</f>
        <v>['Suggestion', 'Points',' Telkomsel ',' Make ',' Voucher ',' Purchase ',' Package ',' Pumbelian ',' Package ',' Nominal ',' Package ',' Reduced ',' Expensive ',' Until ',' Points', 'MNDapat', 'GB', 'Collect', 'Points',' Requires', 'Credit', 'Certainly', 'Impossible', 'Sampe', 'That Seight' , 'Considered', 'Useful', 'Mending', 'Points',' Can ',' MB ',' Waiting ',' Points', 'Consider', 'Quota', 'Backup', 'Process',' PEBELIAN ',' Package ',' Kmbali ',' Thanks']</v>
      </c>
      <c r="D1719" s="3">
        <v>5.0</v>
      </c>
    </row>
    <row r="1720" ht="15.75" customHeight="1">
      <c r="A1720" s="1">
        <v>1718.0</v>
      </c>
      <c r="B1720" s="3" t="s">
        <v>1720</v>
      </c>
      <c r="C1720" s="3" t="str">
        <f>IFERROR(__xludf.DUMMYFUNCTION("GOOGLETRANSLATE(B1720,""id"",""en"")"),"['Telkomsel', 'Signal', 'Missing', 'Morning', 'Review', 'Change', 'users',' Telkomsel ',' Regions', 'experience', 'March', 'Regions',' Saribudolok ',' ']")</f>
        <v>['Telkomsel', 'Signal', 'Missing', 'Morning', 'Review', 'Change', 'users',' Telkomsel ',' Regions', 'experience', 'March', 'Regions',' Saribudolok ',' ']</v>
      </c>
      <c r="D1720" s="3">
        <v>1.0</v>
      </c>
    </row>
    <row r="1721" ht="15.75" customHeight="1">
      <c r="A1721" s="1">
        <v>1719.0</v>
      </c>
      <c r="B1721" s="3" t="s">
        <v>1721</v>
      </c>
      <c r="C1721" s="3" t="str">
        <f>IFERROR(__xludf.DUMMYFUNCTION("GOOGLETRANSLATE(B1721,""id"",""en"")"),"['times',' already ',' run out ',' patient ',' already ',' disappointed ',' really ',' network ',' ngak ',' ngotak ',' please ',' expand ',' network ',' Please ',' Mimin ',' Mimin ',' Bored ',' Wandenger ',' Dapet ',' Money ',' Delicious', 'Detinent', 'Mo"&amp;"ney', 'Network', 'ugly' , 'Mintak', 'forgiveness',' send ',' video ',' network ',' slow ',' send ',' Telkomsel ',' slow ',' network ',' Telkomsel ',' detrimental ',' Trima ',' ']")</f>
        <v>['times',' already ',' run out ',' patient ',' already ',' disappointed ',' really ',' network ',' ngak ',' ngotak ',' please ',' expand ',' network ',' Please ',' Mimin ',' Mimin ',' Bored ',' Wandenger ',' Dapet ',' Money ',' Delicious', 'Detinent', 'Money', 'Network', 'ugly' , 'Mintak', 'forgiveness',' send ',' video ',' network ',' slow ',' send ',' Telkomsel ',' slow ',' network ',' Telkomsel ',' detrimental ',' Trima ',' ']</v>
      </c>
      <c r="D1721" s="3">
        <v>1.0</v>
      </c>
    </row>
    <row r="1722" ht="15.75" customHeight="1">
      <c r="A1722" s="1">
        <v>1720.0</v>
      </c>
      <c r="B1722" s="3" t="s">
        <v>1722</v>
      </c>
      <c r="C1722" s="3" t="str">
        <f>IFERROR(__xludf.DUMMYFUNCTION("GOOGLETRANSLATE(B1722,""id"",""en"")"),"['Network', 'Telkomsel', 'lag', 'smooth', 'here', 'ugly', 'please', 'repaired', 'min', 'difficult', 'send', 'task', ' school ',' signal ',' slow ']")</f>
        <v>['Network', 'Telkomsel', 'lag', 'smooth', 'here', 'ugly', 'please', 'repaired', 'min', 'difficult', 'send', 'task', ' school ',' signal ',' slow ']</v>
      </c>
      <c r="D1722" s="3">
        <v>2.0</v>
      </c>
    </row>
    <row r="1723" ht="15.75" customHeight="1">
      <c r="A1723" s="1">
        <v>1721.0</v>
      </c>
      <c r="B1723" s="3" t="s">
        <v>1723</v>
      </c>
      <c r="C1723" s="3" t="str">
        <f>IFERROR(__xludf.DUMMYFUNCTION("GOOGLETRANSLATE(B1723,""id"",""en"")"),"['Congratulations', 'Ulamg', 'Telkomsel', 'Hopefully', 'Service', 'Best', 'Indonesia', 'City', 'Kota', 'Villages', 'Amin', '']")</f>
        <v>['Congratulations', 'Ulamg', 'Telkomsel', 'Hopefully', 'Service', 'Best', 'Indonesia', 'City', 'Kota', 'Villages', 'Amin', '']</v>
      </c>
      <c r="D1723" s="3">
        <v>4.0</v>
      </c>
    </row>
    <row r="1724" ht="15.75" customHeight="1">
      <c r="A1724" s="1">
        <v>1722.0</v>
      </c>
      <c r="B1724" s="3" t="s">
        <v>1724</v>
      </c>
      <c r="C1724" s="3" t="str">
        <f>IFERROR(__xludf.DUMMYFUNCTION("GOOGLETRANSLATE(B1724,""id"",""en"")"),"['Morning', 'buy', 'Package', 'Tel', 'Kring', 'Credit', 'Reduced', 'RB', 'Package', 'Tel', 'Active', 'PDAL', ' Confirm ',' Success', 'MHN', 'Info', 'complain', 'BRP', 'Congratulations',' Call ',' Unlimited ',' Tsel ',' MNT ',' Alloprays' , 'On', 'apply', "&amp;"'date', 'PKL', 'WIB', 'Get', 'Package', 'MyTelkomsel', '']")</f>
        <v>['Morning', 'buy', 'Package', 'Tel', 'Kring', 'Credit', 'Reduced', 'RB', 'Package', 'Tel', 'Active', 'PDAL', ' Confirm ',' Success', 'MHN', 'Info', 'complain', 'BRP', 'Congratulations',' Call ',' Unlimited ',' Tsel ',' MNT ',' Alloprays' , 'On', 'apply', 'date', 'PKL', 'WIB', 'Get', 'Package', 'MyTelkomsel', '']</v>
      </c>
      <c r="D1724" s="3">
        <v>5.0</v>
      </c>
    </row>
    <row r="1725" ht="15.75" customHeight="1">
      <c r="A1725" s="1">
        <v>1723.0</v>
      </c>
      <c r="B1725" s="3" t="s">
        <v>1725</v>
      </c>
      <c r="C1725" s="3" t="str">
        <f>IFERROR(__xludf.DUMMYFUNCTION("GOOGLETRANSLATE(B1725,""id"",""en"")"),"['Telkomsel', 'Severe', 'Price', 'Expensive', 'Empower', 'Network', 'Bad', 'Come on', 'Customize', 'Price', 'Jan', 'Disappointing', ' Customers', 'like']")</f>
        <v>['Telkomsel', 'Severe', 'Price', 'Expensive', 'Empower', 'Network', 'Bad', 'Come on', 'Customize', 'Price', 'Jan', 'Disappointing', ' Customers', 'like']</v>
      </c>
      <c r="D1725" s="3">
        <v>1.0</v>
      </c>
    </row>
    <row r="1726" ht="15.75" customHeight="1">
      <c r="A1726" s="1">
        <v>1724.0</v>
      </c>
      <c r="B1726" s="3" t="s">
        <v>1726</v>
      </c>
      <c r="C1726" s="3" t="str">
        <f>IFERROR(__xludf.DUMMYFUNCTION("GOOGLETRANSLATE(B1726,""id"",""en"")"),"['Please', 'Fix', 'Signal', 'Medan', 'Since', 'Fire', 'Office', 'Riau', 'Network', 'Crushed', 'Telkomsel', 'Providing', ' pulses', 'safe', 'run out', 'package', 'directly', 'pulse', 'keep', 'strange', 'pulse', 'thousand', 'finished', 'count', 'minutes' , "&amp;"'minutes', 'run out', 'pulses', 'appreciation', 'user', 'package', 'cheerful', 'raki', 'please', 'price', 'package', 'minimally']")</f>
        <v>['Please', 'Fix', 'Signal', 'Medan', 'Since', 'Fire', 'Office', 'Riau', 'Network', 'Crushed', 'Telkomsel', 'Providing', ' pulses', 'safe', 'run out', 'package', 'directly', 'pulse', 'keep', 'strange', 'pulse', 'thousand', 'finished', 'count', 'minutes' , 'minutes', 'run out', 'pulses', 'appreciation', 'user', 'package', 'cheerful', 'raki', 'please', 'price', 'package', 'minimally']</v>
      </c>
      <c r="D1726" s="3">
        <v>2.0</v>
      </c>
    </row>
    <row r="1727" ht="15.75" customHeight="1">
      <c r="A1727" s="1">
        <v>1725.0</v>
      </c>
      <c r="B1727" s="3" t="s">
        <v>1727</v>
      </c>
      <c r="C1727" s="3" t="str">
        <f>IFERROR(__xludf.DUMMYFUNCTION("GOOGLETRANSLATE(B1727,""id"",""en"")"),"['Telkomsel', 'already', 'kayak', 'signal', 'add', 'bad', 'buy', 'quota', 'GB', 'bulqn', 'buy', 'no', ' signal ',' it's oversal ',' cave ',' kalu ',' card ',' already ',' broken ',' burn ',' card ']")</f>
        <v>['Telkomsel', 'already', 'kayak', 'signal', 'add', 'bad', 'buy', 'quota', 'GB', 'bulqn', 'buy', 'no', ' signal ',' it's oversal ',' cave ',' kalu ',' card ',' already ',' broken ',' burn ',' card ']</v>
      </c>
      <c r="D1727" s="3">
        <v>1.0</v>
      </c>
    </row>
    <row r="1728" ht="15.75" customHeight="1">
      <c r="A1728" s="1">
        <v>1726.0</v>
      </c>
      <c r="B1728" s="3" t="s">
        <v>1728</v>
      </c>
      <c r="C1728" s="3" t="str">
        <f>IFERROR(__xludf.DUMMYFUNCTION("GOOGLETRANSLATE(B1728,""id"",""en"")"),"['Network', 'Telkomsel', 'Good', 'Open', 'Difficult', 'Tired', 'Gini', 'Lazy', 'Telkomsel', 'Becus',' Telkomsel ',' Please ',' Repaired ',' signal ',' complained ',' poor ', ""]")</f>
        <v>['Network', 'Telkomsel', 'Good', 'Open', 'Difficult', 'Tired', 'Gini', 'Lazy', 'Telkomsel', 'Becus',' Telkomsel ',' Please ',' Repaired ',' signal ',' complained ',' poor ', "]</v>
      </c>
      <c r="D1728" s="3">
        <v>1.0</v>
      </c>
    </row>
    <row r="1729" ht="15.75" customHeight="1">
      <c r="A1729" s="1">
        <v>1727.0</v>
      </c>
      <c r="B1729" s="3" t="s">
        <v>1729</v>
      </c>
      <c r="C1729" s="3" t="str">
        <f>IFERROR(__xludf.DUMMYFUNCTION("GOOGLETRANSLATE(B1729,""id"",""en"")"),"['Threat', 'internet', 'signal', 'doang', 'full', 'internet', 'slow', 'below', 'Mbps', 'Ujan', 'stay', 'Jakarta' taste ',' kyk ',' rollung ',' to do ',' byu ',' already ',' replace ',' replace ',' apn ',' msh ']")</f>
        <v>['Threat', 'internet', 'signal', 'doang', 'full', 'internet', 'slow', 'below', 'Mbps', 'Ujan', 'stay', 'Jakarta' taste ',' kyk ',' rollung ',' to do ',' byu ',' already ',' replace ',' replace ',' apn ',' msh ']</v>
      </c>
      <c r="D1729" s="3">
        <v>1.0</v>
      </c>
    </row>
    <row r="1730" ht="15.75" customHeight="1">
      <c r="A1730" s="1">
        <v>1728.0</v>
      </c>
      <c r="B1730" s="3" t="s">
        <v>1730</v>
      </c>
      <c r="C1730" s="3" t="str">
        <f>IFERROR(__xludf.DUMMYFUNCTION("GOOGLETRANSLATE(B1730,""id"",""en"")"),"['Telkomsel', 'connection', 'ugly', 'signal', 'full', 'no', 'connect', 'connection', 'really', 'minutes',' no ',' connect ',' Internet ',' Network ',' Full ',' Please ',' Repaired ',' Customer ',' Moving ',' Card ']")</f>
        <v>['Telkomsel', 'connection', 'ugly', 'signal', 'full', 'no', 'connect', 'connection', 'really', 'minutes',' no ',' connect ',' Internet ',' Network ',' Full ',' Please ',' Repaired ',' Customer ',' Moving ',' Card ']</v>
      </c>
      <c r="D1730" s="3">
        <v>1.0</v>
      </c>
    </row>
    <row r="1731" ht="15.75" customHeight="1">
      <c r="A1731" s="1">
        <v>1729.0</v>
      </c>
      <c r="B1731" s="3" t="s">
        <v>1731</v>
      </c>
      <c r="C1731" s="3" t="str">
        <f>IFERROR(__xludf.DUMMYFUNCTION("GOOGLETRANSLATE(B1731,""id"",""en"")"),"['please', 'Telkomsel', 'fix', 'quality', 'signal', 'connection', 'cook', 'signal', 'stem', 'open', 'application', 'ngelag', ' Open ',' Browsing ',' Ngelagg ',' Customer ',' Maless', 'Make', 'Telkomsel', 'Mending', 'EXSIS', 'Sousal', 'Already', 'Not Good'"&amp;", 'Bags' , 'Please', 'package', 'already', 'expensive', 'signal', 'jelyk', 'like', '']")</f>
        <v>['please', 'Telkomsel', 'fix', 'quality', 'signal', 'connection', 'cook', 'signal', 'stem', 'open', 'application', 'ngelag', ' Open ',' Browsing ',' Ngelagg ',' Customer ',' Maless', 'Make', 'Telkomsel', 'Mending', 'EXSIS', 'Sousal', 'Already', 'Not Good', 'Bags' , 'Please', 'package', 'already', 'expensive', 'signal', 'jelyk', 'like', '']</v>
      </c>
      <c r="D1731" s="3">
        <v>1.0</v>
      </c>
    </row>
    <row r="1732" ht="15.75" customHeight="1">
      <c r="A1732" s="1">
        <v>1730.0</v>
      </c>
      <c r="B1732" s="3" t="s">
        <v>1732</v>
      </c>
      <c r="C1732" s="3" t="str">
        <f>IFERROR(__xludf.DUMMYFUNCTION("GOOGLETRANSLATE(B1732,""id"",""en"")"),"['expensive', 'doang', 'network', 'support', 'pole', 'electricity', 'home', 'edge', 'road', 'raya', 'try', ""]")</f>
        <v>['expensive', 'doang', 'network', 'support', 'pole', 'electricity', 'home', 'edge', 'road', 'raya', 'try', "]</v>
      </c>
      <c r="D1732" s="3">
        <v>1.0</v>
      </c>
    </row>
    <row r="1733" ht="15.75" customHeight="1">
      <c r="A1733" s="1">
        <v>1731.0</v>
      </c>
      <c r="B1733" s="3" t="s">
        <v>1733</v>
      </c>
      <c r="C1733" s="3" t="str">
        <f>IFERROR(__xludf.DUMMYFUNCTION("GOOGLETRANSLATE(B1733,""id"",""en"")"),"['Severe', 'The network', 'Provider', 'Next', 'Cheap', 'Naturally', 'Cheap', 'Expensive', 'Okay', 'Speed', 'Amit', 'How' Telkomsel ',' listen ',' complaints', '']")</f>
        <v>['Severe', 'The network', 'Provider', 'Next', 'Cheap', 'Naturally', 'Cheap', 'Expensive', 'Okay', 'Speed', 'Amit', 'How' Telkomsel ',' listen ',' complaints', '']</v>
      </c>
      <c r="D1733" s="3">
        <v>1.0</v>
      </c>
    </row>
    <row r="1734" ht="15.75" customHeight="1">
      <c r="A1734" s="1">
        <v>1732.0</v>
      </c>
      <c r="B1734" s="3" t="s">
        <v>1734</v>
      </c>
      <c r="C1734" s="3" t="str">
        <f>IFERROR(__xludf.DUMMYFUNCTION("GOOGLETRANSLATE(B1734,""id"",""en"")"),"['package', 'data', 'expensive', 'network', 'slow', 'forgiveness',' boro ',' switch ',' want ',' slamming ',' use ',' tsel ',' Mending ',' use ',' card ',' deh ',' card ',' bad ',' class', '']")</f>
        <v>['package', 'data', 'expensive', 'network', 'slow', 'forgiveness',' boro ',' switch ',' want ',' slamming ',' use ',' tsel ',' Mending ',' use ',' card ',' deh ',' card ',' bad ',' class', '']</v>
      </c>
      <c r="D1734" s="3">
        <v>1.0</v>
      </c>
    </row>
    <row r="1735" ht="15.75" customHeight="1">
      <c r="A1735" s="1">
        <v>1733.0</v>
      </c>
      <c r="B1735" s="3" t="s">
        <v>1735</v>
      </c>
      <c r="C1735" s="3" t="str">
        <f>IFERROR(__xludf.DUMMYFUNCTION("GOOGLETRANSLATE(B1735,""id"",""en"")"),"['Regarding', 'Telkomsel', 'reset', 'yrs',' promo ',' cash ',' back ',' date ',' March ',' March ',' just ',' buy ',' Credit ',' Cash ',' Back ',' It's', '']")</f>
        <v>['Regarding', 'Telkomsel', 'reset', 'yrs',' promo ',' cash ',' back ',' date ',' March ',' March ',' just ',' buy ',' Credit ',' Cash ',' Back ',' It's', '']</v>
      </c>
      <c r="D1735" s="3">
        <v>1.0</v>
      </c>
    </row>
    <row r="1736" ht="15.75" customHeight="1">
      <c r="A1736" s="1">
        <v>1734.0</v>
      </c>
      <c r="B1736" s="3" t="s">
        <v>1736</v>
      </c>
      <c r="C1736" s="3" t="str">
        <f>IFERROR(__xludf.DUMMYFUNCTION("GOOGLETRANSLATE(B1736,""id"",""en"")"),"['ugly', 'complaints', 'app', 'Telkomsel', 'settlement', 'click', 'link', 'open', 'browser', 'regret']")</f>
        <v>['ugly', 'complaints', 'app', 'Telkomsel', 'settlement', 'click', 'link', 'open', 'browser', 'regret']</v>
      </c>
      <c r="D1736" s="3">
        <v>1.0</v>
      </c>
    </row>
    <row r="1737" ht="15.75" customHeight="1">
      <c r="A1737" s="1">
        <v>1735.0</v>
      </c>
      <c r="B1737" s="3" t="s">
        <v>1737</v>
      </c>
      <c r="C1737" s="3" t="str">
        <f>IFERROR(__xludf.DUMMYFUNCTION("GOOGLETRANSLATE(B1737,""id"",""en"")"),"['Telkomsel', 'ugly', 'buy', 'package', 'promo', 'GB', 'Say', 'buy', 'no', 'buy', 'package', 'just', ' Say it ',' Transaction ',' SUCCESS ',' NGGA ',' SMS ',' Transaction ',' SUCCESS ',' CUMAN ',' APK ',' Appearing ',' Please ',' Fix ', ""]")</f>
        <v>['Telkomsel', 'ugly', 'buy', 'package', 'promo', 'GB', 'Say', 'buy', 'no', 'buy', 'package', 'just', ' Say it ',' Transaction ',' SUCCESS ',' NGGA ',' SMS ',' Transaction ',' SUCCESS ',' CUMAN ',' APK ',' Appearing ',' Please ',' Fix ', "]</v>
      </c>
      <c r="D1737" s="3">
        <v>1.0</v>
      </c>
    </row>
    <row r="1738" ht="15.75" customHeight="1">
      <c r="A1738" s="1">
        <v>1736.0</v>
      </c>
      <c r="B1738" s="3" t="s">
        <v>1738</v>
      </c>
      <c r="C1738" s="3" t="str">
        <f>IFERROR(__xludf.DUMMYFUNCTION("GOOGLETRANSLATE(B1738,""id"",""en"")"),"['Assalamualaikum', 'topup', 'pulse', 'counter', 'area', 'check', 'application', 'telkomsel', 'entry', 'pulses',' application ',' message ',' default ',' pulses', 'accepted', 'the counter', 'already', 'entry', 'pulse', 'increase', 'topup', 'what', '']")</f>
        <v>['Assalamualaikum', 'topup', 'pulse', 'counter', 'area', 'check', 'application', 'telkomsel', 'entry', 'pulses',' application ',' message ',' default ',' pulses', 'accepted', 'the counter', 'already', 'entry', 'pulse', 'increase', 'topup', 'what', '']</v>
      </c>
      <c r="D1738" s="3">
        <v>4.0</v>
      </c>
    </row>
    <row r="1739" ht="15.75" customHeight="1">
      <c r="A1739" s="1">
        <v>1737.0</v>
      </c>
      <c r="B1739" s="3" t="s">
        <v>1739</v>
      </c>
      <c r="C1739" s="3" t="str">
        <f>IFERROR(__xludf.DUMMYFUNCTION("GOOGLETRANSLATE(B1739,""id"",""en"")"),"['buy', 'package', 'data', 'reports',' sent ',' card ',' grace ',' description ',' sms', 'do', 'fill', 'reset', ' Fill ',' Package ',' Data ',' On ',' Check ',' Quota ',' Have ',' Quota ',' Package ',' Data ',' Hangus', ""]")</f>
        <v>['buy', 'package', 'data', 'reports',' sent ',' card ',' grace ',' description ',' sms', 'do', 'fill', 'reset', ' Fill ',' Package ',' Data ',' On ',' Check ',' Quota ',' Have ',' Quota ',' Package ',' Data ',' Hangus', "]</v>
      </c>
      <c r="D1739" s="3">
        <v>1.0</v>
      </c>
    </row>
    <row r="1740" ht="15.75" customHeight="1">
      <c r="A1740" s="1">
        <v>1738.0</v>
      </c>
      <c r="B1740" s="3" t="s">
        <v>1740</v>
      </c>
      <c r="C1740" s="3" t="str">
        <f>IFERROR(__xludf.DUMMYFUNCTION("GOOGLETRANSLATE(B1740,""id"",""en"")"),"['Cash', 'Back', 'Birthday', 'Telkomsel', 'Purchase', 'Via', 'Gopay', 'BLM', 'Cash', 'Back', 'GMNA', 'Fraud', ' gmna ',' customer ',' loyal ',' Telkomsel ',' network ',' reduced ',' play ',' game ',' use ',' allnet ',' network ',' apply ',' allnet ' , 'Te"&amp;"lkomsel', 'move', '']")</f>
        <v>['Cash', 'Back', 'Birthday', 'Telkomsel', 'Purchase', 'Via', 'Gopay', 'BLM', 'Cash', 'Back', 'GMNA', 'Fraud', ' gmna ',' customer ',' loyal ',' Telkomsel ',' network ',' reduced ',' play ',' game ',' use ',' allnet ',' network ',' apply ',' allnet ' , 'Telkomsel', 'move', '']</v>
      </c>
      <c r="D1740" s="3">
        <v>3.0</v>
      </c>
    </row>
    <row r="1741" ht="15.75" customHeight="1">
      <c r="A1741" s="1">
        <v>1739.0</v>
      </c>
      <c r="B1741" s="3" t="s">
        <v>1741</v>
      </c>
      <c r="C1741" s="3" t="str">
        <f>IFERROR(__xludf.DUMMYFUNCTION("GOOGLETRANSLATE(B1741,""id"",""en"")"),"['package', 'thousand', 'enter', 'pdhal', 'udh', 'contents',' pulse ',' TPI ',' enter ',' package ',' already ',' a week ',' Try ',' Please ',' Suggestion ',' Telkomsel ',' Gini ',' Loss']")</f>
        <v>['package', 'thousand', 'enter', 'pdhal', 'udh', 'contents',' pulse ',' TPI ',' enter ',' package ',' already ',' a week ',' Try ',' Please ',' Suggestion ',' Telkomsel ',' Gini ',' Loss']</v>
      </c>
      <c r="D1741" s="3">
        <v>2.0</v>
      </c>
    </row>
    <row r="1742" ht="15.75" customHeight="1">
      <c r="A1742" s="1">
        <v>1740.0</v>
      </c>
      <c r="B1742" s="3" t="s">
        <v>1742</v>
      </c>
      <c r="C1742" s="3" t="str">
        <f>IFERROR(__xludf.DUMMYFUNCTION("GOOGLETRANSLATE(B1742,""id"",""en"")"),"['Purchase', 'Package', 'Data', 'Region', 'Kog', 'Different', 'Different', 'Telkomsel', 'Cook', 'Home', 'Telkomsel', 'Purchase', ' Package ',' Data ',' Kog ',' Different ', ""]")</f>
        <v>['Purchase', 'Package', 'Data', 'Region', 'Kog', 'Different', 'Different', 'Telkomsel', 'Cook', 'Home', 'Telkomsel', 'Purchase', ' Package ',' Data ',' Kog ',' Different ', "]</v>
      </c>
      <c r="D1742" s="3">
        <v>1.0</v>
      </c>
    </row>
    <row r="1743" ht="15.75" customHeight="1">
      <c r="A1743" s="1">
        <v>1741.0</v>
      </c>
      <c r="B1743" s="3" t="s">
        <v>1743</v>
      </c>
      <c r="C1743" s="3" t="str">
        <f>IFERROR(__xludf.DUMMYFUNCTION("GOOGLETRANSLATE(B1743,""id"",""en"")"),"['conscious',' contents', 'pulse', 'TPI', 'get', 'point', 'wrong', 'number', 'or', 'application', 'troubled', 'Udh', ' Really ',' Telkomsel ',' hope ',' first ',' ']")</f>
        <v>['conscious',' contents', 'pulse', 'TPI', 'get', 'point', 'wrong', 'number', 'or', 'application', 'troubled', 'Udh', ' Really ',' Telkomsel ',' hope ',' first ',' ']</v>
      </c>
      <c r="D1743" s="3">
        <v>2.0</v>
      </c>
    </row>
    <row r="1744" ht="15.75" customHeight="1">
      <c r="A1744" s="1">
        <v>1742.0</v>
      </c>
      <c r="B1744" s="3" t="s">
        <v>1744</v>
      </c>
      <c r="C1744" s="3" t="str">
        <f>IFERROR(__xludf.DUMMYFUNCTION("GOOGLETRANSLATE(B1744,""id"",""en"")"),"['Nelfon', 'difficult', 'network', 'difficult', 'package', 'expensive', 'months', 'people', 'complain', 'service', 'Telkomsel', ""]")</f>
        <v>['Nelfon', 'difficult', 'network', 'difficult', 'package', 'expensive', 'months', 'people', 'complain', 'service', 'Telkomsel', "]</v>
      </c>
      <c r="D1744" s="3">
        <v>1.0</v>
      </c>
    </row>
    <row r="1745" ht="15.75" customHeight="1">
      <c r="A1745" s="1">
        <v>1743.0</v>
      </c>
      <c r="B1745" s="3" t="s">
        <v>1745</v>
      </c>
      <c r="C1745" s="3" t="str">
        <f>IFERROR(__xludf.DUMMYFUNCTION("GOOGLETRANSLATE(B1745,""id"",""en"")"),"['Network', 'good', 'network', 'internet', 'lambaaaaaaaat', 'paraah', 'kaga', 'recommended', 'wat', 'internet', 'mending', 'card']")</f>
        <v>['Network', 'good', 'network', 'internet', 'lambaaaaaaaat', 'paraah', 'kaga', 'recommended', 'wat', 'internet', 'mending', 'card']</v>
      </c>
      <c r="D1745" s="3">
        <v>1.0</v>
      </c>
    </row>
    <row r="1746" ht="15.75" customHeight="1">
      <c r="A1746" s="1">
        <v>1744.0</v>
      </c>
      <c r="B1746" s="3" t="s">
        <v>1746</v>
      </c>
      <c r="C1746" s="3" t="str">
        <f>IFERROR(__xludf.DUMMYFUNCTION("GOOGLETRANSLATE(B1746,""id"",""en"")"),"['', 'so,' reviews ',' knp ',' reply ',' Telkomsel ',' Langs ',' Bls ',' Review ',' community ',' lay out ',' bother ',' use ',' application ',' byk ',' complaints', 'suggestion', 'thank', 'love']")</f>
        <v>['', 'so,' reviews ',' knp ',' reply ',' Telkomsel ',' Langs ',' Bls ',' Review ',' community ',' lay out ',' bother ',' use ',' application ',' byk ',' complaints', 'suggestion', 'thank', 'love']</v>
      </c>
      <c r="D1746" s="3">
        <v>3.0</v>
      </c>
    </row>
    <row r="1747" ht="15.75" customHeight="1">
      <c r="A1747" s="1">
        <v>1745.0</v>
      </c>
      <c r="B1747" s="3" t="s">
        <v>1747</v>
      </c>
      <c r="C1747" s="3" t="str">
        <f>IFERROR(__xludf.DUMMYFUNCTION("GOOGLETRANSLATE(B1747,""id"",""en"")"),"['Combo', 'Sakti', 'unlimited', 'missing', 'gini', 'already', 'enthusiasts', 'profit', 'doubleaa']")</f>
        <v>['Combo', 'Sakti', 'unlimited', 'missing', 'gini', 'already', 'enthusiasts', 'profit', 'doubleaa']</v>
      </c>
      <c r="D1747" s="3">
        <v>5.0</v>
      </c>
    </row>
    <row r="1748" ht="15.75" customHeight="1">
      <c r="A1748" s="1">
        <v>1746.0</v>
      </c>
      <c r="B1748" s="3" t="s">
        <v>1748</v>
      </c>
      <c r="C1748" s="3" t="str">
        <f>IFERROR(__xludf.DUMMYFUNCTION("GOOGLETRANSLATE(B1748,""id"",""en"")"),"['Telkomsel', 'NOT', 'BAD', 'already', 'Tariff', 'Muahal', 'Signal', 'Difficult', 'Fix', 'Mending', 'Change', 'Card', ' time', '']")</f>
        <v>['Telkomsel', 'NOT', 'BAD', 'already', 'Tariff', 'Muahal', 'Signal', 'Difficult', 'Fix', 'Mending', 'Change', 'Card', ' time', '']</v>
      </c>
      <c r="D1748" s="3">
        <v>1.0</v>
      </c>
    </row>
    <row r="1749" ht="15.75" customHeight="1">
      <c r="A1749" s="1">
        <v>1747.0</v>
      </c>
      <c r="B1749" s="3" t="s">
        <v>1749</v>
      </c>
      <c r="C1749" s="3" t="str">
        <f>IFERROR(__xludf.DUMMYFUNCTION("GOOGLETRANSLATE(B1749,""id"",""en"")"),"['Application', 'Good', 'Forced', 'Reviews', 'Review', 'Downstruct', 'Application', 'Rich', 'Ngentd', 'That's']")</f>
        <v>['Application', 'Good', 'Forced', 'Reviews', 'Review', 'Downstruct', 'Application', 'Rich', 'Ngentd', 'That's']</v>
      </c>
      <c r="D1749" s="3">
        <v>5.0</v>
      </c>
    </row>
    <row r="1750" ht="15.75" customHeight="1">
      <c r="A1750" s="1">
        <v>1748.0</v>
      </c>
      <c r="B1750" s="3" t="s">
        <v>1750</v>
      </c>
      <c r="C1750" s="3" t="str">
        <f>IFERROR(__xludf.DUMMYFUNCTION("GOOGLETRANSLATE(B1750,""id"",""en"")"),"['user', 'loyal', 'Telkomsel', 'disappointed', 'card', 'promo', 'pedahal', 'buy', 'package', 'data', 'promo', 'cheap', ' Hope ',' Telkomsel ',' pay attention ',' complaints', 'Kisah', 'users',' Telkomsel ',' thank you ']")</f>
        <v>['user', 'loyal', 'Telkomsel', 'disappointed', 'card', 'promo', 'pedahal', 'buy', 'package', 'data', 'promo', 'cheap', ' Hope ',' Telkomsel ',' pay attention ',' complaints', 'Kisah', 'users',' Telkomsel ',' thank you ']</v>
      </c>
      <c r="D1750" s="3">
        <v>4.0</v>
      </c>
    </row>
    <row r="1751" ht="15.75" customHeight="1">
      <c r="A1751" s="1">
        <v>1749.0</v>
      </c>
      <c r="B1751" s="3" t="s">
        <v>1751</v>
      </c>
      <c r="C1751" s="3" t="str">
        <f>IFERROR(__xludf.DUMMYFUNCTION("GOOGLETRANSLATE(B1751,""id"",""en"")"),"['customer', 'loyal', 'Telkomsel', 'knapa', 'signal', 'difficult', 'really', 'please', 'fix', 'area', 'banyumas',' Kalibagor ',' Thank you ']")</f>
        <v>['customer', 'loyal', 'Telkomsel', 'knapa', 'signal', 'difficult', 'really', 'please', 'fix', 'area', 'banyumas',' Kalibagor ',' Thank you ']</v>
      </c>
      <c r="D1751" s="3">
        <v>1.0</v>
      </c>
    </row>
    <row r="1752" ht="15.75" customHeight="1">
      <c r="A1752" s="1">
        <v>1750.0</v>
      </c>
      <c r="B1752" s="3" t="s">
        <v>1752</v>
      </c>
      <c r="C1752" s="3" t="str">
        <f>IFERROR(__xludf.DUMMYFUNCTION("GOOGLETRANSLATE(B1752,""id"",""en"")"),"['Network', 'Telkomsel', 'Region', 'North Sumatra', 'Severe', 'Sometimes',' Leet ',' Worse ',' already ',' electricity ',' goes', 'signal', ' Telkomsel ',' go out ',' disappointed ',' users', 'Telkom']")</f>
        <v>['Network', 'Telkomsel', 'Region', 'North Sumatra', 'Severe', 'Sometimes',' Leet ',' Worse ',' already ',' electricity ',' goes', 'signal', ' Telkomsel ',' go out ',' disappointed ',' users', 'Telkom']</v>
      </c>
      <c r="D1752" s="3">
        <v>1.0</v>
      </c>
    </row>
    <row r="1753" ht="15.75" customHeight="1">
      <c r="A1753" s="1">
        <v>1751.0</v>
      </c>
      <c r="B1753" s="3" t="s">
        <v>1753</v>
      </c>
      <c r="C1753" s="3" t="str">
        <f>IFERROR(__xludf.DUMMYFUNCTION("GOOGLETRANSLATE(B1753,""id"",""en"")"),"['Network', 'Drop', 'Severe', 'Want', 'Move', 'Operator', 'Please', 'Fix', 'The Network', 'Customer', 'Disappointed', ' Moving ',' Operator ',' Thank you ']")</f>
        <v>['Network', 'Drop', 'Severe', 'Want', 'Move', 'Operator', 'Please', 'Fix', 'The Network', 'Customer', 'Disappointed', ' Moving ',' Operator ',' Thank you ']</v>
      </c>
      <c r="D1753" s="3">
        <v>2.0</v>
      </c>
    </row>
    <row r="1754" ht="15.75" customHeight="1">
      <c r="A1754" s="1">
        <v>1752.0</v>
      </c>
      <c r="B1754" s="3" t="s">
        <v>1754</v>
      </c>
      <c r="C1754" s="3" t="str">
        <f>IFERROR(__xludf.DUMMYFUNCTION("GOOGLETRANSLATE(B1754,""id"",""en"")"),"['Telkomsel', 'network', 'internet', 'destroyed', 'love', 'input', 'please', 'good', 'city', 'terrain', 'destroyed', 'internet', ' Pleasss']")</f>
        <v>['Telkomsel', 'network', 'internet', 'destroyed', 'love', 'input', 'please', 'good', 'city', 'terrain', 'destroyed', 'internet', ' Pleasss']</v>
      </c>
      <c r="D1754" s="3">
        <v>1.0</v>
      </c>
    </row>
    <row r="1755" ht="15.75" customHeight="1">
      <c r="A1755" s="1">
        <v>1753.0</v>
      </c>
      <c r="B1755" s="3" t="s">
        <v>1755</v>
      </c>
      <c r="C1755" s="3" t="str">
        <f>IFERROR(__xludf.DUMMYFUNCTION("GOOGLETRANSLATE(B1755,""id"",""en"")"),"['', 'Muji', 'APL', 'Telkomsel', 'Package', 'Used', 'Already', 'Offer', 'Package', 'Package', 'Brpaling', 'Card', 'Please,' Please, 'Please ',' repair ',' ']")</f>
        <v>['', 'Muji', 'APL', 'Telkomsel', 'Package', 'Used', 'Already', 'Offer', 'Package', 'Package', 'Brpaling', 'Card', 'Please,' Please, 'Please ',' repair ',' ']</v>
      </c>
      <c r="D1755" s="3">
        <v>1.0</v>
      </c>
    </row>
    <row r="1756" ht="15.75" customHeight="1">
      <c r="A1756" s="1">
        <v>1754.0</v>
      </c>
      <c r="B1756" s="3" t="s">
        <v>1756</v>
      </c>
      <c r="C1756" s="3" t="str">
        <f>IFERROR(__xludf.DUMMYFUNCTION("GOOGLETRANSLATE(B1756,""id"",""en"")"),"['Like', 'Telkomsel', 'Paketan', 'Internet', 'Credit', 'Sucked', 'App', 'Telkomsel', 'Application', 'Opened', 'Please', 'Help']")</f>
        <v>['Like', 'Telkomsel', 'Paketan', 'Internet', 'Credit', 'Sucked', 'App', 'Telkomsel', 'Application', 'Opened', 'Please', 'Help']</v>
      </c>
      <c r="D1756" s="3">
        <v>3.0</v>
      </c>
    </row>
    <row r="1757" ht="15.75" customHeight="1">
      <c r="A1757" s="1">
        <v>1755.0</v>
      </c>
      <c r="B1757" s="3" t="s">
        <v>1757</v>
      </c>
      <c r="C1757" s="3" t="str">
        <f>IFERROR(__xludf.DUMMYFUNCTION("GOOGLETRANSLATE(B1757,""id"",""en"")"),"['sympathy', 'option', 'stop', 'package', 'already', 'buy', 'wrong', 'buy', 'package', 'receive it', 'until', 'apply', ' replaced ',' amidst ',' road ',' SPT ',' really ',' detrimental ',' consumer ',' star ',' ']")</f>
        <v>['sympathy', 'option', 'stop', 'package', 'already', 'buy', 'wrong', 'buy', 'package', 'receive it', 'until', 'apply', ' replaced ',' amidst ',' road ',' SPT ',' really ',' detrimental ',' consumer ',' star ',' ']</v>
      </c>
      <c r="D1757" s="3">
        <v>1.0</v>
      </c>
    </row>
    <row r="1758" ht="15.75" customHeight="1">
      <c r="A1758" s="1">
        <v>1756.0</v>
      </c>
      <c r="B1758" s="3" t="s">
        <v>1758</v>
      </c>
      <c r="C1758" s="3" t="str">
        <f>IFERROR(__xludf.DUMMYFUNCTION("GOOGLETRANSLATE(B1758,""id"",""en"")"),"['Disappointed', 'Telkomsel', 'factor', 'network', 'lag', 'pulse', 'lost', 'quota', 'bnyk', 'promo', 'liedure', 'user', ' BNYK ',' Canal ',' users', 'Telkomsel', 'moved', 'card', 'card', 'stable', 'increases',' peforma ',' Please ',' search ',' road ' , '"&amp;"out', 'Telkomsel', 'reduced', 'users']")</f>
        <v>['Disappointed', 'Telkomsel', 'factor', 'network', 'lag', 'pulse', 'lost', 'quota', 'bnyk', 'promo', 'liedure', 'user', ' BNYK ',' Canal ',' users', 'Telkomsel', 'moved', 'card', 'card', 'stable', 'increases',' peforma ',' Please ',' search ',' road ' , 'out', 'Telkomsel', 'reduced', 'users']</v>
      </c>
      <c r="D1758" s="3">
        <v>1.0</v>
      </c>
    </row>
    <row r="1759" ht="15.75" customHeight="1">
      <c r="A1759" s="1">
        <v>1757.0</v>
      </c>
      <c r="B1759" s="3" t="s">
        <v>1759</v>
      </c>
      <c r="C1759" s="3" t="str">
        <f>IFERROR(__xludf.DUMMYFUNCTION("GOOGLETRANSLATE(B1759,""id"",""en"")"),"['', 'meet', 'criteria', 'package', 'emergency', 'borrow', 'package', 'emergency', 'wear', 'package', 'interest', 'afraid', 'dilunasin ',' that's', 'because', 'please', 'wear', 'package', 'at the time', 'emergency', '']")</f>
        <v>['', 'meet', 'criteria', 'package', 'emergency', 'borrow', 'package', 'emergency', 'wear', 'package', 'interest', 'afraid', 'dilunasin ',' that's', 'because', 'please', 'wear', 'package', 'at the time', 'emergency', '']</v>
      </c>
      <c r="D1759" s="3">
        <v>3.0</v>
      </c>
    </row>
    <row r="1760" ht="15.75" customHeight="1">
      <c r="A1760" s="1">
        <v>1758.0</v>
      </c>
      <c r="B1760" s="3" t="s">
        <v>1760</v>
      </c>
      <c r="C1760" s="3" t="str">
        <f>IFERROR(__xludf.DUMMYFUNCTION("GOOGLETRANSLATE(B1760,""id"",""en"")"),"['Network', 'Telkomsel', 'Bad', 'Where', 'Kayak', 'Gini', 'Season', 'Deh', 'Fastest', 'Law', 'Law']")</f>
        <v>['Network', 'Telkomsel', 'Bad', 'Where', 'Kayak', 'Gini', 'Season', 'Deh', 'Fastest', 'Law', 'Law']</v>
      </c>
      <c r="D1760" s="3">
        <v>1.0</v>
      </c>
    </row>
    <row r="1761" ht="15.75" customHeight="1">
      <c r="A1761" s="1">
        <v>1759.0</v>
      </c>
      <c r="B1761" s="3" t="s">
        <v>1761</v>
      </c>
      <c r="C1761" s="3" t="str">
        <f>IFERROR(__xludf.DUMMYFUNCTION("GOOGLETRANSLATE(B1761,""id"",""en"")"),"['network', 'gajelas',' ajg ',' play ',' game ',' ngelag ',' mulu ',' buy ',' expensive ',' can ',' network ',' fast ',' It's hard, 'expensive', 'AJG', 'comment', 'Please', 'sorry', 'repaired', 'how', 'disappointed', 'Telkomsel', 'NGTD']")</f>
        <v>['network', 'gajelas',' ajg ',' play ',' game ',' ngelag ',' mulu ',' buy ',' expensive ',' can ',' network ',' fast ',' It's hard, 'expensive', 'AJG', 'comment', 'Please', 'sorry', 'repaired', 'how', 'disappointed', 'Telkomsel', 'NGTD']</v>
      </c>
      <c r="D1761" s="3">
        <v>1.0</v>
      </c>
    </row>
    <row r="1762" ht="15.75" customHeight="1">
      <c r="A1762" s="1">
        <v>1760.0</v>
      </c>
      <c r="B1762" s="3" t="s">
        <v>1762</v>
      </c>
      <c r="C1762" s="3" t="str">
        <f>IFERROR(__xludf.DUMMYFUNCTION("GOOGLETRANSLATE(B1762,""id"",""en"")"),"['crazy', 'apk', 'package', 'free', 'capacity', 'MB', 'contents',' pls', 'lgsg', 'cut', 'regret', 'alliii', ' package ',' expensive ',' apk ',' trashhh ',' apk ',' detrimental ',' customer ',' ']")</f>
        <v>['crazy', 'apk', 'package', 'free', 'capacity', 'MB', 'contents',' pls', 'lgsg', 'cut', 'regret', 'alliii', ' package ',' expensive ',' apk ',' trashhh ',' apk ',' detrimental ',' customer ',' ']</v>
      </c>
      <c r="D1762" s="3">
        <v>1.0</v>
      </c>
    </row>
    <row r="1763" ht="15.75" customHeight="1">
      <c r="A1763" s="1">
        <v>1761.0</v>
      </c>
      <c r="B1763" s="3" t="s">
        <v>1763</v>
      </c>
      <c r="C1763" s="3" t="str">
        <f>IFERROR(__xludf.DUMMYFUNCTION("GOOGLETRANSLATE(B1763,""id"",""en"")"),"['credit', 'say', 'buy', 'package', 'internetomg', 'giga', 'for', 'transaction', 'failed', 'pulse', 'chick', 'maxut', ' Buy ',' Package ',' Transaction ',' FAILURE ',' Credit ',' Tetep ',' Cut ',' Bad ',' Telkomsel ',' Complaint ',' Masi ',' Process', 'Pr"&amp;"ocess' , 'Bad', 'Telkomsel', '']")</f>
        <v>['credit', 'say', 'buy', 'package', 'internetomg', 'giga', 'for', 'transaction', 'failed', 'pulse', 'chick', 'maxut', ' Buy ',' Package ',' Transaction ',' FAILURE ',' Credit ',' Tetep ',' Cut ',' Bad ',' Telkomsel ',' Complaint ',' Masi ',' Process', 'Process' , 'Bad', 'Telkomsel', '']</v>
      </c>
      <c r="D1763" s="3">
        <v>1.0</v>
      </c>
    </row>
    <row r="1764" ht="15.75" customHeight="1">
      <c r="A1764" s="1">
        <v>1762.0</v>
      </c>
      <c r="B1764" s="3" t="s">
        <v>1764</v>
      </c>
      <c r="C1764" s="3" t="str">
        <f>IFERROR(__xludf.DUMMYFUNCTION("GOOGLETRANSLATE(B1764,""id"",""en"")"),"['Telkomsel', 'apk', 'error', 'stop', 'annoying', 'apk', 'hot', 'follow', 'error', 'deleted', 'normal', 'download', ' reset ',' error ',' APK ',' promo ',' package ',' bought ',' apk ',' submit ',' complaint ',' blm ',' repair ',' reasons', 'knp' , 'Packa"&amp;"ge', 'promo', 'bought', 'promo', 'morning', 'can', 'promo']")</f>
        <v>['Telkomsel', 'apk', 'error', 'stop', 'annoying', 'apk', 'hot', 'follow', 'error', 'deleted', 'normal', 'download', ' reset ',' error ',' APK ',' promo ',' package ',' bought ',' apk ',' submit ',' complaint ',' blm ',' repair ',' reasons', 'knp' , 'Package', 'promo', 'bought', 'promo', 'morning', 'can', 'promo']</v>
      </c>
      <c r="D1764" s="3">
        <v>3.0</v>
      </c>
    </row>
    <row r="1765" ht="15.75" customHeight="1">
      <c r="A1765" s="1">
        <v>1763.0</v>
      </c>
      <c r="B1765" s="3" t="s">
        <v>1765</v>
      </c>
      <c r="C1765" s="3" t="str">
        <f>IFERROR(__xludf.DUMMYFUNCTION("GOOGLETRANSLATE(B1765,""id"",""en"")"),"['Contents', 'Package', 'GB', 'Direct', 'Abis', 'Usage', 'Standard', 'Discard', 'Card', 'Sympathy', ""]")</f>
        <v>['Contents', 'Package', 'GB', 'Direct', 'Abis', 'Usage', 'Standard', 'Discard', 'Card', 'Sympathy', "]</v>
      </c>
      <c r="D1765" s="3">
        <v>1.0</v>
      </c>
    </row>
    <row r="1766" ht="15.75" customHeight="1">
      <c r="A1766" s="1">
        <v>1764.0</v>
      </c>
      <c r="B1766" s="3" t="s">
        <v>1766</v>
      </c>
      <c r="C1766" s="3" t="str">
        <f>IFERROR(__xludf.DUMMYFUNCTION("GOOGLETRANSLATE(B1766,""id"",""en"")"),"['Kasi', 'star', 'network', 'slow', 'loading', 'Sometimes',' missing ',' weather ',' open ',' application ',' webtoon ',' game ',' Drakor ',' etc. ',' slow ',' loading ',' network ',' fast ',' please ',' increase ',' pelangan ',' satisfied ',' complaints'"&amp;", 'customer', 'thank you' ]")</f>
        <v>['Kasi', 'star', 'network', 'slow', 'loading', 'Sometimes',' missing ',' weather ',' open ',' application ',' webtoon ',' game ',' Drakor ',' etc. ',' slow ',' loading ',' network ',' fast ',' please ',' increase ',' pelangan ',' satisfied ',' complaints', 'customer', 'thank you' ]</v>
      </c>
      <c r="D1766" s="3">
        <v>3.0</v>
      </c>
    </row>
    <row r="1767" ht="15.75" customHeight="1">
      <c r="A1767" s="1">
        <v>1765.0</v>
      </c>
      <c r="B1767" s="3" t="s">
        <v>1767</v>
      </c>
      <c r="C1767" s="3" t="str">
        <f>IFERROR(__xludf.DUMMYFUNCTION("GOOGLETRANSLATE(B1767,""id"",""en"")"),"['signal', 'bad', 'package', 'expensive', 'game', 'signal', 'missing', 'lazy', 'Telkomsel', 'Mending', 'Switch', 'operator', ' ']")</f>
        <v>['signal', 'bad', 'package', 'expensive', 'game', 'signal', 'missing', 'lazy', 'Telkomsel', 'Mending', 'Switch', 'operator', ' ']</v>
      </c>
      <c r="D1767" s="3">
        <v>1.0</v>
      </c>
    </row>
    <row r="1768" ht="15.75" customHeight="1">
      <c r="A1768" s="1">
        <v>1766.0</v>
      </c>
      <c r="B1768" s="3" t="s">
        <v>1768</v>
      </c>
      <c r="C1768" s="3" t="str">
        <f>IFERROR(__xludf.DUMMYFUNCTION("GOOGLETRANSLATE(B1768,""id"",""en"")"),"['ask', 'every time', 'buy', 'pulse', 'credit', 'missing', 'please', 'stop', 'entertainment', 'game', 'application', 'honest', ' Following ',' Please ',' Hentika ', ""]")</f>
        <v>['ask', 'every time', 'buy', 'pulse', 'credit', 'missing', 'please', 'stop', 'entertainment', 'game', 'application', 'honest', ' Following ',' Please ',' Hentika ', "]</v>
      </c>
      <c r="D1768" s="3">
        <v>5.0</v>
      </c>
    </row>
    <row r="1769" ht="15.75" customHeight="1">
      <c r="A1769" s="1">
        <v>1767.0</v>
      </c>
      <c r="B1769" s="3" t="s">
        <v>1769</v>
      </c>
      <c r="C1769" s="3" t="str">
        <f>IFERROR(__xludf.DUMMYFUNCTION("GOOGLETRANSLATE(B1769,""id"",""en"")"),"['price', 'package', 'package', 'price', 'promo', 'appears',' already ',' buy ',' package ',' funny ',' please ',' kasi ',' RIWARD ',' CUSTOMER ',' SETIA ',' THANKS ']")</f>
        <v>['price', 'package', 'package', 'price', 'promo', 'appears',' already ',' buy ',' package ',' funny ',' please ',' kasi ',' RIWARD ',' CUSTOMER ',' SETIA ',' THANKS ']</v>
      </c>
      <c r="D1769" s="3">
        <v>3.0</v>
      </c>
    </row>
    <row r="1770" ht="15.75" customHeight="1">
      <c r="A1770" s="1">
        <v>1768.0</v>
      </c>
      <c r="B1770" s="3" t="s">
        <v>1770</v>
      </c>
      <c r="C1770" s="3" t="str">
        <f>IFERROR(__xludf.DUMMYFUNCTION("GOOGLETRANSLATE(B1770,""id"",""en"")"),"['signal', 'Telkomsel', 'down', 'customer', 'loyal', 'Telkomsel', 'sympathy', 'please', 'follow', 'continue', 'thank', 'love']")</f>
        <v>['signal', 'Telkomsel', 'down', 'customer', 'loyal', 'Telkomsel', 'sympathy', 'please', 'follow', 'continue', 'thank', 'love']</v>
      </c>
      <c r="D1770" s="3">
        <v>1.0</v>
      </c>
    </row>
    <row r="1771" ht="15.75" customHeight="1">
      <c r="A1771" s="1">
        <v>1769.0</v>
      </c>
      <c r="B1771" s="3" t="s">
        <v>1771</v>
      </c>
      <c r="C1771" s="3" t="str">
        <f>IFERROR(__xludf.DUMMYFUNCTION("GOOGLETRANSLATE(B1771,""id"",""en"")"),"['Telkomsel', 'already', 'trusted', 'network', 'slow', 'sms',' promo ',' according to ',' contents', 'promo', 'sms',' enter ',' Telkomsel ',' a day ',' entered ',' contents', 'complement', 'bot', 'eager', 'use', 'Telkomsel', '']")</f>
        <v>['Telkomsel', 'already', 'trusted', 'network', 'slow', 'sms',' promo ',' according to ',' contents', 'promo', 'sms',' enter ',' Telkomsel ',' a day ',' entered ',' contents', 'complement', 'bot', 'eager', 'use', 'Telkomsel', '']</v>
      </c>
      <c r="D1771" s="3">
        <v>1.0</v>
      </c>
    </row>
    <row r="1772" ht="15.75" customHeight="1">
      <c r="A1772" s="1">
        <v>1770.0</v>
      </c>
      <c r="B1772" s="3" t="s">
        <v>1772</v>
      </c>
      <c r="C1772" s="3" t="str">
        <f>IFERROR(__xludf.DUMMYFUNCTION("GOOGLETRANSLATE(B1772,""id"",""en"")"),"['Contents',' pulse ',' buy ',' package ',' unlimited ',' bsa ',' already ',' try ',' many ',' times', 'package', 'emergency', ' Gercep ',' please ',' min ',' kayak ',' diphpin ',' product ',' want ',' bought ',' bsa ',' nge ',' reply ',' twiter ',' gmail"&amp;" ' , 'com', 'UDH', 'Nge', 'min', 'results', 'zonk', 'please', 'complicated', '']")</f>
        <v>['Contents',' pulse ',' buy ',' package ',' unlimited ',' bsa ',' already ',' try ',' many ',' times', 'package', 'emergency', ' Gercep ',' please ',' min ',' kayak ',' diphpin ',' product ',' want ',' bought ',' bsa ',' nge ',' reply ',' twiter ',' gmail ' , 'com', 'UDH', 'Nge', 'min', 'results', 'zonk', 'please', 'complicated', '']</v>
      </c>
      <c r="D1772" s="3">
        <v>1.0</v>
      </c>
    </row>
    <row r="1773" ht="15.75" customHeight="1">
      <c r="A1773" s="1">
        <v>1771.0</v>
      </c>
      <c r="B1773" s="3" t="s">
        <v>1773</v>
      </c>
      <c r="C1773" s="3" t="str">
        <f>IFERROR(__xludf.DUMMYFUNCTION("GOOGLETRANSLATE(B1773,""id"",""en"")"),"['SMS', 'enter', 'point', 'contents', 'pulse', 'RbU', 'buy', 'pulse', 'event', 'please']")</f>
        <v>['SMS', 'enter', 'point', 'contents', 'pulse', 'RbU', 'buy', 'pulse', 'event', 'please']</v>
      </c>
      <c r="D1773" s="3">
        <v>1.0</v>
      </c>
    </row>
    <row r="1774" ht="15.75" customHeight="1">
      <c r="A1774" s="1">
        <v>1772.0</v>
      </c>
      <c r="B1774" s="3" t="s">
        <v>1774</v>
      </c>
      <c r="C1774" s="3" t="str">
        <f>IFERROR(__xludf.DUMMYFUNCTION("GOOGLETRANSLATE(B1774,""id"",""en"")"),"['Veronika', 'Customer', 'Service', 'Name', 'Atma', 'Help', 'Overcome', 'Constraints',' Face ',' Friendly ',' patient ',' Help ',' Duh ',' Sorry ',' Min ',' Karna ',' Slow ',' Catch ',' Information ',' Thank ',' Love ', ""]")</f>
        <v>['Veronika', 'Customer', 'Service', 'Name', 'Atma', 'Help', 'Overcome', 'Constraints',' Face ',' Friendly ',' patient ',' Help ',' Duh ',' Sorry ',' Min ',' Karna ',' Slow ',' Catch ',' Information ',' Thank ',' Love ', "]</v>
      </c>
      <c r="D1774" s="3">
        <v>5.0</v>
      </c>
    </row>
    <row r="1775" ht="15.75" customHeight="1">
      <c r="A1775" s="1">
        <v>1773.0</v>
      </c>
      <c r="B1775" s="3" t="s">
        <v>1775</v>
      </c>
      <c r="C1775" s="3" t="str">
        <f>IFERROR(__xludf.DUMMYFUNCTION("GOOGLETRANSLATE(B1775,""id"",""en"")"),"['Application', 'Shopping', 'Choice', 'Package', 'Internet', 'Choice', 'Package', 'Conferece', 'Report', 'Facebook', 'Follow', 'Suggestion', ' Huft ',' rare ',' disappointed ',' Telkomsel ',' ']")</f>
        <v>['Application', 'Shopping', 'Choice', 'Package', 'Internet', 'Choice', 'Package', 'Conferece', 'Report', 'Facebook', 'Follow', 'Suggestion', ' Huft ',' rare ',' disappointed ',' Telkomsel ',' ']</v>
      </c>
      <c r="D1775" s="3">
        <v>1.0</v>
      </c>
    </row>
    <row r="1776" ht="15.75" customHeight="1">
      <c r="A1776" s="1">
        <v>1774.0</v>
      </c>
      <c r="B1776" s="3" t="s">
        <v>1776</v>
      </c>
      <c r="C1776" s="3" t="str">
        <f>IFERROR(__xludf.DUMMYFUNCTION("GOOGLETRANSLATE(B1776,""id"",""en"")"),"['bug', 'method', 'payment', 'termination', 'account', 'connected', 'process', 'please', 'fix', ""]")</f>
        <v>['bug', 'method', 'payment', 'termination', 'account', 'connected', 'process', 'please', 'fix', "]</v>
      </c>
      <c r="D1776" s="3">
        <v>1.0</v>
      </c>
    </row>
    <row r="1777" ht="15.75" customHeight="1">
      <c r="A1777" s="1">
        <v>1775.0</v>
      </c>
      <c r="B1777" s="3" t="s">
        <v>1777</v>
      </c>
      <c r="C1777" s="3" t="str">
        <f>IFERROR(__xludf.DUMMYFUNCTION("GOOGLETRANSLATE(B1777,""id"",""en"")"),"['', 'Telkomsel', 'gabisa', 'activation', 'package', 'notification', 'dapet', 'package', 'internet', 'yesterday', 'buy', 'package', 'promo ',' ']")</f>
        <v>['', 'Telkomsel', 'gabisa', 'activation', 'package', 'notification', 'dapet', 'package', 'internet', 'yesterday', 'buy', 'package', 'promo ',' ']</v>
      </c>
      <c r="D1777" s="3">
        <v>3.0</v>
      </c>
    </row>
    <row r="1778" ht="15.75" customHeight="1">
      <c r="A1778" s="1">
        <v>1776.0</v>
      </c>
      <c r="B1778" s="3" t="s">
        <v>1778</v>
      </c>
      <c r="C1778" s="3" t="str">
        <f>IFERROR(__xludf.DUMMYFUNCTION("GOOGLETRANSLATE(B1778,""id"",""en"")"),"['App', 'ugly', 'really', 'like', 'tbtb', 'lag', 'heh', 'package', 'app', 'me', 'download', 'app', ' pls', 'update', 'pls',' me ',' medium ',' RAM ',' GB ',' APP ',' Heavy ',' Gue ', ""]")</f>
        <v>['App', 'ugly', 'really', 'like', 'tbtb', 'lag', 'heh', 'package', 'app', 'me', 'download', 'app', ' pls', 'update', 'pls',' me ',' medium ',' RAM ',' GB ',' APP ',' Heavy ',' Gue ', "]</v>
      </c>
      <c r="D1778" s="3">
        <v>1.0</v>
      </c>
    </row>
    <row r="1779" ht="15.75" customHeight="1">
      <c r="A1779" s="1">
        <v>1777.0</v>
      </c>
      <c r="B1779" s="3" t="s">
        <v>1779</v>
      </c>
      <c r="C1779" s="3" t="str">
        <f>IFERROR(__xludf.DUMMYFUNCTION("GOOGLETRANSLATE(B1779,""id"",""en"")"),"['Display', 'Function', 'Application', 'Size', 'APK', 'Light', 'Loading', 'Edit', 'Late', 'Buy', 'Credit', 'APK', ' Pay ',' use ',' balance ',' Linkaja ',' Reduce ',' Credit ',' Enter ',' oldaaaa ',' bete ',' bangetd ']")</f>
        <v>['Display', 'Function', 'Application', 'Size', 'APK', 'Light', 'Loading', 'Edit', 'Late', 'Buy', 'Credit', 'APK', ' Pay ',' use ',' balance ',' Linkaja ',' Reduce ',' Credit ',' Enter ',' oldaaaa ',' bete ',' bangetd ']</v>
      </c>
      <c r="D1779" s="3">
        <v>2.0</v>
      </c>
    </row>
    <row r="1780" ht="15.75" customHeight="1">
      <c r="A1780" s="1">
        <v>1778.0</v>
      </c>
      <c r="B1780" s="3" t="s">
        <v>1780</v>
      </c>
      <c r="C1780" s="3" t="str">
        <f>IFERROR(__xludf.DUMMYFUNCTION("GOOGLETRANSLATE(B1780,""id"",""en"")"),"['', 'cheerful', 'GB', 'promo', 'therapy', 'buy', 'Telkomsel', 'giver', 'hope', 'fake', 'replace', 'provider', 'next door ',' ']")</f>
        <v>['', 'cheerful', 'GB', 'promo', 'therapy', 'buy', 'Telkomsel', 'giver', 'hope', 'fake', 'replace', 'provider', 'next door ',' ']</v>
      </c>
      <c r="D1780" s="3">
        <v>1.0</v>
      </c>
    </row>
    <row r="1781" ht="15.75" customHeight="1">
      <c r="A1781" s="1">
        <v>1779.0</v>
      </c>
      <c r="B1781" s="3" t="s">
        <v>1781</v>
      </c>
      <c r="C1781" s="3" t="str">
        <f>IFERROR(__xludf.DUMMYFUNCTION("GOOGLETRANSLATE(B1781,""id"",""en"")"),"['customers',' Telkomsel ',' Telkomsel ',' tragolong ',' elite ',' expensive ',' class', 'nickname', 'provider', 'sultan', 'TPI', 'KNPA', ' internet ',' slow ',' skali ',' city ',' area ',' trpencil ',' please ',' fix ',' before ',' plenty ',' moved ',' '"&amp;"]")</f>
        <v>['customers',' Telkomsel ',' Telkomsel ',' tragolong ',' elite ',' expensive ',' class', 'nickname', 'provider', 'sultan', 'TPI', 'KNPA', ' internet ',' slow ',' skali ',' city ',' area ',' trpencil ',' please ',' fix ',' before ',' plenty ',' moved ',' ']</v>
      </c>
      <c r="D1781" s="3">
        <v>1.0</v>
      </c>
    </row>
    <row r="1782" ht="15.75" customHeight="1">
      <c r="A1782" s="1">
        <v>1780.0</v>
      </c>
      <c r="B1782" s="3" t="s">
        <v>1782</v>
      </c>
      <c r="C1782" s="3" t="str">
        <f>IFERROR(__xludf.DUMMYFUNCTION("GOOGLETRANSLATE(B1782,""id"",""en"")"),"['Please', 'Disruption', 'Please', 'Disaster', 'Purchase', 'Package', 'Detained', 'Package', 'Buy', 'Receiving', 'Consumer', ' Help ',' clarity ',' Permain ',' Consumer ',' Kuy ',' Change ',' Providerba ',' Bankrupt ',' Telkomsel ',' cs', 'clarify', 'resp"&amp;"onding', 'complaints' , 'Consumers', 'Beroper', 'told', 'Wait', 'no', 'clarity']")</f>
        <v>['Please', 'Disruption', 'Please', 'Disaster', 'Purchase', 'Package', 'Detained', 'Package', 'Buy', 'Receiving', 'Consumer', ' Help ',' clarity ',' Permain ',' Consumer ',' Kuy ',' Change ',' Providerba ',' Bankrupt ',' Telkomsel ',' cs', 'clarify', 'responding', 'complaints' , 'Consumers', 'Beroper', 'told', 'Wait', 'no', 'clarity']</v>
      </c>
      <c r="D1782" s="3">
        <v>1.0</v>
      </c>
    </row>
    <row r="1783" ht="15.75" customHeight="1">
      <c r="A1783" s="1">
        <v>1781.0</v>
      </c>
      <c r="B1783" s="3" t="s">
        <v>1783</v>
      </c>
      <c r="C1783" s="3" t="str">
        <f>IFERROR(__xludf.DUMMYFUNCTION("GOOGLETRANSLATE(B1783,""id"",""en"")"),"['', 'Your', 'session', 'has',' expired ',' Please ',' Login ',' Again ',' a month ',' mah ',' times', 'management', 'cookienya ',' poor ',' system ',' security ',' Lebay ',' ']")</f>
        <v>['', 'Your', 'session', 'has',' expired ',' Please ',' Login ',' Again ',' a month ',' mah ',' times', 'management', 'cookienya ',' poor ',' system ',' security ',' Lebay ',' ']</v>
      </c>
      <c r="D1783" s="3">
        <v>3.0</v>
      </c>
    </row>
    <row r="1784" ht="15.75" customHeight="1">
      <c r="A1784" s="1">
        <v>1782.0</v>
      </c>
      <c r="B1784" s="3" t="s">
        <v>1784</v>
      </c>
      <c r="C1784" s="3" t="str">
        <f>IFERROR(__xludf.DUMMYFUNCTION("GOOGLETRANSLATE(B1784,""id"",""en"")"),"['Enhanced', 'History', 'Use', 'Credit', 'Signed', 'Details',' Customer ',' Flow ',' Expenditure ',' Credit ',' Detailed ',' Package ',' Subscribe ',' Cutting ',' Credit ',' Customer ',' Concerned ',' Easy ',' ']")</f>
        <v>['Enhanced', 'History', 'Use', 'Credit', 'Signed', 'Details',' Customer ',' Flow ',' Expenditure ',' Credit ',' Detailed ',' Package ',' Subscribe ',' Cutting ',' Credit ',' Customer ',' Concerned ',' Easy ',' ']</v>
      </c>
      <c r="D1784" s="3">
        <v>5.0</v>
      </c>
    </row>
    <row r="1785" ht="15.75" customHeight="1">
      <c r="A1785" s="1">
        <v>1783.0</v>
      </c>
      <c r="B1785" s="3" t="s">
        <v>1785</v>
      </c>
      <c r="C1785" s="3" t="str">
        <f>IFERROR(__xludf.DUMMYFUNCTION("GOOGLETRANSLATE(B1785,""id"",""en"")"),"['Sorry', 'application', 'good', 'already', 'buy', 'quota', 'lap', 'unlimited', 'youtube', 'use', 'youtube', 'pulses',' Sumpot ',' left ',' Woiiii ',' Telkomsel ', ""]")</f>
        <v>['Sorry', 'application', 'good', 'already', 'buy', 'quota', 'lap', 'unlimited', 'youtube', 'use', 'youtube', 'pulses',' Sumpot ',' left ',' Woiiii ',' Telkomsel ', "]</v>
      </c>
      <c r="D1785" s="3">
        <v>3.0</v>
      </c>
    </row>
    <row r="1786" ht="15.75" customHeight="1">
      <c r="A1786" s="1">
        <v>1784.0</v>
      </c>
      <c r="B1786" s="3" t="s">
        <v>1786</v>
      </c>
      <c r="C1786" s="3" t="str">
        <f>IFERROR(__xludf.DUMMYFUNCTION("GOOGLETRANSLATE(B1786,""id"",""en"")"),"['Network', 'Worst', 'Indonesia', 'Signal', 'Severe', 'Full', 'Package', 'Signal', 'Leet', 'Slow', 'Laun', 'Lonely', ' Use ',' Telkomsel ']")</f>
        <v>['Network', 'Worst', 'Indonesia', 'Signal', 'Severe', 'Full', 'Package', 'Signal', 'Leet', 'Slow', 'Laun', 'Lonely', ' Use ',' Telkomsel ']</v>
      </c>
      <c r="D1786" s="3">
        <v>1.0</v>
      </c>
    </row>
    <row r="1787" ht="15.75" customHeight="1">
      <c r="A1787" s="1">
        <v>1785.0</v>
      </c>
      <c r="B1787" s="3" t="s">
        <v>1787</v>
      </c>
      <c r="C1787" s="3" t="str">
        <f>IFERROR(__xludf.DUMMYFUNCTION("GOOGLETRANSLATE(B1787,""id"",""en"")"),"['sorry', 'bnget', 'pkek', 'app', 'ibi', 'bgggakakan', 'right', 'card', 'my cellphone', 'see', 'data', 'but', ' skarang ',' why ',' Stiap ',' Click ',' Slalu ',' Ngulungi ',' reset ',' Registration ',' smpai ',' annoyed ',' right ',' type ',' kibort ' , '"&amp;"bruts',' knapa ',' pdhal ',' suggestion ',' easy ',' ask ',' data ',' pulse ',' mytelkomsel ',' app ',' mgkin ',' app ',' hoax ',' kgaklagi ',' like ',' ama ',' app ',' trim ',' sorry ',' kphanan ',' app ',' ']")</f>
        <v>['sorry', 'bnget', 'pkek', 'app', 'ibi', 'bgggakakan', 'right', 'card', 'my cellphone', 'see', 'data', 'but', ' skarang ',' why ',' Stiap ',' Click ',' Slalu ',' Ngulungi ',' reset ',' Registration ',' smpai ',' annoyed ',' right ',' type ',' kibort ' , 'bruts',' knapa ',' pdhal ',' suggestion ',' easy ',' ask ',' data ',' pulse ',' mytelkomsel ',' app ',' mgkin ',' app ',' hoax ',' kgaklagi ',' like ',' ama ',' app ',' trim ',' sorry ',' kphanan ',' app ',' ']</v>
      </c>
      <c r="D1787" s="3">
        <v>2.0</v>
      </c>
    </row>
    <row r="1788" ht="15.75" customHeight="1">
      <c r="A1788" s="1">
        <v>1786.0</v>
      </c>
      <c r="B1788" s="3" t="s">
        <v>1788</v>
      </c>
      <c r="C1788" s="3" t="str">
        <f>IFERROR(__xludf.DUMMYFUNCTION("GOOGLETRANSLATE(B1788,""id"",""en"")"),"['package', 'expensive', 'speed', 'below', 'KB', 'hundreds',' MB ',' count ',' seconds', 'location', 'Kendal', 'City', ' Fix ',' th ',' PKAI ',' Telkomsel ',' repairs', 'complain', 'good', 'a day', 'out', 'down']")</f>
        <v>['package', 'expensive', 'speed', 'below', 'KB', 'hundreds',' MB ',' count ',' seconds', 'location', 'Kendal', 'City', ' Fix ',' th ',' PKAI ',' Telkomsel ',' repairs', 'complain', 'good', 'a day', 'out', 'down']</v>
      </c>
      <c r="D1788" s="3">
        <v>1.0</v>
      </c>
    </row>
    <row r="1789" ht="15.75" customHeight="1">
      <c r="A1789" s="1">
        <v>1787.0</v>
      </c>
      <c r="B1789" s="3" t="s">
        <v>1789</v>
      </c>
      <c r="C1789" s="3" t="str">
        <f>IFERROR(__xludf.DUMMYFUNCTION("GOOGLETRANSLATE(B1789,""id"",""en"")"),"['application', 'promo', 'slow', 'view', 'ugly', 'deviating', 'function', 'main', 'comfortable', 'ad', 'error', 'hope', ' In the future ',' slow ',' slow ',' improvement ',' March ',' fun ',' slow ',' error ',' operator ',' idiot ',' woi ']")</f>
        <v>['application', 'promo', 'slow', 'view', 'ugly', 'deviating', 'function', 'main', 'comfortable', 'ad', 'error', 'hope', ' In the future ',' slow ',' slow ',' improvement ',' March ',' fun ',' slow ',' error ',' operator ',' idiot ',' woi ']</v>
      </c>
      <c r="D1789" s="3">
        <v>4.0</v>
      </c>
    </row>
    <row r="1790" ht="15.75" customHeight="1">
      <c r="A1790" s="1">
        <v>1788.0</v>
      </c>
      <c r="B1790" s="3" t="s">
        <v>1790</v>
      </c>
      <c r="C1790" s="3" t="str">
        <f>IFERROR(__xludf.DUMMYFUNCTION("GOOGLETRANSLATE(B1790,""id"",""en"")"),"['strange', 'bin', 'magically', 'buy', 'pulse', 'already', 'chick', 'rb', 'skian', 'dipake', 'data', 'cellular', ' already ',' turned off ',' contents', 'pulse', 'then', 'wifi', 'pulse', 'tetep', 'kpotong', 'wifi', 'pulse', 'rb', 'skian' , 'kmana', 'run',"&amp;" 'beg', 'explanation', ""]")</f>
        <v>['strange', 'bin', 'magically', 'buy', 'pulse', 'already', 'chick', 'rb', 'skian', 'dipake', 'data', 'cellular', ' already ',' turned off ',' contents', 'pulse', 'then', 'wifi', 'pulse', 'tetep', 'kpotong', 'wifi', 'pulse', 'rb', 'skian' , 'kmana', 'run', 'beg', 'explanation', "]</v>
      </c>
      <c r="D1790" s="3">
        <v>1.0</v>
      </c>
    </row>
    <row r="1791" ht="15.75" customHeight="1">
      <c r="A1791" s="1">
        <v>1789.0</v>
      </c>
      <c r="B1791" s="3" t="s">
        <v>1791</v>
      </c>
      <c r="C1791" s="3" t="str">
        <f>IFERROR(__xludf.DUMMYFUNCTION("GOOGLETRANSLATE(B1791,""id"",""en"")"),"['Please', 'Package', 'Corresponding', 'Jngn', 'Basalanin', 'Package', 'Useful', 'Student', 'Kek', 'Jdi', 'Save', 'Expenditure', ' Pandemic ',' Kek ',' Gini ',' Ngeluarin ',' Fund ',' Hopefully ',' responded ',' Telkomsel ', ""]")</f>
        <v>['Please', 'Package', 'Corresponding', 'Jngn', 'Basalanin', 'Package', 'Useful', 'Student', 'Kek', 'Jdi', 'Save', 'Expenditure', ' Pandemic ',' Kek ',' Gini ',' Ngeluarin ',' Fund ',' Hopefully ',' responded ',' Telkomsel ', "]</v>
      </c>
      <c r="D1791" s="3">
        <v>4.0</v>
      </c>
    </row>
    <row r="1792" ht="15.75" customHeight="1">
      <c r="A1792" s="1">
        <v>1790.0</v>
      </c>
      <c r="B1792" s="3" t="s">
        <v>1792</v>
      </c>
      <c r="C1792" s="3" t="str">
        <f>IFERROR(__xludf.DUMMYFUNCTION("GOOGLETRANSLATE(B1792,""id"",""en"")"),"['Stamp', 'Sya', 'UDH', 'Exchange', 'quota', 'GB', 'Day', 'Take', 'Points',' Telkomsel ',' Application ',' Roli ',' Quota ',' sya ',' claim ',' ']")</f>
        <v>['Stamp', 'Sya', 'UDH', 'Exchange', 'quota', 'GB', 'Day', 'Take', 'Points',' Telkomsel ',' Application ',' Roli ',' Quota ',' sya ',' claim ',' ']</v>
      </c>
      <c r="D1792" s="3">
        <v>1.0</v>
      </c>
    </row>
    <row r="1793" ht="15.75" customHeight="1">
      <c r="A1793" s="1">
        <v>1791.0</v>
      </c>
      <c r="B1793" s="3" t="s">
        <v>1793</v>
      </c>
      <c r="C1793" s="3" t="str">
        <f>IFERROR(__xludf.DUMMYFUNCTION("GOOGLETRANSLATE(B1793,""id"",""en"")"),"['Disappointed', 'Download', 'Playstore', 'Speed', 'Email', 'Response', 'How', 'Good', 'Thinking', 'Povider', 'Disappointed', 'Loss',' ']")</f>
        <v>['Disappointed', 'Download', 'Playstore', 'Speed', 'Email', 'Response', 'How', 'Good', 'Thinking', 'Povider', 'Disappointed', 'Loss',' ']</v>
      </c>
      <c r="D1793" s="3">
        <v>1.0</v>
      </c>
    </row>
    <row r="1794" ht="15.75" customHeight="1">
      <c r="A1794" s="1">
        <v>1792.0</v>
      </c>
      <c r="B1794" s="3" t="s">
        <v>1794</v>
      </c>
      <c r="C1794" s="3" t="str">
        <f>IFERROR(__xludf.DUMMYFUNCTION("GOOGLETRANSLATE(B1794,""id"",""en"")"),"['buy', 'Package', 'Telkomsel', 'reset', 'many', 'times',' purchase ',' success', 'check', 'bought', 'pulse', 'ilang', ' Please, 'Handle']")</f>
        <v>['buy', 'Package', 'Telkomsel', 'reset', 'many', 'times',' purchase ',' success', 'check', 'bought', 'pulse', 'ilang', ' Please, 'Handle']</v>
      </c>
      <c r="D1794" s="3">
        <v>1.0</v>
      </c>
    </row>
    <row r="1795" ht="15.75" customHeight="1">
      <c r="A1795" s="1">
        <v>1793.0</v>
      </c>
      <c r="B1795" s="3" t="s">
        <v>1795</v>
      </c>
      <c r="C1795" s="3" t="str">
        <f>IFERROR(__xludf.DUMMYFUNCTION("GOOGLETRANSLATE(B1795,""id"",""en"")"),"['Telkomsel', 'Different', 'Telkomsel', 'Signal', 'Strong', 'Where', 'Region', 'County', 'Pekalongan', 'Bad', 'Signals',' Not bad ',' Good ',' signal ',' in the city ',' application ',' MyTelkomsel ',' Belibet ',' darling ', ""]")</f>
        <v>['Telkomsel', 'Different', 'Telkomsel', 'Signal', 'Strong', 'Where', 'Region', 'County', 'Pekalongan', 'Bad', 'Signals',' Not bad ',' Good ',' signal ',' in the city ',' application ',' MyTelkomsel ',' Belibet ',' darling ', "]</v>
      </c>
      <c r="D1795" s="3">
        <v>1.0</v>
      </c>
    </row>
    <row r="1796" ht="15.75" customHeight="1">
      <c r="A1796" s="1">
        <v>1794.0</v>
      </c>
      <c r="B1796" s="3" t="s">
        <v>1796</v>
      </c>
      <c r="C1796" s="3" t="str">
        <f>IFERROR(__xludf.DUMMYFUNCTION("GOOGLETRANSLATE(B1796,""id"",""en"")"),"['comfortable', 'system', 'Telkomsel', 'application', 'because', 'quota', 'dead', 'off', 'automatic', 'run out', 'pulse', 'regular', ' Eating ',' Dilemma ',' Contents', 'Credit', 'Regular', 'Credit', 'Regular', 'Useful', 'Tlp', 'Number', 'Quota', 'Active'"&amp;", 'Credit' , 'Regular', 'reduced', 'quota', 'active', 'even this', 'signs', 'where', 'pulse', 'missing', 'please', 'note', 'admin']")</f>
        <v>['comfortable', 'system', 'Telkomsel', 'application', 'because', 'quota', 'dead', 'off', 'automatic', 'run out', 'pulse', 'regular', ' Eating ',' Dilemma ',' Contents', 'Credit', 'Regular', 'Credit', 'Regular', 'Useful', 'Tlp', 'Number', 'Quota', 'Active', 'Credit' , 'Regular', 'reduced', 'quota', 'active', 'even this', 'signs', 'where', 'pulse', 'missing', 'please', 'note', 'admin']</v>
      </c>
      <c r="D1796" s="3">
        <v>1.0</v>
      </c>
    </row>
    <row r="1797" ht="15.75" customHeight="1">
      <c r="A1797" s="1">
        <v>1795.0</v>
      </c>
      <c r="B1797" s="3" t="s">
        <v>1797</v>
      </c>
      <c r="C1797" s="3" t="str">
        <f>IFERROR(__xludf.DUMMYFUNCTION("GOOGLETRANSLATE(B1797,""id"",""en"")"),"['', 'Disappointed', 'Telkomsel', 'Region', 'Jakarta', 'Strength', 'Signal', 'Rich', 'Plosok', 'Use', 'Package', 'GB', 'A month ',' strength ',' signal ',' rich ',' please ',' restore ',' network ',' move ',' operator ',' like ',' trmksh ']")</f>
        <v>['', 'Disappointed', 'Telkomsel', 'Region', 'Jakarta', 'Strength', 'Signal', 'Rich', 'Plosok', 'Use', 'Package', 'GB', 'A month ',' strength ',' signal ',' rich ',' please ',' restore ',' network ',' move ',' operator ',' like ',' trmksh ']</v>
      </c>
      <c r="D1797" s="3">
        <v>1.0</v>
      </c>
    </row>
    <row r="1798" ht="15.75" customHeight="1">
      <c r="A1798" s="1">
        <v>1796.0</v>
      </c>
      <c r="B1798" s="3" t="s">
        <v>1798</v>
      </c>
      <c r="C1798" s="3" t="str">
        <f>IFERROR(__xludf.DUMMYFUNCTION("GOOGLETRANSLATE(B1798,""id"",""en"")"),"['buy', 'package', 'dial', 'internet', 'Lanjar', 'right', 'Application', 'purchase', 'package', 'package', 'especially', 'package', ' Game ',' Badahal ',' Paketan ',' Full ',' Quotes', 'Network', 'Play', 'Mobile', 'Legands',' pub ',' COC ', ""]")</f>
        <v>['buy', 'package', 'dial', 'internet', 'Lanjar', 'right', 'Application', 'purchase', 'package', 'package', 'especially', 'package', ' Game ',' Badahal ',' Paketan ',' Full ',' Quotes', 'Network', 'Play', 'Mobile', 'Legands',' pub ',' COC ', "]</v>
      </c>
      <c r="D1798" s="3">
        <v>1.0</v>
      </c>
    </row>
    <row r="1799" ht="15.75" customHeight="1">
      <c r="A1799" s="1">
        <v>1797.0</v>
      </c>
      <c r="B1799" s="3" t="s">
        <v>1799</v>
      </c>
      <c r="C1799" s="3" t="str">
        <f>IFERROR(__xludf.DUMMYFUNCTION("GOOGLETRANSLATE(B1799,""id"",""en"")"),"['Simapti', 'here', 'bad', 'network', 'customer', 'sympathy', 'lbih', 'dri', 'yrs',' skrg ',' connection ',' bad ',' Change ',' card ',' fast ',' good ',' network ',' internet ']")</f>
        <v>['Simapti', 'here', 'bad', 'network', 'customer', 'sympathy', 'lbih', 'dri', 'yrs',' skrg ',' connection ',' bad ',' Change ',' card ',' fast ',' good ',' network ',' internet ']</v>
      </c>
      <c r="D1799" s="3">
        <v>1.0</v>
      </c>
    </row>
    <row r="1800" ht="15.75" customHeight="1">
      <c r="A1800" s="1">
        <v>1798.0</v>
      </c>
      <c r="B1800" s="3" t="s">
        <v>1800</v>
      </c>
      <c r="C1800" s="3" t="str">
        <f>IFERROR(__xludf.DUMMYFUNCTION("GOOGLETRANSLATE(B1800,""id"",""en"")"),"['Network', 'Benerin', 'boss',' Network ',' Sumatran ',' Kek ',' thread ',' tangled ',' buy ',' kouta ',' Rbu ',' Need ',' Drizzle ',' a little ',' network ',' lost ',' forgiveness', 'Makai', 'Telkomsel', 'Understand', 'Sampe', ""]")</f>
        <v>['Network', 'Benerin', 'boss',' Network ',' Sumatran ',' Kek ',' thread ',' tangled ',' buy ',' kouta ',' Rbu ',' Need ',' Drizzle ',' a little ',' network ',' lost ',' forgiveness', 'Makai', 'Telkomsel', 'Understand', 'Sampe', "]</v>
      </c>
      <c r="D1800" s="3">
        <v>1.0</v>
      </c>
    </row>
    <row r="1801" ht="15.75" customHeight="1">
      <c r="A1801" s="1">
        <v>1799.0</v>
      </c>
      <c r="B1801" s="3" t="s">
        <v>1801</v>
      </c>
      <c r="C1801" s="3" t="str">
        <f>IFERROR(__xludf.DUMMYFUNCTION("GOOGLETRANSLATE(B1801,""id"",""en"")"),"['promo', 'congratulations',' package ',' internet ',' omg ',' active ',' apply ',' date ',' pkl ',' WIB ',' check ',' status', ' Stop ',' subscribe ',' Telkomsel ',' apps', 'hub', 'info', 'fit', 'used', 'data', 'activated', 'access',' internet ',' rates'"&amp;" , 'non', 'package', 'info', 'tsel', 'data', 'rates',' save ',' buy ',' package ',' internet ',' tsel ',' pulseku ',' Cut ',' Addin ',' Package ',' Unlimited ',' Pulse ',' Regular ',' Cut ',' ']")</f>
        <v>['promo', 'congratulations',' package ',' internet ',' omg ',' active ',' apply ',' date ',' pkl ',' WIB ',' check ',' status', ' Stop ',' subscribe ',' Telkomsel ',' apps', 'hub', 'info', 'fit', 'used', 'data', 'activated', 'access',' internet ',' rates' , 'non', 'package', 'info', 'tsel', 'data', 'rates',' save ',' buy ',' package ',' internet ',' tsel ',' pulseku ',' Cut ',' Addin ',' Package ',' Unlimited ',' Pulse ',' Regular ',' Cut ',' ']</v>
      </c>
      <c r="D1801" s="3">
        <v>1.0</v>
      </c>
    </row>
    <row r="1802" ht="15.75" customHeight="1">
      <c r="A1802" s="1">
        <v>1800.0</v>
      </c>
      <c r="B1802" s="3" t="s">
        <v>1802</v>
      </c>
      <c r="C1802" s="3" t="str">
        <f>IFERROR(__xludf.DUMMYFUNCTION("GOOGLETRANSLATE(B1802,""id"",""en"")"),"['buy', 'package', 'internet', 'Telkomsel', 'or', 'contents',' reset ',' quota ',' internet ',' make sure ',' pulse ',' packetan ',' Fill ',' reset ',' quota ',' active ',' Telkomsel ',' expert ',' eat ',' pulse ',' run out ',' package ',' fill ',' reset "&amp;"',' quota ' , 'guaranteed', 'pulse', 'fast', 'run out', 'Telkomsel', '']")</f>
        <v>['buy', 'package', 'internet', 'Telkomsel', 'or', 'contents',' reset ',' quota ',' internet ',' make sure ',' pulse ',' packetan ',' Fill ',' reset ',' quota ',' active ',' Telkomsel ',' expert ',' eat ',' pulse ',' run out ',' package ',' fill ',' reset ',' quota ' , 'guaranteed', 'pulse', 'fast', 'run out', 'Telkomsel', '']</v>
      </c>
      <c r="D1802" s="3">
        <v>1.0</v>
      </c>
    </row>
    <row r="1803" ht="15.75" customHeight="1">
      <c r="A1803" s="1">
        <v>1801.0</v>
      </c>
      <c r="B1803" s="3" t="s">
        <v>1803</v>
      </c>
      <c r="C1803" s="3" t="str">
        <f>IFERROR(__xludf.DUMMYFUNCTION("GOOGLETRANSLATE(B1803,""id"",""en"")"),"['Aware', 'Ajalah', 'Telkom', 'Gombin', 'Review', 'Society', 'users',' Telkomsel ',' and then ',' responded ',' have ',' The reason ',' disappointed', '']")</f>
        <v>['Aware', 'Ajalah', 'Telkom', 'Gombin', 'Review', 'Society', 'users',' Telkomsel ',' and then ',' responded ',' have ',' The reason ',' disappointed', '']</v>
      </c>
      <c r="D1803" s="3">
        <v>1.0</v>
      </c>
    </row>
    <row r="1804" ht="15.75" customHeight="1">
      <c r="A1804" s="1">
        <v>1802.0</v>
      </c>
      <c r="B1804" s="3" t="s">
        <v>1804</v>
      </c>
      <c r="C1804" s="3" t="str">
        <f>IFERROR(__xludf.DUMMYFUNCTION("GOOGLETRANSLATE(B1804,""id"",""en"")"),"['bad', 'severe', 'damn', 'bus',' active ',' meeting ',' signal ',' lag ',' getting ',' angry ',' disappointed ',' severe ',' Telkomsel ',' ugly ',' urban ',' Benefits', 'Village', 'Leave', 'price', 'quota', 'internet', 'expensive', 'already', 'disappoint"&amp;"ed' , 'Telkomsel', 'good', 'already', 'ugly', 'really', 'connection', 'stuck', 'activity', 'Telkomsel', 'fix', 'signal', 'user', ' Remote ']")</f>
        <v>['bad', 'severe', 'damn', 'bus',' active ',' meeting ',' signal ',' lag ',' getting ',' angry ',' disappointed ',' severe ',' Telkomsel ',' ugly ',' urban ',' Benefits', 'Village', 'Leave', 'price', 'quota', 'internet', 'expensive', 'already', 'disappointed' , 'Telkomsel', 'good', 'already', 'ugly', 'really', 'connection', 'stuck', 'activity', 'Telkomsel', 'fix', 'signal', 'user', ' Remote ']</v>
      </c>
      <c r="D1804" s="3">
        <v>1.0</v>
      </c>
    </row>
    <row r="1805" ht="15.75" customHeight="1">
      <c r="A1805" s="1">
        <v>1803.0</v>
      </c>
      <c r="B1805" s="3" t="s">
        <v>1805</v>
      </c>
      <c r="C1805" s="3" t="str">
        <f>IFERROR(__xludf.DUMMYFUNCTION("GOOGLETRANSLATE(B1805,""id"",""en"")"),"['quota', 'cheerful', 'Telkomsel', 'enter', 'quota', 'pdhl', 'pulse', 'try', 'time', 'enter', 'quota', 'hope', ' repaired ',' min ',' thank ',' love ']")</f>
        <v>['quota', 'cheerful', 'Telkomsel', 'enter', 'quota', 'pdhl', 'pulse', 'try', 'time', 'enter', 'quota', 'hope', ' repaired ',' min ',' thank ',' love ']</v>
      </c>
      <c r="D1805" s="3">
        <v>5.0</v>
      </c>
    </row>
    <row r="1806" ht="15.75" customHeight="1">
      <c r="A1806" s="1">
        <v>1804.0</v>
      </c>
      <c r="B1806" s="3" t="s">
        <v>1806</v>
      </c>
      <c r="C1806" s="3" t="str">
        <f>IFERROR(__xludf.DUMMYFUNCTION("GOOGLETRANSLATE(B1806,""id"",""en"")"),"['Disappointed', 'Telkomsel', 'dead', 'lights',' rain ',' heavy ',' wind ',' name ',' disorder ',' disorder ',' no ',' rain ',' dead ',' lights', 'speed', 'signal', 'down', 'disappointing', 'stay', 'tower', 'Telkomsel', 'signal', 'disappointing', '']")</f>
        <v>['Disappointed', 'Telkomsel', 'dead', 'lights',' rain ',' heavy ',' wind ',' name ',' disorder ',' disorder ',' no ',' rain ',' dead ',' lights', 'speed', 'signal', 'down', 'disappointing', 'stay', 'tower', 'Telkomsel', 'signal', 'disappointing', '']</v>
      </c>
      <c r="D1806" s="3">
        <v>1.0</v>
      </c>
    </row>
    <row r="1807" ht="15.75" customHeight="1">
      <c r="A1807" s="1">
        <v>1805.0</v>
      </c>
      <c r="B1807" s="3" t="s">
        <v>1807</v>
      </c>
      <c r="C1807" s="3" t="str">
        <f>IFERROR(__xludf.DUMMYFUNCTION("GOOGLETRANSLATE(B1807,""id"",""en"")"),"['please', 'Telkomsel', 'my love', 'card', 'expensive', 'buy', 'Yutub', 'Allah', 'lag', 'continued', 'Maen', 'yellow', ' MS ',' Please ',' Fix ',' just ',' Price ',' Dinaikin ',' Quality ',' Org ',' Made ',' Proud ',' Telkomsel ',' Card ',' Expensive ' , "&amp;"'signal', 'cheap', 'lag', 'mulu', '']")</f>
        <v>['please', 'Telkomsel', 'my love', 'card', 'expensive', 'buy', 'Yutub', 'Allah', 'lag', 'continued', 'Maen', 'yellow', ' MS ',' Please ',' Fix ',' just ',' Price ',' Dinaikin ',' Quality ',' Org ',' Made ',' Proud ',' Telkomsel ',' Card ',' Expensive ' , 'signal', 'cheap', 'lag', 'mulu', '']</v>
      </c>
      <c r="D1807" s="3">
        <v>3.0</v>
      </c>
    </row>
    <row r="1808" ht="15.75" customHeight="1">
      <c r="A1808" s="1">
        <v>1806.0</v>
      </c>
      <c r="B1808" s="3" t="s">
        <v>1808</v>
      </c>
      <c r="C1808" s="3" t="str">
        <f>IFERROR(__xludf.DUMMYFUNCTION("GOOGLETRANSLATE(B1808,""id"",""en"")"),"['Try', 'network', 'improve', 'grimis',' little ',' disruption ',' wind ',' a little ',' disorder ',' ake ',' Telkomsel ',' no ',' comfortable', '']")</f>
        <v>['Try', 'network', 'improve', 'grimis',' little ',' disruption ',' wind ',' a little ',' disorder ',' ake ',' Telkomsel ',' no ',' comfortable', '']</v>
      </c>
      <c r="D1808" s="3">
        <v>2.0</v>
      </c>
    </row>
    <row r="1809" ht="15.75" customHeight="1">
      <c r="A1809" s="1">
        <v>1807.0</v>
      </c>
      <c r="B1809" s="3" t="s">
        <v>1809</v>
      </c>
      <c r="C1809" s="3" t="str">
        <f>IFERROR(__xludf.DUMMYFUNCTION("GOOGLETRANSLATE(B1809,""id"",""en"")"),"['Telkomsel', 'Taikk', 'package', 'expensive', 'network', 'difficult', 'region', 'Banda', 'Aceh', 'since', 'yesterday', 'network', ' Stable ',' Lost ',' Please ',' Fix ',' Quality ',' Price ',' Package ',' Expensive ',' Quality ',' Telkomsel ', ""]")</f>
        <v>['Telkomsel', 'Taikk', 'package', 'expensive', 'network', 'difficult', 'region', 'Banda', 'Aceh', 'since', 'yesterday', 'network', ' Stable ',' Lost ',' Please ',' Fix ',' Quality ',' Price ',' Package ',' Expensive ',' Quality ',' Telkomsel ', "]</v>
      </c>
      <c r="D1809" s="3">
        <v>1.0</v>
      </c>
    </row>
    <row r="1810" ht="15.75" customHeight="1">
      <c r="A1810" s="1">
        <v>1808.0</v>
      </c>
      <c r="B1810" s="3" t="s">
        <v>1810</v>
      </c>
      <c r="C1810" s="3" t="str">
        <f>IFERROR(__xludf.DUMMYFUNCTION("GOOGLETRANSLATE(B1810,""id"",""en"")"),"['Provider', 'Bad', 'Indonesia', 'oath', 'regret', 'buy', 'card', 'network', 'slow', 'package', 'expensive', 'company', ' MINYING ',' Benish ',' Dri ',' Comfort ',' Customer ',' ']")</f>
        <v>['Provider', 'Bad', 'Indonesia', 'oath', 'regret', 'buy', 'card', 'network', 'slow', 'package', 'expensive', 'company', ' MINYING ',' Benish ',' Dri ',' Comfort ',' Customer ',' ']</v>
      </c>
      <c r="D1810" s="3">
        <v>1.0</v>
      </c>
    </row>
    <row r="1811" ht="15.75" customHeight="1">
      <c r="A1811" s="1">
        <v>1809.0</v>
      </c>
      <c r="B1811" s="3" t="s">
        <v>1811</v>
      </c>
      <c r="C1811" s="3" t="str">
        <f>IFERROR(__xludf.DUMMYFUNCTION("GOOGLETRANSLATE(B1811,""id"",""en"")"),"['Provider', 'best', 'signal', 'Sempati', 'Severe', 'bad', 'slow', 'price', 'package', 'expensive', 'signal', 'ugly', ' Bangeeeet ',' Woy ',' Fix ',' Signal ',' Special ',' Region ',' Durikosambi ', ""]")</f>
        <v>['Provider', 'best', 'signal', 'Sempati', 'Severe', 'bad', 'slow', 'price', 'package', 'expensive', 'signal', 'ugly', ' Bangeeeet ',' Woy ',' Fix ',' Signal ',' Special ',' Region ',' Durikosambi ', "]</v>
      </c>
      <c r="D1811" s="3">
        <v>1.0</v>
      </c>
    </row>
    <row r="1812" ht="15.75" customHeight="1">
      <c r="A1812" s="1">
        <v>1810.0</v>
      </c>
      <c r="B1812" s="3" t="s">
        <v>1812</v>
      </c>
      <c r="C1812" s="3" t="str">
        <f>IFERROR(__xludf.DUMMYFUNCTION("GOOGLETRANSLATE(B1812,""id"",""en"")"),"['speed', 'internet', 'except', 'obstacles',' dead ',' electricity ',' wind ',' fast ',' sometimes', 'sometimes',' signal ',' difficult ',' Happy ',' Telkomsel ',' Speed ​​',' Internet ',' ']")</f>
        <v>['speed', 'internet', 'except', 'obstacles',' dead ',' electricity ',' wind ',' fast ',' sometimes', 'sometimes',' signal ',' difficult ',' Happy ',' Telkomsel ',' Speed ​​',' Internet ',' ']</v>
      </c>
      <c r="D1812" s="3">
        <v>5.0</v>
      </c>
    </row>
    <row r="1813" ht="15.75" customHeight="1">
      <c r="A1813" s="1">
        <v>1811.0</v>
      </c>
      <c r="B1813" s="3" t="s">
        <v>1813</v>
      </c>
      <c r="C1813" s="3" t="str">
        <f>IFERROR(__xludf.DUMMYFUNCTION("GOOGLETRANSLATE(B1813,""id"",""en"")"),"['Ngeselin', 'Telkomsel', 'account', 'mobile', 'Legend', 'tire', 'Gara', 'Gara', 'signal', 'Telkomsel', 'bad', 'as bad as',' signal ',' how ',' destroyed ',' emotions', 'mending', 'network', 'Telkomsel', 'sick', 'heart', 'play', 'game', 'search', 'job' , "&amp;"'Bye', 'Telkomsel', 'Bintang', 'Telkomsel', 'Worth', '']")</f>
        <v>['Ngeselin', 'Telkomsel', 'account', 'mobile', 'Legend', 'tire', 'Gara', 'Gara', 'signal', 'Telkomsel', 'bad', 'as bad as',' signal ',' how ',' destroyed ',' emotions', 'mending', 'network', 'Telkomsel', 'sick', 'heart', 'play', 'game', 'search', 'job' , 'Bye', 'Telkomsel', 'Bintang', 'Telkomsel', 'Worth', '']</v>
      </c>
      <c r="D1813" s="3">
        <v>1.0</v>
      </c>
    </row>
    <row r="1814" ht="15.75" customHeight="1">
      <c r="A1814" s="1">
        <v>1812.0</v>
      </c>
      <c r="B1814" s="3" t="s">
        <v>1814</v>
      </c>
      <c r="C1814" s="3" t="str">
        <f>IFERROR(__xludf.DUMMYFUNCTION("GOOGLETRANSLATE(B1814,""id"",""en"")"),"['Good', 'Yach', 'Tebus',' promo ',' times', 'notification', 'network', 'busy', 'MHN', 'MHN', 'counter', 'Aoutlet', ' at home ',' tks']")</f>
        <v>['Good', 'Yach', 'Tebus',' promo ',' times', 'notification', 'network', 'busy', 'MHN', 'MHN', 'counter', 'Aoutlet', ' at home ',' tks']</v>
      </c>
      <c r="D1814" s="3">
        <v>3.0</v>
      </c>
    </row>
    <row r="1815" ht="15.75" customHeight="1">
      <c r="A1815" s="1">
        <v>1813.0</v>
      </c>
      <c r="B1815" s="3" t="s">
        <v>1815</v>
      </c>
      <c r="C1815" s="3" t="str">
        <f>IFERROR(__xludf.DUMMYFUNCTION("GOOGLETRANSLATE(B1815,""id"",""en"")"),"['super', 'expensive', 'network', 'super', 'bad', 'suits',' network ',' wide ',' like ',' please ',' bnerin ',' village ',' Jolotundo ',' Kec ',' Jetis', 'Kab', 'Mojokerto', 'Network', 'Muter']")</f>
        <v>['super', 'expensive', 'network', 'super', 'bad', 'suits',' network ',' wide ',' like ',' please ',' bnerin ',' village ',' Jolotundo ',' Kec ',' Jetis', 'Kab', 'Mojokerto', 'Network', 'Muter']</v>
      </c>
      <c r="D1815" s="3">
        <v>1.0</v>
      </c>
    </row>
    <row r="1816" ht="15.75" customHeight="1">
      <c r="A1816" s="1">
        <v>1814.0</v>
      </c>
      <c r="B1816" s="3" t="s">
        <v>1816</v>
      </c>
      <c r="C1816" s="3" t="str">
        <f>IFERROR(__xludf.DUMMYFUNCTION("GOOGLETRANSLATE(B1816,""id"",""en"")"),"['Chapter', 'asw', 'expirability', 'doang', 'hope', 'go bankrupt', 'times', 'yak', 'city', 'signal', 'ilang "",' Streez ',' The era ',' internet ',' entry ',' stable ',' Gblok ']")</f>
        <v>['Chapter', 'asw', 'expirability', 'doang', 'hope', 'go bankrupt', 'times', 'yak', 'city', 'signal', 'ilang ",' Streez ',' The era ',' internet ',' entry ',' stable ',' Gblok ']</v>
      </c>
      <c r="D1816" s="3">
        <v>1.0</v>
      </c>
    </row>
    <row r="1817" ht="15.75" customHeight="1">
      <c r="A1817" s="1">
        <v>1815.0</v>
      </c>
      <c r="B1817" s="3" t="s">
        <v>1817</v>
      </c>
      <c r="C1817" s="3" t="str">
        <f>IFERROR(__xludf.DUMMYFUNCTION("GOOGLETRANSLATE(B1817,""id"",""en"")"),"['Please', 'TelkomSem', 'Place', 'The Line', 'Good', 'It's',' That's', 'Expensive', 'Bngt', 'As',' Quality ',' Reefan ',' Please ',' Repaired ',' Jngn ',' Want ',' Paid ',' Expensive ',' Her Net ',' Bad ']")</f>
        <v>['Please', 'TelkomSem', 'Place', 'The Line', 'Good', 'It's',' That's', 'Expensive', 'Bngt', 'As',' Quality ',' Reefan ',' Please ',' Repaired ',' Jngn ',' Want ',' Paid ',' Expensive ',' Her Net ',' Bad ']</v>
      </c>
      <c r="D1817" s="3">
        <v>2.0</v>
      </c>
    </row>
    <row r="1818" ht="15.75" customHeight="1">
      <c r="A1818" s="1">
        <v>1816.0</v>
      </c>
      <c r="B1818" s="3" t="s">
        <v>1818</v>
      </c>
      <c r="C1818" s="3" t="str">
        <f>IFERROR(__xludf.DUMMYFUNCTION("GOOGLETRANSLATE(B1818,""id"",""en"")"),"['expensive', 'doang', 'signal', 'mah', 'ugly', 'edit', 'twitter', 'beg', 'response', 'as soon as possible,' change ',' service ',' card', '']")</f>
        <v>['expensive', 'doang', 'signal', 'mah', 'ugly', 'edit', 'twitter', 'beg', 'response', 'as soon as possible,' change ',' service ',' card', '']</v>
      </c>
      <c r="D1818" s="3">
        <v>1.0</v>
      </c>
    </row>
    <row r="1819" ht="15.75" customHeight="1">
      <c r="A1819" s="1">
        <v>1817.0</v>
      </c>
      <c r="B1819" s="3" t="s">
        <v>1819</v>
      </c>
      <c r="C1819" s="3" t="str">
        <f>IFERROR(__xludf.DUMMYFUNCTION("GOOGLETRANSLATE(B1819,""id"",""en"")"),"['Card', 'Kayak', 'Taikkkkk', 'card', 'Signal', 'Kayak', 'Testown', 'Price', 'Expensive', 'Quota', 'Difficult', 'Powered', ' Open ',' application ',' bus', 'Move', 'card', 'lbh', 'good', 'feeling', 'economical', 'skrng', 'use', 'OPR', '']")</f>
        <v>['Card', 'Kayak', 'Taikkkkk', 'card', 'Signal', 'Kayak', 'Testown', 'Price', 'Expensive', 'Quota', 'Difficult', 'Powered', ' Open ',' application ',' bus', 'Move', 'card', 'lbh', 'good', 'feeling', 'economical', 'skrng', 'use', 'OPR', '']</v>
      </c>
      <c r="D1819" s="3">
        <v>1.0</v>
      </c>
    </row>
    <row r="1820" ht="15.75" customHeight="1">
      <c r="A1820" s="1">
        <v>1818.0</v>
      </c>
      <c r="B1820" s="3" t="s">
        <v>1820</v>
      </c>
      <c r="C1820" s="3" t="str">
        <f>IFERROR(__xludf.DUMMYFUNCTION("GOOGLETRANSLATE(B1820,""id"",""en"")"),"['March', 'buy', 'package', 'combo', 'GB', 'enter', 'package', 'pulse', 'truncated', 'thousand', 'beg', 'Dii', ' Confirm ',' as soon as possible ',' min ',' thank you ']")</f>
        <v>['March', 'buy', 'package', 'combo', 'GB', 'enter', 'package', 'pulse', 'truncated', 'thousand', 'beg', 'Dii', ' Confirm ',' as soon as possible ',' min ',' thank you ']</v>
      </c>
      <c r="D1820" s="3">
        <v>5.0</v>
      </c>
    </row>
    <row r="1821" ht="15.75" customHeight="1">
      <c r="A1821" s="1">
        <v>1819.0</v>
      </c>
      <c r="B1821" s="3" t="s">
        <v>1821</v>
      </c>
      <c r="C1821" s="3" t="str">
        <f>IFERROR(__xludf.DUMMYFUNCTION("GOOGLETRANSLATE(B1821,""id"",""en"")"),"['Package', 'according to', 'clock', 'appointment', 'apply', 'Sampa', 'setting', 'according to', 'clock', 'class',' Telkomsel ',' easy ',' eat ',' pulse ',' package ',' run out ']")</f>
        <v>['Package', 'according to', 'clock', 'appointment', 'apply', 'Sampa', 'setting', 'according to', 'clock', 'class',' Telkomsel ',' easy ',' eat ',' pulse ',' package ',' run out ']</v>
      </c>
      <c r="D1821" s="3">
        <v>2.0</v>
      </c>
    </row>
    <row r="1822" ht="15.75" customHeight="1">
      <c r="A1822" s="1">
        <v>1820.0</v>
      </c>
      <c r="B1822" s="3" t="s">
        <v>1822</v>
      </c>
      <c r="C1822" s="3" t="str">
        <f>IFERROR(__xludf.DUMMYFUNCTION("GOOGLETRANSLATE(B1822,""id"",""en"")"),"['Network', 'Bad', 'Open', 'MyTelkomsel', 'Hold', 'MyTelkomsel', 'Sorry', 'Sis',' Please ',' Contact ',' Mimin ',' Emil ',' MyTelkomsel ',' ']")</f>
        <v>['Network', 'Bad', 'Open', 'MyTelkomsel', 'Hold', 'MyTelkomsel', 'Sorry', 'Sis',' Please ',' Contact ',' Mimin ',' Emil ',' MyTelkomsel ',' ']</v>
      </c>
      <c r="D1822" s="3">
        <v>1.0</v>
      </c>
    </row>
    <row r="1823" ht="15.75" customHeight="1">
      <c r="A1823" s="1">
        <v>1821.0</v>
      </c>
      <c r="B1823" s="3" t="s">
        <v>1823</v>
      </c>
      <c r="C1823" s="3" t="str">
        <f>IFERROR(__xludf.DUMMYFUNCTION("GOOGLETRANSLATE(B1823,""id"",""en"")"),"['signal', 'down', 'Recommended', 'Nge', 'Geme', 'Full', 'Down', 'Signal', 'Try', 'Repeated', 'Bener', 'Network', ' '' extensive ',' down ',' cobakk ',' price ',' according to ',' quality ',' gtapi ',' loding ',' how ',' feel ',' signal ',' user ' , 'Hmmm"&amp;"', 'Developer', '']")</f>
        <v>['signal', 'down', 'Recommended', 'Nge', 'Geme', 'Full', 'Down', 'Signal', 'Try', 'Repeated', 'Bener', 'Network', ' '' extensive ',' down ',' cobakk ',' price ',' according to ',' quality ',' gtapi ',' loding ',' how ',' feel ',' signal ',' user ' , 'Hmmm', 'Developer', '']</v>
      </c>
      <c r="D1823" s="3">
        <v>1.0</v>
      </c>
    </row>
    <row r="1824" ht="15.75" customHeight="1">
      <c r="A1824" s="1">
        <v>1822.0</v>
      </c>
      <c r="B1824" s="3" t="s">
        <v>1824</v>
      </c>
      <c r="C1824" s="3" t="str">
        <f>IFERROR(__xludf.DUMMYFUNCTION("GOOGLETRANSLATE(B1824,""id"",""en"")"),"['Thank you', 'Telkomsel', 'help', 'put forward', 'service', 'satisfaction', 'consumer', 'hope', 'success',' triumphed ',' match ',' Surely ',' Greetings', ""]")</f>
        <v>['Thank you', 'Telkomsel', 'help', 'put forward', 'service', 'satisfaction', 'consumer', 'hope', 'success',' triumphed ',' match ',' Surely ',' Greetings', "]</v>
      </c>
      <c r="D1824" s="3">
        <v>5.0</v>
      </c>
    </row>
    <row r="1825" ht="15.75" customHeight="1">
      <c r="A1825" s="1">
        <v>1823.0</v>
      </c>
      <c r="B1825" s="3" t="s">
        <v>1825</v>
      </c>
      <c r="C1825" s="3" t="str">
        <f>IFERROR(__xludf.DUMMYFUNCTION("GOOGLETRANSLATE(B1825,""id"",""en"")"),"['great', 'speed', 'network', 'regretting', 'application', 'match', 'speed', 'internet', 'tsb', 'application', 'slow', 'open', ' Invite ',' press', 'button', 'reloaded', 'kt', 'konrcception', ""]")</f>
        <v>['great', 'speed', 'network', 'regretting', 'application', 'match', 'speed', 'internet', 'tsb', 'application', 'slow', 'open', ' Invite ',' press', 'button', 'reloaded', 'kt', 'konrcception', "]</v>
      </c>
      <c r="D1825" s="3">
        <v>2.0</v>
      </c>
    </row>
    <row r="1826" ht="15.75" customHeight="1">
      <c r="A1826" s="1">
        <v>1824.0</v>
      </c>
      <c r="B1826" s="3" t="s">
        <v>1826</v>
      </c>
      <c r="C1826" s="3" t="str">
        <f>IFERROR(__xludf.DUMMYFUNCTION("GOOGLETRANSLATE(B1826,""id"",""en"")"),"['Please', 'Fix', 'The Line', 'Package', 'Udh', 'Expensive', 'The Network', 'Disappointing', 'Talking', 'Rough', 'Fear', 'Sin', ' Please, 'Fix', 'Customer', 'Buy', 'Disappointed', 'Package', 'Cheap', 'Kyk', 'Current', 'Telkomsel', 'Expensive', 'Network', "&amp;"'Kyk' , 'gini']")</f>
        <v>['Please', 'Fix', 'The Line', 'Package', 'Udh', 'Expensive', 'The Network', 'Disappointing', 'Talking', 'Rough', 'Fear', 'Sin', ' Please, 'Fix', 'Customer', 'Buy', 'Disappointed', 'Package', 'Cheap', 'Kyk', 'Current', 'Telkomsel', 'Expensive', 'Network', 'Kyk' , 'gini']</v>
      </c>
      <c r="D1826" s="3">
        <v>1.0</v>
      </c>
    </row>
    <row r="1827" ht="15.75" customHeight="1">
      <c r="A1827" s="1">
        <v>1825.0</v>
      </c>
      <c r="B1827" s="3" t="s">
        <v>1827</v>
      </c>
      <c r="C1827" s="3" t="str">
        <f>IFERROR(__xludf.DUMMYFUNCTION("GOOGLETRANSLATE(B1827,""id"",""en"")"),"['network', 'Telkomsel', 'good', 'ngellag', 'slow', 'likes', 'ilang', 'ilang', 'Telkomsel', 'Telkomsel', 'Different', 'really' Good ',' oath ',' Season ',' really ',' play ',' game ',' good ',' lag ',' severe ',' open ',' game ',' byka ',' YouTube ' , 'sl"&amp;"ow', 'honest', 'users',' Telkomsel ',' Disappointed ',' really ',' Telkomsel ',' Different ',' really ',' Quality ',' Consider ',' Decreases', ' Quality ',' Telkomsel ',' Rating ',' Colorin ']")</f>
        <v>['network', 'Telkomsel', 'good', 'ngellag', 'slow', 'likes', 'ilang', 'ilang', 'Telkomsel', 'Telkomsel', 'Different', 'really' Good ',' oath ',' Season ',' really ',' play ',' game ',' good ',' lag ',' severe ',' open ',' game ',' byka ',' YouTube ' , 'slow', 'honest', 'users',' Telkomsel ',' Disappointed ',' really ',' Telkomsel ',' Different ',' really ',' Quality ',' Consider ',' Decreases', ' Quality ',' Telkomsel ',' Rating ',' Colorin ']</v>
      </c>
      <c r="D1827" s="3">
        <v>1.0</v>
      </c>
    </row>
    <row r="1828" ht="15.75" customHeight="1">
      <c r="A1828" s="1">
        <v>1826.0</v>
      </c>
      <c r="B1828" s="3" t="s">
        <v>1828</v>
      </c>
      <c r="C1828" s="3" t="str">
        <f>IFERROR(__xludf.DUMMYFUNCTION("GOOGLETRANSLATE(B1828,""id"",""en"")"),"['Thank you', 'exchange', 'Points', 'Package', 'Data', 'GB', 'TIIINNGGG', 'Please', 'Sorry', 'System', 'Busy', 'Please' Try ',' Points', 'Restore', 'Try', 'TIINGGGGG', 'Please', 'Sorry', 'Balance', 'Adequate', 'Purchase', 'Data', 'Nuker', 'Points' , 'alre"&amp;"ady', 'thousands',' tried ',' package ',' free ',' told ',' pay ',' use ',' point ',' TEL ',' I ',' MAKE ',' Providers', 'already', 'yrs',' tried ',' nuker ',' points', 'times',' rich ',' gini ', ""]")</f>
        <v>['Thank you', 'exchange', 'Points', 'Package', 'Data', 'GB', 'TIIINNGGG', 'Please', 'Sorry', 'System', 'Busy', 'Please' Try ',' Points', 'Restore', 'Try', 'TIINGGGGG', 'Please', 'Sorry', 'Balance', 'Adequate', 'Purchase', 'Data', 'Nuker', 'Points' , 'already', 'thousands',' tried ',' package ',' free ',' told ',' pay ',' use ',' point ',' TEL ',' I ',' MAKE ',' Providers', 'already', 'yrs',' tried ',' nuker ',' points', 'times',' rich ',' gini ', "]</v>
      </c>
      <c r="D1828" s="3">
        <v>3.0</v>
      </c>
    </row>
    <row r="1829" ht="15.75" customHeight="1">
      <c r="A1829" s="1">
        <v>1827.0</v>
      </c>
      <c r="B1829" s="3" t="s">
        <v>1829</v>
      </c>
      <c r="C1829" s="3" t="str">
        <f>IFERROR(__xludf.DUMMYFUNCTION("GOOGLETRANSLATE(B1829,""id"",""en"")"),"['device', 'use', 'Oppo', 'Android', 'version', 'information', 'Optimize', 'device']")</f>
        <v>['device', 'use', 'Oppo', 'Android', 'version', 'information', 'Optimize', 'device']</v>
      </c>
      <c r="D1829" s="3">
        <v>1.0</v>
      </c>
    </row>
    <row r="1830" ht="15.75" customHeight="1">
      <c r="A1830" s="1">
        <v>1828.0</v>
      </c>
      <c r="B1830" s="3" t="s">
        <v>1830</v>
      </c>
      <c r="C1830" s="3" t="str">
        <f>IFERROR(__xludf.DUMMYFUNCTION("GOOGLETRANSLATE(B1830,""id"",""en"")"),"['Application', 'Trash', 'Download', 'Open', 'App', 'Eat', 'Quota', 'Hajar', 'Telkomsel', 'Cheating', 'Yaaa', 'Download', ' My advice is', 'Mending', 'Download', 'Forgot', 'Close', 'Application', 'Fitting', 'Already', 'Finish', 'Quota', 'Klian', 'Sucked',"&amp;" 'Original' , 'Open', 'Application', 'Serasa', 'Kayak', 'Download', 'App', 'Make', 'Quotes']")</f>
        <v>['Application', 'Trash', 'Download', 'Open', 'App', 'Eat', 'Quota', 'Hajar', 'Telkomsel', 'Cheating', 'Yaaa', 'Download', ' My advice is', 'Mending', 'Download', 'Forgot', 'Close', 'Application', 'Fitting', 'Already', 'Finish', 'Quota', 'Klian', 'Sucked', 'Original' , 'Open', 'Application', 'Serasa', 'Kayak', 'Download', 'App', 'Make', 'Quotes']</v>
      </c>
      <c r="D1830" s="3">
        <v>1.0</v>
      </c>
    </row>
    <row r="1831" ht="15.75" customHeight="1">
      <c r="A1831" s="1">
        <v>1829.0</v>
      </c>
      <c r="B1831" s="3" t="s">
        <v>1831</v>
      </c>
      <c r="C1831" s="3" t="str">
        <f>IFERROR(__xludf.DUMMYFUNCTION("GOOGLETRANSLATE(B1831,""id"",""en"")"),"['love', 'star', 'request', 'sorry', 'complain', 'network', 'bad', 'TPI', 'smooth', 'good', 'thank', ' Telkomsel ',' Success', 'Telkomsel']")</f>
        <v>['love', 'star', 'request', 'sorry', 'complain', 'network', 'bad', 'TPI', 'smooth', 'good', 'thank', ' Telkomsel ',' Success', 'Telkomsel']</v>
      </c>
      <c r="D1831" s="3">
        <v>5.0</v>
      </c>
    </row>
    <row r="1832" ht="15.75" customHeight="1">
      <c r="A1832" s="1">
        <v>1830.0</v>
      </c>
      <c r="B1832" s="3" t="s">
        <v>1832</v>
      </c>
      <c r="C1832" s="3" t="str">
        <f>IFERROR(__xludf.DUMMYFUNCTION("GOOGLETRANSLATE(B1832,""id"",""en"")"),"['Please', 'min', 'network', 'remote', 'inland', 'area', 'depapre', 'district', 'jayapura', 'maximize', 'work', 'use', ' network ',' difficult ',' trimakasih ']")</f>
        <v>['Please', 'min', 'network', 'remote', 'inland', 'area', 'depapre', 'district', 'jayapura', 'maximize', 'work', 'use', ' network ',' difficult ',' trimakasih ']</v>
      </c>
      <c r="D1832" s="3">
        <v>3.0</v>
      </c>
    </row>
    <row r="1833" ht="15.75" customHeight="1">
      <c r="A1833" s="1">
        <v>1831.0</v>
      </c>
      <c r="B1833" s="3" t="s">
        <v>1833</v>
      </c>
      <c r="C1833" s="3" t="str">
        <f>IFERROR(__xludf.DUMMYFUNCTION("GOOGLETRANSLATE(B1833,""id"",""en"")"),"['vain', 'vain', 'dwonload', 'app', 'kenpa', 'because' cumn ',' fill in ',' quota ',' MB ',' quota ',' GB ',' GB ',' OMG ',' RB ',' trimalasi ',' TLOMSES ',' quota ']")</f>
        <v>['vain', 'vain', 'dwonload', 'app', 'kenpa', 'because' cumn ',' fill in ',' quota ',' MB ',' quota ',' GB ',' GB ',' OMG ',' RB ',' trimalasi ',' TLOMSES ',' quota ']</v>
      </c>
      <c r="D1833" s="3">
        <v>1.0</v>
      </c>
    </row>
    <row r="1834" ht="15.75" customHeight="1">
      <c r="A1834" s="1">
        <v>1832.0</v>
      </c>
      <c r="B1834" s="3" t="s">
        <v>1834</v>
      </c>
      <c r="C1834" s="3" t="str">
        <f>IFERROR(__xludf.DUMMYFUNCTION("GOOGLETRANSLATE(B1834,""id"",""en"")"),"['promo', 'call', 'unlimited', 'appears', 'right', 'contents', 'pulse', 'appears', 'appears', 'fraud', 'public', ""]")</f>
        <v>['promo', 'call', 'unlimited', 'appears', 'right', 'contents', 'pulse', 'appears', 'appears', 'fraud', 'public', "]</v>
      </c>
      <c r="D1834" s="3">
        <v>1.0</v>
      </c>
    </row>
    <row r="1835" ht="15.75" customHeight="1">
      <c r="A1835" s="1">
        <v>1833.0</v>
      </c>
      <c r="B1835" s="3" t="s">
        <v>1835</v>
      </c>
      <c r="C1835" s="3" t="str">
        <f>IFERROR(__xludf.DUMMYFUNCTION("GOOGLETRANSLATE(B1835,""id"",""en"")"),"['Sympathy', 'Different', 'Most', 'promo', 'signal', 'weak', 'in', 'home', 'signal', 'okay', 'stem', 'already', ' signal ',' fast ',' network ',' muter ',' udh ',' network ',' manual ',' tetp ',' try ',' fix ',' name ',' quality ',' netting ' , '']")</f>
        <v>['Sympathy', 'Different', 'Most', 'promo', 'signal', 'weak', 'in', 'home', 'signal', 'okay', 'stem', 'already', ' signal ',' fast ',' network ',' muter ',' udh ',' network ',' manual ',' tetp ',' try ',' fix ',' name ',' quality ',' netting ' , '']</v>
      </c>
      <c r="D1835" s="3">
        <v>1.0</v>
      </c>
    </row>
    <row r="1836" ht="15.75" customHeight="1">
      <c r="A1836" s="1">
        <v>1834.0</v>
      </c>
      <c r="B1836" s="3" t="s">
        <v>1836</v>
      </c>
      <c r="C1836" s="3" t="str">
        <f>IFERROR(__xludf.DUMMYFUNCTION("GOOGLETRANSLATE(B1836,""id"",""en"")"),"['quota', 'education', 'quota', 'main', 'platfrom', 'zoom', 'gmeet', 'etc.', 'use', 'quota', 'main', 'sad', ' ']")</f>
        <v>['quota', 'education', 'quota', 'main', 'platfrom', 'zoom', 'gmeet', 'etc.', 'use', 'quota', 'main', 'sad', ' ']</v>
      </c>
      <c r="D1836" s="3">
        <v>1.0</v>
      </c>
    </row>
    <row r="1837" ht="15.75" customHeight="1">
      <c r="A1837" s="1">
        <v>1835.0</v>
      </c>
      <c r="B1837" s="3" t="s">
        <v>1837</v>
      </c>
      <c r="C1837" s="3" t="str">
        <f>IFERROR(__xludf.DUMMYFUNCTION("GOOGLETRANSLATE(B1837,""id"",""en"")"),"['move', 'card', 'prepaid', 'card', 'hello', 'network', 'internet', 'preferably', 'cmn', 'wonder', 'network', 'card', ' Hello ',' described ',' good ',' card ',' prepaid ',' location ',' newest ',' kayak ',' gini ',' eager ',' move ',' card ',' postpaid '"&amp;" , '']")</f>
        <v>['move', 'card', 'prepaid', 'card', 'hello', 'network', 'internet', 'preferably', 'cmn', 'wonder', 'network', 'card', ' Hello ',' described ',' good ',' card ',' prepaid ',' location ',' newest ',' kayak ',' gini ',' eager ',' move ',' card ',' postpaid ' , '']</v>
      </c>
      <c r="D1837" s="3">
        <v>1.0</v>
      </c>
    </row>
    <row r="1838" ht="15.75" customHeight="1">
      <c r="A1838" s="1">
        <v>1836.0</v>
      </c>
      <c r="B1838" s="3" t="s">
        <v>1838</v>
      </c>
      <c r="C1838" s="3" t="str">
        <f>IFERROR(__xludf.DUMMYFUNCTION("GOOGLETRANSLATE(B1838,""id"",""en"")"),"['The application', 'good', 'network', 'cloudy', 'a little', 'lgsg', 'dead', 'on', 'dead', 'on', 'price', 'expensive', ' Gara ',' The network ',' good ',' oath ',' gave ',' star ',' sincere ',' wanted ',' gangasih ',' star ']")</f>
        <v>['The application', 'good', 'network', 'cloudy', 'a little', 'lgsg', 'dead', 'on', 'dead', 'on', 'price', 'expensive', ' Gara ',' The network ',' good ',' oath ',' gave ',' star ',' sincere ',' wanted ',' gangasih ',' star ']</v>
      </c>
      <c r="D1838" s="3">
        <v>1.0</v>
      </c>
    </row>
    <row r="1839" ht="15.75" customHeight="1">
      <c r="A1839" s="1">
        <v>1837.0</v>
      </c>
      <c r="B1839" s="3" t="s">
        <v>1839</v>
      </c>
      <c r="C1839" s="3" t="str">
        <f>IFERROR(__xludf.DUMMYFUNCTION("GOOGLETRANSLATE(B1839,""id"",""en"")"),"['Kayak', 'network', 'good', 'weak', 'times',' network ',' play ',' game ',' difficult ',' mending ',' move ',' SIM ',' Telkomsel ',' ']")</f>
        <v>['Kayak', 'network', 'good', 'weak', 'times',' network ',' play ',' game ',' difficult ',' mending ',' move ',' SIM ',' Telkomsel ',' ']</v>
      </c>
      <c r="D1839" s="3">
        <v>1.0</v>
      </c>
    </row>
    <row r="1840" ht="15.75" customHeight="1">
      <c r="A1840" s="1">
        <v>1838.0</v>
      </c>
      <c r="B1840" s="3" t="s">
        <v>1840</v>
      </c>
      <c r="C1840" s="3" t="str">
        <f>IFERROR(__xludf.DUMMYFUNCTION("GOOGLETRANSLATE(B1840,""id"",""en"")"),"['Network', 'Bagus',' Proof ',' Rented ',' Tangerang ',' South ',' District ',' Serpong ',' Network ',' Sometimes', 'Signal', 'Sousal', ' Emotions', 'just', 'kouta', 'doang', 'expensive', 'signal', 'good', 'right', 'weather', 'rain', ""]")</f>
        <v>['Network', 'Bagus',' Proof ',' Rented ',' Tangerang ',' South ',' District ',' Serpong ',' Network ',' Sometimes', 'Signal', 'Sousal', ' Emotions', 'just', 'kouta', 'doang', 'expensive', 'signal', 'good', 'right', 'weather', 'rain', "]</v>
      </c>
      <c r="D1840" s="3">
        <v>1.0</v>
      </c>
    </row>
    <row r="1841" ht="15.75" customHeight="1">
      <c r="A1841" s="1">
        <v>1839.0</v>
      </c>
      <c r="B1841" s="3" t="s">
        <v>1841</v>
      </c>
      <c r="C1841" s="3" t="str">
        <f>IFERROR(__xludf.DUMMYFUNCTION("GOOGLETRANSLATE(B1841,""id"",""en"")"),"['Disappointed', 'promo', 'cheerful', 'buy', 'writing', 'thank', 'love', 'request', 'processed', 'told', 'wait', 'sms',' Wait ',' Notif ',' SMS ',' Promo ',' JGA ',' Application ',' Do ',' Transaction ',' Success', 'Koutaa', 'Tetep', 'plsa', 'Jga' , 'Take"&amp;"n', 'do', 'repeat', 'reset', 'tetep']")</f>
        <v>['Disappointed', 'promo', 'cheerful', 'buy', 'writing', 'thank', 'love', 'request', 'processed', 'told', 'wait', 'sms',' Wait ',' Notif ',' SMS ',' Promo ',' JGA ',' Application ',' Do ',' Transaction ',' Success', 'Koutaa', 'Tetep', 'plsa', 'Jga' , 'Taken', 'do', 'repeat', 'reset', 'tetep']</v>
      </c>
      <c r="D1841" s="3">
        <v>1.0</v>
      </c>
    </row>
    <row r="1842" ht="15.75" customHeight="1">
      <c r="A1842" s="1">
        <v>1840.0</v>
      </c>
      <c r="B1842" s="3" t="s">
        <v>1842</v>
      </c>
      <c r="C1842" s="3" t="str">
        <f>IFERROR(__xludf.DUMMYFUNCTION("GOOGLETRANSLATE(B1842,""id"",""en"")"),"['Telkomsel', 'Gedeg', 'Sinyal', 'Severe', 'Bangett', 'Yesterday', 'Current', 'MyTelkomsel', 'Register', 'Number', 'Failed', 'Signal', ' stable ',' improvement ',' change ',' forced ',' replace ',' provider ',' pulse ',' missing ',' where ',' list ',' nel"&amp;"fon ',' already ',' stay ' , 'little', 'run out', 'person', 'stupid', 'cheated', 'check', 'credit', 'hope', 'blessing', '']")</f>
        <v>['Telkomsel', 'Gedeg', 'Sinyal', 'Severe', 'Bangett', 'Yesterday', 'Current', 'MyTelkomsel', 'Register', 'Number', 'Failed', 'Signal', ' stable ',' improvement ',' change ',' forced ',' replace ',' provider ',' pulse ',' missing ',' where ',' list ',' nelfon ',' already ',' stay ' , 'little', 'run out', 'person', 'stupid', 'cheated', 'check', 'credit', 'hope', 'blessing', '']</v>
      </c>
      <c r="D1842" s="3">
        <v>1.0</v>
      </c>
    </row>
    <row r="1843" ht="15.75" customHeight="1">
      <c r="A1843" s="1">
        <v>1841.0</v>
      </c>
      <c r="B1843" s="3" t="s">
        <v>1843</v>
      </c>
      <c r="C1843" s="3" t="str">
        <f>IFERROR(__xludf.DUMMYFUNCTION("GOOGLETRANSLATE(B1843,""id"",""en"")"),"['Severe', 'Telkomsel', 'Network', 'Stable', 'Price', 'Package', 'Package', 'Subscriptions',' Lost ',' Ngandalin ',' Midnight ',' Midnight ',' because ',' cheap ',' because ',' mlm ',' ehh ',' package ',' night ',' already ',' fill ',' reset ',' quality '"&amp;",' speed ',' kb ' , 'Road', 'Njiiir', 'replace', 'card', 'ehh', 'already', 'registration', 'parrraaaah']")</f>
        <v>['Severe', 'Telkomsel', 'Network', 'Stable', 'Price', 'Package', 'Package', 'Subscriptions',' Lost ',' Ngandalin ',' Midnight ',' Midnight ',' because ',' cheap ',' because ',' mlm ',' ehh ',' package ',' night ',' already ',' fill ',' reset ',' quality ',' speed ',' kb ' , 'Road', 'Njiiir', 'replace', 'card', 'ehh', 'already', 'registration', 'parrraaaah']</v>
      </c>
      <c r="D1843" s="3">
        <v>1.0</v>
      </c>
    </row>
    <row r="1844" ht="15.75" customHeight="1">
      <c r="A1844" s="1">
        <v>1842.0</v>
      </c>
      <c r="B1844" s="3" t="s">
        <v>1844</v>
      </c>
      <c r="C1844" s="3" t="str">
        <f>IFERROR(__xludf.DUMMYFUNCTION("GOOGLETRANSLATE(B1844,""id"",""en"")"),"['Telkomsel', 'noon', 'malem', 'buy', 'package', 'internet', 'cheap', 'expensive', 'ajah', 'weather', 'bad', 'weather', ' good ',' signal ',' tetep ',' ugly ',' hope ',' operator ',' good ',' gamau ',' soon ',' bankrupt ',' said ',' service ',' bad ' , 'B"&amp;"intang', 'cave', 'kasi', 'star', 'comment', '']")</f>
        <v>['Telkomsel', 'noon', 'malem', 'buy', 'package', 'internet', 'cheap', 'expensive', 'ajah', 'weather', 'bad', 'weather', ' good ',' signal ',' tetep ',' ugly ',' hope ',' operator ',' good ',' gamau ',' soon ',' bankrupt ',' said ',' service ',' bad ' , 'Bintang', 'cave', 'kasi', 'star', 'comment', '']</v>
      </c>
      <c r="D1844" s="3">
        <v>1.0</v>
      </c>
    </row>
    <row r="1845" ht="15.75" customHeight="1">
      <c r="A1845" s="1">
        <v>1843.0</v>
      </c>
      <c r="B1845" s="3" t="s">
        <v>1845</v>
      </c>
      <c r="C1845" s="3" t="str">
        <f>IFERROR(__xludf.DUMMYFUNCTION("GOOGLETRANSLATE(B1845,""id"",""en"")"),"['Speed', 'decreases',' dramatically ',' signal ',' slow ',' worse ',' sempet ',' buy ',' surprise ',' deal ',' koq ',' slow ',' Lost ',' network ',' weve ',' signal ',' surprise ',' Deal ',' Seperous', 'Nyenet', 'Dongkol', 'Times',' Contact ',' Agent ','"&amp;" Veronika ' , 'Solution', 'settlement', 'how', 'fate', 'quota', 'Hadhehhh', '']")</f>
        <v>['Speed', 'decreases',' dramatically ',' signal ',' slow ',' worse ',' sempet ',' buy ',' surprise ',' deal ',' koq ',' slow ',' Lost ',' network ',' weve ',' signal ',' surprise ',' Deal ',' Seperous', 'Nyenet', 'Dongkol', 'Times',' Contact ',' Agent ',' Veronika ' , 'Solution', 'settlement', 'how', 'fate', 'quota', 'Hadhehhh', '']</v>
      </c>
      <c r="D1845" s="3">
        <v>2.0</v>
      </c>
    </row>
    <row r="1846" ht="15.75" customHeight="1">
      <c r="A1846" s="1">
        <v>1844.0</v>
      </c>
      <c r="B1846" s="3" t="s">
        <v>1846</v>
      </c>
      <c r="C1846" s="3" t="str">
        <f>IFERROR(__xludf.DUMMYFUNCTION("GOOGLETRANSLATE(B1846,""id"",""en"")"),"['Application', 'slow', 'really', 'daily', 'check', 'heavy', 'bnget', 'already', 'network', 'severe', 'price', 'rates',' comparable ', its' quality', 'severe', 'comment', 'ngeluh', 'admin', 'super', 'severe', 'hard', 'really', 'see', 'in the future', 'his"&amp;" customer' , 'reduce']")</f>
        <v>['Application', 'slow', 'really', 'daily', 'check', 'heavy', 'bnget', 'already', 'network', 'severe', 'price', 'rates',' comparable ', its' quality', 'severe', 'comment', 'ngeluh', 'admin', 'super', 'severe', 'hard', 'really', 'see', 'in the future', 'his customer' , 'reduce']</v>
      </c>
      <c r="D1846" s="3">
        <v>1.0</v>
      </c>
    </row>
    <row r="1847" ht="15.75" customHeight="1">
      <c r="A1847" s="1">
        <v>1845.0</v>
      </c>
      <c r="B1847" s="3" t="s">
        <v>1847</v>
      </c>
      <c r="C1847" s="3" t="str">
        <f>IFERROR(__xludf.DUMMYFUNCTION("GOOGLETRANSLATE(B1847,""id"",""en"")"),"['card', 'expensive', 'network', 'bnyak', 'difficult', 'good', 'just', 'taiii', 'blm', 'pkek', 'card', 'please', ' Pakek ',' Disappointed ',' oath ',' MAF ',' NOT ',' HEAD ',' KIN ',' FACT'S, 'Mending', 'Change', 'Card', 'Perdana', 'Pakek' , 'Telkomsel', "&amp;"'disappointing', '']")</f>
        <v>['card', 'expensive', 'network', 'bnyak', 'difficult', 'good', 'just', 'taiii', 'blm', 'pkek', 'card', 'please', ' Pakek ',' Disappointed ',' oath ',' MAF ',' NOT ',' HEAD ',' KIN ',' FACT'S, 'Mending', 'Change', 'Card', 'Perdana', 'Pakek' , 'Telkomsel', 'disappointing', '']</v>
      </c>
      <c r="D1847" s="3">
        <v>1.0</v>
      </c>
    </row>
    <row r="1848" ht="15.75" customHeight="1">
      <c r="A1848" s="1">
        <v>1846.0</v>
      </c>
      <c r="B1848" s="3" t="s">
        <v>1848</v>
      </c>
      <c r="C1848" s="3" t="str">
        <f>IFERROR(__xludf.DUMMYFUNCTION("GOOGLETRANSLATE(B1848,""id"",""en"")"),"['Contact', 'Help', 'Language', 'English', 'How', 'Kaga', 'Settings',' Language ',' Indonesia ',' Easy ',' understood ',' Contact ',' Langusng ',' Veronika ',' Please ',' Telkomsel ',' Expansion ',' Despicable ',' Especially ',' Laced ',' Signal ',' Lost "&amp;"', ""]")</f>
        <v>['Contact', 'Help', 'Language', 'English', 'How', 'Kaga', 'Settings',' Language ',' Indonesia ',' Easy ',' understood ',' Contact ',' Langusng ',' Veronika ',' Please ',' Telkomsel ',' Expansion ',' Despicable ',' Especially ',' Laced ',' Signal ',' Lost ', "]</v>
      </c>
      <c r="D1848" s="3">
        <v>1.0</v>
      </c>
    </row>
    <row r="1849" ht="15.75" customHeight="1">
      <c r="A1849" s="1">
        <v>1847.0</v>
      </c>
      <c r="B1849" s="3" t="s">
        <v>1849</v>
      </c>
      <c r="C1849" s="3" t="str">
        <f>IFERROR(__xludf.DUMMYFUNCTION("GOOGLETRANSLATE(B1849,""id"",""en"")"),"['network', 'Telkomsel', 'satisfying', 'stop', 'use', 'card', 'Hello', 'good', 'card', 'im', 'network', 'stable']")</f>
        <v>['network', 'Telkomsel', 'satisfying', 'stop', 'use', 'card', 'Hello', 'good', 'card', 'im', 'network', 'stable']</v>
      </c>
      <c r="D1849" s="3">
        <v>1.0</v>
      </c>
    </row>
    <row r="1850" ht="15.75" customHeight="1">
      <c r="A1850" s="1">
        <v>1848.0</v>
      </c>
      <c r="B1850" s="3" t="s">
        <v>1850</v>
      </c>
      <c r="C1850" s="3" t="str">
        <f>IFERROR(__xludf.DUMMYFUNCTION("GOOGLETRANSLATE(B1850,""id"",""en"")"),"['min', 'already', 'buy', 'package', 'Disney', 'hotstar', 'package', 'combo', 'omg', 'film', 'open', 'min', ' ',' buy ',' combo ',' omg ',' Disney ',' hotstar ',' open ',' film ',' right ',' buy ',' package ',' combo ',' omg ' , 'Package', 'combo', 'OMG',"&amp;" 'opened', 'film', 'ket', 'package', 'combo', 'omg', 'on', 'subscribe', 'package', ' Disney ',' Hotstar ',' Until ',' Application ',' Disney ',' Uninstall ',' then ',' Install ',' Tetep ',' The film ', ""]")</f>
        <v>['min', 'already', 'buy', 'package', 'Disney', 'hotstar', 'package', 'combo', 'omg', 'film', 'open', 'min', ' ',' buy ',' combo ',' omg ',' Disney ',' hotstar ',' open ',' film ',' right ',' buy ',' package ',' combo ',' omg ' , 'Package', 'combo', 'OMG', 'opened', 'film', 'ket', 'package', 'combo', 'omg', 'on', 'subscribe', 'package', ' Disney ',' Hotstar ',' Until ',' Application ',' Disney ',' Uninstall ',' then ',' Install ',' Tetep ',' The film ', "]</v>
      </c>
      <c r="D1850" s="3">
        <v>1.0</v>
      </c>
    </row>
    <row r="1851" ht="15.75" customHeight="1">
      <c r="A1851" s="1">
        <v>1849.0</v>
      </c>
      <c r="B1851" s="3" t="s">
        <v>1851</v>
      </c>
      <c r="C1851" s="3" t="str">
        <f>IFERROR(__xludf.DUMMYFUNCTION("GOOGLETRANSLATE(B1851,""id"",""en"")"),"['credit', 'ilang', 'please', 'donk', 'learn', 'intention', 'buy', 'pulse', 'package', 'kouta', 'ehk', 'lost', ' pulses', 'please', 'donk', 'dapet', 'value', 'ugly', 'money', 'customer', 'back', 'kagak', ""]")</f>
        <v>['credit', 'ilang', 'please', 'donk', 'learn', 'intention', 'buy', 'pulse', 'package', 'kouta', 'ehk', 'lost', ' pulses', 'please', 'donk', 'dapet', 'value', 'ugly', 'money', 'customer', 'back', 'kagak', "]</v>
      </c>
      <c r="D1851" s="3">
        <v>1.0</v>
      </c>
    </row>
    <row r="1852" ht="15.75" customHeight="1">
      <c r="A1852" s="1">
        <v>1850.0</v>
      </c>
      <c r="B1852" s="3" t="s">
        <v>1852</v>
      </c>
      <c r="C1852" s="3" t="str">
        <f>IFERROR(__xludf.DUMMYFUNCTION("GOOGLETRANSLATE(B1852,""id"",""en"")"),"['Please', 'Sorry', 'Sis', 'Telkomsel', 'Opened', 'APK', 'Open', 'Update']")</f>
        <v>['Please', 'Sorry', 'Sis', 'Telkomsel', 'Opened', 'APK', 'Open', 'Update']</v>
      </c>
      <c r="D1852" s="3">
        <v>4.0</v>
      </c>
    </row>
    <row r="1853" ht="15.75" customHeight="1">
      <c r="A1853" s="1">
        <v>1851.0</v>
      </c>
      <c r="B1853" s="3" t="s">
        <v>1853</v>
      </c>
      <c r="C1853" s="3" t="str">
        <f>IFERROR(__xludf.DUMMYFUNCTION("GOOGLETRANSLATE(B1853,""id"",""en"")"),"['here', 'here', 'play', 'game', 'mobile', 'Legend', 'stable', 'network', 'browse', 'okay', 'sosmed', 'okay', ' guaranteed ',' buffering ',' in the future ',' please ',' enhanced ',' the network ',' play ',' game ']")</f>
        <v>['here', 'here', 'play', 'game', 'mobile', 'Legend', 'stable', 'network', 'browse', 'okay', 'sosmed', 'okay', ' guaranteed ',' buffering ',' in the future ',' please ',' enhanced ',' the network ',' play ',' game ']</v>
      </c>
      <c r="D1853" s="3">
        <v>3.0</v>
      </c>
    </row>
    <row r="1854" ht="15.75" customHeight="1">
      <c r="A1854" s="1">
        <v>1852.0</v>
      </c>
      <c r="B1854" s="3" t="s">
        <v>1854</v>
      </c>
      <c r="C1854" s="3" t="str">
        <f>IFERROR(__xludf.DUMMYFUNCTION("GOOGLETRANSLATE(B1854,""id"",""en"")"),"['Please', 'Admin', 'make it difficult', 'Costumer', 'quota', 'run out', 'tengganan', 'packaged', 'app', 'the reason', 'connection', 'stable', ' network ',' strip ',' please ',' disappointing ',' costumer ']")</f>
        <v>['Please', 'Admin', 'make it difficult', 'Costumer', 'quota', 'run out', 'tengganan', 'packaged', 'app', 'the reason', 'connection', 'stable', ' network ',' strip ',' please ',' disappointing ',' costumer ']</v>
      </c>
      <c r="D1854" s="3">
        <v>1.0</v>
      </c>
    </row>
    <row r="1855" ht="15.75" customHeight="1">
      <c r="A1855" s="1">
        <v>1853.0</v>
      </c>
      <c r="B1855" s="3" t="s">
        <v>1855</v>
      </c>
      <c r="C1855" s="3" t="str">
        <f>IFERROR(__xludf.DUMMYFUNCTION("GOOGLETRANSLATE(B1855,""id"",""en"")"),"['likes',' Telkomsel ',' customers', 'loyal', 'buy', 'package', 'combo', 'free', 'Disney', 'a month', 'month', 'routine', ' Buy ',' Package ',' Combo ',' Buy ',' Combo ',' Confused ',' Package ',' Abundant ',' Ruah ',' Use ',' NSP ',' Call ',' Access' , '"&amp;"YouTube', 'Disney', 'pulse', 'run out', 'function', 'combo', 'times',' disappointed ',' please ',' Telkomsel ',' explanation ',' times', ' Credit ',' Out ',' Know ',' Where ',' Loss', 'Disappointed', 'Telkomsel', ""]")</f>
        <v>['likes',' Telkomsel ',' customers', 'loyal', 'buy', 'package', 'combo', 'free', 'Disney', 'a month', 'month', 'routine', ' Buy ',' Package ',' Combo ',' Buy ',' Combo ',' Confused ',' Package ',' Abundant ',' Ruah ',' Use ',' NSP ',' Call ',' Access' , 'YouTube', 'Disney', 'pulse', 'run out', 'function', 'combo', 'times',' disappointed ',' please ',' Telkomsel ',' explanation ',' times', ' Credit ',' Out ',' Know ',' Where ',' Loss', 'Disappointed', 'Telkomsel', "]</v>
      </c>
      <c r="D1855" s="3">
        <v>2.0</v>
      </c>
    </row>
    <row r="1856" ht="15.75" customHeight="1">
      <c r="A1856" s="1">
        <v>1854.0</v>
      </c>
      <c r="B1856" s="3" t="s">
        <v>1856</v>
      </c>
      <c r="C1856" s="3" t="str">
        <f>IFERROR(__xludf.DUMMYFUNCTION("GOOGLETRANSLATE(B1856,""id"",""en"")"),"['', 'fill', 'credit', 'Nge', 'check', 'balance', 'sorry', 'request', 'process',' try ',' yesterday ',' that's', 'scared ',' number ',' teblogir ',' pdhl ',' number ',' entry ',' application ',' monitoring ',' health ',' village ',' entry ',' prov ',' cen"&amp;"ter ', 'teblogir', 'fear', 'data', 'lost', 'consequently', 'login', 'number', 'udzubillah', 'min', 'dzalik', ""]")</f>
        <v>['', 'fill', 'credit', 'Nge', 'check', 'balance', 'sorry', 'request', 'process',' try ',' yesterday ',' that's', 'scared ',' number ',' teblogir ',' pdhl ',' number ',' entry ',' application ',' monitoring ',' health ',' village ',' entry ',' prov ',' center ', 'teblogir', 'fear', 'data', 'lost', 'consequently', 'login', 'number', 'udzubillah', 'min', 'dzalik', "]</v>
      </c>
      <c r="D1856" s="3">
        <v>1.0</v>
      </c>
    </row>
    <row r="1857" ht="15.75" customHeight="1">
      <c r="A1857" s="1">
        <v>1855.0</v>
      </c>
      <c r="B1857" s="3" t="s">
        <v>1857</v>
      </c>
      <c r="C1857" s="3" t="str">
        <f>IFERROR(__xludf.DUMMYFUNCTION("GOOGLETRANSLATE(B1857,""id"",""en"")"),"['parahhhh', 'network', 'Telkomsel', 'user', 'era', 'felt', 'network', 'bad', 'kemang', 'jakarta', 'south', 'parahhhh', ' ']")</f>
        <v>['parahhhh', 'network', 'Telkomsel', 'user', 'era', 'felt', 'network', 'bad', 'kemang', 'jakarta', 'south', 'parahhhh', ' ']</v>
      </c>
      <c r="D1857" s="3">
        <v>1.0</v>
      </c>
    </row>
    <row r="1858" ht="15.75" customHeight="1">
      <c r="A1858" s="1">
        <v>1856.0</v>
      </c>
      <c r="B1858" s="3" t="s">
        <v>1858</v>
      </c>
      <c r="C1858" s="3" t="str">
        <f>IFERROR(__xludf.DUMMYFUNCTION("GOOGLETRANSLATE(B1858,""id"",""en"")"),"['Min', 'honest', 'network', 'Telkomsel', 'ugly', 'cave', 'use', 'name', 'smooth', 'Indonesia', 'please', 'Minnnn', ' network ',' Padang ',' Kek ',' Gini ',' continued ',' forgiveness', '']")</f>
        <v>['Min', 'honest', 'network', 'Telkomsel', 'ugly', 'cave', 'use', 'name', 'smooth', 'Indonesia', 'please', 'Minnnn', ' network ',' Padang ',' Kek ',' Gini ',' continued ',' forgiveness', '']</v>
      </c>
      <c r="D1858" s="3">
        <v>1.0</v>
      </c>
    </row>
    <row r="1859" ht="15.75" customHeight="1">
      <c r="A1859" s="1">
        <v>1857.0</v>
      </c>
      <c r="B1859" s="3" t="s">
        <v>1859</v>
      </c>
      <c r="C1859" s="3" t="str">
        <f>IFERROR(__xludf.DUMMYFUNCTION("GOOGLETRANSLATE(B1859,""id"",""en"")"),"['Jarigan', 'Telkomsel', 'lag', 'really', 'intention', 'tower', 'ush', 'operate', 'week', 'network', 'ngelag', 'rare', ' Good ',' bankrupt ',' how ',' network ',' repaired ',' severe ',' Telkomsel ']")</f>
        <v>['Jarigan', 'Telkomsel', 'lag', 'really', 'intention', 'tower', 'ush', 'operate', 'week', 'network', 'ngelag', 'rare', ' Good ',' bankrupt ',' how ',' network ',' repaired ',' severe ',' Telkomsel ']</v>
      </c>
      <c r="D1859" s="3">
        <v>1.0</v>
      </c>
    </row>
    <row r="1860" ht="15.75" customHeight="1">
      <c r="A1860" s="1">
        <v>1858.0</v>
      </c>
      <c r="B1860" s="3" t="s">
        <v>1860</v>
      </c>
      <c r="C1860" s="3" t="str">
        <f>IFERROR(__xludf.DUMMYFUNCTION("GOOGLETRANSLATE(B1860,""id"",""en"")"),"['Telkomsel', 'slow', 'severe', 'kayak', 'his way', 'conch', 'face', 'rich', 'pig', 'region', 'Siak', 'Hulu', ' Kab ',' Kampar ',' Riau ',' Kasih ',' Solution ',' Move ',' Provider ']")</f>
        <v>['Telkomsel', 'slow', 'severe', 'kayak', 'his way', 'conch', 'face', 'rich', 'pig', 'region', 'Siak', 'Hulu', ' Kab ',' Kampar ',' Riau ',' Kasih ',' Solution ',' Move ',' Provider ']</v>
      </c>
      <c r="D1860" s="3">
        <v>1.0</v>
      </c>
    </row>
    <row r="1861" ht="15.75" customHeight="1">
      <c r="A1861" s="1">
        <v>1859.0</v>
      </c>
      <c r="B1861" s="3" t="s">
        <v>1861</v>
      </c>
      <c r="C1861" s="3" t="str">
        <f>IFERROR(__xludf.DUMMYFUNCTION("GOOGLETRANSLATE(B1861,""id"",""en"")"),"['Please', 'Developer', 'Lock', 'Credit', 'NTI', 'PAS', 'Quota', 'Out', 'Eat', 'Credit', 'Genesis',' Buy ',' Quota ',' Strus', 'right', 'meek', 'network', 'pulses',' mean ',' then ',' because ',' network ',' cheer ',' please ',' lock ' , 'pulse', 'kayak',"&amp;" 'APK', 'AXISNET', 'MREKA', 'lock', 'pulses',' users', 'experience', 'loss',' satisfy ',' your customer ',' Brand ',' smooth ',' so ',' Thank you ',' ']")</f>
        <v>['Please', 'Developer', 'Lock', 'Credit', 'NTI', 'PAS', 'Quota', 'Out', 'Eat', 'Credit', 'Genesis',' Buy ',' Quota ',' Strus', 'right', 'meek', 'network', 'pulses',' mean ',' then ',' because ',' network ',' cheer ',' please ',' lock ' , 'pulse', 'kayak', 'APK', 'AXISNET', 'MREKA', 'lock', 'pulses',' users', 'experience', 'loss',' satisfy ',' your customer ',' Brand ',' smooth ',' so ',' Thank you ',' ']</v>
      </c>
      <c r="D1861" s="3">
        <v>2.0</v>
      </c>
    </row>
    <row r="1862" ht="15.75" customHeight="1">
      <c r="A1862" s="1">
        <v>1860.0</v>
      </c>
      <c r="B1862" s="3" t="s">
        <v>1862</v>
      </c>
      <c r="C1862" s="3" t="str">
        <f>IFERROR(__xludf.DUMMYFUNCTION("GOOGLETRANSLATE(B1862,""id"",""en"")"),"['move', 'Telkomsel', 'hope', 'connection', 'fast', 'severe', 'signal', 'ilang', 'hail', 'clock', 'signal', 'try', ' Restart ',' Move ',' SIM ',' Tetep ',' No ',' Signal ',' Please ',' Repaired ',' Systema ', ""]")</f>
        <v>['move', 'Telkomsel', 'hope', 'connection', 'fast', 'severe', 'signal', 'ilang', 'hail', 'clock', 'signal', 'try', ' Restart ',' Move ',' SIM ',' Tetep ',' No ',' Signal ',' Please ',' Repaired ',' Systema ', "]</v>
      </c>
      <c r="D1862" s="3">
        <v>1.0</v>
      </c>
    </row>
    <row r="1863" ht="15.75" customHeight="1">
      <c r="A1863" s="1">
        <v>1861.0</v>
      </c>
      <c r="B1863" s="3" t="s">
        <v>1863</v>
      </c>
      <c r="C1863" s="3" t="str">
        <f>IFERROR(__xludf.DUMMYFUNCTION("GOOGLETRANSLATE(B1863,""id"",""en"")"),"['What', 'SIK', 'quota', 'local', 'use', 'Try', 'Tetep', 'Chat', 'Account', 'Telkomsel', 'Tetep', 'Msih', ' activate ',' card ',' please ',' help ',' loss', 'GB', 'KEK', 'Gini', ""]")</f>
        <v>['What', 'SIK', 'quota', 'local', 'use', 'Try', 'Tetep', 'Chat', 'Account', 'Telkomsel', 'Tetep', 'Msih', ' activate ',' card ',' please ',' help ',' loss', 'GB', 'KEK', 'Gini', "]</v>
      </c>
      <c r="D1863" s="3">
        <v>1.0</v>
      </c>
    </row>
    <row r="1864" ht="15.75" customHeight="1">
      <c r="A1864" s="1">
        <v>1862.0</v>
      </c>
      <c r="B1864" s="3" t="s">
        <v>1864</v>
      </c>
      <c r="C1864" s="3" t="str">
        <f>IFERROR(__xludf.DUMMYFUNCTION("GOOGLETRANSLATE(B1864,""id"",""en"")"),"['application', 'honest', 'good', 'disappointing', 'security', 'pulse', 'fitul', 'dlm', 'apk', 'please', 'love', ' pulse ',' right ',' quota ',' run out ',' sumps', 'pulse', 'just', 'live', 'minute', 'student', 'pulse', 'already', 'limit' , 'per month', '"&amp;"that's',' forced ',' use ',' money ',' like ',' gini ',' right ',' quota ',' run out ',' nomer ',' Ngamanin ',' Pulse ',' Telkomsel ',' ']")</f>
        <v>['application', 'honest', 'good', 'disappointing', 'security', 'pulse', 'fitul', 'dlm', 'apk', 'please', 'love', ' pulse ',' right ',' quota ',' run out ',' sumps', 'pulse', 'just', 'live', 'minute', 'student', 'pulse', 'already', 'limit' , 'per month', 'that's',' forced ',' use ',' money ',' like ',' gini ',' right ',' quota ',' run out ',' nomer ',' Ngamanin ',' Pulse ',' Telkomsel ',' ']</v>
      </c>
      <c r="D1864" s="3">
        <v>2.0</v>
      </c>
    </row>
    <row r="1865" ht="15.75" customHeight="1">
      <c r="A1865" s="1">
        <v>1863.0</v>
      </c>
      <c r="B1865" s="3" t="s">
        <v>1865</v>
      </c>
      <c r="C1865" s="3" t="str">
        <f>IFERROR(__xludf.DUMMYFUNCTION("GOOGLETRANSLATE(B1865,""id"",""en"")"),"['Contents',' pulse ',' TLP ',' strange ',' pulse ',' truncated ',' check ',' application ',' quota ',' phone ',' mnt ',' quota ',' Internet ',' kmn ',' go ',' pulse ',' contents', 'quota', 'package', 'data', 'turn off', 'TTP', 'truncated', 'complain', 'T"&amp;"elkomsel' , 'poor', 'bgmn', 'until', 'hrs', 'take', 'pulse', 'user', '']")</f>
        <v>['Contents',' pulse ',' TLP ',' strange ',' pulse ',' truncated ',' check ',' application ',' quota ',' phone ',' mnt ',' quota ',' Internet ',' kmn ',' go ',' pulse ',' contents', 'quota', 'package', 'data', 'turn off', 'TTP', 'truncated', 'complain', 'Telkomsel' , 'poor', 'bgmn', 'until', 'hrs', 'take', 'pulse', 'user', '']</v>
      </c>
      <c r="D1865" s="3">
        <v>1.0</v>
      </c>
    </row>
    <row r="1866" ht="15.75" customHeight="1">
      <c r="A1866" s="1">
        <v>1864.0</v>
      </c>
      <c r="B1866" s="3" t="s">
        <v>1866</v>
      </c>
      <c r="C1866" s="3" t="str">
        <f>IFERROR(__xludf.DUMMYFUNCTION("GOOGLETRANSLATE(B1866,""id"",""en"")"),"['content', 'voucher', 'application', 'okay', 'unfortunately', 'service', 'gave', 'star', 'love', ""]")</f>
        <v>['content', 'voucher', 'application', 'okay', 'unfortunately', 'service', 'gave', 'star', 'love', "]</v>
      </c>
      <c r="D1866" s="3">
        <v>5.0</v>
      </c>
    </row>
    <row r="1867" ht="15.75" customHeight="1">
      <c r="A1867" s="1">
        <v>1865.0</v>
      </c>
      <c r="B1867" s="3" t="s">
        <v>1867</v>
      </c>
      <c r="C1867" s="3" t="str">
        <f>IFERROR(__xludf.DUMMYFUNCTION("GOOGLETRANSLATE(B1867,""id"",""en"")"),"['Congratulations',' Night ',' Sis', 'Telkomsel', 'Down', 'Network', 'Area', 'Pemalang', 'Improvement', 'GMN', 'Please', 'responded', ' annoying ',' surfing ',' thank you ']")</f>
        <v>['Congratulations',' Night ',' Sis', 'Telkomsel', 'Down', 'Network', 'Area', 'Pemalang', 'Improvement', 'GMN', 'Please', 'responded', ' annoying ',' surfing ',' thank you ']</v>
      </c>
      <c r="D1867" s="3">
        <v>1.0</v>
      </c>
    </row>
    <row r="1868" ht="15.75" customHeight="1">
      <c r="A1868" s="1">
        <v>1866.0</v>
      </c>
      <c r="B1868" s="3" t="s">
        <v>1868</v>
      </c>
      <c r="C1868" s="3" t="str">
        <f>IFERROR(__xludf.DUMMYFUNCTION("GOOGLETRANSLATE(B1868,""id"",""en"")"),"['Kaa', 'buy', 'promo', 'yaa', 'right', 'already', 'buy', 'purchase', 'succeed', 'quota', 'enter', 'pulse', ' Cut ',' emang ',' disorder ',' how ',' Please ',' fix ',' Sis']")</f>
        <v>['Kaa', 'buy', 'promo', 'yaa', 'right', 'already', 'buy', 'purchase', 'succeed', 'quota', 'enter', 'pulse', ' Cut ',' emang ',' disorder ',' how ',' Please ',' fix ',' Sis']</v>
      </c>
      <c r="D1868" s="3">
        <v>3.0</v>
      </c>
    </row>
    <row r="1869" ht="15.75" customHeight="1">
      <c r="A1869" s="1">
        <v>1867.0</v>
      </c>
      <c r="B1869" s="3" t="s">
        <v>1869</v>
      </c>
      <c r="C1869" s="3" t="str">
        <f>IFERROR(__xludf.DUMMYFUNCTION("GOOGLETRANSLATE(B1869,""id"",""en"")"),"['branch', 'because', 'Apli', 'Kasi', 'petrified', 'lifted', 'really', 'really', 'promo', 'promo', 'crazy', 'gilan', ' Thank you ',' Application ',' Application ',' Help ',' Easy ',' Understand ', ""]")</f>
        <v>['branch', 'because', 'Apli', 'Kasi', 'petrified', 'lifted', 'really', 'really', 'promo', 'promo', 'crazy', 'gilan', ' Thank you ',' Application ',' Application ',' Help ',' Easy ',' Understand ', "]</v>
      </c>
      <c r="D1869" s="3">
        <v>5.0</v>
      </c>
    </row>
    <row r="1870" ht="15.75" customHeight="1">
      <c r="A1870" s="1">
        <v>1868.0</v>
      </c>
      <c r="B1870" s="3" t="s">
        <v>1870</v>
      </c>
      <c r="C1870" s="3" t="str">
        <f>IFERROR(__xludf.DUMMYFUNCTION("GOOGLETRANSLATE(B1870,""id"",""en"")"),"['pulse', 'save', 'heart', 'heart', 'buy', 'package', 'internet', 'pulses',' sucked ',' kenceng ',' really ',' abis', ' Rb ',' open ',' Telkomsel ',' Doang ',' dirty ', ""]")</f>
        <v>['pulse', 'save', 'heart', 'heart', 'buy', 'package', 'internet', 'pulses',' sucked ',' kenceng ',' really ',' abis', ' Rb ',' open ',' Telkomsel ',' Doang ',' dirty ', "]</v>
      </c>
      <c r="D1870" s="3">
        <v>1.0</v>
      </c>
    </row>
    <row r="1871" ht="15.75" customHeight="1">
      <c r="A1871" s="1">
        <v>1869.0</v>
      </c>
      <c r="B1871" s="3" t="s">
        <v>1871</v>
      </c>
      <c r="C1871" s="3" t="str">
        <f>IFERROR(__xludf.DUMMYFUNCTION("GOOGLETRANSLATE(B1871,""id"",""en"")"),"['Telkomsel', 'Severe', 'Signal', 'Pamanukan', 'Subang', 'Signal', 'Telkomsel', 'Telkomsel', 'Beres', 'Nyesek', ""]")</f>
        <v>['Telkomsel', 'Severe', 'Signal', 'Pamanukan', 'Subang', 'Signal', 'Telkomsel', 'Telkomsel', 'Beres', 'Nyesek', "]</v>
      </c>
      <c r="D1871" s="3">
        <v>1.0</v>
      </c>
    </row>
    <row r="1872" ht="15.75" customHeight="1">
      <c r="A1872" s="1">
        <v>1870.0</v>
      </c>
      <c r="B1872" s="3" t="s">
        <v>1872</v>
      </c>
      <c r="C1872" s="3" t="str">
        <f>IFERROR(__xludf.DUMMYFUNCTION("GOOGLETRANSLATE(B1872,""id"",""en"")"),"['Kenpa', 'Tissue', 'Telkomsel', 'Network', 'Bad', 'Pembah', 'Live', 'JKRTA', 'Network', 'Stable', 'Ngeleg', 'Quota', ' Out ',' NGLEG ',' Competition ',' Quality ',' Signal ',' LevelKn ',' ']")</f>
        <v>['Kenpa', 'Tissue', 'Telkomsel', 'Network', 'Bad', 'Pembah', 'Live', 'JKRTA', 'Network', 'Stable', 'Ngeleg', 'Quota', ' Out ',' NGLEG ',' Competition ',' Quality ',' Signal ',' LevelKn ',' ']</v>
      </c>
      <c r="D1872" s="3">
        <v>2.0</v>
      </c>
    </row>
    <row r="1873" ht="15.75" customHeight="1">
      <c r="A1873" s="1">
        <v>1871.0</v>
      </c>
      <c r="B1873" s="3" t="s">
        <v>1873</v>
      </c>
      <c r="C1873" s="3" t="str">
        <f>IFERROR(__xludf.DUMMYFUNCTION("GOOGLETRANSLATE(B1873,""id"",""en"")"),"['contents', 'pulse', 'RB', 'automatically', 'directly', 'list', 'package', 'omg', 'notification', 'ATI', 'disappointing', ""]")</f>
        <v>['contents', 'pulse', 'RB', 'automatically', 'directly', 'list', 'package', 'omg', 'notification', 'ATI', 'disappointing', "]</v>
      </c>
      <c r="D1873" s="3">
        <v>1.0</v>
      </c>
    </row>
    <row r="1874" ht="15.75" customHeight="1">
      <c r="A1874" s="1">
        <v>1872.0</v>
      </c>
      <c r="B1874" s="3" t="s">
        <v>1874</v>
      </c>
      <c r="C1874" s="3" t="str">
        <f>IFERROR(__xludf.DUMMYFUNCTION("GOOGLETRANSLATE(B1874,""id"",""en"")"),"['bad', 'no', 'corruption', 'expensive', 'doang', 'signal', 'bad', 'no', 'improvement', 'that's',' rich ',' gini ',' Then ',' MAH ',' Mending ',' Change ',' Card ',' Cikarang ',' Region ',' Urban ',' Signal ',' Rural ', ""]")</f>
        <v>['bad', 'no', 'corruption', 'expensive', 'doang', 'signal', 'bad', 'no', 'improvement', 'that's',' rich ',' gini ',' Then ',' MAH ',' Mending ',' Change ',' Card ',' Cikarang ',' Region ',' Urban ',' Signal ',' Rural ', "]</v>
      </c>
      <c r="D1874" s="3">
        <v>1.0</v>
      </c>
    </row>
    <row r="1875" ht="15.75" customHeight="1">
      <c r="A1875" s="1">
        <v>1873.0</v>
      </c>
      <c r="B1875" s="3" t="s">
        <v>1875</v>
      </c>
      <c r="C1875" s="3" t="str">
        <f>IFERROR(__xludf.DUMMYFUNCTION("GOOGLETRANSLATE(B1875,""id"",""en"")"),"['strange', 'really', 'skrg', 'open', 'apk', 'buy', 'quota', 'hang', 'restart', 'etc.', 'doang', ' father', '']")</f>
        <v>['strange', 'really', 'skrg', 'open', 'apk', 'buy', 'quota', 'hang', 'restart', 'etc.', 'doang', ' father', '']</v>
      </c>
      <c r="D1875" s="3">
        <v>1.0</v>
      </c>
    </row>
    <row r="1876" ht="15.75" customHeight="1">
      <c r="A1876" s="1">
        <v>1874.0</v>
      </c>
      <c r="B1876" s="3" t="s">
        <v>1876</v>
      </c>
      <c r="C1876" s="3" t="str">
        <f>IFERROR(__xludf.DUMMYFUNCTION("GOOGLETRANSLATE(B1876,""id"",""en"")"),"['trick', 'package', 'omg', 'active', 'package', 'watch', 'Disney', 'hotstar', 'already', 'told', 'pay', 'application', ' Free ',' watch ',' Disney ',' ']")</f>
        <v>['trick', 'package', 'omg', 'active', 'package', 'watch', 'Disney', 'hotstar', 'already', 'told', 'pay', 'application', ' Free ',' watch ',' Disney ',' ']</v>
      </c>
      <c r="D1876" s="3">
        <v>1.0</v>
      </c>
    </row>
    <row r="1877" ht="15.75" customHeight="1">
      <c r="A1877" s="1">
        <v>1875.0</v>
      </c>
      <c r="B1877" s="3" t="s">
        <v>1877</v>
      </c>
      <c r="C1877" s="3" t="str">
        <f>IFERROR(__xludf.DUMMYFUNCTION("GOOGLETRANSLATE(B1877,""id"",""en"")"),"['', 'Karangin', 'star', 'Telkomsel', 'rich', 'card', 'play', 'game', 'Clash', 'clan', 'lgi', 'tasty', 'attacked ',' signal ',' go ',' where ',' play ',' game ',' brbasis', 'onlein', 'regret', 'ama', 'signal', ""]")</f>
        <v>['', 'Karangin', 'star', 'Telkomsel', 'rich', 'card', 'play', 'game', 'Clash', 'clan', 'lgi', 'tasty', 'attacked ',' signal ',' go ',' where ',' play ',' game ',' brbasis', 'onlein', 'regret', 'ama', 'signal', "]</v>
      </c>
      <c r="D1877" s="3">
        <v>1.0</v>
      </c>
    </row>
    <row r="1878" ht="15.75" customHeight="1">
      <c r="A1878" s="1">
        <v>1876.0</v>
      </c>
      <c r="B1878" s="3" t="s">
        <v>1878</v>
      </c>
      <c r="C1878" s="3" t="str">
        <f>IFERROR(__xludf.DUMMYFUNCTION("GOOGLETRANSLATE(B1878,""id"",""en"")"),"['promo', 'cheerful', 'buy', 'times',' available ',' apps', 'telkomsel', 'clock', 'wait', 'reset', 'buy', 'entry', ' intention ',' Ngani ',' promo ',' please ',' min ']")</f>
        <v>['promo', 'cheerful', 'buy', 'times',' available ',' apps', 'telkomsel', 'clock', 'wait', 'reset', 'buy', 'entry', ' intention ',' Ngani ',' promo ',' please ',' min ']</v>
      </c>
      <c r="D1878" s="3">
        <v>1.0</v>
      </c>
    </row>
    <row r="1879" ht="15.75" customHeight="1">
      <c r="A1879" s="1">
        <v>1877.0</v>
      </c>
      <c r="B1879" s="3" t="s">
        <v>1879</v>
      </c>
      <c r="C1879" s="3" t="str">
        <f>IFERROR(__xludf.DUMMYFUNCTION("GOOGLETRANSLATE(B1879,""id"",""en"")"),"['application', 'help', 'logout', 'logout', 'bother', 'login', 'fast', 'good', 'tsel', '']")</f>
        <v>['application', 'help', 'logout', 'logout', 'bother', 'login', 'fast', 'good', 'tsel', '']</v>
      </c>
      <c r="D1879" s="3">
        <v>2.0</v>
      </c>
    </row>
    <row r="1880" ht="15.75" customHeight="1">
      <c r="A1880" s="1">
        <v>1878.0</v>
      </c>
      <c r="B1880" s="3" t="s">
        <v>1880</v>
      </c>
      <c r="C1880" s="3" t="str">
        <f>IFERROR(__xludf.DUMMYFUNCTION("GOOGLETRANSLATE(B1880,""id"",""en"")"),"['disappointing', 'morning', 'buy', 'package', 'data', 'Telkomsel', 'payment', 'package', 'application', 'Linkaja', 'package', 'data', ' Enter ',' Balance ',' Linkaja ',' Differable ',' Send ',' Complaints', 'Email', 'Chat', 'Veronika', 'Responded', 'Telk"&amp;"omsel', 'Times',' Extitting It ' , 'Really', 'disappointing', 'performance', '']")</f>
        <v>['disappointing', 'morning', 'buy', 'package', 'data', 'Telkomsel', 'payment', 'package', 'application', 'Linkaja', 'package', 'data', ' Enter ',' Balance ',' Linkaja ',' Differable ',' Send ',' Complaints', 'Email', 'Chat', 'Veronika', 'Responded', 'Telkomsel', 'Times',' Extitting It ' , 'Really', 'disappointing', 'performance', '']</v>
      </c>
      <c r="D1880" s="3">
        <v>1.0</v>
      </c>
    </row>
    <row r="1881" ht="15.75" customHeight="1">
      <c r="A1881" s="1">
        <v>1879.0</v>
      </c>
      <c r="B1881" s="3" t="s">
        <v>1881</v>
      </c>
      <c r="C1881" s="3" t="str">
        <f>IFERROR(__xludf.DUMMYFUNCTION("GOOGLETRANSLATE(B1881,""id"",""en"")"),"['Love', 'Star', 'Full', 'Stars',' Purchase ',' Quota ',' Success', 'Love', 'Puka', 'Praise', 'Data', 'GB', ' For ',' Rupiah ',' Success', 'Diproaes',' Buy ',' Credit ',' thousand ',' Rupiah ',' Buy ',' Quota ',' Promo ',' GB ',' for ' , 'Rupiah', 'Zonk',"&amp;" 'Times',' Try ',' Zonk ',' Zonk ',' Zonk ',' Sunguh ',' TEWL ',' EAT ',' MONEY ',' People ',' Hopefully ',' forgiven ',' Amiin ']")</f>
        <v>['Love', 'Star', 'Full', 'Stars',' Purchase ',' Quota ',' Success', 'Love', 'Puka', 'Praise', 'Data', 'GB', ' For ',' Rupiah ',' Success', 'Diproaes',' Buy ',' Credit ',' thousand ',' Rupiah ',' Buy ',' Quota ',' Promo ',' GB ',' for ' , 'Rupiah', 'Zonk', 'Times',' Try ',' Zonk ',' Zonk ',' Zonk ',' Sunguh ',' TEWL ',' EAT ',' MONEY ',' People ',' Hopefully ',' forgiven ',' Amiin ']</v>
      </c>
      <c r="D1881" s="3">
        <v>1.0</v>
      </c>
    </row>
    <row r="1882" ht="15.75" customHeight="1">
      <c r="A1882" s="1">
        <v>1880.0</v>
      </c>
      <c r="B1882" s="3" t="s">
        <v>1882</v>
      </c>
      <c r="C1882" s="3" t="str">
        <f>IFERROR(__xludf.DUMMYFUNCTION("GOOGLETRANSLATE(B1882,""id"",""en"")"),"['network', 'slow', 'lag', 'open', 'application', 'Telkomsel', 'difficult', 'signal', 'telkomsel', 'lag', 'try', 'model', ' network ',' automatic ',' manual ',' automatic ',' lgi ',' lag ',' ']")</f>
        <v>['network', 'slow', 'lag', 'open', 'application', 'Telkomsel', 'difficult', 'signal', 'telkomsel', 'lag', 'try', 'model', ' network ',' automatic ',' manual ',' automatic ',' lgi ',' lag ',' ']</v>
      </c>
      <c r="D1882" s="3">
        <v>2.0</v>
      </c>
    </row>
    <row r="1883" ht="15.75" customHeight="1">
      <c r="A1883" s="1">
        <v>1881.0</v>
      </c>
      <c r="B1883" s="3" t="s">
        <v>1883</v>
      </c>
      <c r="C1883" s="3" t="str">
        <f>IFERROR(__xludf.DUMMYFUNCTION("GOOGLETRANSLATE(B1883,""id"",""en"")"),"['ugly', 'the network', 'can', 'love', 'promo', 'ush', 'love', 'promo', 'contents',' package ',' network ',' right ',' Hadeuhh ',' Kayak ',' Gini ',' Move ',' Haluan ']")</f>
        <v>['ugly', 'the network', 'can', 'love', 'promo', 'ush', 'love', 'promo', 'contents',' package ',' network ',' right ',' Hadeuhh ',' Kayak ',' Gini ',' Move ',' Haluan ']</v>
      </c>
      <c r="D1883" s="3">
        <v>1.0</v>
      </c>
    </row>
    <row r="1884" ht="15.75" customHeight="1">
      <c r="A1884" s="1">
        <v>1882.0</v>
      </c>
      <c r="B1884" s="3" t="s">
        <v>1884</v>
      </c>
      <c r="C1884" s="3" t="str">
        <f>IFERROR(__xludf.DUMMYFUNCTION("GOOGLETRANSLATE(B1884,""id"",""en"")"),"['happy', 'Telkomsel', 'because', 'promo', 'buy', 'cheerful', 'times', 'users', 'Telkomsel', 'patient', 'get']")</f>
        <v>['happy', 'Telkomsel', 'because', 'promo', 'buy', 'cheerful', 'times', 'users', 'Telkomsel', 'patient', 'get']</v>
      </c>
      <c r="D1884" s="3">
        <v>5.0</v>
      </c>
    </row>
    <row r="1885" ht="15.75" customHeight="1">
      <c r="A1885" s="1">
        <v>1883.0</v>
      </c>
      <c r="B1885" s="3" t="s">
        <v>1885</v>
      </c>
      <c r="C1885" s="3" t="str">
        <f>IFERROR(__xludf.DUMMYFUNCTION("GOOGLETRANSLATE(B1885,""id"",""en"")"),"['Bintang', 'Provider', 'loss',' Abis', 'notification', 'late', 'pulse', 'sucked', 'online', 'run out', 'voucher', 'Gara', ' signal ',' weak ',' online ',' hampered ',' signal ',' weak ',' fed up ',' use ',' provider ',' development ',' Please ',' sorry '"&amp;",' change ' , 'use', 'propose', 'relatives', 'sodara', 'results', 'disappointing', '']")</f>
        <v>['Bintang', 'Provider', 'loss',' Abis', 'notification', 'late', 'pulse', 'sucked', 'online', 'run out', 'voucher', 'Gara', ' signal ',' weak ',' online ',' hampered ',' signal ',' weak ',' fed up ',' use ',' provider ',' development ',' Please ',' sorry ',' change ' , 'use', 'propose', 'relatives', 'sodara', 'results', 'disappointing', '']</v>
      </c>
      <c r="D1885" s="3">
        <v>1.0</v>
      </c>
    </row>
    <row r="1886" ht="15.75" customHeight="1">
      <c r="A1886" s="1">
        <v>1884.0</v>
      </c>
      <c r="B1886" s="3" t="s">
        <v>1886</v>
      </c>
      <c r="C1886" s="3" t="str">
        <f>IFERROR(__xludf.DUMMYFUNCTION("GOOGLETRANSLATE(B1886,""id"",""en"")"),"['Thank you', 'I'll be' cheated ',' buy ',' pket ',' cheerful ',' rb ',' udh ',' contents ',' pulse ',' rb ',' list ',' the package ',' cheerful ',' for ',' Rb ',' should ',' kounter ',' buy ',' credit ',' rb ',' ntar ',' package ',' ilang ',' tell ' , 'B"&amp;"uy', 'Rb', 'Gituuuu', '']")</f>
        <v>['Thank you', 'I'll be' cheated ',' buy ',' pket ',' cheerful ',' rb ',' udh ',' contents ',' pulse ',' rb ',' list ',' the package ',' cheerful ',' for ',' Rb ',' should ',' kounter ',' buy ',' credit ',' rb ',' ntar ',' package ',' ilang ',' tell ' , 'Buy', 'Rb', 'Gituuuu', '']</v>
      </c>
      <c r="D1886" s="3">
        <v>1.0</v>
      </c>
    </row>
    <row r="1887" ht="15.75" customHeight="1">
      <c r="A1887" s="1">
        <v>1885.0</v>
      </c>
      <c r="B1887" s="3" t="s">
        <v>1887</v>
      </c>
      <c r="C1887" s="3" t="str">
        <f>IFERROR(__xludf.DUMMYFUNCTION("GOOGLETRANSLATE(B1887,""id"",""en"")"),"['Telkomsel', 'promo', 'customer', 'promo', 'interesting', 'tantalizing', 'fit', 'followed', 'sorry', 'program', 'follow', 'program', ' Follow ',' Disruption ',' Full ',' Reasons ',' Recognition ',' Credit ',' Sucked ',' Customer ',' Telkomsel ',' Faithfu"&amp;"l ',' Please ',' Change "", 'Habits' , 'bad', 'detrimental', 'customer', 'your reputation', 'thank you', ""]")</f>
        <v>['Telkomsel', 'promo', 'customer', 'promo', 'interesting', 'tantalizing', 'fit', 'followed', 'sorry', 'program', 'follow', 'program', ' Follow ',' Disruption ',' Full ',' Reasons ',' Recognition ',' Credit ',' Sucked ',' Customer ',' Telkomsel ',' Faithful ',' Please ',' Change ", 'Habits' , 'bad', 'detrimental', 'customer', 'your reputation', 'thank you', "]</v>
      </c>
      <c r="D1887" s="3">
        <v>1.0</v>
      </c>
    </row>
    <row r="1888" ht="15.75" customHeight="1">
      <c r="A1888" s="1">
        <v>1886.0</v>
      </c>
      <c r="B1888" s="3" t="s">
        <v>1888</v>
      </c>
      <c r="C1888" s="3" t="str">
        <f>IFERROR(__xludf.DUMMYFUNCTION("GOOGLETRANSLATE(B1888,""id"",""en"")"),"['Disappointed', 'Telkomsel', 'buy', 'pulse', 'menu', 'Package', 'Telkomsel', 'complete', 'contents',' pulses', 'try', 'buy', ' package ',' application ',' menu ',' package ',' lost ',' use ',' code ',' dial ',' purchase ',' twitter ',' responded ']")</f>
        <v>['Disappointed', 'Telkomsel', 'buy', 'pulse', 'menu', 'Package', 'Telkomsel', 'complete', 'contents',' pulses', 'try', 'buy', ' package ',' application ',' menu ',' package ',' lost ',' use ',' code ',' dial ',' purchase ',' twitter ',' responded ']</v>
      </c>
      <c r="D1888" s="3">
        <v>3.0</v>
      </c>
    </row>
    <row r="1889" ht="15.75" customHeight="1">
      <c r="A1889" s="1">
        <v>1887.0</v>
      </c>
      <c r="B1889" s="3" t="s">
        <v>1889</v>
      </c>
      <c r="C1889" s="3" t="str">
        <f>IFERROR(__xludf.DUMMYFUNCTION("GOOGLETRANSLATE(B1889,""id"",""en"")"),"['quota', 'unlimited', 'thousand', 'max', 'delete', 'useful', 'person', 'learn', 'home', 'person', 'please', 'package', ' Poor ',' People ',' Please ',' Restore ',' Pliss', 'People']")</f>
        <v>['quota', 'unlimited', 'thousand', 'max', 'delete', 'useful', 'person', 'learn', 'home', 'person', 'please', 'package', ' Poor ',' People ',' Please ',' Restore ',' Pliss', 'People']</v>
      </c>
      <c r="D1889" s="3">
        <v>1.0</v>
      </c>
    </row>
    <row r="1890" ht="15.75" customHeight="1">
      <c r="A1890" s="1">
        <v>1888.0</v>
      </c>
      <c r="B1890" s="3" t="s">
        <v>1890</v>
      </c>
      <c r="C1890" s="3" t="str">
        <f>IFERROR(__xludf.DUMMYFUNCTION("GOOGLETRANSLATE(B1890,""id"",""en"")"),"['offer', 'package', 'application', 'Telkomsel', 'buy', 'smooth', 'process',' original ',' process', 'what', 'min', 'Udh', ' Buy ',' Package ',' Process', 'Process',' Please ',' Help ',' Min ', ""]")</f>
        <v>['offer', 'package', 'application', 'Telkomsel', 'buy', 'smooth', 'process',' original ',' process', 'what', 'min', 'Udh', ' Buy ',' Package ',' Process', 'Process',' Please ',' Help ',' Min ', "]</v>
      </c>
      <c r="D1890" s="3">
        <v>1.0</v>
      </c>
    </row>
    <row r="1891" ht="15.75" customHeight="1">
      <c r="A1891" s="1">
        <v>1889.0</v>
      </c>
      <c r="B1891" s="3" t="s">
        <v>1891</v>
      </c>
      <c r="C1891" s="3" t="str">
        <f>IFERROR(__xludf.DUMMYFUNCTION("GOOGLETRANSLATE(B1891,""id"",""en"")"),"['Please', 'Explanation', 'Team', 'Telkomsel', 'SMS', 'TELKOM', 'Available', 'MNT', 'Nelfon', 'SMS', 'Price', 'TPI', ' Access', 'buy', 'package', 'yaa', '']")</f>
        <v>['Please', 'Explanation', 'Team', 'Telkomsel', 'SMS', 'TELKOM', 'Available', 'MNT', 'Nelfon', 'SMS', 'Price', 'TPI', ' Access', 'buy', 'package', 'yaa', '']</v>
      </c>
      <c r="D1891" s="3">
        <v>5.0</v>
      </c>
    </row>
    <row r="1892" ht="15.75" customHeight="1">
      <c r="A1892" s="1">
        <v>1890.0</v>
      </c>
      <c r="B1892" s="3" t="s">
        <v>1892</v>
      </c>
      <c r="C1892" s="3" t="str">
        <f>IFERROR(__xludf.DUMMYFUNCTION("GOOGLETRANSLATE(B1892,""id"",""en"")"),"['min', 'please', 'package', 'bida', 'buy', 'quota', 'free', 'nelfon', 'minute', 'nelfon', 'pulseku', 'reduced', ' free ',' minutes', 'handy', 'that's',' please ',' min ',' help ',' pulseku ',' run out ',' gara ',' gara ',' cut ',' nepphone ' ]")</f>
        <v>['min', 'please', 'package', 'bida', 'buy', 'quota', 'free', 'nelfon', 'minute', 'nelfon', 'pulseku', 'reduced', ' free ',' minutes', 'handy', 'that's',' please ',' min ',' help ',' pulseku ',' run out ',' gara ',' gara ',' cut ',' nepphone ' ]</v>
      </c>
      <c r="D1892" s="3">
        <v>1.0</v>
      </c>
    </row>
    <row r="1893" ht="15.75" customHeight="1">
      <c r="A1893" s="1">
        <v>1891.0</v>
      </c>
      <c r="B1893" s="3" t="s">
        <v>1893</v>
      </c>
      <c r="C1893" s="3" t="str">
        <f>IFERROR(__xludf.DUMMYFUNCTION("GOOGLETRANSLATE(B1893,""id"",""en"")"),"['kagak', 'intention', 'love', 'package', 'cheap', 'given', 'kek', 'gini', 'customer', 'uncomfortable', 'beggar', 'money', ' Response ',' really ',' pig ',' ']")</f>
        <v>['kagak', 'intention', 'love', 'package', 'cheap', 'given', 'kek', 'gini', 'customer', 'uncomfortable', 'beggar', 'money', ' Response ',' really ',' pig ',' ']</v>
      </c>
      <c r="D1893" s="3">
        <v>1.0</v>
      </c>
    </row>
    <row r="1894" ht="15.75" customHeight="1">
      <c r="A1894" s="1">
        <v>1892.0</v>
      </c>
      <c r="B1894" s="3" t="s">
        <v>1894</v>
      </c>
      <c r="C1894" s="3" t="str">
        <f>IFERROR(__xludf.DUMMYFUNCTION("GOOGLETRANSLATE(B1894,""id"",""en"")"),"['Telkomsel', 'poor', 'already', 'buy', 'package', 'RB', 'DisneyPlus',' Hotstar ',' automatic ',' Sumpot ',' pulses', 'access',' application ',' disney ',' gabisa ',' watch ',' film ',' pdhl ',' already ',' active ',' package ',' telkomsel ',' keuang ',' "&amp;"sia ',' pulses' , 'Rb', 'how', 'min', 'please', 'policy', '']")</f>
        <v>['Telkomsel', 'poor', 'already', 'buy', 'package', 'RB', 'DisneyPlus',' Hotstar ',' automatic ',' Sumpot ',' pulses', 'access',' application ',' disney ',' gabisa ',' watch ',' film ',' pdhl ',' already ',' active ',' package ',' telkomsel ',' keuang ',' sia ',' pulses' , 'Rb', 'how', 'min', 'please', 'policy', '']</v>
      </c>
      <c r="D1894" s="3">
        <v>1.0</v>
      </c>
    </row>
    <row r="1895" ht="15.75" customHeight="1">
      <c r="A1895" s="1">
        <v>1893.0</v>
      </c>
      <c r="B1895" s="3" t="s">
        <v>1895</v>
      </c>
      <c r="C1895" s="3" t="str">
        <f>IFERROR(__xludf.DUMMYFUNCTION("GOOGLETRANSLATE(B1895,""id"",""en"")"),"['Telkomsel', 'obstacles',' signal ',' slow ',' wherever ',' thanks', 'provider', 'the fastest', 'the widest', 'ad', 'doang', 'reality', ' The speed ',' left ',' blinking ',' already ',' Sine ',' loading ']")</f>
        <v>['Telkomsel', 'obstacles',' signal ',' slow ',' wherever ',' thanks', 'provider', 'the fastest', 'the widest', 'ad', 'doang', 'reality', ' The speed ',' left ',' blinking ',' already ',' Sine ',' loading ']</v>
      </c>
      <c r="D1895" s="3">
        <v>5.0</v>
      </c>
    </row>
    <row r="1896" ht="15.75" customHeight="1">
      <c r="A1896" s="1">
        <v>1894.0</v>
      </c>
      <c r="B1896" s="3" t="s">
        <v>1896</v>
      </c>
      <c r="C1896" s="3" t="str">
        <f>IFERROR(__xludf.DUMMYFUNCTION("GOOGLETRANSLATE(B1896,""id"",""en"")"),"['Buy', 'Package', 'MB', 'Out', 'Direct', 'Out', 'Manchester', 'MB', 'Manggat', 'Telkomsel', 'Stonks', ""]")</f>
        <v>['Buy', 'Package', 'MB', 'Out', 'Direct', 'Out', 'Manchester', 'MB', 'Manggat', 'Telkomsel', 'Stonks', "]</v>
      </c>
      <c r="D1896" s="3">
        <v>1.0</v>
      </c>
    </row>
    <row r="1897" ht="15.75" customHeight="1">
      <c r="A1897" s="1">
        <v>1895.0</v>
      </c>
      <c r="B1897" s="3" t="s">
        <v>1897</v>
      </c>
      <c r="C1897" s="3" t="str">
        <f>IFERROR(__xludf.DUMMYFUNCTION("GOOGLETRANSLATE(B1897,""id"",""en"")"),"['Telkomsel', 'buy', 'package', 'unlimited', 'notification', 'right', 'bought', 'intention', 'nge', 'discount', 'already', 'network', ' slow ',' times', 'ngekasi', 'discount', 'package', 'buy', 'kasi', 'notification', 'emotion', 'morning', 'morning', '']")</f>
        <v>['Telkomsel', 'buy', 'package', 'unlimited', 'notification', 'right', 'bought', 'intention', 'nge', 'discount', 'already', 'network', ' slow ',' times', 'ngekasi', 'discount', 'package', 'buy', 'kasi', 'notification', 'emotion', 'morning', 'morning', '']</v>
      </c>
      <c r="D1897" s="3">
        <v>1.0</v>
      </c>
    </row>
    <row r="1898" ht="15.75" customHeight="1">
      <c r="A1898" s="1">
        <v>1896.0</v>
      </c>
      <c r="B1898" s="3" t="s">
        <v>1898</v>
      </c>
      <c r="C1898" s="3" t="str">
        <f>IFERROR(__xludf.DUMMYFUNCTION("GOOGLETRANSLATE(B1898,""id"",""en"")"),"['The ad', 'easy', 'understandable', 'customer', 'language', 'trapping', 'consumers', 'buy', 'pruduk', 'Telkomsel', ""]")</f>
        <v>['The ad', 'easy', 'understandable', 'customer', 'language', 'trapping', 'consumers', 'buy', 'pruduk', 'Telkomsel', "]</v>
      </c>
      <c r="D1898" s="3">
        <v>1.0</v>
      </c>
    </row>
    <row r="1899" ht="15.75" customHeight="1">
      <c r="A1899" s="1">
        <v>1897.0</v>
      </c>
      <c r="B1899" s="3" t="s">
        <v>1899</v>
      </c>
      <c r="C1899" s="3" t="str">
        <f>IFERROR(__xludf.DUMMYFUNCTION("GOOGLETRANSLATE(B1899,""id"",""en"")"),"['Telkomsel', 'quota', 'internet', 'adk', 'pulse', 'sucked', 'sampe', 'zero', 'bnr', 'service', 'kayak', 'gini', ' Prizes', 'offered', 'Daily', 'Check', 'Amanah', 'Kek', 'Gini', 'Disappointed', 'Heavy']")</f>
        <v>['Telkomsel', 'quota', 'internet', 'adk', 'pulse', 'sucked', 'sampe', 'zero', 'bnr', 'service', 'kayak', 'gini', ' Prizes', 'offered', 'Daily', 'Check', 'Amanah', 'Kek', 'Gini', 'Disappointed', 'Heavy']</v>
      </c>
      <c r="D1899" s="3">
        <v>2.0</v>
      </c>
    </row>
    <row r="1900" ht="15.75" customHeight="1">
      <c r="A1900" s="1">
        <v>1898.0</v>
      </c>
      <c r="B1900" s="3" t="s">
        <v>1900</v>
      </c>
      <c r="C1900" s="3" t="str">
        <f>IFERROR(__xludf.DUMMYFUNCTION("GOOGLETRANSLATE(B1900,""id"",""en"")"),"['Contents',' Package ',' Link ',' Notif ',' Payment ',' Success', 'Please', 'Try', 'Balance', 'Cutting', 'Please', 'Benerin', ' The system is', 'Loss']")</f>
        <v>['Contents',' Package ',' Link ',' Notif ',' Payment ',' Success', 'Please', 'Try', 'Balance', 'Cutting', 'Please', 'Benerin', ' The system is', 'Loss']</v>
      </c>
      <c r="D1900" s="3">
        <v>1.0</v>
      </c>
    </row>
    <row r="1901" ht="15.75" customHeight="1">
      <c r="A1901" s="1">
        <v>1899.0</v>
      </c>
      <c r="B1901" s="3" t="s">
        <v>1901</v>
      </c>
      <c r="C1901" s="3" t="str">
        <f>IFERROR(__xludf.DUMMYFUNCTION("GOOGLETRANSLATE(B1901,""id"",""en"")"),"['APK', 'accessed', 'quota', 'internet', 'run out', 'aka', 'free', 'funny', 'klw', 'package', 'hunting', 'abis',' Forgotten ',' fill in ',' put it ',' example ',' free ',' rates', 'already', 'expensive', 'apk', 'tsel', 'free', 'itung', 'fix' , 'Citra', 'c"&amp;"onvenience', 'access',' comment ',' price ',' package ',' internet ',' expensive ',' comment ',' krna ',' krna ',' represent', '']")</f>
        <v>['APK', 'accessed', 'quota', 'internet', 'run out', 'aka', 'free', 'funny', 'klw', 'package', 'hunting', 'abis',' Forgotten ',' fill in ',' put it ',' example ',' free ',' rates', 'already', 'expensive', 'apk', 'tsel', 'free', 'itung', 'fix' , 'Citra', 'convenience', 'access',' comment ',' price ',' package ',' internet ',' expensive ',' comment ',' krna ',' krna ',' represent', '']</v>
      </c>
      <c r="D1901" s="3">
        <v>2.0</v>
      </c>
    </row>
    <row r="1902" ht="15.75" customHeight="1">
      <c r="A1902" s="1">
        <v>1900.0</v>
      </c>
      <c r="B1902" s="3" t="s">
        <v>1902</v>
      </c>
      <c r="C1902" s="3" t="str">
        <f>IFERROR(__xludf.DUMMYFUNCTION("GOOGLETRANSLATE(B1902,""id"",""en"")"),"['Telkomsel', 'enjoy', 'service', 'purchase', 'pulse', 'package', 'home', 'pandemik', 'kovid', 'home']")</f>
        <v>['Telkomsel', 'enjoy', 'service', 'purchase', 'pulse', 'package', 'home', 'pandemik', 'kovid', 'home']</v>
      </c>
      <c r="D1902" s="3">
        <v>5.0</v>
      </c>
    </row>
    <row r="1903" ht="15.75" customHeight="1">
      <c r="A1903" s="1">
        <v>1901.0</v>
      </c>
      <c r="B1903" s="3" t="s">
        <v>1903</v>
      </c>
      <c r="C1903" s="3" t="str">
        <f>IFERROR(__xludf.DUMMYFUNCTION("GOOGLETRANSLATE(B1903,""id"",""en"")"),"['Hello', 'star', 'quota', 'pulse', 'package', 'please', 'cheap', 'price', 'quota', 'expensive', 'really', 'please', ' Malaih ']")</f>
        <v>['Hello', 'star', 'quota', 'pulse', 'package', 'please', 'cheap', 'price', 'quota', 'expensive', 'really', 'please', ' Malaih ']</v>
      </c>
      <c r="D1903" s="3">
        <v>5.0</v>
      </c>
    </row>
    <row r="1904" ht="15.75" customHeight="1">
      <c r="A1904" s="1">
        <v>1902.0</v>
      </c>
      <c r="B1904" s="3" t="s">
        <v>1904</v>
      </c>
      <c r="C1904" s="3" t="str">
        <f>IFERROR(__xludf.DUMMYFUNCTION("GOOGLETRANSLATE(B1904,""id"",""en"")"),"['update', 'complicated', 'number', 'modem', 'no', 'dilogin', 'application', 'unplug', 'modem', 'move', 'login', 'magic', ' Link ',' sent ',' sms']")</f>
        <v>['update', 'complicated', 'number', 'modem', 'no', 'dilogin', 'application', 'unplug', 'modem', 'move', 'login', 'magic', ' Link ',' sent ',' sms']</v>
      </c>
      <c r="D1904" s="3">
        <v>1.0</v>
      </c>
    </row>
    <row r="1905" ht="15.75" customHeight="1">
      <c r="A1905" s="1">
        <v>1903.0</v>
      </c>
      <c r="B1905" s="3" t="s">
        <v>1905</v>
      </c>
      <c r="C1905" s="3" t="str">
        <f>IFERROR(__xludf.DUMMYFUNCTION("GOOGLETRANSLATE(B1905,""id"",""en"")"),"['Hopefully', 'Helpful', 'Tapia', 'Sunday', 'Signal', 'Telkomsel', 'No', 'Region', 'Telkomsel', 'Current', 'Afraid', 'Number', ' not ',' active ',' missing ',' signal ',' filled ',' pulses', 'ndak', 'enter', 'check', 'pulse', 'no']")</f>
        <v>['Hopefully', 'Helpful', 'Tapia', 'Sunday', 'Signal', 'Telkomsel', 'No', 'Region', 'Telkomsel', 'Current', 'Afraid', 'Number', ' not ',' active ',' missing ',' signal ',' filled ',' pulses', 'ndak', 'enter', 'check', 'pulse', 'no']</v>
      </c>
      <c r="D1905" s="3">
        <v>5.0</v>
      </c>
    </row>
    <row r="1906" ht="15.75" customHeight="1">
      <c r="A1906" s="1">
        <v>1904.0</v>
      </c>
      <c r="B1906" s="3" t="s">
        <v>1906</v>
      </c>
      <c r="C1906" s="3" t="str">
        <f>IFERROR(__xludf.DUMMYFUNCTION("GOOGLETRANSLATE(B1906,""id"",""en"")"),"['', 'Tlekomsel', 'package', 'offered', 'loan', 'credit', 'open', 'video', 'news',' appears', 'child', 'open', 'press ',' yeah ',' BUMN ',' like ',' search ',' luck ',' kayak ',' ghitu ',' people ',' ']")</f>
        <v>['', 'Tlekomsel', 'package', 'offered', 'loan', 'credit', 'open', 'video', 'news',' appears', 'child', 'open', 'press ',' yeah ',' BUMN ',' like ',' search ',' luck ',' kayak ',' ghitu ',' people ',' ']</v>
      </c>
      <c r="D1906" s="3">
        <v>1.0</v>
      </c>
    </row>
    <row r="1907" ht="15.75" customHeight="1">
      <c r="A1907" s="1">
        <v>1905.0</v>
      </c>
      <c r="B1907" s="3" t="s">
        <v>1907</v>
      </c>
      <c r="C1907" s="3" t="str">
        <f>IFERROR(__xludf.DUMMYFUNCTION("GOOGLETRANSLATE(B1907,""id"",""en"")"),"['here', 'down', 'signal', 'quota', 'signal', 'down', 'severe', 'rating', 'threat', 'already', 'customer', 'nge', ' No ',' repairs', 'response', 'Telkomsel', '']")</f>
        <v>['here', 'down', 'signal', 'quota', 'signal', 'down', 'severe', 'rating', 'threat', 'already', 'customer', 'nge', ' No ',' repairs', 'response', 'Telkomsel', '']</v>
      </c>
      <c r="D1907" s="3">
        <v>1.0</v>
      </c>
    </row>
    <row r="1908" ht="15.75" customHeight="1">
      <c r="A1908" s="1">
        <v>1906.0</v>
      </c>
      <c r="B1908" s="3" t="s">
        <v>1908</v>
      </c>
      <c r="C1908" s="3" t="str">
        <f>IFERROR(__xludf.DUMMYFUNCTION("GOOGLETRANSLATE(B1908,""id"",""en"")"),"['His name', 'unlimitedmax', 'active', 'quota', 'main', 'run out', 'lie', 'quota', 'main', 'out', 'quota', 'apps',' just ',' please ',' use ',' concurrently ',' quota ',' main ',' use ',' application ',' unlimited ',' apps', '']")</f>
        <v>['His name', 'unlimitedmax', 'active', 'quota', 'main', 'run out', 'lie', 'quota', 'main', 'out', 'quota', 'apps',' just ',' please ',' use ',' concurrently ',' quota ',' main ',' use ',' application ',' unlimited ',' apps', '']</v>
      </c>
      <c r="D1908" s="3">
        <v>1.0</v>
      </c>
    </row>
    <row r="1909" ht="15.75" customHeight="1">
      <c r="A1909" s="1">
        <v>1907.0</v>
      </c>
      <c r="B1909" s="3" t="s">
        <v>1909</v>
      </c>
      <c r="C1909" s="3" t="str">
        <f>IFERROR(__xludf.DUMMYFUNCTION("GOOGLETRANSLATE(B1909,""id"",""en"")"),"['Network', 'Hummy', 'Stable', 'Sampe', 'Down', 'or', 'Below', 'Credit', 'Suck', 'Run', 'internet', 'buy', ' Package ',' unlimited ',' buy ',' package ',' regular ',' better ',' buy ',' card ',' package ',' network ', ""]")</f>
        <v>['Network', 'Hummy', 'Stable', 'Sampe', 'Down', 'or', 'Below', 'Credit', 'Suck', 'Run', 'internet', 'buy', ' Package ',' unlimited ',' buy ',' package ',' regular ',' better ',' buy ',' card ',' package ',' network ', "]</v>
      </c>
      <c r="D1909" s="3">
        <v>2.0</v>
      </c>
    </row>
    <row r="1910" ht="15.75" customHeight="1">
      <c r="A1910" s="1">
        <v>1908.0</v>
      </c>
      <c r="B1910" s="3" t="s">
        <v>1910</v>
      </c>
      <c r="C1910" s="3" t="str">
        <f>IFERROR(__xludf.DUMMYFUNCTION("GOOGLETRANSLATE(B1910,""id"",""en"")"),"['Telkomsel', 'skrg', 'recommend', 'pulses',' expensive ',' network ',' threat ',' paraahh ',' prime ',' lbh ',' laen ',' signal ',' Lemot ',' suggest ',' Telkomsel ',' ']")</f>
        <v>['Telkomsel', 'skrg', 'recommend', 'pulses',' expensive ',' network ',' threat ',' paraahh ',' prime ',' lbh ',' laen ',' signal ',' Lemot ',' suggest ',' Telkomsel ',' ']</v>
      </c>
      <c r="D1910" s="3">
        <v>1.0</v>
      </c>
    </row>
    <row r="1911" ht="15.75" customHeight="1">
      <c r="A1911" s="1">
        <v>1909.0</v>
      </c>
      <c r="B1911" s="3" t="s">
        <v>1911</v>
      </c>
      <c r="C1911" s="3" t="str">
        <f>IFERROR(__xludf.DUMMYFUNCTION("GOOGLETRANSLATE(B1911,""id"",""en"")"),"['oath', 'provider', 'squeezed', 'Yesterday', 'signal', 'ngedown', 'really', 'then', 'smooth', 'obstacle', 'quota', 'suck', ' Ngilake ',' just ',' game ',' Doang ',' Maen ',' game ',' just ',' Abis', 'MB', 'clock', 'clock', 'already', 'GB' , '']")</f>
        <v>['oath', 'provider', 'squeezed', 'Yesterday', 'signal', 'ngedown', 'really', 'then', 'smooth', 'obstacle', 'quota', 'suck', ' Ngilake ',' just ',' game ',' Doang ',' Maen ',' game ',' just ',' Abis', 'MB', 'clock', 'clock', 'already', 'GB' , '']</v>
      </c>
      <c r="D1911" s="3">
        <v>3.0</v>
      </c>
    </row>
    <row r="1912" ht="15.75" customHeight="1">
      <c r="A1912" s="1">
        <v>1910.0</v>
      </c>
      <c r="B1912" s="3" t="s">
        <v>1912</v>
      </c>
      <c r="C1912" s="3" t="str">
        <f>IFERROR(__xludf.DUMMYFUNCTION("GOOGLETRANSLATE(B1912,""id"",""en"")"),"['Application', 'opened', 'Loading', 'Refresh', 'Repeated', 'Times', 'Uinstal', 'Install']")</f>
        <v>['Application', 'opened', 'Loading', 'Refresh', 'Repeated', 'Times', 'Uinstal', 'Install']</v>
      </c>
      <c r="D1912" s="3">
        <v>4.0</v>
      </c>
    </row>
    <row r="1913" ht="15.75" customHeight="1">
      <c r="A1913" s="1">
        <v>1911.0</v>
      </c>
      <c r="B1913" s="3" t="s">
        <v>1913</v>
      </c>
      <c r="C1913" s="3" t="str">
        <f>IFERROR(__xludf.DUMMYFUNCTION("GOOGLETRANSLATE(B1913,""id"",""en"")"),"['buy', 'credit', 'use', 'link', 'balance', 'Cut', 'Credit', 'enter', 'Asa', 'description', 'payment', 'SUCCESS', ' Complaints', ""]")</f>
        <v>['buy', 'credit', 'use', 'link', 'balance', 'Cut', 'Credit', 'enter', 'Asa', 'description', 'payment', 'SUCCESS', ' Complaints', "]</v>
      </c>
      <c r="D1913" s="3">
        <v>1.0</v>
      </c>
    </row>
    <row r="1914" ht="15.75" customHeight="1">
      <c r="A1914" s="1">
        <v>1912.0</v>
      </c>
      <c r="B1914" s="3" t="s">
        <v>1914</v>
      </c>
      <c r="C1914" s="3" t="str">
        <f>IFERROR(__xludf.DUMMYFUNCTION("GOOGLETRANSLATE(B1914,""id"",""en"")"),"['update', 'newest', 'complicated', 'verification', 'suggestion', 'privacy', 'entry', 'sms', 'number', 'spam', ""]")</f>
        <v>['update', 'newest', 'complicated', 'verification', 'suggestion', 'privacy', 'entry', 'sms', 'number', 'spam', "]</v>
      </c>
      <c r="D1914" s="3">
        <v>2.0</v>
      </c>
    </row>
    <row r="1915" ht="15.75" customHeight="1">
      <c r="A1915" s="1">
        <v>1913.0</v>
      </c>
      <c r="B1915" s="3" t="s">
        <v>1915</v>
      </c>
      <c r="C1915" s="3" t="str">
        <f>IFERROR(__xludf.DUMMYFUNCTION("GOOGLETRANSLATE(B1915,""id"",""en"")"),"['Credit', 'APL', 'Tsel', 'Reduced', 'Ampe', 'UDH', 'complaint', 'SKITAR', 'STAUN', 'Give', 'Solution', 'Ampe', ' Now ',' Cape ',' now ',' UDH ',' Males', 'Neetok', 'Pulse', 'APL', 'MyTelkomsel', 'Out', 'Alesan', 'Signal', 'Tsel' , 'area', 'Garut', 'UDH',"&amp;" 'a month', 'stable', 'really', 'slow', 'severe', 'seller', 'online', 'disturbed', 'gmn', ' Neh ',' ']")</f>
        <v>['Credit', 'APL', 'Tsel', 'Reduced', 'Ampe', 'UDH', 'complaint', 'SKITAR', 'STAUN', 'Give', 'Solution', 'Ampe', ' Now ',' Cape ',' now ',' UDH ',' Males', 'Neetok', 'Pulse', 'APL', 'MyTelkomsel', 'Out', 'Alesan', 'Signal', 'Tsel' , 'area', 'Garut', 'UDH', 'a month', 'stable', 'really', 'slow', 'severe', 'seller', 'online', 'disturbed', 'gmn', ' Neh ',' ']</v>
      </c>
      <c r="D1915" s="3">
        <v>1.0</v>
      </c>
    </row>
    <row r="1916" ht="15.75" customHeight="1">
      <c r="A1916" s="1">
        <v>1914.0</v>
      </c>
      <c r="B1916" s="3" t="s">
        <v>1916</v>
      </c>
      <c r="C1916" s="3" t="str">
        <f>IFERROR(__xludf.DUMMYFUNCTION("GOOGLETRANSLATE(B1916,""id"",""en"")"),"['Network', 'Telkomsel', 'bad', 'compared', 'inverted', 'tariff', 'expensive', 'cheap', 'loyal', 'quality', 'big', 'good', ' Experience ',' Decrease ',' Quality ']")</f>
        <v>['Network', 'Telkomsel', 'bad', 'compared', 'inverted', 'tariff', 'expensive', 'cheap', 'loyal', 'quality', 'big', 'good', ' Experience ',' Decrease ',' Quality ']</v>
      </c>
      <c r="D1916" s="3">
        <v>1.0</v>
      </c>
    </row>
    <row r="1917" ht="15.75" customHeight="1">
      <c r="A1917" s="1">
        <v>1915.0</v>
      </c>
      <c r="B1917" s="3" t="s">
        <v>1917</v>
      </c>
      <c r="C1917" s="3" t="str">
        <f>IFERROR(__xludf.DUMMYFUNCTION("GOOGLETRANSLATE(B1917,""id"",""en"")"),"['Price', 'Package', 'Telkomsel', 'expensive', 'according to', 'speed', 'network', 'felt', 'gada', 'fast', 'Please', 'fix', ' thanks', '']")</f>
        <v>['Price', 'Package', 'Telkomsel', 'expensive', 'according to', 'speed', 'network', 'felt', 'gada', 'fast', 'Please', 'fix', ' thanks', '']</v>
      </c>
      <c r="D1917" s="3">
        <v>1.0</v>
      </c>
    </row>
    <row r="1918" ht="15.75" customHeight="1">
      <c r="A1918" s="1">
        <v>1916.0</v>
      </c>
      <c r="B1918" s="3" t="s">
        <v>1918</v>
      </c>
      <c r="C1918" s="3" t="str">
        <f>IFERROR(__xludf.DUMMYFUNCTION("GOOGLETRANSLATE(B1918,""id"",""en"")"),"['already', 'bnyak', 'ngeluh', 'Telkomsel', 'here', 'list', 'package', 'mas',' process', 'cape', 'already', 'tried', ' Nyampe ',' Bye ',' Telkomsel ']")</f>
        <v>['already', 'bnyak', 'ngeluh', 'Telkomsel', 'here', 'list', 'package', 'mas',' process', 'cape', 'already', 'tried', ' Nyampe ',' Bye ',' Telkomsel ']</v>
      </c>
      <c r="D1918" s="3">
        <v>1.0</v>
      </c>
    </row>
    <row r="1919" ht="15.75" customHeight="1">
      <c r="A1919" s="1">
        <v>1917.0</v>
      </c>
      <c r="B1919" s="3" t="s">
        <v>1919</v>
      </c>
      <c r="C1919" s="3" t="str">
        <f>IFERROR(__xludf.DUMMYFUNCTION("GOOGLETRANSLATE(B1919,""id"",""en"")"),"['Network', 'BURIK', 'Weak', 'Come on', 'Makek', 'Network', 'Telkomsel', 'BURIK', 'Kayak', 'Snail', 'Leet', 'Severe', ' Close ',' Network ',' Move ',' Card ',' Telkomsel ',' BURIK ',' ']")</f>
        <v>['Network', 'BURIK', 'Weak', 'Come on', 'Makek', 'Network', 'Telkomsel', 'BURIK', 'Kayak', 'Snail', 'Leet', 'Severe', ' Close ',' Network ',' Move ',' Card ',' Telkomsel ',' BURIK ',' ']</v>
      </c>
      <c r="D1919" s="3">
        <v>1.0</v>
      </c>
    </row>
    <row r="1920" ht="15.75" customHeight="1">
      <c r="A1920" s="1">
        <v>1918.0</v>
      </c>
      <c r="B1920" s="3" t="s">
        <v>1920</v>
      </c>
      <c r="C1920" s="3" t="str">
        <f>IFERROR(__xludf.DUMMYFUNCTION("GOOGLETRANSLATE(B1920,""id"",""en"")"),"['', 'promo', 'buy', 'process',' chat ',' lngsung ',' veronica ',' telkomsel ',' result ',' that's', 'road', 'apk', 'Telkomsel ',' users', 'Telkomsel', 'disappointed', '']")</f>
        <v>['', 'promo', 'buy', 'process',' chat ',' lngsung ',' veronica ',' telkomsel ',' result ',' that's', 'road', 'apk', 'Telkomsel ',' users', 'Telkomsel', 'disappointed', '']</v>
      </c>
      <c r="D1920" s="3">
        <v>1.0</v>
      </c>
    </row>
    <row r="1921" ht="15.75" customHeight="1">
      <c r="A1921" s="1">
        <v>1919.0</v>
      </c>
      <c r="B1921" s="3" t="s">
        <v>1921</v>
      </c>
      <c r="C1921" s="3" t="str">
        <f>IFERROR(__xludf.DUMMYFUNCTION("GOOGLETRANSLATE(B1921,""id"",""en"")"),"['steady', 'strategy', 'marketing', 'yak', 'org', 'consumer', 'developing', 'org', 'wear', 'service', 'service', 'results',' Services', 'bad', 'operator', 'sekrang', 'economical', 'service', 'good', 'disappointed']")</f>
        <v>['steady', 'strategy', 'marketing', 'yak', 'org', 'consumer', 'developing', 'org', 'wear', 'service', 'service', 'results',' Services', 'bad', 'operator', 'sekrang', 'economical', 'service', 'good', 'disappointed']</v>
      </c>
      <c r="D1921" s="3">
        <v>1.0</v>
      </c>
    </row>
    <row r="1922" ht="15.75" customHeight="1">
      <c r="A1922" s="1">
        <v>1920.0</v>
      </c>
      <c r="B1922" s="3" t="s">
        <v>1922</v>
      </c>
      <c r="C1922" s="3" t="str">
        <f>IFERROR(__xludf.DUMMYFUNCTION("GOOGLETRANSLATE(B1922,""id"",""en"")"),"['Telkomsel', 'Sousal', 'deteriorated', 'above', 'clock', 'night', 'severe', 'area', 'Tangerang', 'city', 'signal', 'good', ' buy ',' quota ',' function ',' optimal ',' network ',' meeting ',' online ',' constrained ',' please ',' repaired ',' service ','"&amp;" promo ',' good ' , 'servicenya', 'keep', 'quality', 'hope', 'soon', 'resolved', 'obstacles', 'Telkomsel', 'loved', 'user', 'user']")</f>
        <v>['Telkomsel', 'Sousal', 'deteriorated', 'above', 'clock', 'night', 'severe', 'area', 'Tangerang', 'city', 'signal', 'good', ' buy ',' quota ',' function ',' optimal ',' network ',' meeting ',' online ',' constrained ',' please ',' repaired ',' service ',' promo ',' good ' , 'servicenya', 'keep', 'quality', 'hope', 'soon', 'resolved', 'obstacles', 'Telkomsel', 'loved', 'user', 'user']</v>
      </c>
      <c r="D1922" s="3">
        <v>5.0</v>
      </c>
    </row>
    <row r="1923" ht="15.75" customHeight="1">
      <c r="A1923" s="1">
        <v>1921.0</v>
      </c>
      <c r="B1923" s="3" t="s">
        <v>1923</v>
      </c>
      <c r="C1923" s="3" t="str">
        <f>IFERROR(__xludf.DUMMYFUNCTION("GOOGLETRANSLATE(B1923,""id"",""en"")"),"['network', 'Telkomsel', 'slow', 'really', 'min', 'tlg', 'lined', 'net', 'feeling', 'stay', 'udh', 'in the city', ' KOQ ',' Network ',' ilang ',' Embossed ',' Package ',' ']")</f>
        <v>['network', 'Telkomsel', 'slow', 'really', 'min', 'tlg', 'lined', 'net', 'feeling', 'stay', 'udh', 'in the city', ' KOQ ',' Network ',' ilang ',' Embossed ',' Package ',' ']</v>
      </c>
      <c r="D1923" s="3">
        <v>3.0</v>
      </c>
    </row>
    <row r="1924" ht="15.75" customHeight="1">
      <c r="A1924" s="1">
        <v>1922.0</v>
      </c>
      <c r="B1924" s="3" t="s">
        <v>1924</v>
      </c>
      <c r="C1924" s="3" t="str">
        <f>IFERROR(__xludf.DUMMYFUNCTION("GOOGLETRANSLATE(B1924,""id"",""en"")"),"['Play', 'Mobile', 'Legend', 'Signal', 'Kayak', 'Taik', 'Down', 'Play', 'Ngadat', 'Ngadat', 'Nomer', 'Nomer', ' Kayak ',' Gini ',' Signal ',' Stable ',' Mending ',' Indosat ', ""]")</f>
        <v>['Play', 'Mobile', 'Legend', 'Signal', 'Kayak', 'Taik', 'Down', 'Play', 'Ngadat', 'Ngadat', 'Nomer', 'Nomer', ' Kayak ',' Gini ',' Signal ',' Stable ',' Mending ',' Indosat ', "]</v>
      </c>
      <c r="D1924" s="3">
        <v>1.0</v>
      </c>
    </row>
    <row r="1925" ht="15.75" customHeight="1">
      <c r="A1925" s="1">
        <v>1923.0</v>
      </c>
      <c r="B1925" s="3" t="s">
        <v>1925</v>
      </c>
      <c r="C1925" s="3" t="str">
        <f>IFERROR(__xludf.DUMMYFUNCTION("GOOGLETRANSLATE(B1925,""id"",""en"")"),"['Good', 'provider', 'delicious',' go out ',' lights', 'barengan', 'compete', 'healthy', 'service', 'Come', 'employees',' Telkom ',' ']")</f>
        <v>['Good', 'provider', 'delicious',' go out ',' lights', 'barengan', 'compete', 'healthy', 'service', 'Come', 'employees',' Telkom ',' ']</v>
      </c>
      <c r="D1925" s="3">
        <v>3.0</v>
      </c>
    </row>
    <row r="1926" ht="15.75" customHeight="1">
      <c r="A1926" s="1">
        <v>1924.0</v>
      </c>
      <c r="B1926" s="3" t="s">
        <v>1926</v>
      </c>
      <c r="C1926" s="3" t="str">
        <f>IFERROR(__xludf.DUMMYFUNCTION("GOOGLETRANSLATE(B1926,""id"",""en"")"),"['likes',' Telkomsel ',' because ',' signal ',' difficult ',' ugly ',' call ',' difficult ',' signal ',' open ',' game ',' please ',' Benerin ',' Min ',' Telkomsel ',' Karuan ',' Kayak ',' Gini ']")</f>
        <v>['likes',' Telkomsel ',' because ',' signal ',' difficult ',' ugly ',' call ',' difficult ',' signal ',' open ',' game ',' please ',' Benerin ',' Min ',' Telkomsel ',' Karuan ',' Kayak ',' Gini ']</v>
      </c>
      <c r="D1926" s="3">
        <v>1.0</v>
      </c>
    </row>
    <row r="1927" ht="15.75" customHeight="1">
      <c r="A1927" s="1">
        <v>1925.0</v>
      </c>
      <c r="B1927" s="3" t="s">
        <v>1927</v>
      </c>
      <c r="C1927" s="3" t="str">
        <f>IFERROR(__xludf.DUMMYFUNCTION("GOOGLETRANSLATE(B1927,""id"",""en"")"),"['application', 'slow', 'slow', 'buffering', 'login', 'choose', 'buy', 'package', 'open', 'application', 'application', 'smooth']")</f>
        <v>['application', 'slow', 'slow', 'buffering', 'login', 'choose', 'buy', 'package', 'open', 'application', 'application', 'smooth']</v>
      </c>
      <c r="D1927" s="3">
        <v>1.0</v>
      </c>
    </row>
    <row r="1928" ht="15.75" customHeight="1">
      <c r="A1928" s="1">
        <v>1926.0</v>
      </c>
      <c r="B1928" s="3" t="s">
        <v>1928</v>
      </c>
      <c r="C1928" s="3" t="str">
        <f>IFERROR(__xludf.DUMMYFUNCTION("GOOGLETRANSLATE(B1928,""id"",""en"")"),"['Severe', 'quota', 'network', 'difficult', 'really', 'nyesel', 'already', 'buy', 'card', 'Telkomsel', 'signal', 'watch', ' YouTube ',' slow ',' please ',' Lahh ',' Linerin ',' buy ',' package ',' expensive ',' expensive ',' ']")</f>
        <v>['Severe', 'quota', 'network', 'difficult', 'really', 'nyesel', 'already', 'buy', 'card', 'Telkomsel', 'signal', 'watch', ' YouTube ',' slow ',' please ',' Lahh ',' Linerin ',' buy ',' package ',' expensive ',' expensive ',' ']</v>
      </c>
      <c r="D1928" s="3">
        <v>1.0</v>
      </c>
    </row>
    <row r="1929" ht="15.75" customHeight="1">
      <c r="A1929" s="1">
        <v>1927.0</v>
      </c>
      <c r="B1929" s="3" t="s">
        <v>1929</v>
      </c>
      <c r="C1929" s="3" t="str">
        <f>IFERROR(__xludf.DUMMYFUNCTION("GOOGLETRANSLATE(B1929,""id"",""en"")"),"['user', 'loyal', 'already', 'Telkomsel', 'quota', 'internet', 'price', 'cheap', 'unlimited', 'download', 'all', 'card', ' Promo ',' loyal ',' user ',' Biarin ',' Pekah ',' Telkomsel ']")</f>
        <v>['user', 'loyal', 'already', 'Telkomsel', 'quota', 'internet', 'price', 'cheap', 'unlimited', 'download', 'all', 'card', ' Promo ',' loyal ',' user ',' Biarin ',' Pekah ',' Telkomsel ']</v>
      </c>
      <c r="D1929" s="3">
        <v>1.0</v>
      </c>
    </row>
    <row r="1930" ht="15.75" customHeight="1">
      <c r="A1930" s="1">
        <v>1928.0</v>
      </c>
      <c r="B1930" s="3" t="s">
        <v>1930</v>
      </c>
      <c r="C1930" s="3" t="str">
        <f>IFERROR(__xludf.DUMMYFUNCTION("GOOGLETRANSLATE(B1930,""id"",""en"")"),"['signal', 'gajelas',' gabisa ',' ngeta ',' in ',' slow ',' me ',' buy ',' package ',' cheap ',' please ',' repair ',' Stay ',' jkt ',' taste ',' inland ',' gabisa ',' ngeta ',' in ',' ']")</f>
        <v>['signal', 'gajelas',' gabisa ',' ngeta ',' in ',' slow ',' me ',' buy ',' package ',' cheap ',' please ',' repair ',' Stay ',' jkt ',' taste ',' inland ',' gabisa ',' ngeta ',' in ',' ']</v>
      </c>
      <c r="D1930" s="3">
        <v>1.0</v>
      </c>
    </row>
    <row r="1931" ht="15.75" customHeight="1">
      <c r="A1931" s="1">
        <v>1929.0</v>
      </c>
      <c r="B1931" s="3" t="s">
        <v>1931</v>
      </c>
      <c r="C1931" s="3" t="str">
        <f>IFERROR(__xludf.DUMMYFUNCTION("GOOGLETRANSLATE(B1931,""id"",""en"")"),"['signal', 'berbenerin', 'buy', 'package', 'expensive', 'signal', 'rich', 'forest', 'please', 'customer', 'disappointed', 'number', ' ']")</f>
        <v>['signal', 'berbenerin', 'buy', 'package', 'expensive', 'signal', 'rich', 'forest', 'please', 'customer', 'disappointed', 'number', ' ']</v>
      </c>
      <c r="D1931" s="3">
        <v>1.0</v>
      </c>
    </row>
    <row r="1932" ht="15.75" customHeight="1">
      <c r="A1932" s="1">
        <v>1930.0</v>
      </c>
      <c r="B1932" s="3" t="s">
        <v>1932</v>
      </c>
      <c r="C1932" s="3" t="str">
        <f>IFERROR(__xludf.DUMMYFUNCTION("GOOGLETRANSLATE(B1932,""id"",""en"")"),"['', 'Fromo', 'TPI', 'Nidak', 'DFTAR', 'MNA', 'Network', 'ngelet', 'then', 'Tlong', 'Donk', 'Telkomsel', 'repair ',' already ',' Fromo ',' display ',' Tlong ',' fix ',' Jaringa ',' Telkomsel ',' Makass']")</f>
        <v>['', 'Fromo', 'TPI', 'Nidak', 'DFTAR', 'MNA', 'Network', 'ngelet', 'then', 'Tlong', 'Donk', 'Telkomsel', 'repair ',' already ',' Fromo ',' display ',' Tlong ',' fix ',' Jaringa ',' Telkomsel ',' Makass']</v>
      </c>
      <c r="D1932" s="3">
        <v>2.0</v>
      </c>
    </row>
    <row r="1933" ht="15.75" customHeight="1">
      <c r="A1933" s="1">
        <v>1931.0</v>
      </c>
      <c r="B1933" s="3" t="s">
        <v>1933</v>
      </c>
      <c r="C1933" s="3" t="str">
        <f>IFERROR(__xludf.DUMMYFUNCTION("GOOGLETRANSLATE(B1933,""id"",""en"")"),"['Please', 'Network', 'Telkomsel', 'Broken', 'Afternoon', 'Sampe', 'Malem', 'Network', 'Internet', 'Ngeleg', 'Play', 'Game', ' Ngeteleg ',' Please ',' Fix ',' Network ',' Telkomsel ',' Region ',' Cave ',' friend ',' users', 'Telkomsel', 'Network', 'Telkom"&amp;"sel', 'ugly' , 'really', 'lost', 'network', 'Telkomsel', 'network', 'example', 'network', 'good', 'really', 'Come', 'Telkomsel', 'network', ' Repaired ',' ']")</f>
        <v>['Please', 'Network', 'Telkomsel', 'Broken', 'Afternoon', 'Sampe', 'Malem', 'Network', 'Internet', 'Ngeleg', 'Play', 'Game', ' Ngeteleg ',' Please ',' Fix ',' Network ',' Telkomsel ',' Region ',' Cave ',' friend ',' users', 'Telkomsel', 'Network', 'Telkomsel', 'ugly' , 'really', 'lost', 'network', 'Telkomsel', 'network', 'example', 'network', 'good', 'really', 'Come', 'Telkomsel', 'network', ' Repaired ',' ']</v>
      </c>
      <c r="D1933" s="3">
        <v>1.0</v>
      </c>
    </row>
    <row r="1934" ht="15.75" customHeight="1">
      <c r="A1934" s="1">
        <v>1932.0</v>
      </c>
      <c r="B1934" s="3" t="s">
        <v>1934</v>
      </c>
      <c r="C1934" s="3" t="str">
        <f>IFERROR(__xludf.DUMMYFUNCTION("GOOGLETRANSLATE(B1934,""id"",""en"")"),"['sympathy', 'network', 'internet', 'ugly', 'really', 'satisfying', 'tdak', 'network', 'internet', 'pda', 'bgus',' cba ',' network ',' internet ',' bgus', 'ngg', 'moved', 'card', 'klau', 'pngen', 'telkomsel', 'forward', 'consumer', 'satisfying']")</f>
        <v>['sympathy', 'network', 'internet', 'ugly', 'really', 'satisfying', 'tdak', 'network', 'internet', 'pda', 'bgus',' cba ',' network ',' internet ',' bgus', 'ngg', 'moved', 'card', 'klau', 'pngen', 'telkomsel', 'forward', 'consumer', 'satisfying']</v>
      </c>
      <c r="D1934" s="3">
        <v>1.0</v>
      </c>
    </row>
    <row r="1935" ht="15.75" customHeight="1">
      <c r="A1935" s="1">
        <v>1933.0</v>
      </c>
      <c r="B1935" s="3" t="s">
        <v>1935</v>
      </c>
      <c r="C1935" s="3" t="str">
        <f>IFERROR(__xludf.DUMMYFUNCTION("GOOGLETRANSLATE(B1935,""id"",""en"")"),"['oath', 'cave', 'suggestion', 'Telkomsel', 'skrng', 'read', 'comment', 'cave', 'want', 'make', 'card', 'telkom', ' Cave ',' said ',' network ',' Ujan ',' Bener ',' Bener ',' Kya ',' Paketan ',' Network ',' Eat ',' watch ',' second ',' loading ' , 'second"&amp;"', 'boong', 'cave', 'udh', 'felt', 'Mao', 'protest', 'bales',' sorry ',' kak ',' blablabla ',' his network ',' Direct ',' Basically ',' Network ',' Expensive ',' Doang ',' Ujan ',' Severe ',' Tri ',' ']")</f>
        <v>['oath', 'cave', 'suggestion', 'Telkomsel', 'skrng', 'read', 'comment', 'cave', 'want', 'make', 'card', 'telkom', ' Cave ',' said ',' network ',' Ujan ',' Bener ',' Bener ',' Kya ',' Paketan ',' Network ',' Eat ',' watch ',' second ',' loading ' , 'second', 'boong', 'cave', 'udh', 'felt', 'Mao', 'protest', 'bales',' sorry ',' kak ',' blablabla ',' his network ',' Direct ',' Basically ',' Network ',' Expensive ',' Doang ',' Ujan ',' Severe ',' Tri ',' ']</v>
      </c>
      <c r="D1935" s="3">
        <v>1.0</v>
      </c>
    </row>
    <row r="1936" ht="15.75" customHeight="1">
      <c r="A1936" s="1">
        <v>1934.0</v>
      </c>
      <c r="B1936" s="3" t="s">
        <v>1936</v>
      </c>
      <c r="C1936" s="3" t="str">
        <f>IFERROR(__xludf.DUMMYFUNCTION("GOOGLETRANSLATE(B1936,""id"",""en"")"),"['Telkomsel', 'Suck', 'quota', 'Ngilak', 'yaa', 'open', 'application', 'heavy', 'telkomsel', 'buy', 'packer', 'voucher', ' internet ',' number ',' please ',' fixed ',' Telkomsel ',' criticism ',' customer ',' suck ',' quota ',' customer ',' reasonable ','"&amp;" use ',' heavy ' , 'pity', 'customer', 'full', 'a month', 'use', 'direct', 'run out', 'Telkomsel', 'Different', 'thank', 'love']")</f>
        <v>['Telkomsel', 'Suck', 'quota', 'Ngilak', 'yaa', 'open', 'application', 'heavy', 'telkomsel', 'buy', 'packer', 'voucher', ' internet ',' number ',' please ',' fixed ',' Telkomsel ',' criticism ',' customer ',' suck ',' quota ',' customer ',' reasonable ',' use ',' heavy ' , 'pity', 'customer', 'full', 'a month', 'use', 'direct', 'run out', 'Telkomsel', 'Different', 'thank', 'love']</v>
      </c>
      <c r="D1936" s="3">
        <v>1.0</v>
      </c>
    </row>
    <row r="1937" ht="15.75" customHeight="1">
      <c r="A1937" s="1">
        <v>1935.0</v>
      </c>
      <c r="B1937" s="3" t="s">
        <v>1937</v>
      </c>
      <c r="C1937" s="3" t="str">
        <f>IFERROR(__xludf.DUMMYFUNCTION("GOOGLETRANSLATE(B1937,""id"",""en"")"),"['please', 'Telkomsel', 'respect', 'repaired', 'buy', 'no', 'right', 'ngecheck', 'no', 'pulse', 'right', 'already', ' pulse ',' no ',' please ',' already ',' trying ',' search ',' money ',' as strong ',' power ',' right ',' already ',' contents', 'pulse' "&amp;", 'no', 'disappointed', 'people', 'already', 'struggling', 'no', 'people', 'old', 'blum', 'search', 'money', 'try', ' disappointment ',' beg ',' understand ',' struggle ']")</f>
        <v>['please', 'Telkomsel', 'respect', 'repaired', 'buy', 'no', 'right', 'ngecheck', 'no', 'pulse', 'right', 'already', ' pulse ',' no ',' please ',' already ',' trying ',' search ',' money ',' as strong ',' power ',' right ',' already ',' contents', 'pulse' , 'no', 'disappointed', 'people', 'already', 'struggling', 'no', 'people', 'old', 'blum', 'search', 'money', 'try', ' disappointment ',' beg ',' understand ',' struggle ']</v>
      </c>
      <c r="D1937" s="3">
        <v>1.0</v>
      </c>
    </row>
    <row r="1938" ht="15.75" customHeight="1">
      <c r="A1938" s="1">
        <v>1936.0</v>
      </c>
      <c r="B1938" s="3" t="s">
        <v>1938</v>
      </c>
      <c r="C1938" s="3" t="str">
        <f>IFERROR(__xludf.DUMMYFUNCTION("GOOGLETRANSLATE(B1938,""id"",""en"")"),"['Telkomsel', 'ngentod', 'confused', 'Telkomsel', 'buy', 'package', 'unlimited', 'GB', 'right', 'check', 'right', 'the enactment', ' truss', 'esokan', 'day', 'right', 'check', 'reduced']")</f>
        <v>['Telkomsel', 'ngentod', 'confused', 'Telkomsel', 'buy', 'package', 'unlimited', 'GB', 'right', 'check', 'right', 'the enactment', ' truss', 'esokan', 'day', 'right', 'check', 'reduced']</v>
      </c>
      <c r="D1938" s="3">
        <v>1.0</v>
      </c>
    </row>
    <row r="1939" ht="15.75" customHeight="1">
      <c r="A1939" s="1">
        <v>1937.0</v>
      </c>
      <c r="B1939" s="3" t="s">
        <v>1939</v>
      </c>
      <c r="C1939" s="3" t="str">
        <f>IFERROR(__xludf.DUMMYFUNCTION("GOOGLETRANSLATE(B1939,""id"",""en"")"),"['Login', 'Hardy', 'Woy', 'Woy', 'User', 'Telkomsel', 'Ngari', 'Gunain', 'Link', 'Send', 'Salah', 'Only', ' Appsai ',' easy ',' use ',' bias', 'code', 'kek', 'link', 'magic', 'tissue', 'link', 'prett', '']")</f>
        <v>['Login', 'Hardy', 'Woy', 'Woy', 'User', 'Telkomsel', 'Ngari', 'Gunain', 'Link', 'Send', 'Salah', 'Only', ' Appsai ',' easy ',' use ',' bias', 'code', 'kek', 'link', 'magic', 'tissue', 'link', 'prett', '']</v>
      </c>
      <c r="D1939" s="3">
        <v>1.0</v>
      </c>
    </row>
    <row r="1940" ht="15.75" customHeight="1">
      <c r="A1940" s="1">
        <v>1938.0</v>
      </c>
      <c r="B1940" s="3" t="s">
        <v>1940</v>
      </c>
      <c r="C1940" s="3" t="str">
        <f>IFERROR(__xludf.DUMMYFUNCTION("GOOGLETRANSLATE(B1940,""id"",""en"")"),"['Tsel', 'network', 'down', 'complain', 'package', 'data', 'expensive', 'network', 'down', 'disappointed', 'forced', 'replace', ' Operator ',' next door ']")</f>
        <v>['Tsel', 'network', 'down', 'complain', 'package', 'data', 'expensive', 'network', 'down', 'disappointed', 'forced', 'replace', ' Operator ',' next door ']</v>
      </c>
      <c r="D1940" s="3">
        <v>1.0</v>
      </c>
    </row>
    <row r="1941" ht="15.75" customHeight="1">
      <c r="A1941" s="1">
        <v>1939.0</v>
      </c>
      <c r="B1941" s="3" t="s">
        <v>1941</v>
      </c>
      <c r="C1941" s="3" t="str">
        <f>IFERROR(__xludf.DUMMYFUNCTION("GOOGLETRANSLATE(B1941,""id"",""en"")"),"['Telkomsel', 'Network', 'bad', 'oath', 'Season', 'plus',' buy ',' package ',' comosakti ',' there ',' information ',' call ',' SMS ',' free ',' right ',' telkomsel ',' telkomsel ',' credit ',' reduced ',' buy ',' unlimitedmax ',' information ',' open ','"&amp;" sosmed ',' as much as' , 'quota', 'main', 'run out', 'open', 'Yutub', 'open', 'Instagram', 'loading', 'Mulu', 'right', 'quota', 'main', ' Tetep ',' Download ',' ']")</f>
        <v>['Telkomsel', 'Network', 'bad', 'oath', 'Season', 'plus',' buy ',' package ',' comosakti ',' there ',' information ',' call ',' SMS ',' free ',' right ',' telkomsel ',' telkomsel ',' credit ',' reduced ',' buy ',' unlimitedmax ',' information ',' open ',' sosmed ',' as much as' , 'quota', 'main', 'run out', 'open', 'Yutub', 'open', 'Instagram', 'loading', 'Mulu', 'right', 'quota', 'main', ' Tetep ',' Download ',' ']</v>
      </c>
      <c r="D1941" s="3">
        <v>1.0</v>
      </c>
    </row>
    <row r="1942" ht="15.75" customHeight="1">
      <c r="A1942" s="1">
        <v>1940.0</v>
      </c>
      <c r="B1942" s="3" t="s">
        <v>1942</v>
      </c>
      <c r="C1942" s="3" t="str">
        <f>IFERROR(__xludf.DUMMYFUNCTION("GOOGLETRANSLATE(B1942,""id"",""en"")"),"['likes', 'Telkomsel', 'pulse', 'quota', 'pulse', 'drained', 'on' disappointed ',' Telkomsel ',' please ',' handy ',' loss ',' SIM card']")</f>
        <v>['likes', 'Telkomsel', 'pulse', 'quota', 'pulse', 'drained', 'on' disappointed ',' Telkomsel ',' please ',' handy ',' loss ',' SIM card']</v>
      </c>
      <c r="D1942" s="3">
        <v>1.0</v>
      </c>
    </row>
    <row r="1943" ht="15.75" customHeight="1">
      <c r="A1943" s="1">
        <v>1941.0</v>
      </c>
      <c r="B1943" s="3" t="s">
        <v>1943</v>
      </c>
      <c r="C1943" s="3" t="str">
        <f>IFERROR(__xludf.DUMMYFUNCTION("GOOGLETRANSLATE(B1943,""id"",""en"")"),"['Telkomsel', 'bad', 'package', 'expensive', 'service', 'satisfying', 'signal', 'bar', 'error', 'alias', 'edan', ""]")</f>
        <v>['Telkomsel', 'bad', 'package', 'expensive', 'service', 'satisfying', 'signal', 'bar', 'error', 'alias', 'edan', "]</v>
      </c>
      <c r="D1943" s="3">
        <v>1.0</v>
      </c>
    </row>
    <row r="1944" ht="15.75" customHeight="1">
      <c r="A1944" s="1">
        <v>1942.0</v>
      </c>
      <c r="B1944" s="3" t="s">
        <v>1944</v>
      </c>
      <c r="C1944" s="3" t="str">
        <f>IFERROR(__xludf.DUMMYFUNCTION("GOOGLETRANSLATE(B1944,""id"",""en"")"),"['Telkomsel', 'signal', 'good', 'Indonesia', 'remote', 'stay', 'Cimahi', 'answerarat', 'area', 'rancabutan', 'signal', 'full', ' Internet ',' road ',' WiFi ',' WiFi ',' Punch ',' Think ',' User ',' Data ',' Cellular ',' City ',' Signal ',' Alaska ',' Saya"&amp;"ngan ' , 'disappointed', 'users',' Telkomsel ',' Rb ',' buy ',' credit ',' quota ',' severe ',' access', 'internet', 'go', 'home', ' Please, 'Fix', 'Region', 'Cimahi', 'Cibereum', 'Rancabental', '']")</f>
        <v>['Telkomsel', 'signal', 'good', 'Indonesia', 'remote', 'stay', 'Cimahi', 'answerarat', 'area', 'rancabutan', 'signal', 'full', ' Internet ',' road ',' WiFi ',' WiFi ',' Punch ',' Think ',' User ',' Data ',' Cellular ',' City ',' Signal ',' Alaska ',' Sayangan ' , 'disappointed', 'users',' Telkomsel ',' Rb ',' buy ',' credit ',' quota ',' severe ',' access', 'internet', 'go', 'home', ' Please, 'Fix', 'Region', 'Cimahi', 'Cibereum', 'Rancabental', '']</v>
      </c>
      <c r="D1944" s="3">
        <v>1.0</v>
      </c>
    </row>
    <row r="1945" ht="15.75" customHeight="1">
      <c r="A1945" s="1">
        <v>1943.0</v>
      </c>
      <c r="B1945" s="3" t="s">
        <v>1945</v>
      </c>
      <c r="C1945" s="3" t="str">
        <f>IFERROR(__xludf.DUMMYFUNCTION("GOOGLETRANSLATE(B1945,""id"",""en"")"),"['BBRAPA', 'HEART', 'Disruption', 'Connection', 'Changed', 'Stable', 'Sangat', 'Inhibits',' Activities', 'Connection', 'Sya', 'WFH', ' From ',' noon ',' skrng ',' entry ',' in ',' in 'count', 'second', 'stable', 'please', 'propaider', 'repair', 'thank you"&amp;"' , 'Greetings', 'loyal']")</f>
        <v>['BBRAPA', 'HEART', 'Disruption', 'Connection', 'Changed', 'Stable', 'Sangat', 'Inhibits',' Activities', 'Connection', 'Sya', 'WFH', ' From ',' noon ',' skrng ',' entry ',' in ',' in 'count', 'second', 'stable', 'please', 'propaider', 'repair', 'thank you' , 'Greetings', 'loyal']</v>
      </c>
      <c r="D1945" s="3">
        <v>2.0</v>
      </c>
    </row>
    <row r="1946" ht="15.75" customHeight="1">
      <c r="A1946" s="1">
        <v>1944.0</v>
      </c>
      <c r="B1946" s="3" t="s">
        <v>1946</v>
      </c>
      <c r="C1946" s="3" t="str">
        <f>IFERROR(__xludf.DUMMYFUNCTION("GOOGLETRANSLATE(B1946,""id"",""en"")"),"['Network', 'bad', 'price', 'package', 'expensive', 'disappointed', 'Sugner', 'Telkomsel', 'TPI', 'here', 'quality', 'network', ' bad']")</f>
        <v>['Network', 'bad', 'price', 'package', 'expensive', 'disappointed', 'Sugner', 'Telkomsel', 'TPI', 'here', 'quality', 'network', ' bad']</v>
      </c>
      <c r="D1946" s="3">
        <v>1.0</v>
      </c>
    </row>
    <row r="1947" ht="15.75" customHeight="1">
      <c r="A1947" s="1">
        <v>1945.0</v>
      </c>
      <c r="B1947" s="3" t="s">
        <v>1947</v>
      </c>
      <c r="C1947" s="3" t="str">
        <f>IFERROR(__xludf.DUMMYFUNCTION("GOOGLETRANSLATE(B1947,""id"",""en"")"),"['Disappointed', 'times', 'pulses', 'diberakes', 'package', 'internet', 'use', 'please', 'Telkomsel', 'what']")</f>
        <v>['Disappointed', 'times', 'pulses', 'diberakes', 'package', 'internet', 'use', 'please', 'Telkomsel', 'what']</v>
      </c>
      <c r="D1947" s="3">
        <v>1.0</v>
      </c>
    </row>
    <row r="1948" ht="15.75" customHeight="1">
      <c r="A1948" s="1">
        <v>1946.0</v>
      </c>
      <c r="B1948" s="3" t="s">
        <v>1948</v>
      </c>
      <c r="C1948" s="3" t="str">
        <f>IFERROR(__xludf.DUMMYFUNCTION("GOOGLETRANSLATE(B1948,""id"",""en"")"),"['buy', 'package', 'cheerful', 'thousand', 'application', 'mytelkomsel', 'package', 'seriya', 'no', 'access',' pulses', 'disappear', ' disappointed ',' Tsel ',' loss', 'thousand', 'no', 'intention', 'buy', 'package', 'package', 'no', 'pulses',' missing ',"&amp;" ""]")</f>
        <v>['buy', 'package', 'cheerful', 'thousand', 'application', 'mytelkomsel', 'package', 'seriya', 'no', 'access',' pulses', 'disappear', ' disappointed ',' Tsel ',' loss', 'thousand', 'no', 'intention', 'buy', 'package', 'package', 'no', 'pulses',' missing ', "]</v>
      </c>
      <c r="D1948" s="3">
        <v>1.0</v>
      </c>
    </row>
    <row r="1949" ht="15.75" customHeight="1">
      <c r="A1949" s="1">
        <v>1947.0</v>
      </c>
      <c r="B1949" s="3" t="s">
        <v>1949</v>
      </c>
      <c r="C1949" s="3" t="str">
        <f>IFERROR(__xludf.DUMMYFUNCTION("GOOGLETRANSLATE(B1949,""id"",""en"")"),"['Sorry', 'really', 'pulse', 'right', 'update', 'balance', 'direct', 'zero', 'rupiah', 'fix', 'kah', 'pulse', ' normal ',' please ',' disappointed ',' suggestion ',' to ',' update ',' hope ',' fix ',' ']")</f>
        <v>['Sorry', 'really', 'pulse', 'right', 'update', 'balance', 'direct', 'zero', 'rupiah', 'fix', 'kah', 'pulse', ' normal ',' please ',' disappointed ',' suggestion ',' to ',' update ',' hope ',' fix ',' ']</v>
      </c>
      <c r="D1949" s="3">
        <v>1.0</v>
      </c>
    </row>
    <row r="1950" ht="15.75" customHeight="1">
      <c r="A1950" s="1">
        <v>1948.0</v>
      </c>
      <c r="B1950" s="3" t="s">
        <v>1950</v>
      </c>
      <c r="C1950" s="3" t="str">
        <f>IFERROR(__xludf.DUMMYFUNCTION("GOOGLETRANSLATE(B1950,""id"",""en"")"),"['yeah', 'buy', 'quota', 'application', 'Telkomsel', 'via', 'pulse', 'push', 'buy', 'waiting', 'process',' enter ',' help', '']")</f>
        <v>['yeah', 'buy', 'quota', 'application', 'Telkomsel', 'via', 'pulse', 'push', 'buy', 'waiting', 'process',' enter ',' help', '']</v>
      </c>
      <c r="D1950" s="3">
        <v>1.0</v>
      </c>
    </row>
    <row r="1951" ht="15.75" customHeight="1">
      <c r="A1951" s="1">
        <v>1949.0</v>
      </c>
      <c r="B1951" s="3" t="s">
        <v>1951</v>
      </c>
      <c r="C1951" s="3" t="str">
        <f>IFERROR(__xludf.DUMMYFUNCTION("GOOGLETRANSLATE(B1951,""id"",""en"")"),"['Reduce', 'star', 'change', 'already', 'complain', 'via', 'email', 'network', 'slow', 'buy', 'quota', 'wasted']")</f>
        <v>['Reduce', 'star', 'change', 'already', 'complain', 'via', 'email', 'network', 'slow', 'buy', 'quota', 'wasted']</v>
      </c>
      <c r="D1951" s="3">
        <v>1.0</v>
      </c>
    </row>
    <row r="1952" ht="15.75" customHeight="1">
      <c r="A1952" s="1">
        <v>1950.0</v>
      </c>
      <c r="B1952" s="3" t="s">
        <v>1952</v>
      </c>
      <c r="C1952" s="3" t="str">
        <f>IFERROR(__xludf.DUMMYFUNCTION("GOOGLETRANSLATE(B1952,""id"",""en"")"),"['Honest', 'hate', 'really', 'application', 'open', 'log', 'already', 'log', 'verification', 'already', 'account', 'password', ' finished ',' log ',' out ',' replace ',' number ',' mending ',' system ',' fast ',' verification ',' clock ',' sent ',' hours'"&amp;", 'parahhh' , 'very', '']")</f>
        <v>['Honest', 'hate', 'really', 'application', 'open', 'log', 'already', 'log', 'verification', 'already', 'account', 'password', ' finished ',' log ',' out ',' replace ',' number ',' mending ',' system ',' fast ',' verification ',' clock ',' sent ',' hours', 'parahhh' , 'very', '']</v>
      </c>
      <c r="D1952" s="3">
        <v>1.0</v>
      </c>
    </row>
    <row r="1953" ht="15.75" customHeight="1">
      <c r="A1953" s="1">
        <v>1951.0</v>
      </c>
      <c r="B1953" s="3" t="s">
        <v>1953</v>
      </c>
      <c r="C1953" s="3" t="str">
        <f>IFERROR(__xludf.DUMMYFUNCTION("GOOGLETRANSLATE(B1953,""id"",""en"")"),"['Satisfied', 'service', 'Telkomsel', 'promo', 'expensive', 'MyTelkomsel', 'Dihp', 'friend', 'promo', 'cheap', 'festive', 'plis',' Love ',' promo ',' cheap ',' Gituu ']")</f>
        <v>['Satisfied', 'service', 'Telkomsel', 'promo', 'expensive', 'MyTelkomsel', 'Dihp', 'friend', 'promo', 'cheap', 'festive', 'plis',' Love ',' promo ',' cheap ',' Gituu ']</v>
      </c>
      <c r="D1953" s="3">
        <v>3.0</v>
      </c>
    </row>
    <row r="1954" ht="15.75" customHeight="1">
      <c r="A1954" s="1">
        <v>1952.0</v>
      </c>
      <c r="B1954" s="3" t="s">
        <v>1954</v>
      </c>
      <c r="C1954" s="3" t="str">
        <f>IFERROR(__xludf.DUMMYFUNCTION("GOOGLETRANSLATE(B1954,""id"",""en"")"),"['card', 'taik', 'Telkomsel', 'expensive', 'expensive', 'buy', 'package', 'hope', 'internet', 'smooth', 'taik', 'work', ' Need ',' internet ',' toned ',' kek ',' gini ',' service ',' destroyed ',' company ',' area ',' banda ',' Aceh ',' please ',' repay '"&amp;" ]")</f>
        <v>['card', 'taik', 'Telkomsel', 'expensive', 'expensive', 'buy', 'package', 'hope', 'internet', 'smooth', 'taik', 'work', ' Need ',' internet ',' toned ',' kek ',' gini ',' service ',' destroyed ',' company ',' area ',' banda ',' Aceh ',' please ',' repay ' ]</v>
      </c>
      <c r="D1954" s="3">
        <v>1.0</v>
      </c>
    </row>
    <row r="1955" ht="15.75" customHeight="1">
      <c r="A1955" s="1">
        <v>1953.0</v>
      </c>
      <c r="B1955" s="3" t="s">
        <v>1955</v>
      </c>
      <c r="C1955" s="3" t="str">
        <f>IFERROR(__xludf.DUMMYFUNCTION("GOOGLETRANSLATE(B1955,""id"",""en"")"),"['network', 'pulp', 'week', 'Nge', 'YouTube', 'resolution', 'strong', 'moved', 'provider', 'next door', 'package', 'expensive', ' network ',' pulp ',' rip ',' telkom ',' signal ',' full ',' ngeyoutube ',' road ',' ']")</f>
        <v>['network', 'pulp', 'week', 'Nge', 'YouTube', 'resolution', 'strong', 'moved', 'provider', 'next door', 'package', 'expensive', ' network ',' pulp ',' rip ',' telkom ',' signal ',' full ',' ngeyoutube ',' road ',' ']</v>
      </c>
      <c r="D1955" s="3">
        <v>1.0</v>
      </c>
    </row>
    <row r="1956" ht="15.75" customHeight="1">
      <c r="A1956" s="1">
        <v>1954.0</v>
      </c>
      <c r="B1956" s="3" t="s">
        <v>1956</v>
      </c>
      <c r="C1956" s="3" t="str">
        <f>IFERROR(__xludf.DUMMYFUNCTION("GOOGLETRANSLATE(B1956,""id"",""en"")"),"['Telkomsel', 'network', 'worst', 'price', 'package', 'quota', 'most expensive', 'user', 'Telkomsel', 'forgiving', 'price', 'package', ' quota ',' expensive ',' expensive ',' comparable ',' speed ',' network ',' gpp ',' sometimes ',' network ',' rich ',' "&amp;"taiiiiiiiiiiiiikkkkkkkkkkkkkkkkkkkkkkkkkkkkkkkkkkkkkkkkkkkkkkkkkkkkkk")</f>
        <v>['Telkomsel', 'network', 'worst', 'price', 'package', 'quota', 'most expensive', 'user', 'Telkomsel', 'forgiving', 'price', 'package', ' quota ',' expensive ',' expensive ',' comparable ',' speed ',' network ',' gpp ',' sometimes ',' network ',' rich ',' taiiiiiiiiiiiiikkkkkkkkkkkkkkkkkkkkkkkkkkkkkkkkkkkkkkkkkkkkkkkkkkkkkk</v>
      </c>
      <c r="D1956" s="3">
        <v>1.0</v>
      </c>
    </row>
    <row r="1957" ht="15.75" customHeight="1">
      <c r="A1957" s="1">
        <v>1955.0</v>
      </c>
      <c r="B1957" s="3" t="s">
        <v>1957</v>
      </c>
      <c r="C1957" s="3" t="str">
        <f>IFERROR(__xludf.DUMMYFUNCTION("GOOGLETRANSLATE(B1957,""id"",""en"")"),"['Subscriptions',' anything ',' contents', 'pulse', 'sumps',' pdhl ',' bey ',' sebel ',' my husband ',' so ',' grapari ',' say it ',' Wait ',' SMS ',' Unreg ',' SMS ',' subscribe ',' ']")</f>
        <v>['Subscriptions',' anything ',' contents', 'pulse', 'sumps',' pdhl ',' bey ',' sebel ',' my husband ',' so ',' grapari ',' say it ',' Wait ',' SMS ',' Unreg ',' SMS ',' subscribe ',' ']</v>
      </c>
      <c r="D1957" s="3">
        <v>1.0</v>
      </c>
    </row>
    <row r="1958" ht="15.75" customHeight="1">
      <c r="A1958" s="1">
        <v>1956.0</v>
      </c>
      <c r="B1958" s="3" t="s">
        <v>1958</v>
      </c>
      <c r="C1958" s="3" t="str">
        <f>IFERROR(__xludf.DUMMYFUNCTION("GOOGLETRANSLATE(B1958,""id"",""en"")"),"['buy', 'quota', 'extra', 'unlimited', 'enter', 'rates',' data ',' non ',' package ',' apply ',' packagein ',' quota ',' extra ',' unlimited ',' where ',' pulse ',' lost ',' package ',' Telkomsel ',' your customer ',' switch ',' operator ',' no ',' respon"&amp;"sibility ', ""]")</f>
        <v>['buy', 'quota', 'extra', 'unlimited', 'enter', 'rates',' data ',' non ',' package ',' apply ',' packagein ',' quota ',' extra ',' unlimited ',' where ',' pulse ',' lost ',' package ',' Telkomsel ',' your customer ',' switch ',' operator ',' no ',' responsibility ', "]</v>
      </c>
      <c r="D1958" s="3">
        <v>1.0</v>
      </c>
    </row>
    <row r="1959" ht="15.75" customHeight="1">
      <c r="A1959" s="1">
        <v>1957.0</v>
      </c>
      <c r="B1959" s="3" t="s">
        <v>1959</v>
      </c>
      <c r="C1959" s="3" t="str">
        <f>IFERROR(__xludf.DUMMYFUNCTION("GOOGLETRANSLATE(B1959,""id"",""en"")"),"['application', 'slow', 'drain', 'data', 'internet', 'Please', 'Search', 'Officer', 'Reliable', 'Addin', 'Use', 'Package', ' TLP ',' PSTN ',' Telkomsel ',' Package ',' TLP ',' MOTH ',' Credit ',' Main ',' Regristation ',' Package ',' Dimy ',' Telkomsel ',"&amp;"' Listed ' , 'The package', 'mksd', 'hit', 'trap', 'pulse', 'main', 'eroded', 'malessss', 'use', 'Telkomsel', '']")</f>
        <v>['application', 'slow', 'drain', 'data', 'internet', 'Please', 'Search', 'Officer', 'Reliable', 'Addin', 'Use', 'Package', ' TLP ',' PSTN ',' Telkomsel ',' Package ',' TLP ',' MOTH ',' Credit ',' Main ',' Regristation ',' Package ',' Dimy ',' Telkomsel ',' Listed ' , 'The package', 'mksd', 'hit', 'trap', 'pulse', 'main', 'eroded', 'malessss', 'use', 'Telkomsel', '']</v>
      </c>
      <c r="D1959" s="3">
        <v>1.0</v>
      </c>
    </row>
    <row r="1960" ht="15.75" customHeight="1">
      <c r="A1960" s="1">
        <v>1958.0</v>
      </c>
      <c r="B1960" s="3" t="s">
        <v>1960</v>
      </c>
      <c r="C1960" s="3" t="str">
        <f>IFERROR(__xludf.DUMMYFUNCTION("GOOGLETRANSLATE(B1960,""id"",""en"")"),"['signal', 'ugly', 'city', 'Bogor', 'user', 'speed', 'slow', 'youtube', 'buffer', 'buy', 'package', 'please', ' bandwitdht ',' enhanced ',' class', 'Telkomsel', 'improvement', 'quality', '']")</f>
        <v>['signal', 'ugly', 'city', 'Bogor', 'user', 'speed', 'slow', 'youtube', 'buffer', 'buy', 'package', 'please', ' bandwitdht ',' enhanced ',' class', 'Telkomsel', 'improvement', 'quality', '']</v>
      </c>
      <c r="D1960" s="3">
        <v>1.0</v>
      </c>
    </row>
    <row r="1961" ht="15.75" customHeight="1">
      <c r="A1961" s="1">
        <v>1959.0</v>
      </c>
      <c r="B1961" s="3" t="s">
        <v>1961</v>
      </c>
      <c r="C1961" s="3" t="str">
        <f>IFERROR(__xludf.DUMMYFUNCTION("GOOGLETRANSLATE(B1961,""id"",""en"")"),"['Customer', 'comment', 'response', 'comment', 'because', 'Telkomsel', 'bad', 'work', 'cantani', 'please', ""]")</f>
        <v>['Customer', 'comment', 'response', 'comment', 'because', 'Telkomsel', 'bad', 'work', 'cantani', 'please', "]</v>
      </c>
      <c r="D1961" s="3">
        <v>2.0</v>
      </c>
    </row>
    <row r="1962" ht="15.75" customHeight="1">
      <c r="A1962" s="1">
        <v>1960.0</v>
      </c>
      <c r="B1962" s="3" t="s">
        <v>1962</v>
      </c>
      <c r="C1962" s="3" t="str">
        <f>IFERROR(__xludf.DUMMYFUNCTION("GOOGLETRANSLATE(B1962,""id"",""en"")"),"['Love', 'star', 'deh', 'application', 'already', 'good', 'aid', 'good', 'purchase', 'quota', 'app', 'Telkomsel', ' cheap ',' check ',' no ',' application ',' check ',' price ',' manyin ',' bonus', 'customer', 'enlarge', 'gift', 'daily', 'check' , 'pokony"&amp;"a', 'best', 'update', 'peace', '']")</f>
        <v>['Love', 'star', 'deh', 'application', 'already', 'good', 'aid', 'good', 'purchase', 'quota', 'app', 'Telkomsel', ' cheap ',' check ',' no ',' application ',' check ',' price ',' manyin ',' bonus', 'customer', 'enlarge', 'gift', 'daily', 'check' , 'pokonya', 'best', 'update', 'peace', '']</v>
      </c>
      <c r="D1962" s="3">
        <v>4.0</v>
      </c>
    </row>
    <row r="1963" ht="15.75" customHeight="1">
      <c r="A1963" s="1">
        <v>1961.0</v>
      </c>
      <c r="B1963" s="3" t="s">
        <v>1963</v>
      </c>
      <c r="C1963" s="3" t="str">
        <f>IFERROR(__xludf.DUMMYFUNCTION("GOOGLETRANSLATE(B1963,""id"",""en"")"),"['Telkomsel', 'Loading', 'signal', 'ugly', 'really', 'already', 'years',' use ',' Telkomsel ',' MyTelkomsel ',' Loading ',' Severe ',' little ',' network ',' little ',' network ',' ']")</f>
        <v>['Telkomsel', 'Loading', 'signal', 'ugly', 'really', 'already', 'years',' use ',' Telkomsel ',' MyTelkomsel ',' Loading ',' Severe ',' little ',' network ',' little ',' network ',' ']</v>
      </c>
      <c r="D1963" s="3">
        <v>1.0</v>
      </c>
    </row>
    <row r="1964" ht="15.75" customHeight="1">
      <c r="A1964" s="1">
        <v>1962.0</v>
      </c>
      <c r="B1964" s="3" t="s">
        <v>1964</v>
      </c>
      <c r="C1964" s="3" t="str">
        <f>IFERROR(__xludf.DUMMYFUNCTION("GOOGLETRANSLATE(B1964,""id"",""en"")"),"['The network', 'ngeleg', 'I think', 'buy', 'package', 'internet', 'UDH', 'Try', 'expensive', 'tetep', 'network', 'bad', ' Change ',' card ',' prime ',' ']")</f>
        <v>['The network', 'ngeleg', 'I think', 'buy', 'package', 'internet', 'UDH', 'Try', 'expensive', 'tetep', 'network', 'bad', ' Change ',' card ',' prime ',' ']</v>
      </c>
      <c r="D1964" s="3">
        <v>1.0</v>
      </c>
    </row>
    <row r="1965" ht="15.75" customHeight="1">
      <c r="A1965" s="1">
        <v>1963.0</v>
      </c>
      <c r="B1965" s="3" t="s">
        <v>1965</v>
      </c>
      <c r="C1965" s="3" t="str">
        <f>IFERROR(__xludf.DUMMYFUNCTION("GOOGLETRANSLATE(B1965,""id"",""en"")"),"['Method', 'Payment', 'Fund', 'Do', 'Many', 'DClik', 'Method', 'Payment', 'Kluar', 'Nanya', 'Neakers', 'My Boss']")</f>
        <v>['Method', 'Payment', 'Fund', 'Do', 'Many', 'DClik', 'Method', 'Payment', 'Kluar', 'Nanya', 'Neakers', 'My Boss']</v>
      </c>
      <c r="D1965" s="3">
        <v>1.0</v>
      </c>
    </row>
    <row r="1966" ht="15.75" customHeight="1">
      <c r="A1966" s="1">
        <v>1964.0</v>
      </c>
      <c r="B1966" s="3" t="s">
        <v>1966</v>
      </c>
      <c r="C1966" s="3" t="str">
        <f>IFERROR(__xludf.DUMMYFUNCTION("GOOGLETRANSLATE(B1966,""id"",""en"")"),"['Heh', 'lgi', 'yee', 'try', 'fix', 'lgi', 'network', 'gtu', 'ngk', 'ngk', 'knp', 'card', ' UDH ',' Disabarin ',' GTU ',' Signal ',' Good ',' Signalny ',' Good ',' GTU ',' TPI ',' KNP ',' LGSG ',' Down ',' right ' , 'enter', 'APK', 'wrong', 'knp', 'gtu', "&amp;"'kek', 'gtu', 'improvement', 'gmn', 'gtu', 'told', 'mantengin', ' Loading ',' UDH ',' Love ',' Message ',' Email ',' GTU ',' UDH ',' LHO ',' UDH ',' TPI ',' KNP ',' HRS ',' NGK ' , 'Delicious', 'GTU', '']")</f>
        <v>['Heh', 'lgi', 'yee', 'try', 'fix', 'lgi', 'network', 'gtu', 'ngk', 'ngk', 'knp', 'card', ' UDH ',' Disabarin ',' GTU ',' Signal ',' Good ',' Signalny ',' Good ',' GTU ',' TPI ',' KNP ',' LGSG ',' Down ',' right ' , 'enter', 'APK', 'wrong', 'knp', 'gtu', 'kek', 'gtu', 'improvement', 'gmn', 'gtu', 'told', 'mantengin', ' Loading ',' UDH ',' Love ',' Message ',' Email ',' GTU ',' UDH ',' LHO ',' UDH ',' TPI ',' KNP ',' HRS ',' NGK ' , 'Delicious', 'GTU', '']</v>
      </c>
      <c r="D1966" s="3">
        <v>1.0</v>
      </c>
    </row>
    <row r="1967" ht="15.75" customHeight="1">
      <c r="A1967" s="1">
        <v>1965.0</v>
      </c>
      <c r="B1967" s="3" t="s">
        <v>1967</v>
      </c>
      <c r="C1967" s="3" t="str">
        <f>IFERROR(__xludf.DUMMYFUNCTION("GOOGLETRANSLATE(B1967,""id"",""en"")"),"['happy', 'application', 'please', 'update', 'addin', 'feature', 'lock', 'pulse', 'free', 'buy', 'package', 'application', ' MyTelkomsel ',' quota ',' good ',' happy ',' enjoy ',' package ',' internet ']")</f>
        <v>['happy', 'application', 'please', 'update', 'addin', 'feature', 'lock', 'pulse', 'free', 'buy', 'package', 'application', ' MyTelkomsel ',' quota ',' good ',' happy ',' enjoy ',' package ',' internet ']</v>
      </c>
      <c r="D1967" s="3">
        <v>2.0</v>
      </c>
    </row>
    <row r="1968" ht="15.75" customHeight="1">
      <c r="A1968" s="1">
        <v>1966.0</v>
      </c>
      <c r="B1968" s="3" t="s">
        <v>1968</v>
      </c>
      <c r="C1968" s="3" t="str">
        <f>IFERROR(__xludf.DUMMYFUNCTION("GOOGLETRANSLATE(B1968,""id"",""en"")"),"['Application', 'opened', 'Loading', 'Mulu', 'already', 'Login', 'Home', 'Read', 'Nyare', 'People', 'Buy', 'Package', ' HARD ',' Kayak ',' Provider ',' Next to ',' ']")</f>
        <v>['Application', 'opened', 'Loading', 'Mulu', 'already', 'Login', 'Home', 'Read', 'Nyare', 'People', 'Buy', 'Package', ' HARD ',' Kayak ',' Provider ',' Next to ',' ']</v>
      </c>
      <c r="D1968" s="3">
        <v>1.0</v>
      </c>
    </row>
    <row r="1969" ht="15.75" customHeight="1">
      <c r="A1969" s="1">
        <v>1967.0</v>
      </c>
      <c r="B1969" s="3" t="s">
        <v>1969</v>
      </c>
      <c r="C1969" s="3" t="str">
        <f>IFERROR(__xludf.DUMMYFUNCTION("GOOGLETRANSLATE(B1969,""id"",""en"")"),"['complaints', 'price', 'quota', 'Telkomsel', 'according to', 'quality', 'network', 'please', 'Telkomsel', 'fix', 'network', 'according to' Price ',' Consumers', 'buy']")</f>
        <v>['complaints', 'price', 'quota', 'Telkomsel', 'according to', 'quality', 'network', 'please', 'Telkomsel', 'fix', 'network', 'according to' Price ',' Consumers', 'buy']</v>
      </c>
      <c r="D1969" s="3">
        <v>1.0</v>
      </c>
    </row>
    <row r="1970" ht="15.75" customHeight="1">
      <c r="A1970" s="1">
        <v>1968.0</v>
      </c>
      <c r="B1970" s="3" t="s">
        <v>1970</v>
      </c>
      <c r="C1970" s="3" t="str">
        <f>IFERROR(__xludf.DUMMYFUNCTION("GOOGLETRANSLATE(B1970,""id"",""en"")"),"['Damn', 'Telkomsel', 'internet', 'diverted', 'credit', 'pulse', 'from him', 'schedule', 'buy', 'quota', 'full', 'skrng', ' Remaining ',' a week ']")</f>
        <v>['Damn', 'Telkomsel', 'internet', 'diverted', 'credit', 'pulse', 'from him', 'schedule', 'buy', 'quota', 'full', 'skrng', ' Remaining ',' a week ']</v>
      </c>
      <c r="D1970" s="3">
        <v>1.0</v>
      </c>
    </row>
    <row r="1971" ht="15.75" customHeight="1">
      <c r="A1971" s="1">
        <v>1969.0</v>
      </c>
      <c r="B1971" s="3" t="s">
        <v>1971</v>
      </c>
      <c r="C1971" s="3" t="str">
        <f>IFERROR(__xludf.DUMMYFUNCTION("GOOGLETRANSLATE(B1971,""id"",""en"")"),"['Sayay', 'Exchange', 'Points', 'Change', 'Credit', 'Enter', 'Pulses', 'Enter', 'Love', 'Star', 'Dehhhhhhh', ""]")</f>
        <v>['Sayay', 'Exchange', 'Points', 'Change', 'Credit', 'Enter', 'Pulses', 'Enter', 'Love', 'Star', 'Dehhhhhhh', "]</v>
      </c>
      <c r="D1971" s="3">
        <v>1.0</v>
      </c>
    </row>
    <row r="1972" ht="15.75" customHeight="1">
      <c r="A1972" s="1">
        <v>1970.0</v>
      </c>
      <c r="B1972" s="3" t="s">
        <v>1972</v>
      </c>
      <c r="C1972" s="3" t="str">
        <f>IFERROR(__xludf.DUMMYFUNCTION("GOOGLETRANSLATE(B1972,""id"",""en"")"),"['Kenpa', 'MyTelkom', 'Buy', 'Kouta', 'said', 'That's',' no ',' Kasian ',' people ',' need ',' kouta ',' cheap ',' Buy ',' Package ',' RbU ',' no ',' no ',' repeated ',' package ',' buy ',' missing ',' min ',' gini ',' lost ',' what ' , 'Learning', 'Onlin"&amp;"e']")</f>
        <v>['Kenpa', 'MyTelkom', 'Buy', 'Kouta', 'said', 'That's',' no ',' Kasian ',' people ',' need ',' kouta ',' cheap ',' Buy ',' Package ',' RbU ',' no ',' no ',' repeated ',' package ',' buy ',' missing ',' min ',' gini ',' lost ',' what ' , 'Learning', 'Online']</v>
      </c>
      <c r="D1972" s="3">
        <v>1.0</v>
      </c>
    </row>
    <row r="1973" ht="15.75" customHeight="1">
      <c r="A1973" s="1">
        <v>1971.0</v>
      </c>
      <c r="B1973" s="3" t="s">
        <v>1973</v>
      </c>
      <c r="C1973" s="3" t="str">
        <f>IFERROR(__xludf.DUMMYFUNCTION("GOOGLETRANSLATE(B1973,""id"",""en"")"),"['Feelings', 'Since', 'Subsidies', 'Quota', 'Network', 'Telkomsel', 'Internet', 'Quality', 'Bad', 'City', '']")</f>
        <v>['Feelings', 'Since', 'Subsidies', 'Quota', 'Network', 'Telkomsel', 'Internet', 'Quality', 'Bad', 'City', '']</v>
      </c>
      <c r="D1973" s="3">
        <v>1.0</v>
      </c>
    </row>
    <row r="1974" ht="15.75" customHeight="1">
      <c r="A1974" s="1">
        <v>1972.0</v>
      </c>
      <c r="B1974" s="3" t="s">
        <v>1974</v>
      </c>
      <c r="C1974" s="3" t="str">
        <f>IFERROR(__xludf.DUMMYFUNCTION("GOOGLETRANSLATE(B1974,""id"",""en"")"),"['already', 'network', 'suggestion', 'active', 'quota', 'extend', 'buy', 'expends',' quota ',' extend ',' active ',' quota ',' Ntar ',' Kasi ',' star ']")</f>
        <v>['already', 'network', 'suggestion', 'active', 'quota', 'extend', 'buy', 'expends',' quota ',' extend ',' active ',' quota ',' Ntar ',' Kasi ',' star ']</v>
      </c>
      <c r="D1974" s="3">
        <v>3.0</v>
      </c>
    </row>
    <row r="1975" ht="15.75" customHeight="1">
      <c r="A1975" s="1">
        <v>1973.0</v>
      </c>
      <c r="B1975" s="3" t="s">
        <v>1975</v>
      </c>
      <c r="C1975" s="3" t="str">
        <f>IFERROR(__xludf.DUMMYFUNCTION("GOOGLETRANSLATE(B1975,""id"",""en"")"),"['committee', 'main', 'network', 'internet', 'Indonesia', 'results',' work ',' good ',' internet ',' slow ',' aka ',' slow ',' Disconnect ',' Disconnect ',' The Application ',' Ribet ',' Loading ',' Slow ',' Stay ',' City ',' Imagine ',' People ',' People"&amp;" ',' Stay ',' Suburbs' , 'buy', 'pulse', 'package', 'service', 'network', 'quality', 'human', 'great', 'managing', 'Telkomsel', 'service', 'satisfying', ' Nation ',' ']")</f>
        <v>['committee', 'main', 'network', 'internet', 'Indonesia', 'results',' work ',' good ',' internet ',' slow ',' aka ',' slow ',' Disconnect ',' Disconnect ',' The Application ',' Ribet ',' Loading ',' Slow ',' Stay ',' City ',' Imagine ',' People ',' People ',' Stay ',' Suburbs' , 'buy', 'pulse', 'package', 'service', 'network', 'quality', 'human', 'great', 'managing', 'Telkomsel', 'service', 'satisfying', ' Nation ',' ']</v>
      </c>
      <c r="D1975" s="3">
        <v>1.0</v>
      </c>
    </row>
    <row r="1976" ht="15.75" customHeight="1">
      <c r="A1976" s="1">
        <v>1974.0</v>
      </c>
      <c r="B1976" s="3" t="s">
        <v>1976</v>
      </c>
      <c r="C1976" s="3" t="str">
        <f>IFERROR(__xludf.DUMMYFUNCTION("GOOGLETRANSLATE(B1976,""id"",""en"")"),"['', 'TH', 'ANIVVERSARY', 'CASHBACK', 'Fill', 'Credit', 'Gopay', 'Manaa', 'Casback', 'Check', 'Gopay', 'Already', 'Fill ',' Kaga ',' Cashback ',' ']")</f>
        <v>['', 'TH', 'ANIVVERSARY', 'CASHBACK', 'Fill', 'Credit', 'Gopay', 'Manaa', 'Casback', 'Check', 'Gopay', 'Already', 'Fill ',' Kaga ',' Cashback ',' ']</v>
      </c>
      <c r="D1976" s="3">
        <v>1.0</v>
      </c>
    </row>
    <row r="1977" ht="15.75" customHeight="1">
      <c r="A1977" s="1">
        <v>1975.0</v>
      </c>
      <c r="B1977" s="3" t="s">
        <v>1977</v>
      </c>
      <c r="C1977" s="3" t="str">
        <f>IFERROR(__xludf.DUMMYFUNCTION("GOOGLETRANSLATE(B1977,""id"",""en"")"),"['Sis',' Telkomsel ',' KNP ',' Changed ',' Telkomsel ',' Difficult ',' Exam ',' Seminar ',' Thesis', 'Constraints',' Quota ',' For Sale ',' expensive ',' KNP ',' Changed ',' Telkomsel ',' Come ',' Story ',' Sinii ',' Search ',' Solution ',' Together ',' '"&amp;"]")</f>
        <v>['Sis',' Telkomsel ',' KNP ',' Changed ',' Telkomsel ',' Difficult ',' Exam ',' Seminar ',' Thesis', 'Constraints',' Quota ',' For Sale ',' expensive ',' KNP ',' Changed ',' Telkomsel ',' Come ',' Story ',' Sinii ',' Search ',' Solution ',' Together ',' ']</v>
      </c>
      <c r="D1977" s="3">
        <v>2.0</v>
      </c>
    </row>
    <row r="1978" ht="15.75" customHeight="1">
      <c r="A1978" s="1">
        <v>1976.0</v>
      </c>
      <c r="B1978" s="3" t="s">
        <v>1978</v>
      </c>
      <c r="C1978" s="3" t="str">
        <f>IFERROR(__xludf.DUMMYFUNCTION("GOOGLETRANSLATE(B1978,""id"",""en"")"),"['Application', 'pulse', 'take-taken', 'description', 'anything', 'already', 'activated', 'package', 'quota', 'no', 'pulses',' take it ',' ']")</f>
        <v>['Application', 'pulse', 'take-taken', 'description', 'anything', 'already', 'activated', 'package', 'quota', 'no', 'pulses',' take it ',' ']</v>
      </c>
      <c r="D1978" s="3">
        <v>1.0</v>
      </c>
    </row>
    <row r="1979" ht="15.75" customHeight="1">
      <c r="A1979" s="1">
        <v>1977.0</v>
      </c>
      <c r="B1979" s="3" t="s">
        <v>1979</v>
      </c>
      <c r="C1979" s="3" t="str">
        <f>IFERROR(__xludf.DUMMYFUNCTION("GOOGLETRANSLATE(B1979,""id"",""en"")"),"['buy', 'package', 'promo', 'already', 'contents',' pulse ',' turn ',' Took ',' transaction ',' gabisa ',' please ',' repaired ',' Dongg ',' ']")</f>
        <v>['buy', 'package', 'promo', 'already', 'contents',' pulse ',' turn ',' Took ',' transaction ',' gabisa ',' please ',' repaired ',' Dongg ',' ']</v>
      </c>
      <c r="D1979" s="3">
        <v>1.0</v>
      </c>
    </row>
    <row r="1980" ht="15.75" customHeight="1">
      <c r="A1980" s="1">
        <v>1978.0</v>
      </c>
      <c r="B1980" s="3" t="s">
        <v>1980</v>
      </c>
      <c r="C1980" s="3" t="str">
        <f>IFERROR(__xludf.DUMMYFUNCTION("GOOGLETRANSLATE(B1980,""id"",""en"")"),"['signal', 'here', 'bad', 'sympathy', 'smooth', 'here', 'comfortable', 'signal', 'ilang', 'hail', 'bad', 'please', ' Fix ',' trimakasih ', ""]")</f>
        <v>['signal', 'here', 'bad', 'sympathy', 'smooth', 'here', 'comfortable', 'signal', 'ilang', 'hail', 'bad', 'please', ' Fix ',' trimakasih ', "]</v>
      </c>
      <c r="D1980" s="3">
        <v>1.0</v>
      </c>
    </row>
    <row r="1981" ht="15.75" customHeight="1">
      <c r="A1981" s="1">
        <v>1979.0</v>
      </c>
      <c r="B1981" s="3" t="s">
        <v>1981</v>
      </c>
      <c r="C1981" s="3" t="str">
        <f>IFERROR(__xludf.DUMMYFUNCTION("GOOGLETRANSLATE(B1981,""id"",""en"")"),"['buy', 'package', 'data', 'Telkomsel', 'Error', 'repeated', 'Try', 'pulse', 'sumps',' buy ',' package ',' data ',' in accordance']")</f>
        <v>['buy', 'package', 'data', 'Telkomsel', 'Error', 'repeated', 'Try', 'pulse', 'sumps',' buy ',' package ',' data ',' in accordance']</v>
      </c>
      <c r="D1981" s="3">
        <v>1.0</v>
      </c>
    </row>
    <row r="1982" ht="15.75" customHeight="1">
      <c r="A1982" s="1">
        <v>1980.0</v>
      </c>
      <c r="B1982" s="3" t="s">
        <v>1982</v>
      </c>
      <c r="C1982" s="3" t="str">
        <f>IFERROR(__xludf.DUMMYFUNCTION("GOOGLETRANSLATE(B1982,""id"",""en"")"),"['signal', 'internet', 'ugly', 'ugly', 'open', 'facebook', 'picture', 'open', 'email', 'telkomsel', 'mainstay', '']")</f>
        <v>['signal', 'internet', 'ugly', 'ugly', 'open', 'facebook', 'picture', 'open', 'email', 'telkomsel', 'mainstay', '']</v>
      </c>
      <c r="D1982" s="3">
        <v>1.0</v>
      </c>
    </row>
    <row r="1983" ht="15.75" customHeight="1">
      <c r="A1983" s="1">
        <v>1981.0</v>
      </c>
      <c r="B1983" s="3" t="s">
        <v>1983</v>
      </c>
      <c r="C1983" s="3" t="str">
        <f>IFERROR(__xludf.DUMMYFUNCTION("GOOGLETRANSLATE(B1983,""id"",""en"")"),"['Good', 'Application', 'Operator', 'Tri', 'Indosat', 'Seriously', 'No "",' Use ',' Lebai ',' Imitate ',' Being ',' Adult ',' SPRTI ',' Nokia ',' innovative ',' left ',' Salam ',' Tekno ']")</f>
        <v>['Good', 'Application', 'Operator', 'Tri', 'Indosat', 'Seriously', 'No ",' Use ',' Lebai ',' Imitate ',' Being ',' Adult ',' SPRTI ',' Nokia ',' innovative ',' left ',' Salam ',' Tekno ']</v>
      </c>
      <c r="D1983" s="3">
        <v>1.0</v>
      </c>
    </row>
    <row r="1984" ht="15.75" customHeight="1">
      <c r="A1984" s="1">
        <v>1982.0</v>
      </c>
      <c r="B1984" s="3" t="s">
        <v>1984</v>
      </c>
      <c r="C1984" s="3" t="str">
        <f>IFERROR(__xludf.DUMMYFUNCTION("GOOGLETRANSLATE(B1984,""id"",""en"")"),"['Please', 'Fix', 'Network', 'Quality', 'Internet', 'Nya', 'Pay', 'Bill', 'Network', 'Internet', 'Region', 'Kota', ' brass ',' mode ',' plane ',' minute ',' what ',' meek ',' follow ',' work ',' what 'do', 'please', 'fix', 'the network', ""]")</f>
        <v>['Please', 'Fix', 'Network', 'Quality', 'Internet', 'Nya', 'Pay', 'Bill', 'Network', 'Internet', 'Region', 'Kota', ' brass ',' mode ',' plane ',' minute ',' what ',' meek ',' follow ',' work ',' what 'do', 'please', 'fix', 'the network', "]</v>
      </c>
      <c r="D1984" s="3">
        <v>1.0</v>
      </c>
    </row>
    <row r="1985" ht="15.75" customHeight="1">
      <c r="A1985" s="1">
        <v>1983.0</v>
      </c>
      <c r="B1985" s="3" t="s">
        <v>1985</v>
      </c>
      <c r="C1985" s="3" t="str">
        <f>IFERROR(__xludf.DUMMYFUNCTION("GOOGLETRANSLATE(B1985,""id"",""en"")"),"['pulse', 'run out', 'data', 'frequency', 'Telkomsel', 'please', 'the application', 'upgrade', 'network', 'smooth', 'lose', ""]")</f>
        <v>['pulse', 'run out', 'data', 'frequency', 'Telkomsel', 'please', 'the application', 'upgrade', 'network', 'smooth', 'lose', "]</v>
      </c>
      <c r="D1985" s="3">
        <v>3.0</v>
      </c>
    </row>
    <row r="1986" ht="15.75" customHeight="1">
      <c r="A1986" s="1">
        <v>1984.0</v>
      </c>
      <c r="B1986" s="3" t="s">
        <v>1986</v>
      </c>
      <c r="C1986" s="3" t="str">
        <f>IFERROR(__xludf.DUMMYFUNCTION("GOOGLETRANSLATE(B1986,""id"",""en"")"),"['company', 'BUMN', 'Kayak', 'Gini', 'Fikir', 'Region', 'Lemot', 'Region', 'Indonesia', 'Telkomsel', 'Kasi', 'Solution', ' Change ',' Network ',' Mode ',' Wrong ',' Card ',' Connection ',' Telkomsel ',' Ancur ',' Gini ',' AXIS ',' Connection ',' Safe ',' "&amp;"Telkomsel ' , 'Pay', 'Change', 'Network', 'Jngan', 'Forgot', 'Refres', 'Network', 'Network', ""]")</f>
        <v>['company', 'BUMN', 'Kayak', 'Gini', 'Fikir', 'Region', 'Lemot', 'Region', 'Indonesia', 'Telkomsel', 'Kasi', 'Solution', ' Change ',' Network ',' Mode ',' Wrong ',' Card ',' Connection ',' Telkomsel ',' Ancur ',' Gini ',' AXIS ',' Connection ',' Safe ',' Telkomsel ' , 'Pay', 'Change', 'Network', 'Jngan', 'Forgot', 'Refres', 'Network', 'Network', "]</v>
      </c>
      <c r="D1986" s="3">
        <v>1.0</v>
      </c>
    </row>
    <row r="1987" ht="15.75" customHeight="1">
      <c r="A1987" s="1">
        <v>1985.0</v>
      </c>
      <c r="B1987" s="3" t="s">
        <v>1987</v>
      </c>
      <c r="C1987" s="3" t="str">
        <f>IFERROR(__xludf.DUMMYFUNCTION("GOOGLETRANSLATE(B1987,""id"",""en"")"),"['Telkomsel', 'synchy', 'ugly', 'price', 'expensive', 'strength', 'signal', 'severe', 'thethering', 'laptop', 'use', 'quota', ' night ',' smooth ',' speed ',' sampe ',' MB ',' second ',' boro ',' download ',' open ',' site ',' bangse ',' network ',' quota"&amp;" ' , 'night', 'Speed', 'theteting', 'download', 'Lepi', 'limited', 'according to', 'jargon', 'ad', 'disappointed']")</f>
        <v>['Telkomsel', 'synchy', 'ugly', 'price', 'expensive', 'strength', 'signal', 'severe', 'thethering', 'laptop', 'use', 'quota', ' night ',' smooth ',' speed ',' sampe ',' MB ',' second ',' boro ',' download ',' open ',' site ',' bangse ',' network ',' quota ' , 'night', 'Speed', 'theteting', 'download', 'Lepi', 'limited', 'according to', 'jargon', 'ad', 'disappointed']</v>
      </c>
      <c r="D1987" s="3">
        <v>2.0</v>
      </c>
    </row>
    <row r="1988" ht="15.75" customHeight="1">
      <c r="A1988" s="1">
        <v>1986.0</v>
      </c>
      <c r="B1988" s="3" t="s">
        <v>1988</v>
      </c>
      <c r="C1988" s="3" t="str">
        <f>IFERROR(__xludf.DUMMYFUNCTION("GOOGLETRANSLATE(B1988,""id"",""en"")"),"['subscribe', 'application', 'bln', 'select', 'package', 'combo', 'thousand', 'GB', 'contents',' rb ',' transaction ',' managed ',' Different ',' Why ',' Package ',' Out ',' Buy ',' Package ',' Combo ',' Save ',' thousand ',' GB ',' Filling ',' Credit ','"&amp;" Rb ' , 'Select', 'Option', 'Application', 'Fund', 'reset', 'Many', 'times',' Application ',' Fund ',' Check ',' Credit ',' Minutes', ' Fill ',' pulse ',' stay ',' thousand ',' ']")</f>
        <v>['subscribe', 'application', 'bln', 'select', 'package', 'combo', 'thousand', 'GB', 'contents',' rb ',' transaction ',' managed ',' Different ',' Why ',' Package ',' Out ',' Buy ',' Package ',' Combo ',' Save ',' thousand ',' GB ',' Filling ',' Credit ',' Rb ' , 'Select', 'Option', 'Application', 'Fund', 'reset', 'Many', 'times',' Application ',' Fund ',' Check ',' Credit ',' Minutes', ' Fill ',' pulse ',' stay ',' thousand ',' ']</v>
      </c>
      <c r="D1988" s="3">
        <v>1.0</v>
      </c>
    </row>
    <row r="1989" ht="15.75" customHeight="1">
      <c r="A1989" s="1">
        <v>1987.0</v>
      </c>
      <c r="B1989" s="3" t="s">
        <v>1989</v>
      </c>
      <c r="C1989" s="3" t="str">
        <f>IFERROR(__xludf.DUMMYFUNCTION("GOOGLETRANSLATE(B1989,""id"",""en"")"),"['quota', 'local', 'activation', 'city', 'digits',' city ',' how ',' bad ',' Performance ',' Telkomsel ',' Please ',' Pakek ',' Telkomsel ',' People ',' Feel ',' Mending ',' Akubkasih ',' Move ',' Operator ',' Tipu ',' Tipu ']")</f>
        <v>['quota', 'local', 'activation', 'city', 'digits',' city ',' how ',' bad ',' Performance ',' Telkomsel ',' Please ',' Pakek ',' Telkomsel ',' People ',' Feel ',' Mending ',' Akubkasih ',' Move ',' Operator ',' Tipu ',' Tipu ']</v>
      </c>
      <c r="D1989" s="3">
        <v>1.0</v>
      </c>
    </row>
    <row r="1990" ht="15.75" customHeight="1">
      <c r="A1990" s="1">
        <v>1988.0</v>
      </c>
      <c r="B1990" s="3" t="s">
        <v>1990</v>
      </c>
      <c r="C1990" s="3" t="str">
        <f>IFERROR(__xludf.DUMMYFUNCTION("GOOGLETRANSLATE(B1990,""id"",""en"")"),"['Good', 'Help', 'Activities', 'Faithful', 'Wear', 'Network', 'Telkomsel', 'Thank you', 'Telkomsel', 'Salam', 'Semarang', 'Java']")</f>
        <v>['Good', 'Help', 'Activities', 'Faithful', 'Wear', 'Network', 'Telkomsel', 'Thank you', 'Telkomsel', 'Salam', 'Semarang', 'Java']</v>
      </c>
      <c r="D1990" s="3">
        <v>5.0</v>
      </c>
    </row>
    <row r="1991" ht="15.75" customHeight="1">
      <c r="A1991" s="1">
        <v>1989.0</v>
      </c>
      <c r="B1991" s="3" t="s">
        <v>1991</v>
      </c>
      <c r="C1991" s="3" t="str">
        <f>IFERROR(__xludf.DUMMYFUNCTION("GOOGLETRANSLATE(B1991,""id"",""en"")"),"['buy', 'package', 'system', 'disorder', 'promo', 'week', 'rb', 'rupiah', '']")</f>
        <v>['buy', 'package', 'system', 'disorder', 'promo', 'week', 'rb', 'rupiah', '']</v>
      </c>
      <c r="D1991" s="3">
        <v>3.0</v>
      </c>
    </row>
    <row r="1992" ht="15.75" customHeight="1">
      <c r="A1992" s="1">
        <v>1990.0</v>
      </c>
      <c r="B1992" s="3" t="s">
        <v>1992</v>
      </c>
      <c r="C1992" s="3" t="str">
        <f>IFERROR(__xludf.DUMMYFUNCTION("GOOGLETRANSLATE(B1992,""id"",""en"")"),"['Please', 'menu', 'send', 'prize', 'fix', 'bug', 'transfer', 'pulse', 'provide', 'nominal', 'pulse', 'other', ' complicated ',' menu ',' dial ',' telephone ',' ']")</f>
        <v>['Please', 'menu', 'send', 'prize', 'fix', 'bug', 'transfer', 'pulse', 'provide', 'nominal', 'pulse', 'other', ' complicated ',' menu ',' dial ',' telephone ',' ']</v>
      </c>
      <c r="D1992" s="3">
        <v>1.0</v>
      </c>
    </row>
    <row r="1993" ht="15.75" customHeight="1">
      <c r="A1993" s="1">
        <v>1991.0</v>
      </c>
      <c r="B1993" s="3" t="s">
        <v>1993</v>
      </c>
      <c r="C1993" s="3" t="str">
        <f>IFERROR(__xludf.DUMMYFUNCTION("GOOGLETRANSLATE(B1993,""id"",""en"")"),"['pulse', 'rb', 'scorched', 'padahl', 'blm', 'used', 'then', 'gmn', 'klau', 'school', 'online', 'skrng', ' Klau ',' pulses', 'Hangus',' PDHL ',' buy ',' used ', ""]")</f>
        <v>['pulse', 'rb', 'scorched', 'padahl', 'blm', 'used', 'then', 'gmn', 'klau', 'school', 'online', 'skrng', ' Klau ',' pulses', 'Hangus',' PDHL ',' buy ',' used ', "]</v>
      </c>
      <c r="D1993" s="3">
        <v>1.0</v>
      </c>
    </row>
    <row r="1994" ht="15.75" customHeight="1">
      <c r="A1994" s="1">
        <v>1992.0</v>
      </c>
      <c r="B1994" s="3" t="s">
        <v>1994</v>
      </c>
      <c r="C1994" s="3" t="str">
        <f>IFERROR(__xludf.DUMMYFUNCTION("GOOGLETRANSLATE(B1994,""id"",""en"")"),"['customer', 'loyal', 'tsel', 'application', 'heavy', 'specification', 'standard', 'made', 'application', 'friendly', 'potato', ""]")</f>
        <v>['customer', 'loyal', 'tsel', 'application', 'heavy', 'specification', 'standard', 'made', 'application', 'friendly', 'potato', "]</v>
      </c>
      <c r="D1994" s="3">
        <v>3.0</v>
      </c>
    </row>
    <row r="1995" ht="15.75" customHeight="1">
      <c r="A1995" s="1">
        <v>1993.0</v>
      </c>
      <c r="B1995" s="3" t="s">
        <v>1995</v>
      </c>
      <c r="C1995" s="3" t="str">
        <f>IFERROR(__xludf.DUMMYFUNCTION("GOOGLETRANSLATE(B1995,""id"",""en"")"),"['Credit', 'truncated', 'usage', 'monthly', 'minimal', 'thousand', 'per month', 'borrow', 'package', 'emergency', 'package', 'unlimitid', ' Monthly ',' free ',' game ',' sosmed ',' play ',' game ',' online ',' Telkomsel ',' bad ', ""]")</f>
        <v>['Credit', 'truncated', 'usage', 'monthly', 'minimal', 'thousand', 'per month', 'borrow', 'package', 'emergency', 'package', 'unlimitid', ' Monthly ',' free ',' game ',' sosmed ',' play ',' game ',' online ',' Telkomsel ',' bad ', "]</v>
      </c>
      <c r="D1995" s="3">
        <v>1.0</v>
      </c>
    </row>
    <row r="1996" ht="15.75" customHeight="1">
      <c r="A1996" s="1">
        <v>1994.0</v>
      </c>
      <c r="B1996" s="3" t="s">
        <v>1996</v>
      </c>
      <c r="C1996" s="3" t="str">
        <f>IFERROR(__xludf.DUMMYFUNCTION("GOOGLETRANSLATE(B1996,""id"",""en"")"),"['buy', 'Vouch', 'contents',' notif ',' system ',' busy ',' repeat ',' tens', 'times',' repeated ',' Indosat ',' cheap ',' rare ',' disorder ']")</f>
        <v>['buy', 'Vouch', 'contents',' notif ',' system ',' busy ',' repeat ',' tens', 'times',' repeated ',' Indosat ',' cheap ',' rare ',' disorder ']</v>
      </c>
      <c r="D1996" s="3">
        <v>1.0</v>
      </c>
    </row>
    <row r="1997" ht="15.75" customHeight="1">
      <c r="A1997" s="1">
        <v>1995.0</v>
      </c>
      <c r="B1997" s="3" t="s">
        <v>1997</v>
      </c>
      <c r="C1997" s="3" t="str">
        <f>IFERROR(__xludf.DUMMYFUNCTION("GOOGLETRANSLATE(B1997,""id"",""en"")"),"['Nyesel', 'UDH', 'Nerima', 'Bid', 'Employee', 'Telkomsel', 'Changing', 'Card', 'Card', 'Hallo', 'Bill', 'Swollen', ' Pay ',' card ',' gabisa ',' pay ',' funds', 'krna', 'bills',' swollen ',' udh ',' so ',' gabisa ',' move ',' card ' , 'prepaid', 'again',"&amp;" 'knp', 'right', 'nawarin', 'info', 'gabisa', 'card', 'rich', 'gini', 'bkin', 'loss',' Consumers', 'users',' Reconcourse ',' Cards', 'Block', 'Gabisa', 'Take', 'Money', 'Karna', 'Card', 'Gabisa', 'Nerima', 'SMS' , 'enter', '']")</f>
        <v>['Nyesel', 'UDH', 'Nerima', 'Bid', 'Employee', 'Telkomsel', 'Changing', 'Card', 'Card', 'Hallo', 'Bill', 'Swollen', ' Pay ',' card ',' gabisa ',' pay ',' funds', 'krna', 'bills',' swollen ',' udh ',' so ',' gabisa ',' move ',' card ' , 'prepaid', 'again', 'knp', 'right', 'nawarin', 'info', 'gabisa', 'card', 'rich', 'gini', 'bkin', 'loss',' Consumers', 'users',' Reconcourse ',' Cards', 'Block', 'Gabisa', 'Take', 'Money', 'Karna', 'Card', 'Gabisa', 'Nerima', 'SMS' , 'enter', '']</v>
      </c>
      <c r="D1997" s="3">
        <v>2.0</v>
      </c>
    </row>
    <row r="1998" ht="15.75" customHeight="1">
      <c r="A1998" s="1">
        <v>1996.0</v>
      </c>
      <c r="B1998" s="3" t="s">
        <v>1998</v>
      </c>
      <c r="C1998" s="3" t="str">
        <f>IFERROR(__xludf.DUMMYFUNCTION("GOOGLETRANSLATE(B1998,""id"",""en"")"),"['pulse', 'thousand', 'reduced', 'thousand', 'buy', 'kouta', 'anything', 'kouta', 'please', 'detrimental', 'person']")</f>
        <v>['pulse', 'thousand', 'reduced', 'thousand', 'buy', 'kouta', 'anything', 'kouta', 'please', 'detrimental', 'person']</v>
      </c>
      <c r="D1998" s="3">
        <v>1.0</v>
      </c>
    </row>
    <row r="1999" ht="15.75" customHeight="1">
      <c r="A1999" s="1">
        <v>1997.0</v>
      </c>
      <c r="B1999" s="3" t="s">
        <v>1999</v>
      </c>
      <c r="C1999" s="3" t="str">
        <f>IFERROR(__xludf.DUMMYFUNCTION("GOOGLETRANSLATE(B1999,""id"",""en"")"),"['Disappointed', 'already', 'buy', 'quota', 'internet', 'coakes',' disorder ',' system ',' already ',' report ',' call ',' center ',' "", 'Blom', 'Clear', 'Loss', 'Buy', 'Quota', '']")</f>
        <v>['Disappointed', 'already', 'buy', 'quota', 'internet', 'coakes',' disorder ',' system ',' already ',' report ',' call ',' center ',' ", 'Blom', 'Clear', 'Loss', 'Buy', 'Quota', '']</v>
      </c>
      <c r="D1999" s="3">
        <v>1.0</v>
      </c>
    </row>
    <row r="2000" ht="15.75" customHeight="1">
      <c r="A2000" s="1">
        <v>1998.0</v>
      </c>
      <c r="B2000" s="3" t="s">
        <v>2000</v>
      </c>
      <c r="C2000" s="3" t="str">
        <f>IFERROR(__xludf.DUMMYFUNCTION("GOOGLETRANSLATE(B2000,""id"",""en"")"),"['hard', 'severe', 'bgtbuat', 'defeloper', 'gwedah', 'card', 'telkomswl', 'TPI', 'entry', 'application', 'mytelkomsel', 'persulit', ' Click ',' Langsumg ',' Enter ',' HRUS ',' Ribet ',' Rich ',' Jewish ',' already ',' Litue ',' slow ',' the application ',"&amp;"' buy ',' package ' , 'Leet', 'lose', 'Ama', 'card', '']")</f>
        <v>['hard', 'severe', 'bgtbuat', 'defeloper', 'gwedah', 'card', 'telkomswl', 'TPI', 'entry', 'application', 'mytelkomsel', 'persulit', ' Click ',' Langsumg ',' Enter ',' HRUS ',' Ribet ',' Rich ',' Jewish ',' already ',' Litue ',' slow ',' the application ',' buy ',' package ' , 'Leet', 'lose', 'Ama', 'card', '']</v>
      </c>
      <c r="D2000" s="3">
        <v>1.0</v>
      </c>
    </row>
    <row r="2001" ht="15.75" customHeight="1">
      <c r="A2001" s="1">
        <v>1999.0</v>
      </c>
      <c r="B2001" s="3" t="s">
        <v>2001</v>
      </c>
      <c r="C2001" s="3" t="str">
        <f>IFERROR(__xludf.DUMMYFUNCTION("GOOGLETRANSLATE(B2001,""id"",""en"")"),"['signal', 'Telkomsel', 'bad', 'play', 'game', 'ping', 'please', 'fix', 'kenangah', 'use', 'expensive', 'expensive', ' buy ',' package ',' disappointing ',' friend ',' game ',' feel ',' play ',' game ']")</f>
        <v>['signal', 'Telkomsel', 'bad', 'play', 'game', 'ping', 'please', 'fix', 'kenangah', 'use', 'expensive', 'expensive', ' buy ',' package ',' disappointing ',' friend ',' game ',' feel ',' play ',' game ']</v>
      </c>
      <c r="D2001" s="3">
        <v>1.0</v>
      </c>
    </row>
    <row r="2002" ht="15.75" customHeight="1">
      <c r="A2002" s="1">
        <v>2000.0</v>
      </c>
      <c r="B2002" s="3" t="s">
        <v>2002</v>
      </c>
      <c r="C2002" s="3" t="str">
        <f>IFERROR(__xludf.DUMMYFUNCTION("GOOGLETRANSLATE(B2002,""id"",""en"")"),"['network', 'broad', 'urban', 'natural', 'feel', 'signal', 'fake', 'access',' internet ',' tiring ',' strong ',' signal ',' Radio ',' Telkomsel ']")</f>
        <v>['network', 'broad', 'urban', 'natural', 'feel', 'signal', 'fake', 'access',' internet ',' tiring ',' strong ',' signal ',' Radio ',' Telkomsel ']</v>
      </c>
      <c r="D2002" s="3">
        <v>2.0</v>
      </c>
    </row>
    <row r="2003" ht="15.75" customHeight="1">
      <c r="A2003" s="1">
        <v>2001.0</v>
      </c>
      <c r="B2003" s="3" t="s">
        <v>2003</v>
      </c>
      <c r="C2003" s="3" t="str">
        <f>IFERROR(__xludf.DUMMYFUNCTION("GOOGLETRANSLATE(B2003,""id"",""en"")"),"['Disappointed', 'Telkomsel', 'Clock', 'Where', 'Busy', 'Ber', 'Access',' Internet ',' Hard ',' Please ',' Fix ',' Network ',' Good ',' night ',' at the same time ',' person ',' rest ',' good ',' clock ',' busy ',' access', 'internet', 'difficult', 'somet"&amp;"imes',' sleep ' , 'Please', 'Fix', 'Domiciled', 'City', 'Difficult', 'Thank you']")</f>
        <v>['Disappointed', 'Telkomsel', 'Clock', 'Where', 'Busy', 'Ber', 'Access',' Internet ',' Hard ',' Please ',' Fix ',' Network ',' Good ',' night ',' at the same time ',' person ',' rest ',' good ',' clock ',' busy ',' access', 'internet', 'difficult', 'sometimes',' sleep ' , 'Please', 'Fix', 'Domiciled', 'City', 'Difficult', 'Thank you']</v>
      </c>
      <c r="D2003" s="3">
        <v>1.0</v>
      </c>
    </row>
    <row r="2004" ht="15.75" customHeight="1">
      <c r="A2004" s="1">
        <v>2002.0</v>
      </c>
      <c r="B2004" s="3" t="s">
        <v>2004</v>
      </c>
      <c r="C2004" s="3" t="str">
        <f>IFERROR(__xludf.DUMMYFUNCTION("GOOGLETRANSLATE(B2004,""id"",""en"")"),"['bonus',' pulse ',' rb ',' dpake ',' dapet ',' until ',' apply ',' boonus', 'santuy', 'rb', 'bonus',' active ',' Bun ',' ']")</f>
        <v>['bonus',' pulse ',' rb ',' dpake ',' dapet ',' until ',' apply ',' boonus', 'santuy', 'rb', 'bonus',' active ',' Bun ',' ']</v>
      </c>
      <c r="D2004" s="3">
        <v>2.0</v>
      </c>
    </row>
    <row r="2005" ht="15.75" customHeight="1">
      <c r="A2005" s="1">
        <v>2003.0</v>
      </c>
      <c r="B2005" s="3" t="s">
        <v>2005</v>
      </c>
      <c r="C2005" s="3" t="str">
        <f>IFERROR(__xludf.DUMMYFUNCTION("GOOGLETRANSLATE(B2005,""id"",""en"")"),"['swear', 'Capekkkkk', 'Difficult', 'Network', 'Sorry', 'ENTP', 'TIME', 'NGEAGGG', 'MLS', 'JDI', 'subscription', 'Network', ' Lola ',' run out ',' money ',' bnyak ',' buy ',' speed ',' reduce ',' blm ',' night ',' missing ',' network ',' want ',' sihh ' ,"&amp;" 'email', 'ngcapuhhhh', 'Genesis',' BENR ',' BENR ',' Kacauu ',' Telkomsel ',' please ',' Telkomsel ',' ngedown ',' gini ',' his nine ',' Leet ',' ']")</f>
        <v>['swear', 'Capekkkkk', 'Difficult', 'Network', 'Sorry', 'ENTP', 'TIME', 'NGEAGGG', 'MLS', 'JDI', 'subscription', 'Network', ' Lola ',' run out ',' money ',' bnyak ',' buy ',' speed ',' reduce ',' blm ',' night ',' missing ',' network ',' want ',' sihh ' , 'email', 'ngcapuhhhh', 'Genesis',' BENR ',' BENR ',' Kacauu ',' Telkomsel ',' please ',' Telkomsel ',' ngedown ',' gini ',' his nine ',' Leet ',' ']</v>
      </c>
      <c r="D2005" s="3">
        <v>1.0</v>
      </c>
    </row>
    <row r="2006" ht="15.75" customHeight="1">
      <c r="A2006" s="1">
        <v>2004.0</v>
      </c>
      <c r="B2006" s="3" t="s">
        <v>2006</v>
      </c>
      <c r="C2006" s="3" t="str">
        <f>IFERROR(__xludf.DUMMYFUNCTION("GOOGLETRANSLATE(B2006,""id"",""en"")"),"['stay', 'housing', 'Sidoarjo', 'signal', 'full', 'network', 'data', 'stable', 'play', 'game', 'lag', 'sometimes' Discount ',' Mending ',' Operator ']")</f>
        <v>['stay', 'housing', 'Sidoarjo', 'signal', 'full', 'network', 'data', 'stable', 'play', 'game', 'lag', 'sometimes' Discount ',' Mending ',' Operator ']</v>
      </c>
      <c r="D2006" s="3">
        <v>1.0</v>
      </c>
    </row>
    <row r="2007" ht="15.75" customHeight="1">
      <c r="A2007" s="1">
        <v>2005.0</v>
      </c>
      <c r="B2007" s="3" t="s">
        <v>2007</v>
      </c>
      <c r="C2007" s="3" t="str">
        <f>IFERROR(__xludf.DUMMYFUNCTION("GOOGLETRANSLATE(B2007,""id"",""en"")"),"['buy', 'package', 'cheerful', 'notif', 'wait', 'request', 'processed', 'package', 'contact', 'response', 'time', 'intention', ' Give ',' Promo ',' Gapapa ',' Changed ',' App ',' Telkomsel ',' Disappointed ',' Customer ',' Telkomsel ',' Service ',' Bad ']")</f>
        <v>['buy', 'package', 'cheerful', 'notif', 'wait', 'request', 'processed', 'package', 'contact', 'response', 'time', 'intention', ' Give ',' Promo ',' Gapapa ',' Changed ',' App ',' Telkomsel ',' Disappointed ',' Customer ',' Telkomsel ',' Service ',' Bad ']</v>
      </c>
      <c r="D2007" s="3">
        <v>1.0</v>
      </c>
    </row>
    <row r="2008" ht="15.75" customHeight="1">
      <c r="A2008" s="1">
        <v>2006.0</v>
      </c>
      <c r="B2008" s="3" t="s">
        <v>2008</v>
      </c>
      <c r="C2008" s="3" t="str">
        <f>IFERROR(__xludf.DUMMYFUNCTION("GOOGLETRANSLATE(B2008,""id"",""en"")"),"['complain', 'quota', 'lap', 'MB', 'notification', 'package', 'leftover', 'MB', 'direct', 'run out', 'suck', 'pulses',' Pulak ',' then ',' pulse ',' nggk ',' contents', 'reset', 'quota', 'lap', 'bales',' sales', 'cave']")</f>
        <v>['complain', 'quota', 'lap', 'MB', 'notification', 'package', 'leftover', 'MB', 'direct', 'run out', 'suck', 'pulses',' Pulak ',' then ',' pulse ',' nggk ',' contents', 'reset', 'quota', 'lap', 'bales',' sales', 'cave']</v>
      </c>
      <c r="D2008" s="3">
        <v>1.0</v>
      </c>
    </row>
    <row r="2009" ht="15.75" customHeight="1">
      <c r="A2009" s="1">
        <v>2007.0</v>
      </c>
      <c r="B2009" s="3" t="s">
        <v>2009</v>
      </c>
      <c r="C2009" s="3" t="str">
        <f>IFERROR(__xludf.DUMMYFUNCTION("GOOGLETRANSLATE(B2009,""id"",""en"")"),"['Telkomsel', 'opened', 'verified', 'reset', 'code', 'verification', 'appears',' magic ',' link ',' appears', 'link', 'valid', ' expiration ',' ']")</f>
        <v>['Telkomsel', 'opened', 'verified', 'reset', 'code', 'verification', 'appears',' magic ',' link ',' appears', 'link', 'valid', ' expiration ',' ']</v>
      </c>
      <c r="D2009" s="3">
        <v>1.0</v>
      </c>
    </row>
    <row r="2010" ht="15.75" customHeight="1">
      <c r="A2010" s="1">
        <v>2008.0</v>
      </c>
      <c r="B2010" s="3" t="s">
        <v>2010</v>
      </c>
      <c r="C2010" s="3" t="str">
        <f>IFERROR(__xludf.DUMMYFUNCTION("GOOGLETRANSLATE(B2010,""id"",""en"")"),"['Network', 'rotten', 'package', 'ilang', 'package', 'bought', 'Telkomsel', 'dial', 'writing', 'busy', 'pulses',' always', ' Sumpot ',' gatau ',' kmna ',' expensive ',' buy ',' service ',' disappointing ',' hope ',' network ',' Telkomsel ',' aamiin ']")</f>
        <v>['Network', 'rotten', 'package', 'ilang', 'package', 'bought', 'Telkomsel', 'dial', 'writing', 'busy', 'pulses',' always', ' Sumpot ',' gatau ',' kmna ',' expensive ',' buy ',' service ',' disappointing ',' hope ',' network ',' Telkomsel ',' aamiin ']</v>
      </c>
      <c r="D2010" s="3">
        <v>1.0</v>
      </c>
    </row>
    <row r="2011" ht="15.75" customHeight="1">
      <c r="A2011" s="1">
        <v>2009.0</v>
      </c>
      <c r="B2011" s="3" t="s">
        <v>2011</v>
      </c>
      <c r="C2011" s="3" t="str">
        <f>IFERROR(__xludf.DUMMYFUNCTION("GOOGLETRANSLATE(B2011,""id"",""en"")"),"['Telkomsel', 'corruption', 'package', 'expensive', 'please', 'package', 'conducted', 'card', 'Telkomsel', 'sudaj', 'package', 'cheap', ' Detian ',' contents', 'pulse', 'raise', 'price', 'package', 'please', 'appreciate', 'people', 'barring', 'price', 'pa"&amp;"ckage', 'exorbitant' , 'Harms', 'Telkomsel']")</f>
        <v>['Telkomsel', 'corruption', 'package', 'expensive', 'please', 'package', 'conducted', 'card', 'Telkomsel', 'sudaj', 'package', 'cheap', ' Detian ',' contents', 'pulse', 'raise', 'price', 'package', 'please', 'appreciate', 'people', 'barring', 'price', 'package', 'exorbitant' , 'Harms', 'Telkomsel']</v>
      </c>
      <c r="D2011" s="3">
        <v>1.0</v>
      </c>
    </row>
    <row r="2012" ht="15.75" customHeight="1">
      <c r="A2012" s="1">
        <v>2010.0</v>
      </c>
      <c r="B2012" s="3" t="s">
        <v>2012</v>
      </c>
      <c r="C2012" s="3" t="str">
        <f>IFERROR(__xludf.DUMMYFUNCTION("GOOGLETRANSLATE(B2012,""id"",""en"")"),"['slow', 'appears', 'information', 'fertility', 'appears', 'complete', 'complain', 'mbo', 'direct', 'told', 'contact', 'situ']")</f>
        <v>['slow', 'appears', 'information', 'fertility', 'appears', 'complete', 'complain', 'mbo', 'direct', 'told', 'contact', 'situ']</v>
      </c>
      <c r="D2012" s="3">
        <v>1.0</v>
      </c>
    </row>
    <row r="2013" ht="15.75" customHeight="1">
      <c r="A2013" s="1">
        <v>2011.0</v>
      </c>
      <c r="B2013" s="3" t="s">
        <v>2013</v>
      </c>
      <c r="C2013" s="3" t="str">
        <f>IFERROR(__xludf.DUMMYFUNCTION("GOOGLETRANSLATE(B2013,""id"",""en"")"),"['Network', 'ugly', 'city', 'Majalengka', 'capital', 'fix', 'jarinagn', 'doang', 'card', 'sell', 'Telkomsel', ' Jaringn ',' ugly ',' disorder ']")</f>
        <v>['Network', 'ugly', 'city', 'Majalengka', 'capital', 'fix', 'jarinagn', 'doang', 'card', 'sell', 'Telkomsel', ' Jaringn ',' ugly ',' disorder ']</v>
      </c>
      <c r="D2013" s="3">
        <v>1.0</v>
      </c>
    </row>
    <row r="2014" ht="15.75" customHeight="1">
      <c r="A2014" s="1">
        <v>2012.0</v>
      </c>
      <c r="B2014" s="3" t="s">
        <v>2014</v>
      </c>
      <c r="C2014" s="3" t="str">
        <f>IFERROR(__xludf.DUMMYFUNCTION("GOOGLETRANSLATE(B2014,""id"",""en"")"),"['Star', 'Believe', 'Card', 'Telkomsel', 'at the time', 'APDET', 'APK', 'Exchange', 'Points',' Points', 'Exchange', 'Points',' Exchanged ']")</f>
        <v>['Star', 'Believe', 'Card', 'Telkomsel', 'at the time', 'APDET', 'APK', 'Exchange', 'Points',' Points', 'Exchange', 'Points',' Exchanged ']</v>
      </c>
      <c r="D2014" s="3">
        <v>3.0</v>
      </c>
    </row>
    <row r="2015" ht="15.75" customHeight="1">
      <c r="A2015" s="1">
        <v>2013.0</v>
      </c>
      <c r="B2015" s="3" t="s">
        <v>2015</v>
      </c>
      <c r="C2015" s="3" t="str">
        <f>IFERROR(__xludf.DUMMYFUNCTION("GOOGLETRANSLATE(B2015,""id"",""en"")"),"['Telkomsel', 'skrang', 'Telkomsel', 'bk', 'good', 'network', 'signal', 'chaotic', 'sdah', 'price', 'kwota', 'expensive', ' SMS ',' TLP ',' Rich ', ""]")</f>
        <v>['Telkomsel', 'skrang', 'Telkomsel', 'bk', 'good', 'network', 'signal', 'chaotic', 'sdah', 'price', 'kwota', 'expensive', ' SMS ',' TLP ',' Rich ', "]</v>
      </c>
      <c r="D2015" s="3">
        <v>2.0</v>
      </c>
    </row>
    <row r="2016" ht="15.75" customHeight="1">
      <c r="A2016" s="1">
        <v>2014.0</v>
      </c>
      <c r="B2016" s="3" t="s">
        <v>2016</v>
      </c>
      <c r="C2016" s="3" t="str">
        <f>IFERROR(__xludf.DUMMYFUNCTION("GOOGLETRANSLATE(B2016,""id"",""en"")"),"['application', 'provider', 'toughest', 'app', 'yellow', 'smooth', 'Jaya', 'features',' yellow ',' road ',' normal ',' application ',' heavy ',' forgiveness', 'ngalain', 'spec', 'pub', 'setting', 'HDR', 'extreme', 'forgiveness',' test ',' try ',' programe"&amp;"r ',' medium ' , 'spec', 'oath', 'heavy', 'really', '']")</f>
        <v>['application', 'provider', 'toughest', 'app', 'yellow', 'smooth', 'Jaya', 'features',' yellow ',' road ',' normal ',' application ',' heavy ',' forgiveness', 'ngalain', 'spec', 'pub', 'setting', 'HDR', 'extreme', 'forgiveness',' test ',' try ',' programer ',' medium ' , 'spec', 'oath', 'heavy', 'really', '']</v>
      </c>
      <c r="D2016" s="3">
        <v>1.0</v>
      </c>
    </row>
    <row r="2017" ht="15.75" customHeight="1">
      <c r="A2017" s="1">
        <v>2015.0</v>
      </c>
      <c r="B2017" s="3" t="s">
        <v>2017</v>
      </c>
      <c r="C2017" s="3" t="str">
        <f>IFERROR(__xludf.DUMMYFUNCTION("GOOGLETRANSLATE(B2017,""id"",""en"")"),"['area', 'Pontianak', 'area', 'urban', 'network', 'slow', 'browsing', 'already', 'be patient', 'many years',' improvement ',' suggest ',' Users', 'Provider', 'Telkomsel', 'Please', 'Change', 'Provider', 'Network', 'Good', 'Accept', 'Love', 'Telkomsel', 'T"&amp;"he Network', 'Leet' , 'initiative', 'repairs', 'network', 'many years', '']")</f>
        <v>['area', 'Pontianak', 'area', 'urban', 'network', 'slow', 'browsing', 'already', 'be patient', 'many years',' improvement ',' suggest ',' Users', 'Provider', 'Telkomsel', 'Please', 'Change', 'Provider', 'Network', 'Good', 'Accept', 'Love', 'Telkomsel', 'The Network', 'Leet' , 'initiative', 'repairs', 'network', 'many years', '']</v>
      </c>
      <c r="D2017" s="3">
        <v>1.0</v>
      </c>
    </row>
    <row r="2018" ht="15.75" customHeight="1">
      <c r="A2018" s="1">
        <v>2016.0</v>
      </c>
      <c r="B2018" s="3" t="s">
        <v>2018</v>
      </c>
      <c r="C2018" s="3" t="str">
        <f>IFERROR(__xludf.DUMMYFUNCTION("GOOGLETRANSLATE(B2018,""id"",""en"")"),"['many years',' Telkomsel ',' rare ',' bid ',' package ',' cheap ',' package ',' cheap ',' cheerful ',' buy ',' Telkomsel ',' process', ' TRS ',' Status', 'Enter', 'Package', 'Telkomsel', 'Gede', 'PHP', 'Customer', 'Nich', ""]")</f>
        <v>['many years',' Telkomsel ',' rare ',' bid ',' package ',' cheap ',' package ',' cheap ',' cheerful ',' buy ',' Telkomsel ',' process', ' TRS ',' Status', 'Enter', 'Package', 'Telkomsel', 'Gede', 'PHP', 'Customer', 'Nich', "]</v>
      </c>
      <c r="D2018" s="3">
        <v>2.0</v>
      </c>
    </row>
    <row r="2019" ht="15.75" customHeight="1">
      <c r="A2019" s="1">
        <v>2017.0</v>
      </c>
      <c r="B2019" s="3" t="s">
        <v>2019</v>
      </c>
      <c r="C2019" s="3" t="str">
        <f>IFERROR(__xludf.DUMMYFUNCTION("GOOGLETRANSLATE(B2019,""id"",""en"")"),"['Nyesel', 'migration', 'card', 'hello', 'internet', 'slow', 'rich', 'snail', 'severe', 'dipake', 'use', 'paid', ' Telkomsel ',' bad ',' ']")</f>
        <v>['Nyesel', 'migration', 'card', 'hello', 'internet', 'slow', 'rich', 'snail', 'severe', 'dipake', 'use', 'paid', ' Telkomsel ',' bad ',' ']</v>
      </c>
      <c r="D2019" s="3">
        <v>1.0</v>
      </c>
    </row>
    <row r="2020" ht="15.75" customHeight="1">
      <c r="A2020" s="1">
        <v>2018.0</v>
      </c>
      <c r="B2020" s="3" t="s">
        <v>2020</v>
      </c>
      <c r="C2020" s="3" t="str">
        <f>IFERROR(__xludf.DUMMYFUNCTION("GOOGLETRANSLATE(B2020,""id"",""en"")"),"['Send', 'email', 'signal', 'Tsel', 'Benerin', 'Woyy', 'Anjg', 'You', 'Telkom', 'Benerin', 'Woy', 'Orng', ' Send ',' Email ',' Lakanin ',' Read ',' Doang ',' Anjg ',' Weve ',' Pig ',' You ',' Tsel ', ""]")</f>
        <v>['Send', 'email', 'signal', 'Tsel', 'Benerin', 'Woyy', 'Anjg', 'You', 'Telkom', 'Benerin', 'Woy', 'Orng', ' Send ',' Email ',' Lakanin ',' Read ',' Doang ',' Anjg ',' Weve ',' Pig ',' You ',' Tsel ', "]</v>
      </c>
      <c r="D2020" s="3">
        <v>1.0</v>
      </c>
    </row>
    <row r="2021" ht="15.75" customHeight="1">
      <c r="A2021" s="1">
        <v>2019.0</v>
      </c>
      <c r="B2021" s="3" t="s">
        <v>2021</v>
      </c>
      <c r="C2021" s="3" t="str">
        <f>IFERROR(__xludf.DUMMYFUNCTION("GOOGLETRANSLATE(B2021,""id"",""en"")"),"['Inside', 'App', 'Tsel', 'name', 'send', 'gift', 'data', 'internet', 'pulse', 'number', 'user', 'tsel', ' wisnisnn ',' convenience ',' customers', 'loyal', 'please', 'Donk', 'made', 'protection', 'safe', 'pulse', 'data', 'internet', 'process' , 'shipping"&amp;"', 'pulse', 'data', 'thank', 'love', 'attention', 'say', 'congratulations', 'reset', 'dotuk', 'Telkomsel', ""]")</f>
        <v>['Inside', 'App', 'Tsel', 'name', 'send', 'gift', 'data', 'internet', 'pulse', 'number', 'user', 'tsel', ' wisnisnn ',' convenience ',' customers', 'loyal', 'please', 'Donk', 'made', 'protection', 'safe', 'pulse', 'data', 'internet', 'process' , 'shipping', 'pulse', 'data', 'thank', 'love', 'attention', 'say', 'congratulations', 'reset', 'dotuk', 'Telkomsel', "]</v>
      </c>
      <c r="D2021" s="3">
        <v>3.0</v>
      </c>
    </row>
    <row r="2022" ht="15.75" customHeight="1">
      <c r="A2022" s="1">
        <v>2020.0</v>
      </c>
      <c r="B2022" s="3" t="s">
        <v>2022</v>
      </c>
      <c r="C2022" s="3" t="str">
        <f>IFERROR(__xludf.DUMMYFUNCTION("GOOGLETRANSLATE(B2022,""id"",""en"")"),"['tired', 'deh', 'advantage', 'apk', 'download', 'nyesel', 'love', 'star', 'promo', 'daily', 'check', 'balance', ' Reedom ',' Vocher ',' Reply ',' Points', '']")</f>
        <v>['tired', 'deh', 'advantage', 'apk', 'download', 'nyesel', 'love', 'star', 'promo', 'daily', 'check', 'balance', ' Reedom ',' Vocher ',' Reply ',' Points', '']</v>
      </c>
      <c r="D2022" s="3">
        <v>1.0</v>
      </c>
    </row>
    <row r="2023" ht="15.75" customHeight="1">
      <c r="A2023" s="1">
        <v>2021.0</v>
      </c>
      <c r="B2023" s="3" t="s">
        <v>2023</v>
      </c>
      <c r="C2023" s="3" t="str">
        <f>IFERROR(__xludf.DUMMYFUNCTION("GOOGLETRANSLATE(B2023,""id"",""en"")"),"['Cape', 'Kirain', 'Network', 'Error', 'UDH', 'Day', 'Package', 'Promo', 'Update', 'Update', 'PDUS', 'Promo', ' Lwat ',' sms', 'bnyak', 'right', 'opened', 'Telkomsel', 'his writing', 'find', 'promo', 'annoyed']")</f>
        <v>['Cape', 'Kirain', 'Network', 'Error', 'UDH', 'Day', 'Package', 'Promo', 'Update', 'Update', 'PDUS', 'Promo', ' Lwat ',' sms', 'bnyak', 'right', 'opened', 'Telkomsel', 'his writing', 'find', 'promo', 'annoyed']</v>
      </c>
      <c r="D2023" s="3">
        <v>1.0</v>
      </c>
    </row>
    <row r="2024" ht="15.75" customHeight="1">
      <c r="A2024" s="1">
        <v>2022.0</v>
      </c>
      <c r="B2024" s="3" t="s">
        <v>2024</v>
      </c>
      <c r="C2024" s="3" t="str">
        <f>IFERROR(__xludf.DUMMYFUNCTION("GOOGLETRANSLATE(B2024,""id"",""en"")"),"['', 'Telkomsel', 'promo', 'GB', 'price', 'buy', 'responspo', 'Telkomsel', 'pulse', 'quota', 'lap', 'Telkomsel', "" ]")</f>
        <v>['', 'Telkomsel', 'promo', 'GB', 'price', 'buy', 'responspo', 'Telkomsel', 'pulse', 'quota', 'lap', 'Telkomsel', " ]</v>
      </c>
      <c r="D2024" s="3">
        <v>1.0</v>
      </c>
    </row>
    <row r="2025" ht="15.75" customHeight="1">
      <c r="A2025" s="1">
        <v>2023.0</v>
      </c>
      <c r="B2025" s="3" t="s">
        <v>2025</v>
      </c>
      <c r="C2025" s="3" t="str">
        <f>IFERROR(__xludf.DUMMYFUNCTION("GOOGLETRANSLATE(B2025,""id"",""en"")"),"['Disappointed', 'choice', 'package', 'internet', 'buy', 'missing', 'Where', 'Kmaren', 'just', 'intention', 'buy', 'hilangg', ' Swallow ',' Earth ',' Package ',' Thinking ',' Move ',' Package ',' ilanginnn ', ""]")</f>
        <v>['Disappointed', 'choice', 'package', 'internet', 'buy', 'missing', 'Where', 'Kmaren', 'just', 'intention', 'buy', 'hilangg', ' Swallow ',' Earth ',' Package ',' Thinking ',' Move ',' Package ',' ilanginnn ', "]</v>
      </c>
      <c r="D2025" s="3">
        <v>1.0</v>
      </c>
    </row>
    <row r="2026" ht="15.75" customHeight="1">
      <c r="A2026" s="1">
        <v>2024.0</v>
      </c>
      <c r="B2026" s="3" t="s">
        <v>2026</v>
      </c>
      <c r="C2026" s="3" t="str">
        <f>IFERROR(__xludf.DUMMYFUNCTION("GOOGLETRANSLATE(B2026,""id"",""en"")"),"['difficult', 'play', 'games',' online ',' broken ',' because ',' hanting ',' main ',' bar ',' bar ',' signal ',' Telkomsel ',' Nastya ',' serious', 'no', 'fix', 'conflict', 'smooth', 'game', 'evenaloh', '']")</f>
        <v>['difficult', 'play', 'games',' online ',' broken ',' because ',' hanting ',' main ',' bar ',' bar ',' signal ',' Telkomsel ',' Nastya ',' serious', 'no', 'fix', 'conflict', 'smooth', 'game', 'evenaloh', '']</v>
      </c>
      <c r="D2026" s="3">
        <v>1.0</v>
      </c>
    </row>
    <row r="2027" ht="15.75" customHeight="1">
      <c r="A2027" s="1">
        <v>2025.0</v>
      </c>
      <c r="B2027" s="3" t="s">
        <v>2027</v>
      </c>
      <c r="C2027" s="3" t="str">
        <f>IFERROR(__xludf.DUMMYFUNCTION("GOOGLETRANSLATE(B2027,""id"",""en"")"),"['hi', 'love', 'suggestion', 'find', 'box', 'suggestion', 'please', 'telkomsel', 'key', 'pulse', 'lock', 'button', ' axisnet ',' user ',' happy ',' Telkomsel ',' run out ',' pulses']")</f>
        <v>['hi', 'love', 'suggestion', 'find', 'box', 'suggestion', 'please', 'telkomsel', 'key', 'pulse', 'lock', 'button', ' axisnet ',' user ',' happy ',' Telkomsel ',' run out ',' pulses']</v>
      </c>
      <c r="D2027" s="3">
        <v>3.0</v>
      </c>
    </row>
    <row r="2028" ht="15.75" customHeight="1">
      <c r="A2028" s="1">
        <v>2026.0</v>
      </c>
      <c r="B2028" s="3" t="s">
        <v>2028</v>
      </c>
      <c r="C2028" s="3" t="str">
        <f>IFERROR(__xludf.DUMMYFUNCTION("GOOGLETRANSLATE(B2028,""id"",""en"")"),"['', 'Region', 'Cisseng', 'Bogor', 'Rain', 'Siyala', 'Direct', 'Error', 'Please', 'Fix', 'Telkomsel', 'Customer', 'Faithful ',' Telokomsel ']")</f>
        <v>['', 'Region', 'Cisseng', 'Bogor', 'Rain', 'Siyala', 'Direct', 'Error', 'Please', 'Fix', 'Telkomsel', 'Customer', 'Faithful ',' Telokomsel ']</v>
      </c>
      <c r="D2028" s="3">
        <v>2.0</v>
      </c>
    </row>
    <row r="2029" ht="15.75" customHeight="1">
      <c r="A2029" s="1">
        <v>2027.0</v>
      </c>
      <c r="B2029" s="3" t="s">
        <v>2029</v>
      </c>
      <c r="C2029" s="3" t="str">
        <f>IFERROR(__xludf.DUMMYFUNCTION("GOOGLETRANSLATE(B2029,""id"",""en"")"),"['quota', 'core', 'run out', 'difficult', 'enter', 'just', 'check', 'quota', 'left', 'Malang', 'City', 'Java', ' East ',' around ',' Bandung ',' signal ',' internet ',' difficult ',' point ',' Please ',' his attention ']")</f>
        <v>['quota', 'core', 'run out', 'difficult', 'enter', 'just', 'check', 'quota', 'left', 'Malang', 'City', 'Java', ' East ',' around ',' Bandung ',' signal ',' internet ',' difficult ',' point ',' Please ',' his attention ']</v>
      </c>
      <c r="D2029" s="3">
        <v>3.0</v>
      </c>
    </row>
    <row r="2030" ht="15.75" customHeight="1">
      <c r="A2030" s="1">
        <v>2028.0</v>
      </c>
      <c r="B2030" s="3" t="s">
        <v>2030</v>
      </c>
      <c r="C2030" s="3" t="str">
        <f>IFERROR(__xludf.DUMMYFUNCTION("GOOGLETRANSLATE(B2030,""id"",""en"")"),"['loss',' cave ',' yesterday ',' cave ',' buy ',' quota ',' GB ',' week ',' price ',' Monday ',' pulse ',' cave ',' The rest ',' after ',' quota ',' enter ',' afternoon ',' Wednesday ',' cave ',' contents', 'pulse', 'buy', 'quota', 'GB', 'severe' , 'Credi"&amp;"t', 'cave', 'run out', 'quota', 'enter', 'enter', 'fraud', 'kah', 'loss',' cave ',' yesterday ',' cave ',' the rest of ',' pulse ',' leftover ',' approximately ',' worse ',' leftover ',' disappear ',' cave ', ""]")</f>
        <v>['loss',' cave ',' yesterday ',' cave ',' buy ',' quota ',' GB ',' week ',' price ',' Monday ',' pulse ',' cave ',' The rest ',' after ',' quota ',' enter ',' afternoon ',' Wednesday ',' cave ',' contents', 'pulse', 'buy', 'quota', 'GB', 'severe' , 'Credit', 'cave', 'run out', 'quota', 'enter', 'enter', 'fraud', 'kah', 'loss',' cave ',' yesterday ',' cave ',' the rest of ',' pulse ',' leftover ',' approximately ',' worse ',' leftover ',' disappear ',' cave ', "]</v>
      </c>
      <c r="D2030" s="3">
        <v>1.0</v>
      </c>
    </row>
    <row r="2031" ht="15.75" customHeight="1">
      <c r="A2031" s="1">
        <v>2029.0</v>
      </c>
      <c r="B2031" s="3" t="s">
        <v>2031</v>
      </c>
      <c r="C2031" s="3" t="str">
        <f>IFERROR(__xludf.DUMMYFUNCTION("GOOGLETRANSLATE(B2031,""id"",""en"")"),"['subscribe', 'use', 'card', 'Krna', 'Telkomsel', 'now', 'Fun', 'Mass',' Love ',' Segimana ',' Fun ',' Krna ',' customers', 'users',' network ',' as disgusting ',' update ',' quality ',' right ',' you ',' good ',' Telkomsel ',' need ',' You ' , 'klu']")</f>
        <v>['subscribe', 'use', 'card', 'Krna', 'Telkomsel', 'now', 'Fun', 'Mass',' Love ',' Segimana ',' Fun ',' Krna ',' customers', 'users',' network ',' as disgusting ',' update ',' quality ',' right ',' you ',' good ',' Telkomsel ',' need ',' You ' , 'klu']</v>
      </c>
      <c r="D2031" s="3">
        <v>1.0</v>
      </c>
    </row>
    <row r="2032" ht="15.75" customHeight="1">
      <c r="A2032" s="1">
        <v>2030.0</v>
      </c>
      <c r="B2032" s="3" t="s">
        <v>2032</v>
      </c>
      <c r="C2032" s="3" t="str">
        <f>IFERROR(__xludf.DUMMYFUNCTION("GOOGLETRANSLATE(B2032,""id"",""en"")"),"['Love', 'Bintang', 'Klim', 'Vocher', 'Daily', 'Check', 'Quota', 'Claimed', 'Quota', 'Enter', 'Enter', 'Menu', ' Check ',' told ',' Klim ',' Vocher ',' Error ',' Disappointed ',' Please ',' Love ', ""]")</f>
        <v>['Love', 'Bintang', 'Klim', 'Vocher', 'Daily', 'Check', 'Quota', 'Claimed', 'Quota', 'Enter', 'Enter', 'Menu', ' Check ',' told ',' Klim ',' Vocher ',' Error ',' Disappointed ',' Please ',' Love ', "]</v>
      </c>
      <c r="D2032" s="3">
        <v>1.0</v>
      </c>
    </row>
    <row r="2033" ht="15.75" customHeight="1">
      <c r="A2033" s="1">
        <v>2031.0</v>
      </c>
      <c r="B2033" s="3" t="s">
        <v>2033</v>
      </c>
      <c r="C2033" s="3" t="str">
        <f>IFERROR(__xludf.DUMMYFUNCTION("GOOGLETRANSLATE(B2033,""id"",""en"")"),"['Detite', 'Signal', 'You', 'Good', 'People', 'Trludu', 'Focus',' Internet ',' Age ',' already ',' sophisticated ',' needs', ' access', 'internet', 'signal', 'you', 'ugly', 'Telkomsel']")</f>
        <v>['Detite', 'Signal', 'You', 'Good', 'People', 'Trludu', 'Focus',' Internet ',' Age ',' already ',' sophisticated ',' needs', ' access', 'internet', 'signal', 'you', 'ugly', 'Telkomsel']</v>
      </c>
      <c r="D2033" s="3">
        <v>1.0</v>
      </c>
    </row>
    <row r="2034" ht="15.75" customHeight="1">
      <c r="A2034" s="1">
        <v>2032.0</v>
      </c>
      <c r="B2034" s="3" t="s">
        <v>2034</v>
      </c>
      <c r="C2034" s="3" t="str">
        <f>IFERROR(__xludf.DUMMYFUNCTION("GOOGLETRANSLATE(B2034,""id"",""en"")"),"['gave', 'promo', 'love', 'promo', 'price', 'pulse', 'contents', 'installed', 'package', 'base', 'cheater', ""]")</f>
        <v>['gave', 'promo', 'love', 'promo', 'price', 'pulse', 'contents', 'installed', 'package', 'base', 'cheater', "]</v>
      </c>
      <c r="D2034" s="3">
        <v>1.0</v>
      </c>
    </row>
    <row r="2035" ht="15.75" customHeight="1">
      <c r="A2035" s="1">
        <v>2033.0</v>
      </c>
      <c r="B2035" s="3" t="s">
        <v>2035</v>
      </c>
      <c r="C2035" s="3" t="str">
        <f>IFERROR(__xludf.DUMMYFUNCTION("GOOGLETRANSLATE(B2035,""id"",""en"")"),"['User', 'use', 'a month', 'quota', 'accumulative', 'leftover', 'GB', 'buy', 'GB', 'Total', 'GB', 'Tomorrow', ' Tetep ',' minus', 'quota', 'GB', 'application', '']")</f>
        <v>['User', 'use', 'a month', 'quota', 'accumulative', 'leftover', 'GB', 'buy', 'GB', 'Total', 'GB', 'Tomorrow', ' Tetep ',' minus', 'quota', 'GB', 'application', '']</v>
      </c>
      <c r="D2035" s="3">
        <v>3.0</v>
      </c>
    </row>
    <row r="2036" ht="15.75" customHeight="1">
      <c r="A2036" s="1">
        <v>2034.0</v>
      </c>
      <c r="B2036" s="3" t="s">
        <v>2036</v>
      </c>
      <c r="C2036" s="3" t="str">
        <f>IFERROR(__xludf.DUMMYFUNCTION("GOOGLETRANSLATE(B2036,""id"",""en"")"),"['LEG', 'Network', 'Dead', 'Lights',' Lost ',' The Line ',' Already ',' Pulses', 'Expensive', 'Leet', 'Expensive', 'Leet', ' mslh ',' mkn ',' expensive ',' mkn ',' ilang ',' network ',' jls', '']")</f>
        <v>['LEG', 'Network', 'Dead', 'Lights',' Lost ',' The Line ',' Already ',' Pulses', 'Expensive', 'Leet', 'Expensive', 'Leet', ' mslh ',' mkn ',' expensive ',' mkn ',' ilang ',' network ',' jls', '']</v>
      </c>
      <c r="D2036" s="3">
        <v>1.0</v>
      </c>
    </row>
    <row r="2037" ht="15.75" customHeight="1">
      <c r="A2037" s="1">
        <v>2035.0</v>
      </c>
      <c r="B2037" s="3" t="s">
        <v>2037</v>
      </c>
      <c r="C2037" s="3" t="str">
        <f>IFERROR(__xludf.DUMMYFUNCTION("GOOGLETRANSLATE(B2037,""id"",""en"")"),"['Network', 'ugly', 'really', 'repairs',' dlu ',' bae ',' telkomsel ',' already ',' really ',' disappointed ',' ama ',' network ',' Maen ',' game ']")</f>
        <v>['Network', 'ugly', 'really', 'repairs',' dlu ',' bae ',' telkomsel ',' already ',' really ',' disappointed ',' ama ',' network ',' Maen ',' game ']</v>
      </c>
      <c r="D2037" s="3">
        <v>1.0</v>
      </c>
    </row>
    <row r="2038" ht="15.75" customHeight="1">
      <c r="A2038" s="1">
        <v>2036.0</v>
      </c>
      <c r="B2038" s="3" t="s">
        <v>2038</v>
      </c>
      <c r="C2038" s="3" t="str">
        <f>IFERROR(__xludf.DUMMYFUNCTION("GOOGLETRANSLATE(B2038,""id"",""en"")"),"['Log', 'out', 'mulu', 'bangse', 'loading', 'open', 'log', 'out', 'log', 'link', 'buy', 'package', ' hurried ',' bete ',' njir ']")</f>
        <v>['Log', 'out', 'mulu', 'bangse', 'loading', 'open', 'log', 'out', 'log', 'link', 'buy', 'package', ' hurried ',' bete ',' njir ']</v>
      </c>
      <c r="D2038" s="3">
        <v>1.0</v>
      </c>
    </row>
    <row r="2039" ht="15.75" customHeight="1">
      <c r="A2039" s="1">
        <v>2037.0</v>
      </c>
      <c r="B2039" s="3" t="s">
        <v>2039</v>
      </c>
      <c r="C2039" s="3" t="str">
        <f>IFERROR(__xludf.DUMMYFUNCTION("GOOGLETRANSLATE(B2039,""id"",""en"")"),"['Try', 'Addin', 'Features',' Lock ',' Credit ',' Min ',' Season ',' Quota ',' Internet ',' Out ',' Buy ',' Package ',' Internet ',' Telkomsel ',' turn on ',' data ',' credit ',' UDH ',' Cut ',' Gajadi ',' buy ',' quota ',' Please ',' Addin ',' Feature ' "&amp;", 'Lock', 'pulse', 'minn', 'thank you']")</f>
        <v>['Try', 'Addin', 'Features',' Lock ',' Credit ',' Min ',' Season ',' Quota ',' Internet ',' Out ',' Buy ',' Package ',' Internet ',' Telkomsel ',' turn on ',' data ',' credit ',' UDH ',' Cut ',' Gajadi ',' buy ',' quota ',' Please ',' Addin ',' Feature ' , 'Lock', 'pulse', 'minn', 'thank you']</v>
      </c>
      <c r="D2039" s="3">
        <v>3.0</v>
      </c>
    </row>
    <row r="2040" ht="15.75" customHeight="1">
      <c r="A2040" s="1">
        <v>2038.0</v>
      </c>
      <c r="B2040" s="3" t="s">
        <v>2040</v>
      </c>
      <c r="C2040" s="3" t="str">
        <f>IFERROR(__xludf.DUMMYFUNCTION("GOOGLETRANSLATE(B2040,""id"",""en"")"),"['The application', 'good', 'ugly', 'log', 'out', 'signal', 'really', 'ugly', 'fyi', 'customer', 'already', 'really', ' Stayed ',' City ',' surrounded ',' Tower ',' Telkomsel ',' good ',' signal ',' expensive ',' expensive ',' improved ',' Quality ',' Lee"&amp;"t ', ""]")</f>
        <v>['The application', 'good', 'ugly', 'log', 'out', 'signal', 'really', 'ugly', 'fyi', 'customer', 'already', 'really', ' Stayed ',' City ',' surrounded ',' Tower ',' Telkomsel ',' good ',' signal ',' expensive ',' expensive ',' improved ',' Quality ',' Leet ', "]</v>
      </c>
      <c r="D2040" s="3">
        <v>5.0</v>
      </c>
    </row>
    <row r="2041" ht="15.75" customHeight="1">
      <c r="A2041" s="1">
        <v>2039.0</v>
      </c>
      <c r="B2041" s="3" t="s">
        <v>2041</v>
      </c>
      <c r="C2041" s="3" t="str">
        <f>IFERROR(__xludf.DUMMYFUNCTION("GOOGLETRANSLATE(B2041,""id"",""en"")"),"['buy', 'pulse', 'indo', 'March', 'number', 'palm', 'hours',' my cellphone ',' no ',' used ',' pdhal ',' network ',' Data ',' cellular ',' opened ',' Tetep ',' no ',' Indo ',' March ',' charging ',' pulse ',' success', 'Hadeuhh', 'tired', 'deh' , '']")</f>
        <v>['buy', 'pulse', 'indo', 'March', 'number', 'palm', 'hours',' my cellphone ',' no ',' used ',' pdhal ',' network ',' Data ',' cellular ',' opened ',' Tetep ',' no ',' Indo ',' March ',' charging ',' pulse ',' success', 'Hadeuhh', 'tired', 'deh' , '']</v>
      </c>
      <c r="D2041" s="3">
        <v>1.0</v>
      </c>
    </row>
    <row r="2042" ht="15.75" customHeight="1">
      <c r="A2042" s="1">
        <v>2040.0</v>
      </c>
      <c r="B2042" s="3" t="s">
        <v>2042</v>
      </c>
      <c r="C2042" s="3" t="str">
        <f>IFERROR(__xludf.DUMMYFUNCTION("GOOGLETRANSLATE(B2042,""id"",""en"")"),"['here', 'Telkomsel', 'Bad', 'Dri', 'Network', 'Data', 'Network', 'Stable', 'Live', 'Kota', 'BNDAR', 'Lampung', ' Data ',' buy ',' price ',' should ',' used ',' a month ',' week ',' a week ',' run out ',' Jrang ',' Maeini ',' game ',' please ' , 'Telkomse"&amp;"l', 'finishing', 'fast', 'in the future', 'consumers', 'complaining', '']")</f>
        <v>['here', 'Telkomsel', 'Bad', 'Dri', 'Network', 'Data', 'Network', 'Stable', 'Live', 'Kota', 'BNDAR', 'Lampung', ' Data ',' buy ',' price ',' should ',' used ',' a month ',' week ',' a week ',' run out ',' Jrang ',' Maeini ',' game ',' please ' , 'Telkomsel', 'finishing', 'fast', 'in the future', 'consumers', 'complaining', '']</v>
      </c>
      <c r="D2042" s="3">
        <v>1.0</v>
      </c>
    </row>
    <row r="2043" ht="15.75" customHeight="1">
      <c r="A2043" s="1">
        <v>2041.0</v>
      </c>
      <c r="B2043" s="3" t="s">
        <v>2043</v>
      </c>
      <c r="C2043" s="3" t="str">
        <f>IFERROR(__xludf.DUMMYFUNCTION("GOOGLETRANSLATE(B2043,""id"",""en"")"),"['Kapok', 'buy', 'package', 'data', 'Telkomsel', 'buy', 'entry', 'and then', 'already', 'complain', 'solution', 'answer', ' Standard ',' Please ',' Awaited ',' Watch ',' WTF ',' Dude ',' Disappointing ']")</f>
        <v>['Kapok', 'buy', 'package', 'data', 'Telkomsel', 'buy', 'entry', 'and then', 'already', 'complain', 'solution', 'answer', ' Standard ',' Please ',' Awaited ',' Watch ',' WTF ',' Dude ',' Disappointing ']</v>
      </c>
      <c r="D2043" s="3">
        <v>1.0</v>
      </c>
    </row>
    <row r="2044" ht="15.75" customHeight="1">
      <c r="A2044" s="1">
        <v>2042.0</v>
      </c>
      <c r="B2044" s="3" t="s">
        <v>2044</v>
      </c>
      <c r="C2044" s="3" t="str">
        <f>IFERROR(__xludf.DUMMYFUNCTION("GOOGLETRANSLATE(B2044,""id"",""en"")"),"['Suh', 'difficult', 'poll', 'network', 'want', 'change', 'card', 'card', 'sultan', 'card', 'waiter', 'reason', ' constraints', 'obstacles',' terossssss', 'package', 'expensive', 'signal', 'error', 'mending', 'cheap', 'smooth']")</f>
        <v>['Suh', 'difficult', 'poll', 'network', 'want', 'change', 'card', 'card', 'sultan', 'card', 'waiter', 'reason', ' constraints', 'obstacles',' terossssss', 'package', 'expensive', 'signal', 'error', 'mending', 'cheap', 'smooth']</v>
      </c>
      <c r="D2044" s="3">
        <v>1.0</v>
      </c>
    </row>
    <row r="2045" ht="15.75" customHeight="1">
      <c r="A2045" s="1">
        <v>2043.0</v>
      </c>
      <c r="B2045" s="3" t="s">
        <v>2045</v>
      </c>
      <c r="C2045" s="3" t="str">
        <f>IFERROR(__xludf.DUMMYFUNCTION("GOOGLETRANSLATE(B2045,""id"",""en"")"),"['Satisfied', 'Telkomsel', 'experience', 'package', 'data', 'pulse', 'regular', 'reduced', 'bbrp', 'times',' value ',' decent ',' Confused ',' how ',' pulses', 'Regular', '']")</f>
        <v>['Satisfied', 'Telkomsel', 'experience', 'package', 'data', 'pulse', 'regular', 'reduced', 'bbrp', 'times',' value ',' decent ',' Confused ',' how ',' pulses', 'Regular', '']</v>
      </c>
      <c r="D2045" s="3">
        <v>1.0</v>
      </c>
    </row>
    <row r="2046" ht="15.75" customHeight="1">
      <c r="A2046" s="1">
        <v>2044.0</v>
      </c>
      <c r="B2046" s="3" t="s">
        <v>2046</v>
      </c>
      <c r="C2046" s="3" t="str">
        <f>IFERROR(__xludf.DUMMYFUNCTION("GOOGLETRANSLATE(B2046,""id"",""en"")"),"['promo', 'reset', 'Tellomsel', 'user', 'APK', 'Customer', 'Telkomsel', 'user', 'APK', 'Network', 'Telkomsel', 'bad', ' Pekahhhhh ',' ']")</f>
        <v>['promo', 'reset', 'Tellomsel', 'user', 'APK', 'Customer', 'Telkomsel', 'user', 'APK', 'Network', 'Telkomsel', 'bad', ' Pekahhhhh ',' ']</v>
      </c>
      <c r="D2046" s="3">
        <v>1.0</v>
      </c>
    </row>
    <row r="2047" ht="15.75" customHeight="1">
      <c r="A2047" s="1">
        <v>2045.0</v>
      </c>
      <c r="B2047" s="3" t="s">
        <v>2047</v>
      </c>
      <c r="C2047" s="3" t="str">
        <f>IFERROR(__xludf.DUMMYFUNCTION("GOOGLETRANSLATE(B2047,""id"",""en"")"),"['Telkomsel', 'good', 'fast', 'package', 'week', 'thousand', 'help', 'pandemic', 'thank', 'love', 'Telkomsel', ""]")</f>
        <v>['Telkomsel', 'good', 'fast', 'package', 'week', 'thousand', 'help', 'pandemic', 'thank', 'love', 'Telkomsel', "]</v>
      </c>
      <c r="D2047" s="3">
        <v>5.0</v>
      </c>
    </row>
    <row r="2048" ht="15.75" customHeight="1">
      <c r="A2048" s="1">
        <v>2046.0</v>
      </c>
      <c r="B2048" s="3" t="s">
        <v>2048</v>
      </c>
      <c r="C2048" s="3" t="str">
        <f>IFERROR(__xludf.DUMMYFUNCTION("GOOGLETRANSLATE(B2048,""id"",""en"")"),"['Lottery', 'Application', 'Coupon', 'Exchange', 'Out', 'NDA', 'Hockey', 'Hoax', 'Promins', 'Interesting', 'Customer', 'Hahahahahahaha' interesting ',' customer ',' interesting ',' nda ',' nipu ',' application ',' foster ']")</f>
        <v>['Lottery', 'Application', 'Coupon', 'Exchange', 'Out', 'NDA', 'Hockey', 'Hoax', 'Promins', 'Interesting', 'Customer', 'Hahahahahahaha' interesting ',' customer ',' interesting ',' nda ',' nipu ',' application ',' foster ']</v>
      </c>
      <c r="D2048" s="3">
        <v>1.0</v>
      </c>
    </row>
    <row r="2049" ht="15.75" customHeight="1">
      <c r="A2049" s="1">
        <v>2047.0</v>
      </c>
      <c r="B2049" s="3" t="s">
        <v>2049</v>
      </c>
      <c r="C2049" s="3" t="str">
        <f>IFERROR(__xludf.DUMMYFUNCTION("GOOGLETRANSLATE(B2049,""id"",""en"")"),"['network', 'internet', 'Telkomsel', 'bad', 'play', 'game', 'difficult', 'ngeleg', 'ping', 'stable', 'area', 'urban', ' Please, 'Fix', 'Min']")</f>
        <v>['network', 'internet', 'Telkomsel', 'bad', 'play', 'game', 'difficult', 'ngeleg', 'ping', 'stable', 'area', 'urban', ' Please, 'Fix', 'Min']</v>
      </c>
      <c r="D2049" s="3">
        <v>3.0</v>
      </c>
    </row>
    <row r="2050" ht="15.75" customHeight="1">
      <c r="A2050" s="1">
        <v>2048.0</v>
      </c>
      <c r="B2050" s="3" t="s">
        <v>2050</v>
      </c>
      <c r="C2050" s="3" t="str">
        <f>IFERROR(__xludf.DUMMYFUNCTION("GOOGLETRANSLATE(B2050,""id"",""en"")"),"['Application', 'disappointing', 'knpa', 'skrng', 'purchase', 'unlimited', 'youtube', 'sdah', 'pay', 'pulse', 'baan', 'ovo', ' Sixai ',' disappointing ',' ']")</f>
        <v>['Application', 'disappointing', 'knpa', 'skrng', 'purchase', 'unlimited', 'youtube', 'sdah', 'pay', 'pulse', 'baan', 'ovo', ' Sixai ',' disappointing ',' ']</v>
      </c>
      <c r="D2050" s="3">
        <v>1.0</v>
      </c>
    </row>
    <row r="2051" ht="15.75" customHeight="1">
      <c r="A2051" s="1">
        <v>2049.0</v>
      </c>
      <c r="B2051" s="3" t="s">
        <v>2051</v>
      </c>
      <c r="C2051" s="3" t="str">
        <f>IFERROR(__xludf.DUMMYFUNCTION("GOOGLETRANSLATE(B2051,""id"",""en"")"),"['chaotic', 'Telkomsel', 'network', 'internet', 'try', 'contact', 'feature', 'center', 'assistance', 'the application', 'said', 'sent', ' Link ',' SMS ',' Click ',' Minutes', 'Minutes',' Link ',' BLM ',' Enter ',' Gymna ',' Please ',' The Solution ',' Min"&amp;" ',' Once ' , 'enter', 'link', 'minutes']")</f>
        <v>['chaotic', 'Telkomsel', 'network', 'internet', 'try', 'contact', 'feature', 'center', 'assistance', 'the application', 'said', 'sent', ' Link ',' SMS ',' Click ',' Minutes', 'Minutes',' Link ',' BLM ',' Enter ',' Gymna ',' Please ',' The Solution ',' Min ',' Once ' , 'enter', 'link', 'minutes']</v>
      </c>
      <c r="D2051" s="3">
        <v>2.0</v>
      </c>
    </row>
    <row r="2052" ht="15.75" customHeight="1">
      <c r="A2052" s="1">
        <v>2050.0</v>
      </c>
      <c r="B2052" s="3" t="s">
        <v>2052</v>
      </c>
      <c r="C2052" s="3" t="str">
        <f>IFERROR(__xludf.DUMMYFUNCTION("GOOGLETRANSLATE(B2052,""id"",""en"")"),"['woi', 'please', 'cave', 'bug', 'internet', 'slow', 'bnget', 'please', 'given', 'how', 'good', 'because' his writing ',' internet ',' rich ',' error ',' enter ',' google ',' please ',' read ']")</f>
        <v>['woi', 'please', 'cave', 'bug', 'internet', 'slow', 'bnget', 'please', 'given', 'how', 'good', 'because' his writing ',' internet ',' rich ',' error ',' enter ',' google ',' please ',' read ']</v>
      </c>
      <c r="D2052" s="3">
        <v>2.0</v>
      </c>
    </row>
    <row r="2053" ht="15.75" customHeight="1">
      <c r="A2053" s="1">
        <v>2051.0</v>
      </c>
      <c r="B2053" s="3" t="s">
        <v>2053</v>
      </c>
      <c r="C2053" s="3" t="str">
        <f>IFERROR(__xludf.DUMMYFUNCTION("GOOGLETRANSLATE(B2053,""id"",""en"")"),"['Help', 'Indonesia', 'East', 'Maluku', 'North', 'Region', 'City', 'Tidore', 'Islands',' Network ',' satisfying ',' MyTelkomsel ',' best', '']")</f>
        <v>['Help', 'Indonesia', 'East', 'Maluku', 'North', 'Region', 'City', 'Tidore', 'Islands',' Network ',' satisfying ',' MyTelkomsel ',' best', '']</v>
      </c>
      <c r="D2053" s="3">
        <v>5.0</v>
      </c>
    </row>
    <row r="2054" ht="15.75" customHeight="1">
      <c r="A2054" s="1">
        <v>2052.0</v>
      </c>
      <c r="B2054" s="3" t="s">
        <v>2054</v>
      </c>
      <c r="C2054" s="3" t="str">
        <f>IFERROR(__xludf.DUMMYFUNCTION("GOOGLETRANSLATE(B2054,""id"",""en"")"),"['application', 'make it difficult', 'user', 'afraid', 'because' login ',' use ',' link ',' send ',' link ',' send ',' scam ',' Virua ',' password ',' troubling ']")</f>
        <v>['application', 'make it difficult', 'user', 'afraid', 'because' login ',' use ',' link ',' send ',' link ',' send ',' scam ',' Virua ',' password ',' troubling ']</v>
      </c>
      <c r="D2054" s="3">
        <v>1.0</v>
      </c>
    </row>
    <row r="2055" ht="15.75" customHeight="1">
      <c r="A2055" s="1">
        <v>2053.0</v>
      </c>
      <c r="B2055" s="3" t="s">
        <v>2055</v>
      </c>
      <c r="C2055" s="3" t="str">
        <f>IFERROR(__xludf.DUMMYFUNCTION("GOOGLETRANSLATE(B2055,""id"",""en"")"),"['oath', 'Network', 'Satan', 'TER', 'HIR', 'Telkomsel', 'Males',' Network ',' Rich ',' Gini ',' mah ',' Paketan ',' expensive ',' network ',' rich ',' conch ',' price ',' speed ',' network ',' sesuay ',' ']")</f>
        <v>['oath', 'Network', 'Satan', 'TER', 'HIR', 'Telkomsel', 'Males',' Network ',' Rich ',' Gini ',' mah ',' Paketan ',' expensive ',' network ',' rich ',' conch ',' price ',' speed ',' network ',' sesuay ',' ']</v>
      </c>
      <c r="D2055" s="3">
        <v>1.0</v>
      </c>
    </row>
    <row r="2056" ht="15.75" customHeight="1">
      <c r="A2056" s="1">
        <v>2054.0</v>
      </c>
      <c r="B2056" s="3" t="s">
        <v>2056</v>
      </c>
      <c r="C2056" s="3" t="str">
        <f>IFERROR(__xludf.DUMMYFUNCTION("GOOGLETRANSLATE(B2056,""id"",""en"")"),"['Select', 'Card', 'Telkomsel', 'Fill', 'Credit', 'Telkomsel', 'AMT', 'Timature', 'Pulsany', 'absorbed', 'Ngapa', 'Buy', ' Card ',' Telkomsel ',' Nati ',' Raying ',' Liat ',' Liat ',' Seriously ']")</f>
        <v>['Select', 'Card', 'Telkomsel', 'Fill', 'Credit', 'Telkomsel', 'AMT', 'Timature', 'Pulsany', 'absorbed', 'Ngapa', 'Buy', ' Card ',' Telkomsel ',' Nati ',' Raying ',' Liat ',' Liat ',' Seriously ']</v>
      </c>
      <c r="D2056" s="3">
        <v>1.0</v>
      </c>
    </row>
    <row r="2057" ht="15.75" customHeight="1">
      <c r="A2057" s="1">
        <v>2055.0</v>
      </c>
      <c r="B2057" s="3" t="s">
        <v>2057</v>
      </c>
      <c r="C2057" s="3" t="str">
        <f>IFERROR(__xludf.DUMMYFUNCTION("GOOGLETRANSLATE(B2057,""id"",""en"")"),"['disappointed', 'application', 'serving', 'offer', 'sales',' complaints', 'consumers',' selfish ',' company ',' sell ',' product ',' Complaints', 'Velp']")</f>
        <v>['disappointed', 'application', 'serving', 'offer', 'sales',' complaints', 'consumers',' selfish ',' company ',' sell ',' product ',' Complaints', 'Velp']</v>
      </c>
      <c r="D2057" s="3">
        <v>1.0</v>
      </c>
    </row>
    <row r="2058" ht="15.75" customHeight="1">
      <c r="A2058" s="1">
        <v>2056.0</v>
      </c>
      <c r="B2058" s="3" t="s">
        <v>2058</v>
      </c>
      <c r="C2058" s="3" t="str">
        <f>IFERROR(__xludf.DUMMYFUNCTION("GOOGLETRANSLATE(B2058,""id"",""en"")"),"['spam', 'star', 'guys',' quality ',' network ',' repaired ',' miminnya ',' emang ',' care ',' subscription ',' provider ',' told ',' Contact ',' Solution ',' Good ',' Min ',' Continue ',' Your Talent ']")</f>
        <v>['spam', 'star', 'guys',' quality ',' network ',' repaired ',' miminnya ',' emang ',' care ',' subscription ',' provider ',' told ',' Contact ',' Solution ',' Good ',' Min ',' Continue ',' Your Talent ']</v>
      </c>
      <c r="D2058" s="3">
        <v>1.0</v>
      </c>
    </row>
    <row r="2059" ht="15.75" customHeight="1">
      <c r="A2059" s="1">
        <v>2057.0</v>
      </c>
      <c r="B2059" s="3" t="s">
        <v>2059</v>
      </c>
      <c r="C2059" s="3" t="str">
        <f>IFERROR(__xludf.DUMMYFUNCTION("GOOGLETRANSLATE(B2059,""id"",""en"")"),"['signal', 'Telkomsel', 'ugly', 'slow', 'really', 'cook', 'see', 'sosmed', 'please', 'the network', 'repair', 'slow', ' thanks']")</f>
        <v>['signal', 'Telkomsel', 'ugly', 'slow', 'really', 'cook', 'see', 'sosmed', 'please', 'the network', 'repair', 'slow', ' thanks']</v>
      </c>
      <c r="D2059" s="3">
        <v>1.0</v>
      </c>
    </row>
    <row r="2060" ht="15.75" customHeight="1">
      <c r="A2060" s="1">
        <v>2058.0</v>
      </c>
      <c r="B2060" s="3" t="s">
        <v>2060</v>
      </c>
      <c r="C2060" s="3" t="str">
        <f>IFERROR(__xludf.DUMMYFUNCTION("GOOGLETRANSLATE(B2060,""id"",""en"")"),"['', 'star', 'confused', 'upgrade', 'card', 'outlet', 'Telkomsel', 'network', 'survive', 'lgi', 'the network', ""]")</f>
        <v>['', 'star', 'confused', 'upgrade', 'card', 'outlet', 'Telkomsel', 'network', 'survive', 'lgi', 'the network', "]</v>
      </c>
      <c r="D2060" s="3">
        <v>4.0</v>
      </c>
    </row>
    <row r="2061" ht="15.75" customHeight="1">
      <c r="A2061" s="1">
        <v>2059.0</v>
      </c>
      <c r="B2061" s="3" t="s">
        <v>2061</v>
      </c>
      <c r="C2061" s="3" t="str">
        <f>IFERROR(__xludf.DUMMYFUNCTION("GOOGLETRANSLATE(B2061,""id"",""en"")"),"['Telkomsel', 'Please', 'Enhanced', 'Sousal', 'Thank you', 'Greetings', 'Telkomsel', 'Customer', 'Setia', ""]")</f>
        <v>['Telkomsel', 'Please', 'Enhanced', 'Sousal', 'Thank you', 'Greetings', 'Telkomsel', 'Customer', 'Setia', "]</v>
      </c>
      <c r="D2061" s="3">
        <v>5.0</v>
      </c>
    </row>
    <row r="2062" ht="15.75" customHeight="1">
      <c r="A2062" s="1">
        <v>2060.0</v>
      </c>
      <c r="B2062" s="3" t="s">
        <v>2062</v>
      </c>
      <c r="C2062" s="3" t="str">
        <f>IFERROR(__xludf.DUMMYFUNCTION("GOOGLETRANSLATE(B2062,""id"",""en"")"),"['number', 'already', 'check', 'times',' head ',' shop ',' report ',' computer ',' success', 'right', 'see', 'already', ' LIGHT ',' Clay ',' Severe ',' Success', 'Report', 'Computer', 'Number', 'Wrong', 'Credit', 'Top', 'Kmarin', 'Abis',' Sorry ' , 'cave'"&amp;", 'replace', 'card', 'bwt', 'bother', 'ngeruggiin', 'package', 'expensive', 'ilang', 'it can', 'rb', 'a day', ' Abis', 'on', 'fill', 'Isaku', 'bwt', 'package', 'salary', 'a day']")</f>
        <v>['number', 'already', 'check', 'times',' head ',' shop ',' report ',' computer ',' success', 'right', 'see', 'already', ' LIGHT ',' Clay ',' Severe ',' Success', 'Report', 'Computer', 'Number', 'Wrong', 'Credit', 'Top', 'Kmarin', 'Abis',' Sorry ' , 'cave', 'replace', 'card', 'bwt', 'bother', 'ngeruggiin', 'package', 'expensive', 'ilang', 'it can', 'rb', 'a day', ' Abis', 'on', 'fill', 'Isaku', 'bwt', 'package', 'salary', 'a day']</v>
      </c>
      <c r="D2062" s="3">
        <v>1.0</v>
      </c>
    </row>
    <row r="2063" ht="15.75" customHeight="1">
      <c r="A2063" s="1">
        <v>2061.0</v>
      </c>
      <c r="B2063" s="3" t="s">
        <v>2063</v>
      </c>
      <c r="C2063" s="3" t="str">
        <f>IFERROR(__xludf.DUMMYFUNCTION("GOOGLETRANSLATE(B2063,""id"",""en"")"),"['use', 'Telkomsel', 'signal', 'good', 'play', 'game', 'likes', 'down', 'signal', 'how', 'believe', 'peforma']")</f>
        <v>['use', 'Telkomsel', 'signal', 'good', 'play', 'game', 'likes', 'down', 'signal', 'how', 'believe', 'peforma']</v>
      </c>
      <c r="D2063" s="3">
        <v>1.0</v>
      </c>
    </row>
    <row r="2064" ht="15.75" customHeight="1">
      <c r="A2064" s="1">
        <v>2062.0</v>
      </c>
      <c r="B2064" s="3" t="s">
        <v>2064</v>
      </c>
      <c r="C2064" s="3" t="str">
        <f>IFERROR(__xludf.DUMMYFUNCTION("GOOGLETRANSLATE(B2064,""id"",""en"")"),"['Telkomsel', 'Meet', 'fruit', 'Simalakama', 'choice', 'Telkomsel', 'Nyekk', 'Msih', 'Indo', 'Kah', 'Different', 'card', ' SIM ',' Different ',' package ',' super ',' cheap ',' according to ',' high ',' card ',' already ',' subscription ',' Telkomsel ',' "&amp;"th ',' NOT ' , 'Cheap', 'Seek', 'Karna', 'Provider', 'Trims',' Reach ',' Region ',' Sinyal ',' Drop ',' Package ',' Out ',' Loading ',' Lower ',' Muuahaal ',' ']")</f>
        <v>['Telkomsel', 'Meet', 'fruit', 'Simalakama', 'choice', 'Telkomsel', 'Nyekk', 'Msih', 'Indo', 'Kah', 'Different', 'card', ' SIM ',' Different ',' package ',' super ',' cheap ',' according to ',' high ',' card ',' already ',' subscription ',' Telkomsel ',' th ',' NOT ' , 'Cheap', 'Seek', 'Karna', 'Provider', 'Trims',' Reach ',' Region ',' Sinyal ',' Drop ',' Package ',' Out ',' Loading ',' Lower ',' Muuahaal ',' ']</v>
      </c>
      <c r="D2064" s="3">
        <v>3.0</v>
      </c>
    </row>
    <row r="2065" ht="15.75" customHeight="1">
      <c r="A2065" s="1">
        <v>2063.0</v>
      </c>
      <c r="B2065" s="3" t="s">
        <v>2065</v>
      </c>
      <c r="C2065" s="3" t="str">
        <f>IFERROR(__xludf.DUMMYFUNCTION("GOOGLETRANSLATE(B2065,""id"",""en"")"),"['disappointing', 'severe', 'network', 'next door', 'checked', 'pulse', 'difficult', 'connection', 'stable', 'mulu', 'udh', 'wifi']")</f>
        <v>['disappointing', 'severe', 'network', 'next door', 'checked', 'pulse', 'difficult', 'connection', 'stable', 'mulu', 'udh', 'wifi']</v>
      </c>
      <c r="D2065" s="3">
        <v>1.0</v>
      </c>
    </row>
    <row r="2066" ht="15.75" customHeight="1">
      <c r="A2066" s="1">
        <v>2064.0</v>
      </c>
      <c r="B2066" s="3" t="s">
        <v>2066</v>
      </c>
      <c r="C2066" s="3" t="str">
        <f>IFERROR(__xludf.DUMMYFUNCTION("GOOGLETRANSLATE(B2066,""id"",""en"")"),"['signal', 'broke', 'Connect', 'City', 'JKT', 'Tangsel', 'SBY', 'Hoping', 'Telkomsel', 'Improved', 'Service', 'KPD', ' Customer ',' Customer ',' loyal ',' moved ',' heart ']")</f>
        <v>['signal', 'broke', 'Connect', 'City', 'JKT', 'Tangsel', 'SBY', 'Hoping', 'Telkomsel', 'Improved', 'Service', 'KPD', ' Customer ',' Customer ',' loyal ',' moved ',' heart ']</v>
      </c>
      <c r="D2066" s="3">
        <v>2.0</v>
      </c>
    </row>
    <row r="2067" ht="15.75" customHeight="1">
      <c r="A2067" s="1">
        <v>2065.0</v>
      </c>
      <c r="B2067" s="3" t="s">
        <v>2067</v>
      </c>
      <c r="C2067" s="3" t="str">
        <f>IFERROR(__xludf.DUMMYFUNCTION("GOOGLETRANSLATE(B2067,""id"",""en"")"),"['Package', 'special', 'CMA', 'right', 'Uda', 'buy', 'emang', 'Telkomsel', 'uda', 'run out', 'stock', 'pulse', ' Weve ',' Marketing ',' Huh ',' ']")</f>
        <v>['Package', 'special', 'CMA', 'right', 'Uda', 'buy', 'emang', 'Telkomsel', 'uda', 'run out', 'stock', 'pulse', ' Weve ',' Marketing ',' Huh ',' ']</v>
      </c>
      <c r="D2067" s="3">
        <v>1.0</v>
      </c>
    </row>
    <row r="2068" ht="15.75" customHeight="1">
      <c r="A2068" s="1">
        <v>2066.0</v>
      </c>
      <c r="B2068" s="3" t="s">
        <v>2068</v>
      </c>
      <c r="C2068" s="3" t="str">
        <f>IFERROR(__xludf.DUMMYFUNCTION("GOOGLETRANSLATE(B2068,""id"",""en"")"),"['Disappointed', 'buy', 'package', 'emergency', 'right', 'fill in', 'pulse', 'pull', 'kecera', 'so', 'buy', 'package', ' Emergency ',' Telkomsel ',' please ',' explanation ', ""]")</f>
        <v>['Disappointed', 'buy', 'package', 'emergency', 'right', 'fill in', 'pulse', 'pull', 'kecera', 'so', 'buy', 'package', ' Emergency ',' Telkomsel ',' please ',' explanation ', "]</v>
      </c>
      <c r="D2068" s="3">
        <v>3.0</v>
      </c>
    </row>
    <row r="2069" ht="15.75" customHeight="1">
      <c r="A2069" s="1">
        <v>2067.0</v>
      </c>
      <c r="B2069" s="3" t="s">
        <v>2069</v>
      </c>
      <c r="C2069" s="3" t="str">
        <f>IFERROR(__xludf.DUMMYFUNCTION("GOOGLETRANSLATE(B2069,""id"",""en"")"),"['application', 'heavy', 'slow', 'review', 'contents',' complain ',' answer ',' sorry ',' kak ',' please ',' contact ',' Facebook ',' Telkomsel ',' Severe ',' Napa ',' Direct ',' as difficult ',' kah ', ""]")</f>
        <v>['application', 'heavy', 'slow', 'review', 'contents',' complain ',' answer ',' sorry ',' kak ',' please ',' contact ',' Facebook ',' Telkomsel ',' Severe ',' Napa ',' Direct ',' as difficult ',' kah ', "]</v>
      </c>
      <c r="D2069" s="3">
        <v>2.0</v>
      </c>
    </row>
    <row r="2070" ht="15.75" customHeight="1">
      <c r="A2070" s="1">
        <v>2068.0</v>
      </c>
      <c r="B2070" s="3" t="s">
        <v>2070</v>
      </c>
      <c r="C2070" s="3" t="str">
        <f>IFERROR(__xludf.DUMMYFUNCTION("GOOGLETRANSLATE(B2070,""id"",""en"")"),"['parahhhhh', 'data', 'contents',' pulse ',' internet ',' run out ',' pulse ',' first ',' enrich ',' dholim ',' really ',' system ',' Woiii ',' ']")</f>
        <v>['parahhhhh', 'data', 'contents',' pulse ',' internet ',' run out ',' pulse ',' first ',' enrich ',' dholim ',' really ',' system ',' Woiii ',' ']</v>
      </c>
      <c r="D2070" s="3">
        <v>1.0</v>
      </c>
    </row>
    <row r="2071" ht="15.75" customHeight="1">
      <c r="A2071" s="1">
        <v>2069.0</v>
      </c>
      <c r="B2071" s="3" t="s">
        <v>2071</v>
      </c>
      <c r="C2071" s="3" t="str">
        <f>IFERROR(__xludf.DUMMYFUNCTION("GOOGLETRANSLATE(B2071,""id"",""en"")"),"['Package', 'cheerful', 'application', 'MyTelkomsel', 'buy', 'dial', 'appears',' promo ',' special ',' right ',' buy ',' process', ' Mulu ',' Mending ',' Delete ',' Promo ',' bought ',' PHP ',' org ',' buy ',' credit ',' buy ',' package ',' internet ',' b"&amp;"uy ' , 'strange', 'try', 'application', 'Telkomsel', 'promo', 'special', 'buy', 'fangke', ""]")</f>
        <v>['Package', 'cheerful', 'application', 'MyTelkomsel', 'buy', 'dial', 'appears',' promo ',' special ',' right ',' buy ',' process', ' Mulu ',' Mending ',' Delete ',' Promo ',' bought ',' PHP ',' org ',' buy ',' credit ',' buy ',' package ',' internet ',' buy ' , 'strange', 'try', 'application', 'Telkomsel', 'promo', 'special', 'buy', 'fangke', "]</v>
      </c>
      <c r="D2071" s="3">
        <v>1.0</v>
      </c>
    </row>
    <row r="2072" ht="15.75" customHeight="1">
      <c r="A2072" s="1">
        <v>2070.0</v>
      </c>
      <c r="B2072" s="3" t="s">
        <v>2072</v>
      </c>
      <c r="C2072" s="3" t="str">
        <f>IFERROR(__xludf.DUMMYFUNCTION("GOOGLETRANSLATE(B2072,""id"",""en"")"),"['Yesterday', 'buy', 'quota', 'GB', 'RB', 'enter', 'quota', 'pulses',' tetep ',' pulse ',' lost ',' quota ',' Get ',' Please ',' explanation ',' ']")</f>
        <v>['Yesterday', 'buy', 'quota', 'GB', 'RB', 'enter', 'quota', 'pulses',' tetep ',' pulse ',' lost ',' quota ',' Get ',' Please ',' explanation ',' ']</v>
      </c>
      <c r="D2072" s="3">
        <v>1.0</v>
      </c>
    </row>
    <row r="2073" ht="15.75" customHeight="1">
      <c r="A2073" s="1">
        <v>2071.0</v>
      </c>
      <c r="B2073" s="3" t="s">
        <v>2073</v>
      </c>
      <c r="C2073" s="3" t="str">
        <f>IFERROR(__xludf.DUMMYFUNCTION("GOOGLETRANSLATE(B2073,""id"",""en"")"),"['service', 'lose', 'ama', 'vendor', 'next door', 'feature', 'pulse', 'safe', 'what', 'pulse', 'drained', 'quota', ' Abis', 'signal', 'here', 'stable', '']")</f>
        <v>['service', 'lose', 'ama', 'vendor', 'next door', 'feature', 'pulse', 'safe', 'what', 'pulse', 'drained', 'quota', ' Abis', 'signal', 'here', 'stable', '']</v>
      </c>
      <c r="D2073" s="3">
        <v>1.0</v>
      </c>
    </row>
    <row r="2074" ht="15.75" customHeight="1">
      <c r="A2074" s="1">
        <v>2072.0</v>
      </c>
      <c r="B2074" s="3" t="s">
        <v>2074</v>
      </c>
      <c r="C2074" s="3" t="str">
        <f>IFERROR(__xludf.DUMMYFUNCTION("GOOGLETRANSLATE(B2074,""id"",""en"")"),"['Please', 'The network', 'Benerin', 'slow', 'open', 'sosmed', 'play', 'game', 'the network', 'slow', 'really', 'sometimes' Used ',' internet ',' quota ',' network ',' ']")</f>
        <v>['Please', 'The network', 'Benerin', 'slow', 'open', 'sosmed', 'play', 'game', 'the network', 'slow', 'really', 'sometimes' Used ',' internet ',' quota ',' network ',' ']</v>
      </c>
      <c r="D2074" s="3">
        <v>1.0</v>
      </c>
    </row>
    <row r="2075" ht="15.75" customHeight="1">
      <c r="A2075" s="1">
        <v>2073.0</v>
      </c>
      <c r="B2075" s="3" t="s">
        <v>2075</v>
      </c>
      <c r="C2075" s="3" t="str">
        <f>IFERROR(__xludf.DUMMYFUNCTION("GOOGLETRANSLATE(B2075,""id"",""en"")"),"['Download', 'MyTelkomsel', 'times',' contents', 'package', 'internet', 'lap', 'main', 'balance', 'ovo', 'truncated', 'package', ' Accept ',' quota ',' run out ',' pulse ',' victim ',' notification ',' notification ',' appears', 'at the time', 'credit', '"&amp;"reduced', 'victim', 'victim' , 'Veronika', 'Help', 'Customer', 'Service', 'Emphaset', 'Download', 'Application', '']")</f>
        <v>['Download', 'MyTelkomsel', 'times',' contents', 'package', 'internet', 'lap', 'main', 'balance', 'ovo', 'truncated', 'package', ' Accept ',' quota ',' run out ',' pulse ',' victim ',' notification ',' notification ',' appears', 'at the time', 'credit', 'reduced', 'victim', 'victim' , 'Veronika', 'Help', 'Customer', 'Service', 'Emphaset', 'Download', 'Application', '']</v>
      </c>
      <c r="D2075" s="3">
        <v>1.0</v>
      </c>
    </row>
    <row r="2076" ht="15.75" customHeight="1">
      <c r="A2076" s="1">
        <v>2074.0</v>
      </c>
      <c r="B2076" s="3" t="s">
        <v>2076</v>
      </c>
      <c r="C2076" s="3" t="str">
        <f>IFERROR(__xludf.DUMMYFUNCTION("GOOGLETRANSLATE(B2076,""id"",""en"")"),"['makes it easier', 'check', 'info', 'quota', 'pulse', 'promo', 'opportunity', 'following', 'program', 'program', 'Telkomsel', 'application', ' informative ',' entry ',' application ',' need ',' quota ',' data ',' internet ',' shopping ',' pulse ',' data "&amp;"',' application ',' Thanks', '']")</f>
        <v>['makes it easier', 'check', 'info', 'quota', 'pulse', 'promo', 'opportunity', 'following', 'program', 'program', 'Telkomsel', 'application', ' informative ',' entry ',' application ',' need ',' quota ',' data ',' internet ',' shopping ',' pulse ',' data ',' application ',' Thanks', '']</v>
      </c>
      <c r="D2076" s="3">
        <v>5.0</v>
      </c>
    </row>
    <row r="2077" ht="15.75" customHeight="1">
      <c r="A2077" s="1">
        <v>2075.0</v>
      </c>
      <c r="B2077" s="3" t="s">
        <v>2077</v>
      </c>
      <c r="C2077" s="3" t="str">
        <f>IFERROR(__xludf.DUMMYFUNCTION("GOOGLETRANSLATE(B2077,""id"",""en"")"),"['strange', 'pulse', 'chick', 'quota', 'subscription', 'telephone', 'sms', 'person', 'sllu', 'chick', 'thousand', 'until' already ',' rb ',' pulse ',' ilang ',' ']")</f>
        <v>['strange', 'pulse', 'chick', 'quota', 'subscription', 'telephone', 'sms', 'person', 'sllu', 'chick', 'thousand', 'until' already ',' rb ',' pulse ',' ilang ',' ']</v>
      </c>
      <c r="D2077" s="3">
        <v>1.0</v>
      </c>
    </row>
    <row r="2078" ht="15.75" customHeight="1">
      <c r="A2078" s="1">
        <v>2076.0</v>
      </c>
      <c r="B2078" s="3" t="s">
        <v>2078</v>
      </c>
      <c r="C2078" s="3" t="str">
        <f>IFERROR(__xludf.DUMMYFUNCTION("GOOGLETRANSLATE(B2078,""id"",""en"")"),"['Please', 'repaired', 'reinforced', 'signal', 'package', 'data', 'buy', 'use', 'money', 'ngemis',' most ',' promo ',' services', 'network', 'stable', 'fair', 'network', 'wifi', 'doang', 'preferably', 'already', 'use', 'telkomsel', 'company', 'big' , 'Ser"&amp;"vice', 'backward', 'forward', 'Thanks']")</f>
        <v>['Please', 'repaired', 'reinforced', 'signal', 'package', 'data', 'buy', 'use', 'money', 'ngemis',' most ',' promo ',' services', 'network', 'stable', 'fair', 'network', 'wifi', 'doang', 'preferably', 'already', 'use', 'telkomsel', 'company', 'big' , 'Service', 'backward', 'forward', 'Thanks']</v>
      </c>
      <c r="D2078" s="3">
        <v>2.0</v>
      </c>
    </row>
    <row r="2079" ht="15.75" customHeight="1">
      <c r="A2079" s="1">
        <v>2077.0</v>
      </c>
      <c r="B2079" s="3" t="s">
        <v>2079</v>
      </c>
      <c r="C2079" s="3" t="str">
        <f>IFERROR(__xludf.DUMMYFUNCTION("GOOGLETRANSLATE(B2079,""id"",""en"")"),"['Package', 'Data', 'Promo', 'Application', 'Telkomsel', 'Bucki', 'Pamerin', 'Doang', 'Disappointed', 'Kya', 'PHP', ""]")</f>
        <v>['Package', 'Data', 'Promo', 'Application', 'Telkomsel', 'Bucki', 'Pamerin', 'Doang', 'Disappointed', 'Kya', 'PHP', "]</v>
      </c>
      <c r="D2079" s="3">
        <v>4.0</v>
      </c>
    </row>
    <row r="2080" ht="15.75" customHeight="1">
      <c r="A2080" s="1">
        <v>2078.0</v>
      </c>
      <c r="B2080" s="3" t="s">
        <v>2080</v>
      </c>
      <c r="C2080" s="3" t="str">
        <f>IFERROR(__xludf.DUMMYFUNCTION("GOOGLETRANSLATE(B2080,""id"",""en"")"),"['pulse', 'missing', 'add', 'menu', 'check', 'history', 'use', 'pulse', 'check', 'pulse', 'like', 'lost', ' Reduced ',' Gini ',' Doang ',' APK ',' Feedah ']")</f>
        <v>['pulse', 'missing', 'add', 'menu', 'check', 'history', 'use', 'pulse', 'check', 'pulse', 'like', 'lost', ' Reduced ',' Gini ',' Doang ',' APK ',' Feedah ']</v>
      </c>
      <c r="D2080" s="3">
        <v>1.0</v>
      </c>
    </row>
    <row r="2081" ht="15.75" customHeight="1">
      <c r="A2081" s="1">
        <v>2079.0</v>
      </c>
      <c r="B2081" s="3" t="s">
        <v>2081</v>
      </c>
      <c r="C2081" s="3" t="str">
        <f>IFERROR(__xludf.DUMMYFUNCTION("GOOGLETRANSLATE(B2081,""id"",""en"")"),"['how', 'admin', 'check', 'times', 'apk', 'Telkomsel', 'quota', 'please', 'explanation', 'min', '']")</f>
        <v>['how', 'admin', 'check', 'times', 'apk', 'Telkomsel', 'quota', 'please', 'explanation', 'min', '']</v>
      </c>
      <c r="D2081" s="3">
        <v>1.0</v>
      </c>
    </row>
    <row r="2082" ht="15.75" customHeight="1">
      <c r="A2082" s="1">
        <v>2080.0</v>
      </c>
      <c r="B2082" s="3" t="s">
        <v>2082</v>
      </c>
      <c r="C2082" s="3" t="str">
        <f>IFERROR(__xludf.DUMMYFUNCTION("GOOGLETRANSLATE(B2082,""id"",""en"")"),"['The application', 'its network', 'slow', 'already', 'buy', 'unlimitid', 'free', 'multimedia', 'use', 'play', 'game', 'slow', ' use ',' download ',' film ',' telegram ',' the way ',' lammmmmmbbbaaatttttt ',' bang ',' sucks', 'nggk', 'slow', 'package', 'd"&amp;"ata', 'fast' , 'Out', 'slow', 'network', 'package', 'data', 'reduced', 'different', 'next door', '']")</f>
        <v>['The application', 'its network', 'slow', 'already', 'buy', 'unlimitid', 'free', 'multimedia', 'use', 'play', 'game', 'slow', ' use ',' download ',' film ',' telegram ',' the way ',' lammmmmmbbbaaatttttt ',' bang ',' sucks', 'nggk', 'slow', 'package', 'data', 'fast' , 'Out', 'slow', 'network', 'package', 'data', 'reduced', 'different', 'next door', '']</v>
      </c>
      <c r="D2082" s="3">
        <v>2.0</v>
      </c>
    </row>
    <row r="2083" ht="15.75" customHeight="1">
      <c r="A2083" s="1">
        <v>2081.0</v>
      </c>
      <c r="B2083" s="3" t="s">
        <v>2083</v>
      </c>
      <c r="C2083" s="3" t="str">
        <f>IFERROR(__xludf.DUMMYFUNCTION("GOOGLETRANSLATE(B2083,""id"",""en"")"),"['Disappointed', 'Policy', 'Telkomsel', 'Forced', 'Scrub', 'Card', 'Card', 'LOP', 'Card', 'Hello', 'Roise', 'Hard', ' Payment ',' bills', 'forced', 'make it difficult', 'customers',' usually ',' disappointed ',' forced ',' ']")</f>
        <v>['Disappointed', 'Policy', 'Telkomsel', 'Forced', 'Scrub', 'Card', 'Card', 'LOP', 'Card', 'Hello', 'Roise', 'Hard', ' Payment ',' bills', 'forced', 'make it difficult', 'customers',' usually ',' disappointed ',' forced ',' ']</v>
      </c>
      <c r="D2083" s="3">
        <v>1.0</v>
      </c>
    </row>
    <row r="2084" ht="15.75" customHeight="1">
      <c r="A2084" s="1">
        <v>2082.0</v>
      </c>
      <c r="B2084" s="3" t="s">
        <v>2084</v>
      </c>
      <c r="C2084" s="3" t="str">
        <f>IFERROR(__xludf.DUMMYFUNCTION("GOOGLETRANSLATE(B2084,""id"",""en"")"),"['friend', 'family', 'use', 'Telkomsel', 'here', 'Telkomsel', 'disappointing', 'users',' Switch ',' Provider ',' Bye ',' Telkomsel ',' ']")</f>
        <v>['friend', 'family', 'use', 'Telkomsel', 'here', 'Telkomsel', 'disappointing', 'users',' Switch ',' Provider ',' Bye ',' Telkomsel ',' ']</v>
      </c>
      <c r="D2084" s="3">
        <v>1.0</v>
      </c>
    </row>
    <row r="2085" ht="15.75" customHeight="1">
      <c r="A2085" s="1">
        <v>2083.0</v>
      </c>
      <c r="B2085" s="3" t="s">
        <v>2085</v>
      </c>
      <c r="C2085" s="3" t="str">
        <f>IFERROR(__xludf.DUMMYFUNCTION("GOOGLETRANSLATE(B2085,""id"",""en"")"),"['area', 'border', 'peacock', 'kab', 'attack', 'week', 'network', 'ugly', 'shy', 'ama', 'provider', 'cheap', ' quality ',' please ',' check ',' team ',' there ',' hope ',' office ',' team ',' peacock ',' slow ',' network ',' tel ',' complain ' , 'email', "&amp;"'February', 'no', 'repaly', 'network', 'Telkomsel', 'there', 'slow', 'no', 'until', 'March', 'suggestion', ' price ',' quota ',' collapsed ',' min ',' level ',' network ',' slow ']")</f>
        <v>['area', 'border', 'peacock', 'kab', 'attack', 'week', 'network', 'ugly', 'shy', 'ama', 'provider', 'cheap', ' quality ',' please ',' check ',' team ',' there ',' hope ',' office ',' team ',' peacock ',' slow ',' network ',' tel ',' complain ' , 'email', 'February', 'no', 'repaly', 'network', 'Telkomsel', 'there', 'slow', 'no', 'until', 'March', 'suggestion', ' price ',' quota ',' collapsed ',' min ',' level ',' network ',' slow ']</v>
      </c>
      <c r="D2085" s="3">
        <v>1.0</v>
      </c>
    </row>
    <row r="2086" ht="15.75" customHeight="1">
      <c r="A2086" s="1">
        <v>2084.0</v>
      </c>
      <c r="B2086" s="3" t="s">
        <v>2086</v>
      </c>
      <c r="C2086" s="3" t="str">
        <f>IFERROR(__xludf.DUMMYFUNCTION("GOOGLETRANSLATE(B2086,""id"",""en"")"),"['Good', 'help', 'activity', 'pandemic', 'covid', 'gave', 'service', 'community', 'price', 'cheap', 'affordable']")</f>
        <v>['Good', 'help', 'activity', 'pandemic', 'covid', 'gave', 'service', 'community', 'price', 'cheap', 'affordable']</v>
      </c>
      <c r="D2086" s="3">
        <v>5.0</v>
      </c>
    </row>
    <row r="2087" ht="15.75" customHeight="1">
      <c r="A2087" s="1">
        <v>2085.0</v>
      </c>
      <c r="B2087" s="3" t="s">
        <v>2087</v>
      </c>
      <c r="C2087" s="3" t="str">
        <f>IFERROR(__xludf.DUMMYFUNCTION("GOOGLETRANSLATE(B2087,""id"",""en"")"),"['admin', 'pulse', 'reduced', 'data', 'cellular', 'active', 'phone', 'sms', 'pulse', 'reduced', 'then']]")</f>
        <v>['admin', 'pulse', 'reduced', 'data', 'cellular', 'active', 'phone', 'sms', 'pulse', 'reduced', 'then']]</v>
      </c>
      <c r="D2087" s="3">
        <v>2.0</v>
      </c>
    </row>
    <row r="2088" ht="15.75" customHeight="1">
      <c r="A2088" s="1">
        <v>2086.0</v>
      </c>
      <c r="B2088" s="3" t="s">
        <v>2088</v>
      </c>
      <c r="C2088" s="3" t="str">
        <f>IFERROR(__xludf.DUMMYFUNCTION("GOOGLETRANSLATE(B2088,""id"",""en"")"),"['Disappointed', 'Service', 'Telkomsel', 'Condition', 'Network', 'Sayang', 'Severe', 'Slow', 'Stable', 'The Network', 'Region', 'Kendal', ' Semarang ',' disappointed ',' deployment ',' network ',' evenly ',' network ',' slow ',' according to ',' price ','"&amp;" offer ',' developer ',' please ',' fix ' , 'The network', 'Region', 'Kendal', 'Semarang', 'Java', 'Hopefully', 'Fast', 'Response', 'Repaired', 'Thank you', ""]")</f>
        <v>['Disappointed', 'Service', 'Telkomsel', 'Condition', 'Network', 'Sayang', 'Severe', 'Slow', 'Stable', 'The Network', 'Region', 'Kendal', ' Semarang ',' disappointed ',' deployment ',' network ',' evenly ',' network ',' slow ',' according to ',' price ',' offer ',' developer ',' please ',' fix ' , 'The network', 'Region', 'Kendal', 'Semarang', 'Java', 'Hopefully', 'Fast', 'Response', 'Repaired', 'Thank you', "]</v>
      </c>
      <c r="D2088" s="3">
        <v>1.0</v>
      </c>
    </row>
    <row r="2089" ht="15.75" customHeight="1">
      <c r="A2089" s="1">
        <v>2087.0</v>
      </c>
      <c r="B2089" s="3" t="s">
        <v>2089</v>
      </c>
      <c r="C2089" s="3" t="str">
        <f>IFERROR(__xludf.DUMMYFUNCTION("GOOGLETRANSLATE(B2089,""id"",""en"")"),"['signal', 'poor', 'title', 'Doank', 'upgrade', 'postpaid', 'signal', 'strong', 'right', 'try', 'hotspotan', 'prepaid', ' Strong ',' signal ',' prepaid ',' upgrade ',' base ',' package ',' quota ',' rich ',' corrupt ',' Hadehh ',' poor ',' dahh ',' ksini "&amp;"' , 'Different', 'WKT', 'MSH', 'Prepaid', 'Lola', ""]")</f>
        <v>['signal', 'poor', 'title', 'Doank', 'upgrade', 'postpaid', 'signal', 'strong', 'right', 'try', 'hotspotan', 'prepaid', ' Strong ',' signal ',' prepaid ',' upgrade ',' base ',' package ',' quota ',' rich ',' corrupt ',' Hadehh ',' poor ',' dahh ',' ksini ' , 'Different', 'WKT', 'MSH', 'Prepaid', 'Lola', "]</v>
      </c>
      <c r="D2089" s="3">
        <v>2.0</v>
      </c>
    </row>
    <row r="2090" ht="15.75" customHeight="1">
      <c r="A2090" s="1">
        <v>2088.0</v>
      </c>
      <c r="B2090" s="3" t="s">
        <v>2090</v>
      </c>
      <c r="C2090" s="3" t="str">
        <f>IFERROR(__xludf.DUMMYFUNCTION("GOOGLETRANSLATE(B2090,""id"",""en"")"),"['confused', 'Telkomsel', 'Points',' Try ',' buy ',' pulse ',' Points', 'Points',' Tuker ',' Lottery ',' Gift ',' Announcement ',' Win ',' News', 'Bener', 'Bener', 'Valid', 'Kalou', 'Good', 'Points',' Tuker ',' Internet ', ""]")</f>
        <v>['confused', 'Telkomsel', 'Points',' Try ',' buy ',' pulse ',' Points', 'Points',' Tuker ',' Lottery ',' Gift ',' Announcement ',' Win ',' News', 'Bener', 'Bener', 'Valid', 'Kalou', 'Good', 'Points',' Tuker ',' Internet ', "]</v>
      </c>
      <c r="D2090" s="3">
        <v>1.0</v>
      </c>
    </row>
    <row r="2091" ht="15.75" customHeight="1">
      <c r="A2091" s="1">
        <v>2089.0</v>
      </c>
      <c r="B2091" s="3" t="s">
        <v>2091</v>
      </c>
      <c r="C2091" s="3" t="str">
        <f>IFERROR(__xludf.DUMMYFUNCTION("GOOGLETRANSLATE(B2091,""id"",""en"")"),"['ketall', 'Telkomsel', 'UDH', 'Telkomsel', 'offer', 'card', 'Hello', 'Fikir', 'Jdi', 'practical', 'Tower', 'postpaid', ' Costs', 'quota', 'expensive', 'ajja', 'troubles',' non ',' activated ',' card ',' hello ',' number ',' active ', ""]")</f>
        <v>['ketall', 'Telkomsel', 'UDH', 'Telkomsel', 'offer', 'card', 'Hello', 'Fikir', 'Jdi', 'practical', 'Tower', 'postpaid', ' Costs', 'quota', 'expensive', 'ajja', 'troubles',' non ',' activated ',' card ',' hello ',' number ',' active ', "]</v>
      </c>
      <c r="D2091" s="3">
        <v>1.0</v>
      </c>
    </row>
    <row r="2092" ht="15.75" customHeight="1">
      <c r="A2092" s="1">
        <v>2090.0</v>
      </c>
      <c r="B2092" s="3" t="s">
        <v>2092</v>
      </c>
      <c r="C2092" s="3" t="str">
        <f>IFERROR(__xludf.DUMMYFUNCTION("GOOGLETRANSLATE(B2092,""id"",""en"")"),"['Provider', 'Internet', 'Palaing', 'Lemot', 'Network', 'Edge', 'Full', 'Bar', 'Bar', 'Quality', 'Network', 'Provider', ' Yellow ',' fix ',' ']")</f>
        <v>['Provider', 'Internet', 'Palaing', 'Lemot', 'Network', 'Edge', 'Full', 'Bar', 'Bar', 'Quality', 'Network', 'Provider', ' Yellow ',' fix ',' ']</v>
      </c>
      <c r="D2092" s="3">
        <v>1.0</v>
      </c>
    </row>
    <row r="2093" ht="15.75" customHeight="1">
      <c r="A2093" s="1">
        <v>2091.0</v>
      </c>
      <c r="B2093" s="3" t="s">
        <v>2093</v>
      </c>
      <c r="C2093" s="3" t="str">
        <f>IFERROR(__xludf.DUMMYFUNCTION("GOOGLETRANSLATE(B2093,""id"",""en"")"),"['Please', 'Lined', 'Sumpot', 'then', 'pulses',' Student ',' Need ',' Pulse ',' Make ',' Data ',' Sumpot ',' Telkomsel ',' stock ',' pulse ',' right ',' open ',' already ',' sumps', '']")</f>
        <v>['Please', 'Lined', 'Sumpot', 'then', 'pulses',' Student ',' Need ',' Pulse ',' Make ',' Data ',' Sumpot ',' Telkomsel ',' stock ',' pulse ',' right ',' open ',' already ',' sumps', '']</v>
      </c>
      <c r="D2093" s="3">
        <v>1.0</v>
      </c>
    </row>
    <row r="2094" ht="15.75" customHeight="1">
      <c r="A2094" s="1">
        <v>2092.0</v>
      </c>
      <c r="B2094" s="3" t="s">
        <v>2094</v>
      </c>
      <c r="C2094" s="3" t="str">
        <f>IFERROR(__xludf.DUMMYFUNCTION("GOOGLETRANSLATE(B2094,""id"",""en"")"),"['Telkomsel', 'please', 'please', 'knapa', 'network', 'ngelag', 'plus',' price ',' quota ',' msih ',' that way ',' please ',' Fix ',' kmi ',' online ',' zoom ',' tmbah ',' klw ',' send ',' task ',' teacher ',' need ',' fast ',' please ',' fix ' , 'Thank "&amp;""",' Kswai ']")</f>
        <v>['Telkomsel', 'please', 'please', 'knapa', 'network', 'ngelag', 'plus',' price ',' quota ',' msih ',' that way ',' please ',' Fix ',' kmi ',' online ',' zoom ',' tmbah ',' klw ',' send ',' task ',' teacher ',' need ',' fast ',' please ',' fix ' , 'Thank ",' Kswai ']</v>
      </c>
      <c r="D2094" s="3">
        <v>1.0</v>
      </c>
    </row>
    <row r="2095" ht="15.75" customHeight="1">
      <c r="A2095" s="1">
        <v>2093.0</v>
      </c>
      <c r="B2095" s="3" t="s">
        <v>2095</v>
      </c>
      <c r="C2095" s="3" t="str">
        <f>IFERROR(__xludf.DUMMYFUNCTION("GOOGLETRANSLATE(B2095,""id"",""en"")"),"['GSM', 'Obedient', 'already', 'network', 'slow', 'package', 'expensive', 'package', 'data', 'sumps',' pulse ',' admin ',' Kagak ',' Tanggep ',' Dead ',' Eat ',' Money ',' Haram ',' Energy ',' emang ', ""]")</f>
        <v>['GSM', 'Obedient', 'already', 'network', 'slow', 'package', 'expensive', 'package', 'data', 'sumps',' pulse ',' admin ',' Kagak ',' Tanggep ',' Dead ',' Eat ',' Money ',' Haram ',' Energy ',' emang ', "]</v>
      </c>
      <c r="D2095" s="3">
        <v>1.0</v>
      </c>
    </row>
    <row r="2096" ht="15.75" customHeight="1">
      <c r="A2096" s="1">
        <v>2094.0</v>
      </c>
      <c r="B2096" s="3" t="s">
        <v>2096</v>
      </c>
      <c r="C2096" s="3" t="str">
        <f>IFERROR(__xludf.DUMMYFUNCTION("GOOGLETRANSLATE(B2096,""id"",""en"")"),"['understand', 'bought', 'Telkomsel', 'Error', 'contents',' quota ',' error ',' please ',' Donk ',' fix ',' system ',' internet ',' Good ',' Wait ',' ']")</f>
        <v>['understand', 'bought', 'Telkomsel', 'Error', 'contents',' quota ',' error ',' please ',' Donk ',' fix ',' system ',' internet ',' Good ',' Wait ',' ']</v>
      </c>
      <c r="D2096" s="3">
        <v>5.0</v>
      </c>
    </row>
    <row r="2097" ht="15.75" customHeight="1">
      <c r="A2097" s="1">
        <v>2095.0</v>
      </c>
      <c r="B2097" s="3" t="s">
        <v>2097</v>
      </c>
      <c r="C2097" s="3" t="str">
        <f>IFERROR(__xludf.DUMMYFUNCTION("GOOGLETRANSLATE(B2097,""id"",""en"")"),"['Please', 'Dongg', 'Minn', 'Benerinn', 'Buy', 'Package', 'Promo', 'Is Award', 'Weve', 'Already', 'Liatin', 'Home', ' shopping ',' already ',' contents', 'pulse', 'malahh', 'keelii', 'trs',' sometimes', 'jarkkk', 'jelekkk', 'semisall', 'gmn', 'please' , '"&amp;"Dibenerinnn', 'Min', '']")</f>
        <v>['Please', 'Dongg', 'Minn', 'Benerinn', 'Buy', 'Package', 'Promo', 'Is Award', 'Weve', 'Already', 'Liatin', 'Home', ' shopping ',' already ',' contents', 'pulse', 'malahh', 'keelii', 'trs',' sometimes', 'jarkkk', 'jelekkk', 'semisall', 'gmn', 'please' , 'Dibenerinnn', 'Min', '']</v>
      </c>
      <c r="D2097" s="3">
        <v>1.0</v>
      </c>
    </row>
    <row r="2098" ht="15.75" customHeight="1">
      <c r="A2098" s="1">
        <v>2096.0</v>
      </c>
      <c r="B2098" s="3" t="s">
        <v>2098</v>
      </c>
      <c r="C2098" s="3" t="str">
        <f>IFERROR(__xludf.DUMMYFUNCTION("GOOGLETRANSLATE(B2098,""id"",""en"")"),"['Please', 'Sorry', 'Buy', 'Package', 'Combo', 'Package', 'Times',' Turn Off ',' Power ',' Nihil ',' Signal ',' Card ',' scorched ',' really ',' really ',' ask ',' the package ',' number ',' right ',' telephone ',' number ',' active ',' dear ',' really ' "&amp;", 'Drift', 'Litu', '']")</f>
        <v>['Please', 'Sorry', 'Buy', 'Package', 'Combo', 'Package', 'Times',' Turn Off ',' Power ',' Nihil ',' Signal ',' Card ',' scorched ',' really ',' really ',' ask ',' the package ',' number ',' right ',' telephone ',' number ',' active ',' dear ',' really ' , 'Drift', 'Litu', '']</v>
      </c>
      <c r="D2098" s="3">
        <v>1.0</v>
      </c>
    </row>
    <row r="2099" ht="15.75" customHeight="1">
      <c r="A2099" s="1">
        <v>2097.0</v>
      </c>
      <c r="B2099" s="3" t="s">
        <v>2099</v>
      </c>
      <c r="C2099" s="3" t="str">
        <f>IFERROR(__xludf.DUMMYFUNCTION("GOOGLETRANSLATE(B2099,""id"",""en"")"),"['signal', 'slow', 'company', 'state', 'naunge', 'BUMN', 'hope', 'cable', 'network', 'telkom', 'steal', 'loss',' wifi ',' cellular ',' service ',' slow ',' response ',' eat ',' salary ',' blind ',' address', 'village', 'teru', 'security', 'sympathetic' , "&amp;"'Capital', 'Bangka', 'Province', 'Bangka', 'Belitung']")</f>
        <v>['signal', 'slow', 'company', 'state', 'naunge', 'BUMN', 'hope', 'cable', 'network', 'telkom', 'steal', 'loss',' wifi ',' cellular ',' service ',' slow ',' response ',' eat ',' salary ',' blind ',' address', 'village', 'teru', 'security', 'sympathetic' , 'Capital', 'Bangka', 'Province', 'Bangka', 'Belitung']</v>
      </c>
      <c r="D2099" s="3">
        <v>1.0</v>
      </c>
    </row>
    <row r="2100" ht="15.75" customHeight="1">
      <c r="A2100" s="1">
        <v>2098.0</v>
      </c>
      <c r="B2100" s="3" t="s">
        <v>2100</v>
      </c>
      <c r="C2100" s="3" t="str">
        <f>IFERROR(__xludf.DUMMYFUNCTION("GOOGLETRANSLATE(B2100,""id"",""en"")"),"['Want', 'vent', 'Emotion', 'Emblem', 'Embed', 'Unlimited', 'according to', 'reality', 'aka', 'bitch', 'empty', 'hope', ' Rich ',' amiin ']")</f>
        <v>['Want', 'vent', 'Emotion', 'Emblem', 'Embed', 'Unlimited', 'according to', 'reality', 'aka', 'bitch', 'empty', 'hope', ' Rich ',' amiin ']</v>
      </c>
      <c r="D2100" s="3">
        <v>1.0</v>
      </c>
    </row>
    <row r="2101" ht="15.75" customHeight="1">
      <c r="A2101" s="1">
        <v>2099.0</v>
      </c>
      <c r="B2101" s="3" t="s">
        <v>2101</v>
      </c>
      <c r="C2101" s="3" t="str">
        <f>IFERROR(__xludf.DUMMYFUNCTION("GOOGLETRANSLATE(B2101,""id"",""en"")"),"['Telkomsel', 'slow', 'price', 'tasty', 'no', 'slow', 'already', 'slow', 'expensive', 'moved', 'card', 'lost', ' Indosat ',' exist ']")</f>
        <v>['Telkomsel', 'slow', 'price', 'tasty', 'no', 'slow', 'already', 'slow', 'expensive', 'moved', 'card', 'lost', ' Indosat ',' exist ']</v>
      </c>
      <c r="D2101" s="3">
        <v>2.0</v>
      </c>
    </row>
    <row r="2102" ht="15.75" customHeight="1">
      <c r="A2102" s="1">
        <v>2100.0</v>
      </c>
      <c r="B2102" s="3" t="s">
        <v>2102</v>
      </c>
      <c r="C2102" s="3" t="str">
        <f>IFERROR(__xludf.DUMMYFUNCTION("GOOGLETRANSLATE(B2102,""id"",""en"")"),"['admin', 'please', 'fix', 'signal', 'good', 'bad', 'maen', 'gamenya', 'signal', 'youtube', 'browse', 'tired', ' Game ',' please ',' repaired ',' ']")</f>
        <v>['admin', 'please', 'fix', 'signal', 'good', 'bad', 'maen', 'gamenya', 'signal', 'youtube', 'browse', 'tired', ' Game ',' please ',' repaired ',' ']</v>
      </c>
      <c r="D2102" s="3">
        <v>2.0</v>
      </c>
    </row>
    <row r="2103" ht="15.75" customHeight="1">
      <c r="A2103" s="1">
        <v>2101.0</v>
      </c>
      <c r="B2103" s="3" t="s">
        <v>2103</v>
      </c>
      <c r="C2103" s="3" t="str">
        <f>IFERROR(__xludf.DUMMYFUNCTION("GOOGLETRANSLATE(B2103,""id"",""en"")"),"['Star', 'Worthy', 'Disappointed', 'Customer', 'Telkomsel', 'Tens',' Credit ',' Regular ',' Suck ',' Out ',' A Day ',' Package ',' The internet ',' activates', 'internet', 'credit', 'reduced', 'PDHL', 'operator', 'SPT', 'please', 'system', 'fix', 'Males',"&amp;"' fill ' , 'Credit', 'Internet', 'change', 'Operator', 'Cafek', '']")</f>
        <v>['Star', 'Worthy', 'Disappointed', 'Customer', 'Telkomsel', 'Tens',' Credit ',' Regular ',' Suck ',' Out ',' A Day ',' Package ',' The internet ',' activates', 'internet', 'credit', 'reduced', 'PDHL', 'operator', 'SPT', 'please', 'system', 'fix', 'Males',' fill ' , 'Credit', 'Internet', 'change', 'Operator', 'Cafek', '']</v>
      </c>
      <c r="D2103" s="3">
        <v>1.0</v>
      </c>
    </row>
    <row r="2104" ht="15.75" customHeight="1">
      <c r="A2104" s="1">
        <v>2102.0</v>
      </c>
      <c r="B2104" s="3" t="s">
        <v>2104</v>
      </c>
      <c r="C2104" s="3" t="str">
        <f>IFERROR(__xludf.DUMMYFUNCTION("GOOGLETRANSLATE(B2104,""id"",""en"")"),"['network', 'Telkomsel', 'bad', 'slow', 'stable', 'smooth', 'bad']")</f>
        <v>['network', 'Telkomsel', 'bad', 'slow', 'stable', 'smooth', 'bad']</v>
      </c>
      <c r="D2104" s="3">
        <v>3.0</v>
      </c>
    </row>
    <row r="2105" ht="15.75" customHeight="1">
      <c r="A2105" s="1">
        <v>2103.0</v>
      </c>
      <c r="B2105" s="3" t="s">
        <v>2105</v>
      </c>
      <c r="C2105" s="3" t="str">
        <f>IFERROR(__xludf.DUMMYFUNCTION("GOOGLETRANSLATE(B2105,""id"",""en"")"),"['disappointed', 'service', 'Telkomsel', 'price', 'quota', 'expensive', 'disappointed', 'wear', 'card', 'promo', 'sometimes',' network ',' Drop ',' Please ',' repaired ',' service ',' Telkomsel ',' Citra ',' in the eyes', 'community', '']")</f>
        <v>['disappointed', 'service', 'Telkomsel', 'price', 'quota', 'expensive', 'disappointed', 'wear', 'card', 'promo', 'sometimes',' network ',' Drop ',' Please ',' repaired ',' service ',' Telkomsel ',' Citra ',' in the eyes', 'community', '']</v>
      </c>
      <c r="D2105" s="3">
        <v>1.0</v>
      </c>
    </row>
    <row r="2106" ht="15.75" customHeight="1">
      <c r="A2106" s="1">
        <v>2104.0</v>
      </c>
      <c r="B2106" s="3" t="s">
        <v>2106</v>
      </c>
      <c r="C2106" s="3" t="str">
        <f>IFERROR(__xludf.DUMMYFUNCTION("GOOGLETRANSLATE(B2106,""id"",""en"")"),"['Telkomsel', 'net', 'satisfying', 'according to', 'price', 'quality', 'Telkomsel', 'decreases',' drastic ',' week ',' Telkomsel ',' floating ',' network ',' Edge ',' Please ',' Telkomsel ',' fix ',' level ',' network ',' Pay ',' expensive ',' service ','"&amp;" Setimpal ',' ']")</f>
        <v>['Telkomsel', 'net', 'satisfying', 'according to', 'price', 'quality', 'Telkomsel', 'decreases',' drastic ',' week ',' Telkomsel ',' floating ',' network ',' Edge ',' Please ',' Telkomsel ',' fix ',' level ',' network ',' Pay ',' expensive ',' service ',' Setimpal ',' ']</v>
      </c>
      <c r="D2106" s="3">
        <v>2.0</v>
      </c>
    </row>
    <row r="2107" ht="15.75" customHeight="1">
      <c r="A2107" s="1">
        <v>2105.0</v>
      </c>
      <c r="B2107" s="3" t="s">
        <v>2107</v>
      </c>
      <c r="C2107" s="3" t="str">
        <f>IFERROR(__xludf.DUMMYFUNCTION("GOOGLETRANSLATE(B2107,""id"",""en"")"),"['sympathy', 'how', 'package', 'quota', 'unlimited', 'youtube', 'chick', 'abis',' pulse ',' sustain ',' package ',' Credit ',' Cut ',' Loss', 'Gini', ""]")</f>
        <v>['sympathy', 'how', 'package', 'quota', 'unlimited', 'youtube', 'chick', 'abis',' pulse ',' sustain ',' package ',' Credit ',' Cut ',' Loss', 'Gini', "]</v>
      </c>
      <c r="D2107" s="3">
        <v>1.0</v>
      </c>
    </row>
    <row r="2108" ht="15.75" customHeight="1">
      <c r="A2108" s="1">
        <v>2106.0</v>
      </c>
      <c r="B2108" s="3" t="s">
        <v>2108</v>
      </c>
      <c r="C2108" s="3" t="str">
        <f>IFERROR(__xludf.DUMMYFUNCTION("GOOGLETRANSLATE(B2108,""id"",""en"")"),"['already', 'use', 'Telkomsel', 'disappointed', 'disappointed', 'package', 'special', 'cheerful', 'promoted', 'buy', 'fall', 'tempo', ' Try ',' Chat ',' Veronika ',' APP ',' Slow ',' response ',' Telkomsel ',' loss', 'people', 'customers',' loyal ',' yaaa"&amp;" ',' the answer ' , 'Sorry', 'Sis', 'Nananananana', 'Haaaa', 'payaaahh']")</f>
        <v>['already', 'use', 'Telkomsel', 'disappointed', 'disappointed', 'package', 'special', 'cheerful', 'promoted', 'buy', 'fall', 'tempo', ' Try ',' Chat ',' Veronika ',' APP ',' Slow ',' response ',' Telkomsel ',' loss', 'people', 'customers',' loyal ',' yaaa ',' the answer ' , 'Sorry', 'Sis', 'Nananananana', 'Haaaa', 'payaaahh']</v>
      </c>
      <c r="D2108" s="3">
        <v>1.0</v>
      </c>
    </row>
    <row r="2109" ht="15.75" customHeight="1">
      <c r="A2109" s="1">
        <v>2107.0</v>
      </c>
      <c r="B2109" s="3" t="s">
        <v>2109</v>
      </c>
      <c r="C2109" s="3" t="str">
        <f>IFERROR(__xludf.DUMMYFUNCTION("GOOGLETRANSLATE(B2109,""id"",""en"")"),"['user', 'loyal', 'Telkomsel', 'just', 'Rada', 'disappointed', 'Points',' be exchanged ',' pulses', 'follow', 'get', 'then', ' Function ',' Points', 'Exchanged', 'Cut', 'Credit', '']")</f>
        <v>['user', 'loyal', 'Telkomsel', 'just', 'Rada', 'disappointed', 'Points',' be exchanged ',' pulses', 'follow', 'get', 'then', ' Function ',' Points', 'Exchanged', 'Cut', 'Credit', '']</v>
      </c>
      <c r="D2109" s="3">
        <v>1.0</v>
      </c>
    </row>
    <row r="2110" ht="15.75" customHeight="1">
      <c r="A2110" s="1">
        <v>2108.0</v>
      </c>
      <c r="B2110" s="3" t="s">
        <v>2110</v>
      </c>
      <c r="C2110" s="3" t="str">
        <f>IFERROR(__xludf.DUMMYFUNCTION("GOOGLETRANSLATE(B2110,""id"",""en"")"),"['mmbatu', 'sya', 'Satisfied', 'really', 'dri', 'buy', 'quota', 'pairs',' wifi ',' connection ',' tired ',' package ',' Direct ',' Road ',' Return ',' Dngan ',' WiFi ',' Save ',' Affordable ',' BGI ',' Sell ',' Online ',' Help ',' really ',' deh ' , 'Hope"&amp;"fully', 'Telkomsel', 'Jaya', 'then', '']")</f>
        <v>['mmbatu', 'sya', 'Satisfied', 'really', 'dri', 'buy', 'quota', 'pairs',' wifi ',' connection ',' tired ',' package ',' Direct ',' Road ',' Return ',' Dngan ',' WiFi ',' Save ',' Affordable ',' BGI ',' Sell ',' Online ',' Help ',' really ',' deh ' , 'Hopefully', 'Telkomsel', 'Jaya', 'then', '']</v>
      </c>
      <c r="D2110" s="3">
        <v>5.0</v>
      </c>
    </row>
    <row r="2111" ht="15.75" customHeight="1">
      <c r="A2111" s="1">
        <v>2109.0</v>
      </c>
      <c r="B2111" s="3" t="s">
        <v>2111</v>
      </c>
      <c r="C2111" s="3" t="str">
        <f>IFERROR(__xludf.DUMMYFUNCTION("GOOGLETRANSLATE(B2111,""id"",""en"")"),"['buy', 'Package', 'MyTelkomsel', 'GB', 'left', 'a week', 'signal', 'Twitrer', 'Telkomsel', 'Telkomsel', 'Care', 'response', ' ']")</f>
        <v>['buy', 'Package', 'MyTelkomsel', 'GB', 'left', 'a week', 'signal', 'Twitrer', 'Telkomsel', 'Telkomsel', 'Care', 'response', ' ']</v>
      </c>
      <c r="D2111" s="3">
        <v>1.0</v>
      </c>
    </row>
    <row r="2112" ht="15.75" customHeight="1">
      <c r="A2112" s="1">
        <v>2110.0</v>
      </c>
      <c r="B2112" s="3" t="s">
        <v>2112</v>
      </c>
      <c r="C2112" s="3" t="str">
        <f>IFERROR(__xludf.DUMMYFUNCTION("GOOGLETRANSLATE(B2112,""id"",""en"")"),"['times',' loss', 'pulse', 'sumps',' where ',' tracet ',' padal ',' still ',' quota ',' masi ',' bonus', 'telephone', ' right ',' used ',' pulseku ',' reduced ',' lazy ',' nyimpen ',' balance ',' pulse ',' mytelkomsel ',' ']")</f>
        <v>['times',' loss', 'pulse', 'sumps',' where ',' tracet ',' padal ',' still ',' quota ',' masi ',' bonus', 'telephone', ' right ',' used ',' pulseku ',' reduced ',' lazy ',' nyimpen ',' balance ',' pulse ',' mytelkomsel ',' ']</v>
      </c>
      <c r="D2112" s="3">
        <v>1.0</v>
      </c>
    </row>
    <row r="2113" ht="15.75" customHeight="1">
      <c r="A2113" s="1">
        <v>2111.0</v>
      </c>
      <c r="B2113" s="3" t="s">
        <v>2113</v>
      </c>
      <c r="C2113" s="3" t="str">
        <f>IFERROR(__xludf.DUMMYFUNCTION("GOOGLETRANSLATE(B2113,""id"",""en"")"),"['Telkomsel', 'service', 'bad', 'sorry', 'told', 'contact', 'yesterday', 'bales',' read ',' repent ',' Telkomsel ',' Mending ',' Use ',' Operator ',' Easy ',' Ribet ',' Nipu ']")</f>
        <v>['Telkomsel', 'service', 'bad', 'sorry', 'told', 'contact', 'yesterday', 'bales',' read ',' repent ',' Telkomsel ',' Mending ',' Use ',' Operator ',' Easy ',' Ribet ',' Nipu ']</v>
      </c>
      <c r="D2113" s="3">
        <v>1.0</v>
      </c>
    </row>
    <row r="2114" ht="15.75" customHeight="1">
      <c r="A2114" s="1">
        <v>2112.0</v>
      </c>
      <c r="B2114" s="3" t="s">
        <v>2114</v>
      </c>
      <c r="C2114" s="3" t="str">
        <f>IFERROR(__xludf.DUMMYFUNCTION("GOOGLETRANSLATE(B2114,""id"",""en"")"),"['Haloooooo', 'Telkomsel', 'Matangan', 'ugly', 'really', 'Dipalembang', 'job', 'employees',' petantang ',' petenteng ',' show off ',' salary ',' network ',' slow ',' beg ',' responded ']")</f>
        <v>['Haloooooo', 'Telkomsel', 'Matangan', 'ugly', 'really', 'Dipalembang', 'job', 'employees',' petantang ',' petenteng ',' show off ',' salary ',' network ',' slow ',' beg ',' responded ']</v>
      </c>
      <c r="D2114" s="3">
        <v>1.0</v>
      </c>
    </row>
    <row r="2115" ht="15.75" customHeight="1">
      <c r="A2115" s="1">
        <v>2113.0</v>
      </c>
      <c r="B2115" s="3" t="s">
        <v>2115</v>
      </c>
      <c r="C2115" s="3" t="str">
        <f>IFERROR(__xludf.DUMMYFUNCTION("GOOGLETRANSLATE(B2115,""id"",""en"")"),"['dapet', 'pulse', 'rb', 'already', 'buy', 'package', 'contents',' call ',' minute ',' tsel ',' minute ',' operator ',' package ',' SMS ',' RB ',' credit ',' bonus', 'use', 'sms',' already ',' package ',' call ',' already ',' package ',' just ' , 'Enter',"&amp;" 'Free', 'Credit', 'RB', 'Send', 'Link', 'Over', 'Thank you', ""]")</f>
        <v>['dapet', 'pulse', 'rb', 'already', 'buy', 'package', 'contents',' call ',' minute ',' tsel ',' minute ',' operator ',' package ',' SMS ',' RB ',' credit ',' bonus', 'use', 'sms',' already ',' package ',' call ',' already ',' package ',' just ' , 'Enter', 'Free', 'Credit', 'RB', 'Send', 'Link', 'Over', 'Thank you', "]</v>
      </c>
      <c r="D2115" s="3">
        <v>5.0</v>
      </c>
    </row>
    <row r="2116" ht="15.75" customHeight="1">
      <c r="A2116" s="1">
        <v>2114.0</v>
      </c>
      <c r="B2116" s="3" t="s">
        <v>2116</v>
      </c>
      <c r="C2116" s="3" t="str">
        <f>IFERROR(__xludf.DUMMYFUNCTION("GOOGLETRANSLATE(B2116,""id"",""en"")"),"['card', 'contents',' package ',' pulse ',' failed ',' check ',' credit ',' accept ',' call ',' sms', 'telkomsel', 'access',' Please ', the' solution ',' ']")</f>
        <v>['card', 'contents',' package ',' pulse ',' failed ',' check ',' credit ',' accept ',' call ',' sms', 'telkomsel', 'access',' Please ', the' solution ',' ']</v>
      </c>
      <c r="D2116" s="3">
        <v>1.0</v>
      </c>
    </row>
    <row r="2117" ht="15.75" customHeight="1">
      <c r="A2117" s="1">
        <v>2115.0</v>
      </c>
      <c r="B2117" s="3" t="s">
        <v>2117</v>
      </c>
      <c r="C2117" s="3" t="str">
        <f>IFERROR(__xludf.DUMMYFUNCTION("GOOGLETRANSLATE(B2117,""id"",""en"")"),"['Admin', 'Update', 'Package', 'Combo', 'Sakti', 'Unlimited', 'Lost', 'Buy', 'Package', 'Expensive', 'Need', 'Package', ' Learning ',' Krna ',' expensive ',' package ',' buy ',' appears', 'difficult', '']")</f>
        <v>['Admin', 'Update', 'Package', 'Combo', 'Sakti', 'Unlimited', 'Lost', 'Buy', 'Package', 'Expensive', 'Need', 'Package', ' Learning ',' Krna ',' expensive ',' package ',' buy ',' appears', 'difficult', '']</v>
      </c>
      <c r="D2117" s="3">
        <v>1.0</v>
      </c>
    </row>
    <row r="2118" ht="15.75" customHeight="1">
      <c r="A2118" s="1">
        <v>2116.0</v>
      </c>
      <c r="B2118" s="3" t="s">
        <v>2118</v>
      </c>
      <c r="C2118" s="3" t="str">
        <f>IFERROR(__xludf.DUMMYFUNCTION("GOOGLETRANSLATE(B2118,""id"",""en"")"),"['love', 'Telkomsel', 'slow', 'severe', 'cuk', 'play', 'game', 'stable', 'kyak', 'friend', 'luck', 'complain', ' Mending ',' Move ',' ']")</f>
        <v>['love', 'Telkomsel', 'slow', 'severe', 'cuk', 'play', 'game', 'stable', 'kyak', 'friend', 'luck', 'complain', ' Mending ',' Move ',' ']</v>
      </c>
      <c r="D2118" s="3">
        <v>1.0</v>
      </c>
    </row>
    <row r="2119" ht="15.75" customHeight="1">
      <c r="A2119" s="1">
        <v>2117.0</v>
      </c>
      <c r="B2119" s="3" t="s">
        <v>2119</v>
      </c>
      <c r="C2119" s="3" t="str">
        <f>IFERROR(__xludf.DUMMYFUNCTION("GOOGLETRANSLATE(B2119,""id"",""en"")"),"['usage', 'non', 'package', 'omitted', 'because of' service ',' really ',' disappointing ',' second ',' pulse ',' collapse ',' because ' Forgotten ',' Buy ',' Package ',' Feature ',' Connect ',' Package ',' Out ',' Operator ',' Really ',' Disappointing ',"&amp;"' ']")</f>
        <v>['usage', 'non', 'package', 'omitted', 'because of' service ',' really ',' disappointing ',' second ',' pulse ',' collapse ',' because ' Forgotten ',' Buy ',' Package ',' Feature ',' Connect ',' Package ',' Out ',' Operator ',' Really ',' Disappointing ',' ']</v>
      </c>
      <c r="D2119" s="3">
        <v>1.0</v>
      </c>
    </row>
    <row r="2120" ht="15.75" customHeight="1">
      <c r="A2120" s="1">
        <v>2118.0</v>
      </c>
      <c r="B2120" s="3" t="s">
        <v>2120</v>
      </c>
      <c r="C2120" s="3" t="str">
        <f>IFERROR(__xludf.DUMMYFUNCTION("GOOGLETRANSLATE(B2120,""id"",""en"")"),"['APK', 'good', 'makes easier', 'user', 'card', 'Telkomsel', 'language', 'promo', 'promo', 'interesting', 'already', 'many years',' Telkomsel ',' steady ',' basically ', ""]")</f>
        <v>['APK', 'good', 'makes easier', 'user', 'card', 'Telkomsel', 'language', 'promo', 'promo', 'interesting', 'already', 'many years',' Telkomsel ',' steady ',' basically ', "]</v>
      </c>
      <c r="D2120" s="3">
        <v>5.0</v>
      </c>
    </row>
    <row r="2121" ht="15.75" customHeight="1">
      <c r="A2121" s="1">
        <v>2119.0</v>
      </c>
      <c r="B2121" s="3" t="s">
        <v>2121</v>
      </c>
      <c r="C2121" s="3" t="str">
        <f>IFERROR(__xludf.DUMMYFUNCTION("GOOGLETRANSLATE(B2121,""id"",""en"")"),"['Hugukar', 'gift', 'collect', 'stamp', 'smooth', 'Rp', 'reduced', 'pulse', 'sekrg', 'point', 'tidk', 'sufficient', ' relationships', 'points',' surprised ',' already ',' signal ',' slow ',' udh ',' a month ',' price ',' package ',' expensive ',' tuker ',"&amp;"' gift ' , 'Persulit']")</f>
        <v>['Hugukar', 'gift', 'collect', 'stamp', 'smooth', 'Rp', 'reduced', 'pulse', 'sekrg', 'point', 'tidk', 'sufficient', ' relationships', 'points',' surprised ',' already ',' signal ',' slow ',' udh ',' a month ',' price ',' package ',' expensive ',' tuker ',' gift ' , 'Persulit']</v>
      </c>
      <c r="D2121" s="3">
        <v>3.0</v>
      </c>
    </row>
    <row r="2122" ht="15.75" customHeight="1">
      <c r="A2122" s="1">
        <v>2120.0</v>
      </c>
      <c r="B2122" s="3" t="s">
        <v>2122</v>
      </c>
      <c r="C2122" s="3" t="str">
        <f>IFERROR(__xludf.DUMMYFUNCTION("GOOGLETRANSLATE(B2122,""id"",""en"")"),"['Region', 'Pemalang', 'Java', 'Network', 'Telkomsel', 'ugly', 'really', 'slow', 'play', 'game', 'lag', 'data', ' lost ',' price ',' package ',' expensive ',' quality ',' network ',' good ',' telkomsel ',' network ',' skarang ',' already ',' different ','"&amp;" jlek ' , 'bnget']")</f>
        <v>['Region', 'Pemalang', 'Java', 'Network', 'Telkomsel', 'ugly', 'really', 'slow', 'play', 'game', 'lag', 'data', ' lost ',' price ',' package ',' expensive ',' quality ',' network ',' good ',' telkomsel ',' network ',' skarang ',' already ',' different ',' jlek ' , 'bnget']</v>
      </c>
      <c r="D2122" s="3">
        <v>1.0</v>
      </c>
    </row>
    <row r="2123" ht="15.75" customHeight="1">
      <c r="A2123" s="1">
        <v>2121.0</v>
      </c>
      <c r="B2123" s="3" t="s">
        <v>2123</v>
      </c>
      <c r="C2123" s="3" t="str">
        <f>IFERROR(__xludf.DUMMYFUNCTION("GOOGLETRANSLATE(B2123,""id"",""en"")"),"['application', 'liar', 'waste', 'cook', 'absent', 'exchanged', 'poor', 'application', 'log', 'out', 'then' entered ',' KNA ',' Cut ',' Pulzaku ',' Severe ']")</f>
        <v>['application', 'liar', 'waste', 'cook', 'absent', 'exchanged', 'poor', 'application', 'log', 'out', 'then' entered ',' KNA ',' Cut ',' Pulzaku ',' Severe ']</v>
      </c>
      <c r="D2123" s="3">
        <v>1.0</v>
      </c>
    </row>
    <row r="2124" ht="15.75" customHeight="1">
      <c r="A2124" s="1">
        <v>2122.0</v>
      </c>
      <c r="B2124" s="3" t="s">
        <v>2124</v>
      </c>
      <c r="C2124" s="3" t="str">
        <f>IFERROR(__xludf.DUMMYFUNCTION("GOOGLETRANSLATE(B2124,""id"",""en"")"),"['network', 'Telkomsel', 'watch', 'youtube', 'smooth', 'network', 'anteng', 'turn', 'play', 'pub', 'network', 'move', ' poor ',' telkampret ']")</f>
        <v>['network', 'Telkomsel', 'watch', 'youtube', 'smooth', 'network', 'anteng', 'turn', 'play', 'pub', 'network', 'move', ' poor ',' telkampret ']</v>
      </c>
      <c r="D2124" s="3">
        <v>1.0</v>
      </c>
    </row>
    <row r="2125" ht="15.75" customHeight="1">
      <c r="A2125" s="1">
        <v>2123.0</v>
      </c>
      <c r="B2125" s="3" t="s">
        <v>2125</v>
      </c>
      <c r="C2125" s="3" t="str">
        <f>IFERROR(__xludf.DUMMYFUNCTION("GOOGLETRANSLATE(B2125,""id"",""en"")"),"['Sorry', 'star', 'Reduce', 'Clock', 'Claim', 'Bonus',' Daily ',' Check ',' GB ',' Claim ',' Success', 'Pieces',' Points', 'according to', 'notification', 'quota', 'GB', 'enter', 'please', 'noticed', 'star', 'Explain', 'uninstall', 'the application', 'Tha"&amp;"nks' , '']")</f>
        <v>['Sorry', 'star', 'Reduce', 'Clock', 'Claim', 'Bonus',' Daily ',' Check ',' GB ',' Claim ',' Success', 'Pieces',' Points', 'according to', 'notification', 'quota', 'GB', 'enter', 'please', 'noticed', 'star', 'Explain', 'uninstall', 'the application', 'Thanks' , '']</v>
      </c>
      <c r="D2125" s="3">
        <v>2.0</v>
      </c>
    </row>
    <row r="2126" ht="15.75" customHeight="1">
      <c r="A2126" s="1">
        <v>2124.0</v>
      </c>
      <c r="B2126" s="3" t="s">
        <v>2126</v>
      </c>
      <c r="C2126" s="3" t="str">
        <f>IFERROR(__xludf.DUMMYFUNCTION("GOOGLETRANSLATE(B2126,""id"",""en"")"),"['Signal', 'Tetep', 'Disconnect', 'Cave', 'WiFi', 'WiFi', 'Telkom', 'Pas',' Data ',' Direct ',' Current ',' say ',' money ',' njeng ',' smpe ',' told ',' data ',' really ',' data ',' uga ',' play ',' game ',' skolah ',' please ',' fix ' , 'tugging', 'rati"&amp;"ng', 'replied', 'tautah', 'talking', 'copy', 'paste', 'cave', 'idler', 'napa', 'try', 'Klean', ' Work ',' Do ',' Best ',' ']")</f>
        <v>['Signal', 'Tetep', 'Disconnect', 'Cave', 'WiFi', 'WiFi', 'Telkom', 'Pas',' Data ',' Direct ',' Current ',' say ',' money ',' njeng ',' smpe ',' told ',' data ',' really ',' data ',' uga ',' play ',' game ',' skolah ',' please ',' fix ' , 'tugging', 'rating', 'replied', 'tautah', 'talking', 'copy', 'paste', 'cave', 'idler', 'napa', 'try', 'Klean', ' Work ',' Do ',' Best ',' ']</v>
      </c>
      <c r="D2126" s="3">
        <v>1.0</v>
      </c>
    </row>
    <row r="2127" ht="15.75" customHeight="1">
      <c r="A2127" s="1">
        <v>2125.0</v>
      </c>
      <c r="B2127" s="3" t="s">
        <v>2127</v>
      </c>
      <c r="C2127" s="3" t="str">
        <f>IFERROR(__xludf.DUMMYFUNCTION("GOOGLETRANSLATE(B2127,""id"",""en"")"),"['buy', 'package', 'expensive', 'get', 'signal', 'ugly', 'Telkomsel', 'comfortable', 'customer', 'complain', 'comparable', 'user', ' Attention ',' Complaint ',' User ',' Telkomsel ',' Disorders', 'A Week', 'Signal', 'Lost', 'Browsing', 'Signal', 'Phone', "&amp;"'Ugly', 'City' , 'hammer', '']")</f>
        <v>['buy', 'package', 'expensive', 'get', 'signal', 'ugly', 'Telkomsel', 'comfortable', 'customer', 'complain', 'comparable', 'user', ' Attention ',' Complaint ',' User ',' Telkomsel ',' Disorders', 'A Week', 'Signal', 'Lost', 'Browsing', 'Signal', 'Phone', 'Ugly', 'City' , 'hammer', '']</v>
      </c>
      <c r="D2127" s="3">
        <v>1.0</v>
      </c>
    </row>
    <row r="2128" ht="15.75" customHeight="1">
      <c r="A2128" s="1">
        <v>2126.0</v>
      </c>
      <c r="B2128" s="3" t="s">
        <v>2128</v>
      </c>
      <c r="C2128" s="3" t="str">
        <f>IFERROR(__xludf.DUMMYFUNCTION("GOOGLETRANSLATE(B2128,""id"",""en"")"),"['Disappointed', 'Package', 'Combo', 'Sakti', 'Unlimited', 'Cuman', 'Kenai', 'Limitation', 'Speed', 'Access',' Application ',' Kli ',' intentionally ',' buy ',' package ',' night ',' access', 'application', 'just', 'quota', 'night', 'Kenai', 'limit', 'spe"&amp;"ed', 'jdi' , 'Followup', 'slow', 'quota', 'night', 'Kenai', 'limit', 'speed', 'deliberate', 'Wait', 'Ampe', 'clock', 'disappointed', ' Mubazir ',' Credit ',' Telkomsel ',' Damn ', ""]")</f>
        <v>['Disappointed', 'Package', 'Combo', 'Sakti', 'Unlimited', 'Cuman', 'Kenai', 'Limitation', 'Speed', 'Access',' Application ',' Kli ',' intentionally ',' buy ',' package ',' night ',' access', 'application', 'just', 'quota', 'night', 'Kenai', 'limit', 'speed', 'jdi' , 'Followup', 'slow', 'quota', 'night', 'Kenai', 'limit', 'speed', 'deliberate', 'Wait', 'Ampe', 'clock', 'disappointed', ' Mubazir ',' Credit ',' Telkomsel ',' Damn ', "]</v>
      </c>
      <c r="D2128" s="3">
        <v>1.0</v>
      </c>
    </row>
    <row r="2129" ht="15.75" customHeight="1">
      <c r="A2129" s="1">
        <v>2127.0</v>
      </c>
      <c r="B2129" s="3" t="s">
        <v>2129</v>
      </c>
      <c r="C2129" s="3" t="str">
        <f>IFERROR(__xludf.DUMMYFUNCTION("GOOGLETRANSLATE(B2129,""id"",""en"")"),"['Ngak', 'entered', 'Something', 'Wrong', 'Something', 'Wrong', 'People', 'Kaga', 'Enter', 'Kaga', 'Knp', 'Bad', ' Already ',' expensive ',' signal ',' bad ',' Helih ',' ']")</f>
        <v>['Ngak', 'entered', 'Something', 'Wrong', 'Something', 'Wrong', 'People', 'Kaga', 'Enter', 'Kaga', 'Knp', 'Bad', ' Already ',' expensive ',' signal ',' bad ',' Helih ',' ']</v>
      </c>
      <c r="D2129" s="3">
        <v>1.0</v>
      </c>
    </row>
    <row r="2130" ht="15.75" customHeight="1">
      <c r="A2130" s="1">
        <v>2128.0</v>
      </c>
      <c r="B2130" s="3" t="s">
        <v>2130</v>
      </c>
      <c r="C2130" s="3" t="str">
        <f>IFERROR(__xludf.DUMMYFUNCTION("GOOGLETRANSLATE(B2130,""id"",""en"")"),"['', 'Telkomsel', 'here', 'Good', 'Install', 'right', 'enter', 'uninstall', 'that's', '']")</f>
        <v>['', 'Telkomsel', 'here', 'Good', 'Install', 'right', 'enter', 'uninstall', 'that's', '']</v>
      </c>
      <c r="D2130" s="3">
        <v>4.0</v>
      </c>
    </row>
    <row r="2131" ht="15.75" customHeight="1">
      <c r="A2131" s="1">
        <v>2129.0</v>
      </c>
      <c r="B2131" s="3" t="s">
        <v>2131</v>
      </c>
      <c r="C2131" s="3" t="str">
        <f>IFERROR(__xludf.DUMMYFUNCTION("GOOGLETRANSLATE(B2131,""id"",""en"")"),"['Keese', 'access',' internet ',' Telkomsel ',' Suda ',' doubt ',' noticed ',' Conto ',' Review ',' iternet ',' ulimated ',' combo ',' Sakti ',' lei ',' mura ',' price ',' sie ',' stubanding ',' card ',' card ',' telkomsel ',' cono ',' brikut ',' card ' ,"&amp;" 'Telkomsel', 'sympathy', 'Kombo', 'Sakti', 'unlimated', 'price', 'package', 'package', 'package', 'Tlong', 'Telkomsel']")</f>
        <v>['Keese', 'access',' internet ',' Telkomsel ',' Suda ',' doubt ',' noticed ',' Conto ',' Review ',' iternet ',' ulimated ',' combo ',' Sakti ',' lei ',' mura ',' price ',' sie ',' stubanding ',' card ',' card ',' telkomsel ',' cono ',' brikut ',' card ' , 'Telkomsel', 'sympathy', 'Kombo', 'Sakti', 'unlimated', 'price', 'package', 'package', 'package', 'Tlong', 'Telkomsel']</v>
      </c>
      <c r="D2131" s="3">
        <v>5.0</v>
      </c>
    </row>
    <row r="2132" ht="15.75" customHeight="1">
      <c r="A2132" s="1">
        <v>2130.0</v>
      </c>
      <c r="B2132" s="3" t="s">
        <v>2132</v>
      </c>
      <c r="C2132" s="3" t="str">
        <f>IFERROR(__xludf.DUMMYFUNCTION("GOOGLETRANSLATE(B2132,""id"",""en"")"),"['buy', 'package', 'internet', 'rb', 'tap', 'signal', 'down', 'really', 'area', 'city', 'remote', 'ngegam', ' Severe ',' really ',' sinynyal ',' just ',' price ',' package ',' doang ',' mahalin ',' net ',' Benerin ',' ngegam ',' disappointed ',' customer "&amp;"' , 'FAITH', 'FIX', 'already', 'umpteenth', 'time', 'move', 'operator']")</f>
        <v>['buy', 'package', 'internet', 'rb', 'tap', 'signal', 'down', 'really', 'area', 'city', 'remote', 'ngegam', ' Severe ',' really ',' sinynyal ',' just ',' price ',' package ',' doang ',' mahalin ',' net ',' Benerin ',' ngegam ',' disappointed ',' customer ' , 'FAITH', 'FIX', 'already', 'umpteenth', 'time', 'move', 'operator']</v>
      </c>
      <c r="D2132" s="3">
        <v>1.0</v>
      </c>
    </row>
    <row r="2133" ht="15.75" customHeight="1">
      <c r="A2133" s="1">
        <v>2131.0</v>
      </c>
      <c r="B2133" s="3" t="s">
        <v>2133</v>
      </c>
      <c r="C2133" s="3" t="str">
        <f>IFERROR(__xludf.DUMMYFUNCTION("GOOGLETRANSLATE(B2133,""id"",""en"")"),"['difficult', 'ngactivein', 'package', 'Telkomsel', 'see', 'package', 'call', 'thousand', 'contents',' pulses', 'directly', 'ilang', ' package ',' access', 'code', 'dial', 'writing', 'sorry', 'buy', 'product', 'there', 'printed', 'product', ""]")</f>
        <v>['difficult', 'ngactivein', 'package', 'Telkomsel', 'see', 'package', 'call', 'thousand', 'contents',' pulses', 'directly', 'ilang', ' package ',' access', 'code', 'dial', 'writing', 'sorry', 'buy', 'product', 'there', 'printed', 'product', "]</v>
      </c>
      <c r="D2133" s="3">
        <v>1.0</v>
      </c>
    </row>
    <row r="2134" ht="15.75" customHeight="1">
      <c r="A2134" s="1">
        <v>2132.0</v>
      </c>
      <c r="B2134" s="3" t="s">
        <v>2134</v>
      </c>
      <c r="C2134" s="3" t="str">
        <f>IFERROR(__xludf.DUMMYFUNCTION("GOOGLETRANSLATE(B2134,""id"",""en"")"),"['Sorry', 'knp', 'buy', 'quota', 'quota', 'learn', 'notification', 'quota', 'out', 'how', '']")</f>
        <v>['Sorry', 'knp', 'buy', 'quota', 'quota', 'learn', 'notification', 'quota', 'out', 'how', '']</v>
      </c>
      <c r="D2134" s="3">
        <v>2.0</v>
      </c>
    </row>
    <row r="2135" ht="15.75" customHeight="1">
      <c r="A2135" s="1">
        <v>2133.0</v>
      </c>
      <c r="B2135" s="3" t="s">
        <v>2135</v>
      </c>
      <c r="C2135" s="3" t="str">
        <f>IFERROR(__xludf.DUMMYFUNCTION("GOOGLETRANSLATE(B2135,""id"",""en"")"),"['MFF', 'Network', 'Bogor', 'South', 'Please', 'Fix', 'Make', 'Quality', 'Network', 'Good', 'Lagih', 'Price', ' expensive ',' dri ',' friend ',' job ',' friend ',' sodara ',' ngeluh ',' because 'network', 'Telkomsel', 'skrang', 'rich', 'dlu' , 'skarang', "&amp;"'bad', 'network', 'disappointed', 'network', 'gini', 'continued', '']")</f>
        <v>['MFF', 'Network', 'Bogor', 'South', 'Please', 'Fix', 'Make', 'Quality', 'Network', 'Good', 'Lagih', 'Price', ' expensive ',' dri ',' friend ',' job ',' friend ',' sodara ',' ngeluh ',' because 'network', 'Telkomsel', 'skrang', 'rich', 'dlu' , 'skarang', 'bad', 'network', 'disappointed', 'network', 'gini', 'continued', '']</v>
      </c>
      <c r="D2135" s="3">
        <v>2.0</v>
      </c>
    </row>
    <row r="2136" ht="15.75" customHeight="1">
      <c r="A2136" s="1">
        <v>2134.0</v>
      </c>
      <c r="B2136" s="3" t="s">
        <v>2136</v>
      </c>
      <c r="C2136" s="3" t="str">
        <f>IFERROR(__xludf.DUMMYFUNCTION("GOOGLETRANSLATE(B2136,""id"",""en"")"),"['buy', 'package', 'like', 'error', 'reload', 'page', 'Mulu', 'list', 'package', 'internet', 'appears',' right ',' buy ',' wifi ',' good ',' ngestuck ',' picture ',' loading ',' right ',' entry ',' etc. ']")</f>
        <v>['buy', 'package', 'like', 'error', 'reload', 'page', 'Mulu', 'list', 'package', 'internet', 'appears',' right ',' buy ',' wifi ',' good ',' ngestuck ',' picture ',' loading ',' right ',' entry ',' etc. ']</v>
      </c>
      <c r="D2136" s="3">
        <v>1.0</v>
      </c>
    </row>
    <row r="2137" ht="15.75" customHeight="1">
      <c r="A2137" s="1">
        <v>2135.0</v>
      </c>
      <c r="B2137" s="3" t="s">
        <v>2137</v>
      </c>
      <c r="C2137" s="3" t="str">
        <f>IFERROR(__xludf.DUMMYFUNCTION("GOOGLETRANSLATE(B2137,""id"",""en"")"),"['Cerliota', 'taken', 'how', 'times',' repaired ',' How good ',' good ',' org ',' can ',' fair ',' nomer ',' Doang ',' ']")</f>
        <v>['Cerliota', 'taken', 'how', 'times',' repaired ',' How good ',' good ',' org ',' can ',' fair ',' nomer ',' Doang ',' ']</v>
      </c>
      <c r="D2137" s="3">
        <v>1.0</v>
      </c>
    </row>
    <row r="2138" ht="15.75" customHeight="1">
      <c r="A2138" s="1">
        <v>2136.0</v>
      </c>
      <c r="B2138" s="3" t="s">
        <v>2138</v>
      </c>
      <c r="C2138" s="3" t="str">
        <f>IFERROR(__xludf.DUMMYFUNCTION("GOOGLETRANSLATE(B2138,""id"",""en"")"),"['Trash', 'connection', 'steady', 'reload', 'right', 'buy', 'data', 'said', 'internet', 'internet', 'testspeed', 'internet', ' Current ',' fix ',' deh ',' stalled ', ""]")</f>
        <v>['Trash', 'connection', 'steady', 'reload', 'right', 'buy', 'data', 'said', 'internet', 'internet', 'testspeed', 'internet', ' Current ',' fix ',' deh ',' stalled ', "]</v>
      </c>
      <c r="D2138" s="3">
        <v>1.0</v>
      </c>
    </row>
    <row r="2139" ht="15.75" customHeight="1">
      <c r="A2139" s="1">
        <v>2137.0</v>
      </c>
      <c r="B2139" s="3" t="s">
        <v>2139</v>
      </c>
      <c r="C2139" s="3" t="str">
        <f>IFERROR(__xludf.DUMMYFUNCTION("GOOGLETRANSLATE(B2139,""id"",""en"")"),"['Please', 'getting', 'Sinyal', 'Javanese', 'West', 'Batujajar', 'Enter', 'Game', 'YouTube', 'Instagram', 'Google', 'Loading', ' Already ',' Wait ',' Minutes', 'Error', 'Ngeownload', 'HARD', 'MB', 'SAMPE', 'HOURS', 'HAVE', 'SILLY', 'SINYAL', '']")</f>
        <v>['Please', 'getting', 'Sinyal', 'Javanese', 'West', 'Batujajar', 'Enter', 'Game', 'YouTube', 'Instagram', 'Google', 'Loading', ' Already ',' Wait ',' Minutes', 'Error', 'Ngeownload', 'HARD', 'MB', 'SAMPE', 'HOURS', 'HAVE', 'SILLY', 'SINYAL', '']</v>
      </c>
      <c r="D2139" s="3">
        <v>2.0</v>
      </c>
    </row>
    <row r="2140" ht="15.75" customHeight="1">
      <c r="A2140" s="1">
        <v>2138.0</v>
      </c>
      <c r="B2140" s="3" t="s">
        <v>2140</v>
      </c>
      <c r="C2140" s="3" t="str">
        <f>IFERROR(__xludf.DUMMYFUNCTION("GOOGLETRANSLATE(B2140,""id"",""en"")"),"['delicious',' tasty ',' ngekame ',' network ',' ilang ',' already ',' try ',' restart ',' live ',' mode ',' plane ',' tetep ',' network ',' now ',' just ',' call ',' emergency ',' squeezed ',' price ',' package ',' expensive ',' network ',' comparable ',"&amp;"' price ',' package ' ]")</f>
        <v>['delicious',' tasty ',' ngekame ',' network ',' ilang ',' already ',' try ',' restart ',' live ',' mode ',' plane ',' tetep ',' network ',' now ',' just ',' call ',' emergency ',' squeezed ',' price ',' package ',' expensive ',' network ',' comparable ',' price ',' package ' ]</v>
      </c>
      <c r="D2140" s="3">
        <v>1.0</v>
      </c>
    </row>
    <row r="2141" ht="15.75" customHeight="1">
      <c r="A2141" s="1">
        <v>2139.0</v>
      </c>
      <c r="B2141" s="3" t="s">
        <v>2141</v>
      </c>
      <c r="C2141" s="3" t="str">
        <f>IFERROR(__xludf.DUMMYFUNCTION("GOOGLETRANSLATE(B2141,""id"",""en"")"),"['sorry', 'min', 'bug', 'how', 'package', 'game', 'max', 'quota', 'game', 'max', 'bejibun', 'quota', ' Inet ',' finished ',' Fine ',' quota ',' internet ',' please ',' fix ',' annoying ']")</f>
        <v>['sorry', 'min', 'bug', 'how', 'package', 'game', 'max', 'quota', 'game', 'max', 'bejibun', 'quota', ' Inet ',' finished ',' Fine ',' quota ',' internet ',' please ',' fix ',' annoying ']</v>
      </c>
      <c r="D2141" s="3">
        <v>2.0</v>
      </c>
    </row>
    <row r="2142" ht="15.75" customHeight="1">
      <c r="A2142" s="1">
        <v>2140.0</v>
      </c>
      <c r="B2142" s="3" t="s">
        <v>2142</v>
      </c>
      <c r="C2142" s="3" t="str">
        <f>IFERROR(__xludf.DUMMYFUNCTION("GOOGLETRANSLATE(B2142,""id"",""en"")"),"['satisfying', 'Application', 'Different', 'Mobile', 'Different', 'number', 'choice', 'Package', 'Different', 'Different', 'Choice', 'Package', ' Combo ',' Sakti ',' Unlimited ',' Internet ',' OMG ',' ']")</f>
        <v>['satisfying', 'Application', 'Different', 'Mobile', 'Different', 'number', 'choice', 'Package', 'Different', 'Different', 'Choice', 'Package', ' Combo ',' Sakti ',' Unlimited ',' Internet ',' OMG ',' ']</v>
      </c>
      <c r="D2142" s="3">
        <v>5.0</v>
      </c>
    </row>
    <row r="2143" ht="15.75" customHeight="1">
      <c r="A2143" s="1">
        <v>2141.0</v>
      </c>
      <c r="B2143" s="3" t="s">
        <v>2143</v>
      </c>
      <c r="C2143" s="3" t="str">
        <f>IFERROR(__xludf.DUMMYFUNCTION("GOOGLETRANSLATE(B2143,""id"",""en"")"),"['min', 'application', 'Telkomsel', 'open', 'upgrade', 'difficult', 'check', 'leftover', 'quota', 'etc.', 'signal', 'Please', ' Min ',' Thank you ', ""]")</f>
        <v>['min', 'application', 'Telkomsel', 'open', 'upgrade', 'difficult', 'check', 'leftover', 'quota', 'etc.', 'signal', 'Please', ' Min ',' Thank you ', "]</v>
      </c>
      <c r="D2143" s="3">
        <v>1.0</v>
      </c>
    </row>
    <row r="2144" ht="15.75" customHeight="1">
      <c r="A2144" s="1">
        <v>2142.0</v>
      </c>
      <c r="B2144" s="3" t="s">
        <v>2144</v>
      </c>
      <c r="C2144" s="3" t="str">
        <f>IFERROR(__xludf.DUMMYFUNCTION("GOOGLETRANSLATE(B2144,""id"",""en"")"),"['Teburuk', 'use', 'card', 'Select', 'Tekkomsel', 'KTNA', 'NIGHT', 'Good', 'Network', 'Bad', 'Telkomsel', ""]")</f>
        <v>['Teburuk', 'use', 'card', 'Select', 'Tekkomsel', 'KTNA', 'NIGHT', 'Good', 'Network', 'Bad', 'Telkomsel', "]</v>
      </c>
      <c r="D2144" s="3">
        <v>1.0</v>
      </c>
    </row>
    <row r="2145" ht="15.75" customHeight="1">
      <c r="A2145" s="1">
        <v>2143.0</v>
      </c>
      <c r="B2145" s="3" t="s">
        <v>2145</v>
      </c>
      <c r="C2145" s="3" t="str">
        <f>IFERROR(__xludf.DUMMYFUNCTION("GOOGLETRANSLATE(B2145,""id"",""en"")"),"['woy', 'card', 'Telkomsel', 'card', 'signal', 'hilng', 'cave', 'udh', 'regret', 'card', 'Telkomsel', 'kya', ' gini ',' staple ',' cave ',' regret ',' card ',' tlkomsel ',' kya ',' gini ',' lbih ',' moved ',' card ',' ']")</f>
        <v>['woy', 'card', 'Telkomsel', 'card', 'signal', 'hilng', 'cave', 'udh', 'regret', 'card', 'Telkomsel', 'kya', ' gini ',' staple ',' cave ',' regret ',' card ',' tlkomsel ',' kya ',' gini ',' lbih ',' moved ',' card ',' ']</v>
      </c>
      <c r="D2145" s="3">
        <v>1.0</v>
      </c>
    </row>
    <row r="2146" ht="15.75" customHeight="1">
      <c r="A2146" s="1">
        <v>2144.0</v>
      </c>
      <c r="B2146" s="3" t="s">
        <v>2146</v>
      </c>
      <c r="C2146" s="3" t="str">
        <f>IFERROR(__xludf.DUMMYFUNCTION("GOOGLETRANSLATE(B2146,""id"",""en"")"),"['knp', 'speed', 'byte', 'combo', 'unlimited', 'already', 'run out', 'package', 'until', 'kb', 'max', 'kb', ' "", 'description', 'Kec', 'byte', 'max', 'printed', 'fraudster', 'user', 'loyal', 'tsel']")</f>
        <v>['knp', 'speed', 'byte', 'combo', 'unlimited', 'already', 'run out', 'package', 'until', 'kb', 'max', 'kb', ' ", 'description', 'Kec', 'byte', 'max', 'printed', 'fraudster', 'user', 'loyal', 'tsel']</v>
      </c>
      <c r="D2146" s="3">
        <v>1.0</v>
      </c>
    </row>
    <row r="2147" ht="15.75" customHeight="1">
      <c r="A2147" s="1">
        <v>2145.0</v>
      </c>
      <c r="B2147" s="3" t="s">
        <v>2147</v>
      </c>
      <c r="C2147" s="3" t="str">
        <f>IFERROR(__xludf.DUMMYFUNCTION("GOOGLETRANSLATE(B2147,""id"",""en"")"),"['Sorry', 'senelum', 'said', 'Telkomsel', 'village', 'Bandar', 'Lampung', 'signal', 'down', 'please', 'fix', 'difficult', ' Hopefully ',' fast ',' fix ']")</f>
        <v>['Sorry', 'senelum', 'said', 'Telkomsel', 'village', 'Bandar', 'Lampung', 'signal', 'down', 'please', 'fix', 'difficult', ' Hopefully ',' fast ',' fix ']</v>
      </c>
      <c r="D2147" s="3">
        <v>1.0</v>
      </c>
    </row>
    <row r="2148" ht="15.75" customHeight="1">
      <c r="A2148" s="1">
        <v>2146.0</v>
      </c>
      <c r="B2148" s="3" t="s">
        <v>2148</v>
      </c>
      <c r="C2148" s="3" t="str">
        <f>IFERROR(__xludf.DUMMYFUNCTION("GOOGLETRANSLATE(B2148,""id"",""en"")"),"['', 'notification', 'signal', 'open', 'You', 'tube', 'no', 'connection', 'internet', 'quota', 'internet', 'omg', 'he meant ',' ']")</f>
        <v>['', 'notification', 'signal', 'open', 'You', 'tube', 'no', 'connection', 'internet', 'quota', 'internet', 'omg', 'he meant ',' ']</v>
      </c>
      <c r="D2148" s="3">
        <v>2.0</v>
      </c>
    </row>
    <row r="2149" ht="15.75" customHeight="1">
      <c r="A2149" s="1">
        <v>2147.0</v>
      </c>
      <c r="B2149" s="3" t="s">
        <v>2149</v>
      </c>
      <c r="C2149" s="3" t="str">
        <f>IFERROR(__xludf.DUMMYFUNCTION("GOOGLETRANSLATE(B2149,""id"",""en"")"),"['Card', 'Hello', 'Network', 'Priority', 'Bekasi', 'Kab', 'users',' Telkomsel ',' Suggest ',' Play ',' Mobile ',' Legend ',' Change ',' Provider ',' Ngeyel ',' Jamin ',' lag ',' Your Star ',' Abis', 'Kyk', ""]")</f>
        <v>['Card', 'Hello', 'Network', 'Priority', 'Bekasi', 'Kab', 'users',' Telkomsel ',' Suggest ',' Play ',' Mobile ',' Legend ',' Change ',' Provider ',' Ngeyel ',' Jamin ',' lag ',' Your Star ',' Abis', 'Kyk', "]</v>
      </c>
      <c r="D2149" s="3">
        <v>1.0</v>
      </c>
    </row>
    <row r="2150" ht="15.75" customHeight="1">
      <c r="A2150" s="1">
        <v>2148.0</v>
      </c>
      <c r="B2150" s="3" t="s">
        <v>2150</v>
      </c>
      <c r="C2150" s="3" t="str">
        <f>IFERROR(__xludf.DUMMYFUNCTION("GOOGLETRANSLATE(B2150,""id"",""en"")"),"['GMNA', 'Buy', 'Package', 'Internet', 'Persulit', 'Process',' TPI ',' HRI ',' MSIH ',' Process', 'Mentang', 'Buy', ' package ',' internet ',' promo ',' service ',' bad ',' promo ',' package ',' internet ']")</f>
        <v>['GMNA', 'Buy', 'Package', 'Internet', 'Persulit', 'Process',' TPI ',' HRI ',' MSIH ',' Process', 'Mentang', 'Buy', ' package ',' internet ',' promo ',' service ',' bad ',' promo ',' package ',' internet ']</v>
      </c>
      <c r="D2150" s="3">
        <v>1.0</v>
      </c>
    </row>
    <row r="2151" ht="15.75" customHeight="1">
      <c r="A2151" s="1">
        <v>2149.0</v>
      </c>
      <c r="B2151" s="3" t="s">
        <v>2151</v>
      </c>
      <c r="C2151" s="3" t="str">
        <f>IFERROR(__xludf.DUMMYFUNCTION("GOOGLETRANSLATE(B2151,""id"",""en"")"),"['buy', 'package', 'data', 'promo', 'GB', 'MyTelkomsel', 'transaction', 'according to', 'quota', 'enter', 'please', 'admin', ' Thicking against ',' Naises', '']")</f>
        <v>['buy', 'package', 'data', 'promo', 'GB', 'MyTelkomsel', 'transaction', 'according to', 'quota', 'enter', 'please', 'admin', ' Thicking against ',' Naises', '']</v>
      </c>
      <c r="D2151" s="3">
        <v>1.0</v>
      </c>
    </row>
    <row r="2152" ht="15.75" customHeight="1">
      <c r="A2152" s="1">
        <v>2150.0</v>
      </c>
      <c r="B2152" s="3" t="s">
        <v>2152</v>
      </c>
      <c r="C2152" s="3" t="str">
        <f>IFERROR(__xludf.DUMMYFUNCTION("GOOGLETRANSLATE(B2152,""id"",""en"")"),"['sorry', 'love', 'star', 'sinya', 'telkomsel', 'ugly', 'bang', 'open', 'apk', 'difficult', 'worse', 'message', ' Chat ',' Send ',' Kirain ',' Abis', 'Pket', 'Then', 'Open', 'APK', 'Difficult', 'Turn', 'Buy', 'Package', 'Lacar' , 'Disruption', 'Min', '']")</f>
        <v>['sorry', 'love', 'star', 'sinya', 'telkomsel', 'ugly', 'bang', 'open', 'apk', 'difficult', 'worse', 'message', ' Chat ',' Send ',' Kirain ',' Abis', 'Pket', 'Then', 'Open', 'APK', 'Difficult', 'Turn', 'Buy', 'Package', 'Lacar' , 'Disruption', 'Min', '']</v>
      </c>
      <c r="D2152" s="3">
        <v>1.0</v>
      </c>
    </row>
    <row r="2153" ht="15.75" customHeight="1">
      <c r="A2153" s="1">
        <v>2151.0</v>
      </c>
      <c r="B2153" s="3" t="s">
        <v>2153</v>
      </c>
      <c r="C2153" s="3" t="str">
        <f>IFERROR(__xludf.DUMMYFUNCTION("GOOGLETRANSLATE(B2153,""id"",""en"")"),"['fix', 'signal', 'network', 'cook', 'already', 'package', 'expensive', 'quality', 'signal', 'network', 'no', 'city', ' No ',' village ',' signal ', ""]")</f>
        <v>['fix', 'signal', 'network', 'cook', 'already', 'package', 'expensive', 'quality', 'signal', 'network', 'no', 'city', ' No ',' village ',' signal ', "]</v>
      </c>
      <c r="D2153" s="3">
        <v>1.0</v>
      </c>
    </row>
    <row r="2154" ht="15.75" customHeight="1">
      <c r="A2154" s="1">
        <v>2152.0</v>
      </c>
      <c r="B2154" s="3" t="s">
        <v>2154</v>
      </c>
      <c r="C2154" s="3" t="str">
        <f>IFERROR(__xludf.DUMMYFUNCTION("GOOGLETRANSLATE(B2154,""id"",""en"")"),"['Telkomsel', 'as good', 'famous',' signal ',' always', 'good', 'wherever', 'location', 'SKR', 'disruption', 'signal', 'down', ' Customers', 'Switch', 'Signal', 'Good', 'Karna', 'Age', 'SKR', 'User', 'Internet', 'School', 'Personal', 'Business']")</f>
        <v>['Telkomsel', 'as good', 'famous',' signal ',' always', 'good', 'wherever', 'location', 'SKR', 'disruption', 'signal', 'down', ' Customers', 'Switch', 'Signal', 'Good', 'Karna', 'Age', 'SKR', 'User', 'Internet', 'School', 'Personal', 'Business']</v>
      </c>
      <c r="D2154" s="3">
        <v>3.0</v>
      </c>
    </row>
    <row r="2155" ht="15.75" customHeight="1">
      <c r="A2155" s="1">
        <v>2153.0</v>
      </c>
      <c r="B2155" s="3" t="s">
        <v>2155</v>
      </c>
      <c r="C2155" s="3" t="str">
        <f>IFERROR(__xludf.DUMMYFUNCTION("GOOGLETRANSLATE(B2155,""id"",""en"")"),"['Come on', 'Gais',' Application ',' Help ',' Say ',' KPD ',' MyTelkomsel ',' Thank you ',' Moga ',' Can ',' App ',' Additional ',' Best ',' stingy ',' gave ']")</f>
        <v>['Come on', 'Gais',' Application ',' Help ',' Say ',' KPD ',' MyTelkomsel ',' Thank you ',' Moga ',' Can ',' App ',' Additional ',' Best ',' stingy ',' gave ']</v>
      </c>
      <c r="D2155" s="3">
        <v>5.0</v>
      </c>
    </row>
    <row r="2156" ht="15.75" customHeight="1">
      <c r="A2156" s="1">
        <v>2154.0</v>
      </c>
      <c r="B2156" s="3" t="s">
        <v>2156</v>
      </c>
      <c r="C2156" s="3" t="str">
        <f>IFERROR(__xludf.DUMMYFUNCTION("GOOGLETRANSLATE(B2156,""id"",""en"")"),"['application', 'love', 'pulse', 'free', 'thousand', 'sms',' telkomsel ',' send ',' just ',' lie ',' waste ',' card ',' Telkomsel ',' ']")</f>
        <v>['application', 'love', 'pulse', 'free', 'thousand', 'sms',' telkomsel ',' send ',' just ',' lie ',' waste ',' card ',' Telkomsel ',' ']</v>
      </c>
      <c r="D2156" s="3">
        <v>2.0</v>
      </c>
    </row>
    <row r="2157" ht="15.75" customHeight="1">
      <c r="A2157" s="1">
        <v>2155.0</v>
      </c>
      <c r="B2157" s="3" t="s">
        <v>2157</v>
      </c>
      <c r="C2157" s="3" t="str">
        <f>IFERROR(__xludf.DUMMYFUNCTION("GOOGLETRANSLATE(B2157,""id"",""en"")"),"['Excuse', 'customers',' Telkomsel ',' disappointed ',' network ',' ugly ',' solution ',' satisfying ',' email ',' klau ',' number ',' sya ',' Discard ',' Please ',' Signal ',' Network ',' Repaired ',' Cuman ',' The Slogan ',' Network ',' Fastest ',' Wide"&amp;"st ',' Proficing ',' zero ', ""]")</f>
        <v>['Excuse', 'customers',' Telkomsel ',' disappointed ',' network ',' ugly ',' solution ',' satisfying ',' email ',' klau ',' number ',' sya ',' Discard ',' Please ',' Signal ',' Network ',' Repaired ',' Cuman ',' The Slogan ',' Network ',' Fastest ',' Widest ',' Proficing ',' zero ', "]</v>
      </c>
      <c r="D2157" s="3">
        <v>1.0</v>
      </c>
    </row>
    <row r="2158" ht="15.75" customHeight="1">
      <c r="A2158" s="1">
        <v>2156.0</v>
      </c>
      <c r="B2158" s="3" t="s">
        <v>2158</v>
      </c>
      <c r="C2158" s="3" t="str">
        <f>IFERROR(__xludf.DUMMYFUNCTION("GOOGLETRANSLATE(B2158,""id"",""en"")"),"['Astagaaa', 'Dataku', 'already', 'buy', 'package', 'data', 'expensive', 'network', 'card', 'Telkomsel', 'network', 'error', ' My Kart ',' Error ',' Raying ',' Anyway ', ""]")</f>
        <v>['Astagaaa', 'Dataku', 'already', 'buy', 'package', 'data', 'expensive', 'network', 'card', 'Telkomsel', 'network', 'error', ' My Kart ',' Error ',' Raying ',' Anyway ', "]</v>
      </c>
      <c r="D2158" s="3">
        <v>1.0</v>
      </c>
    </row>
    <row r="2159" ht="15.75" customHeight="1">
      <c r="A2159" s="1">
        <v>2157.0</v>
      </c>
      <c r="B2159" s="3" t="s">
        <v>2159</v>
      </c>
      <c r="C2159" s="3" t="str">
        <f>IFERROR(__xludf.DUMMYFUNCTION("GOOGLETRANSLATE(B2159,""id"",""en"")"),"['Please', 'bang', 'nie', 'card', 'Telkomsel', 'slow', 'oat', 'how', 'bored', 'please', 'fix', 'good', ' Fucking ',' Link ',' work ',' Ouch ',' Bang ',' Bang ',' Info ',' Network ',' Kek ',' Anjim ']")</f>
        <v>['Please', 'bang', 'nie', 'card', 'Telkomsel', 'slow', 'oat', 'how', 'bored', 'please', 'fix', 'good', ' Fucking ',' Link ',' work ',' Ouch ',' Bang ',' Bang ',' Info ',' Network ',' Kek ',' Anjim ']</v>
      </c>
      <c r="D2159" s="3">
        <v>1.0</v>
      </c>
    </row>
    <row r="2160" ht="15.75" customHeight="1">
      <c r="A2160" s="1">
        <v>2158.0</v>
      </c>
      <c r="B2160" s="3" t="s">
        <v>2160</v>
      </c>
      <c r="C2160" s="3" t="str">
        <f>IFERROR(__xludf.DUMMYFUNCTION("GOOGLETRANSLATE(B2160,""id"",""en"")"),"['repaired', 'claim', 'gift', 'daily', 'check', 'gabisa', 'then', 'buy', 'pulse', 'funds',' error ',' beg ',' Language ',' rude ',' ajg ',' apk ',' broken ',' how ',' cok ',' error ',' mulu ',' sin ',' talk ',' repair ', ""]")</f>
        <v>['repaired', 'claim', 'gift', 'daily', 'check', 'gabisa', 'then', 'buy', 'pulse', 'funds',' error ',' beg ',' Language ',' rude ',' ajg ',' apk ',' broken ',' how ',' cok ',' error ',' mulu ',' sin ',' talk ',' repair ', "]</v>
      </c>
      <c r="D2160" s="3">
        <v>1.0</v>
      </c>
    </row>
    <row r="2161" ht="15.75" customHeight="1">
      <c r="A2161" s="1">
        <v>2159.0</v>
      </c>
      <c r="B2161" s="3" t="s">
        <v>2161</v>
      </c>
      <c r="C2161" s="3" t="str">
        <f>IFERROR(__xludf.DUMMYFUNCTION("GOOGLETRANSLATE(B2161,""id"",""en"")"),"['Disappointed', 'Telkomsel', 'dummary', 'use', 'card', 'promo', 'internet', 'cheap', 'expensive', 'loyal', 'change', 'number', ' Please, 'Consider', 'Donk', 'Customer', 'Service', 'Mentang', 'Search', 'Attention', 'Org', 'Use', 'Telkomsel', 'Dikasi', 'Pr"&amp;"omo' , 'ignore', '']")</f>
        <v>['Disappointed', 'Telkomsel', 'dummary', 'use', 'card', 'promo', 'internet', 'cheap', 'expensive', 'loyal', 'change', 'number', ' Please, 'Consider', 'Donk', 'Customer', 'Service', 'Mentang', 'Search', 'Attention', 'Org', 'Use', 'Telkomsel', 'Dikasi', 'Promo' , 'ignore', '']</v>
      </c>
      <c r="D2161" s="3">
        <v>3.0</v>
      </c>
    </row>
    <row r="2162" ht="15.75" customHeight="1">
      <c r="A2162" s="1">
        <v>2160.0</v>
      </c>
      <c r="B2162" s="3" t="s">
        <v>2162</v>
      </c>
      <c r="C2162" s="3" t="str">
        <f>IFERROR(__xludf.DUMMYFUNCTION("GOOGLETRANSLATE(B2162,""id"",""en"")"),"['Min', 'Please', 'Males',' Times', 'Discuss',' Network ',' Please ',' Priority ',' Defemer ',' School ',' Online ',' Hoping ',' Make ',' provider ',' network ',' good ',' package ',' expensive ',' network ',' pulp ',' bat ',' kek ',' garbage ',' region '"&amp;",' kalbar ' , 'Network', 'down', 'oath', 'diverse', 'really', 'Telkomsel', 'already', 'prioritizing', 'customers', '']")</f>
        <v>['Min', 'Please', 'Males',' Times', 'Discuss',' Network ',' Please ',' Priority ',' Defemer ',' School ',' Online ',' Hoping ',' Make ',' provider ',' network ',' good ',' package ',' expensive ',' network ',' pulp ',' bat ',' kek ',' garbage ',' region ',' kalbar ' , 'Network', 'down', 'oath', 'diverse', 'really', 'Telkomsel', 'already', 'prioritizing', 'customers', '']</v>
      </c>
      <c r="D2162" s="3">
        <v>1.0</v>
      </c>
    </row>
    <row r="2163" ht="15.75" customHeight="1">
      <c r="A2163" s="1">
        <v>2161.0</v>
      </c>
      <c r="B2163" s="3" t="s">
        <v>2163</v>
      </c>
      <c r="C2163" s="3" t="str">
        <f>IFERROR(__xludf.DUMMYFUNCTION("GOOGLETRANSLATE(B2163,""id"",""en"")"),"['Hehehe', 'Love', 'Review', 'No', 'Satisfied', 'Service', 'Telkomsel', 'Stlh', 'Think', 'Price', 'Package', 'Internet', ' famous', 'expensive', 'according to', 'stability', 'signal', 'sorry', 'Yeee', 'Telkomsel', 'friend', 'work', 'moved', 'heart', 'card"&amp;"' , 'DAGH', 'DAGH', 'Signal', 'BURIK', 'Stable', 'Main', 'Game', 'Paketan', 'Expensive', ""]")</f>
        <v>['Hehehe', 'Love', 'Review', 'No', 'Satisfied', 'Service', 'Telkomsel', 'Stlh', 'Think', 'Price', 'Package', 'Internet', ' famous', 'expensive', 'according to', 'stability', 'signal', 'sorry', 'Yeee', 'Telkomsel', 'friend', 'work', 'moved', 'heart', 'card' , 'DAGH', 'DAGH', 'Signal', 'BURIK', 'Stable', 'Main', 'Game', 'Paketan', 'Expensive', "]</v>
      </c>
      <c r="D2163" s="3">
        <v>1.0</v>
      </c>
    </row>
    <row r="2164" ht="15.75" customHeight="1">
      <c r="A2164" s="1">
        <v>2162.0</v>
      </c>
      <c r="B2164" s="3" t="s">
        <v>2164</v>
      </c>
      <c r="C2164" s="3" t="str">
        <f>IFERROR(__xludf.DUMMYFUNCTION("GOOGLETRANSLATE(B2164,""id"",""en"")"),"['Min', 'GMN', 'Since', 'PKET', 'Unlimited', 'Cheerful', 'Credit', 'Sumpot', 'Notification', 'SDG', 'Access',' Rates', ' Watch ',' PKET ',' Package ',' Mash ',' Open ',' Internet ',' Wonder ',' Use ',' Package ',' Take ',' IDR ',' Show ',' Please ' , 'Fix"&amp;"', 'Thun', 'use', 'Performance', 'Telkomsel', 'ugly', 'really', 'difficult', 'msh', 'online', ""]")</f>
        <v>['Min', 'GMN', 'Since', 'PKET', 'Unlimited', 'Cheerful', 'Credit', 'Sumpot', 'Notification', 'SDG', 'Access',' Rates', ' Watch ',' PKET ',' Package ',' Mash ',' Open ',' Internet ',' Wonder ',' Use ',' Package ',' Take ',' IDR ',' Show ',' Please ' , 'Fix', 'Thun', 'use', 'Performance', 'Telkomsel', 'ugly', 'really', 'difficult', 'msh', 'online', "]</v>
      </c>
      <c r="D2164" s="3">
        <v>1.0</v>
      </c>
    </row>
    <row r="2165" ht="15.75" customHeight="1">
      <c r="A2165" s="1">
        <v>2163.0</v>
      </c>
      <c r="B2165" s="3" t="s">
        <v>2165</v>
      </c>
      <c r="C2165" s="3" t="str">
        <f>IFERROR(__xludf.DUMMYFUNCTION("GOOGLETRANSLATE(B2165,""id"",""en"")"),"['Please', 'Sorry', 'Open', 'Application', 'Application', 'Rich', 'Download', 'Bar', 'Speed', 'Kbps', 'Direct', 'Mbps']")</f>
        <v>['Please', 'Sorry', 'Open', 'Application', 'Application', 'Rich', 'Download', 'Bar', 'Speed', 'Kbps', 'Direct', 'Mbps']</v>
      </c>
      <c r="D2165" s="3">
        <v>1.0</v>
      </c>
    </row>
    <row r="2166" ht="15.75" customHeight="1">
      <c r="A2166" s="1">
        <v>2164.0</v>
      </c>
      <c r="B2166" s="3" t="s">
        <v>2166</v>
      </c>
      <c r="C2166" s="3" t="str">
        <f>IFERROR(__xludf.DUMMYFUNCTION("GOOGLETRANSLATE(B2166,""id"",""en"")"),"['Telkomsel', 'Java', 'bad', 'signal', 'min', 'learn', 'online', 'no', 'no', 'absent']")</f>
        <v>['Telkomsel', 'Java', 'bad', 'signal', 'min', 'learn', 'online', 'no', 'no', 'absent']</v>
      </c>
      <c r="D2166" s="3">
        <v>1.0</v>
      </c>
    </row>
    <row r="2167" ht="15.75" customHeight="1">
      <c r="A2167" s="1">
        <v>2165.0</v>
      </c>
      <c r="B2167" s="3" t="s">
        <v>2167</v>
      </c>
      <c r="C2167" s="3" t="str">
        <f>IFERROR(__xludf.DUMMYFUNCTION("GOOGLETRANSLATE(B2167,""id"",""en"")"),"['Misqin', 'use', 'cell', 'network', 'smooth', 'Gakenal', 'sakuan', 'still', 'tetep', 'misqin', 'desperate', 'cell', ' The network is', 'Bad', 'Main', 'pub', 'Awo', 'AFK', 'What', '']")</f>
        <v>['Misqin', 'use', 'cell', 'network', 'smooth', 'Gakenal', 'sakuan', 'still', 'tetep', 'misqin', 'desperate', 'cell', ' The network is', 'Bad', 'Main', 'pub', 'Awo', 'AFK', 'What', '']</v>
      </c>
      <c r="D2167" s="3">
        <v>1.0</v>
      </c>
    </row>
    <row r="2168" ht="15.75" customHeight="1">
      <c r="A2168" s="1">
        <v>2166.0</v>
      </c>
      <c r="B2168" s="3" t="s">
        <v>2168</v>
      </c>
      <c r="C2168" s="3" t="str">
        <f>IFERROR(__xludf.DUMMYFUNCTION("GOOGLETRANSLATE(B2168,""id"",""en"")"),"['Sorry', 'Min', 'Nanya', 'BLI', 'Package', 'Unlimited', 'Capacity', 'Description', 'GB', 'Until', 'Clock', 'Can', ' SMS ',' access', 'internet', 'rates',' non ',' package ',' info ',' tsel ',' data ',' rates', 'save', 'buy', 'package' , 'Internet', 'Tsel"&amp;"', 'CMA', 'Open', 'Youtub', 'Chatingan', 'Min', 'Out', 'GB', 'ilang', 'Where', 'Min', ' Network ',' Down ',' City ',' Min ',' ']")</f>
        <v>['Sorry', 'Min', 'Nanya', 'BLI', 'Package', 'Unlimited', 'Capacity', 'Description', 'GB', 'Until', 'Clock', 'Can', ' SMS ',' access', 'internet', 'rates',' non ',' package ',' info ',' tsel ',' data ',' rates', 'save', 'buy', 'package' , 'Internet', 'Tsel', 'CMA', 'Open', 'Youtub', 'Chatingan', 'Min', 'Out', 'GB', 'ilang', 'Where', 'Min', ' Network ',' Down ',' City ',' Min ',' ']</v>
      </c>
      <c r="D2168" s="3">
        <v>1.0</v>
      </c>
    </row>
    <row r="2169" ht="15.75" customHeight="1">
      <c r="A2169" s="1">
        <v>2167.0</v>
      </c>
      <c r="B2169" s="3" t="s">
        <v>2169</v>
      </c>
      <c r="C2169" s="3" t="str">
        <f>IFERROR(__xludf.DUMMYFUNCTION("GOOGLETRANSLATE(B2169,""id"",""en"")"),"['buy', 'package', 'internet', 'promokan', 'GB', 'RB', 'already', 'try', 'buy', 'morning', 'response', 'package', ' Eliminated ',' What's', 'What's',' Package ',' Internet ',' Out ',' Forgotten ',' Activates', 'Internet', 'Direct', 'Credit', 'Ludes',' Som"&amp;"etimes' , 'pulse', 'run out', 'detrimental']")</f>
        <v>['buy', 'package', 'internet', 'promokan', 'GB', 'RB', 'already', 'try', 'buy', 'morning', 'response', 'package', ' Eliminated ',' What's', 'What's',' Package ',' Internet ',' Out ',' Forgotten ',' Activates', 'Internet', 'Direct', 'Credit', 'Ludes',' Sometimes' , 'pulse', 'run out', 'detrimental']</v>
      </c>
      <c r="D2169" s="3">
        <v>1.0</v>
      </c>
    </row>
    <row r="2170" ht="15.75" customHeight="1">
      <c r="A2170" s="1">
        <v>2168.0</v>
      </c>
      <c r="B2170" s="3" t="s">
        <v>2170</v>
      </c>
      <c r="C2170" s="3" t="str">
        <f>IFERROR(__xludf.DUMMYFUNCTION("GOOGLETRANSLATE(B2170,""id"",""en"")"),"['ugly', 'apk', 'help', 'entry', 'verification', 'data', 'signal', 'slow', 'enter', 'Telkomsel', 'buy', 'data', ' Credit ',' Help ',' Developer ',' APK ',' Cave ',' Season ',' Terips']")</f>
        <v>['ugly', 'apk', 'help', 'entry', 'verification', 'data', 'signal', 'slow', 'enter', 'Telkomsel', 'buy', 'data', ' Credit ',' Help ',' Developer ',' APK ',' Cave ',' Season ',' Terips']</v>
      </c>
      <c r="D2170" s="3">
        <v>1.0</v>
      </c>
    </row>
    <row r="2171" ht="15.75" customHeight="1">
      <c r="A2171" s="1">
        <v>2169.0</v>
      </c>
      <c r="B2171" s="3" t="s">
        <v>2171</v>
      </c>
      <c r="C2171" s="3" t="str">
        <f>IFERROR(__xludf.DUMMYFUNCTION("GOOGLETRANSLATE(B2171,""id"",""en"")"),"['Min', 'App', 'Telkomsel', 'promo', 'package', 'cheerful', 'GB', 'RB', 'buy', 'TPI', 'right', 'buy', ' pulses', 'loss',' loss', 'pulse', 'direct', 'run out', 'uda', 'that's',' list ',' package ',' quota ',' learn ',' managed ' , 'Register', 'TPI', 'Telko"&amp;"msel', 'Multimedian', 'GB', 'GB', 'Please', 'Help', 'Min', 'Online', 'Life', ' Hard ',' Min ',' Persulit ',' ']")</f>
        <v>['Min', 'App', 'Telkomsel', 'promo', 'package', 'cheerful', 'GB', 'RB', 'buy', 'TPI', 'right', 'buy', ' pulses', 'loss',' loss', 'pulse', 'direct', 'run out', 'uda', 'that's',' list ',' package ',' quota ',' learn ',' managed ' , 'Register', 'TPI', 'Telkomsel', 'Multimedian', 'GB', 'GB', 'Please', 'Help', 'Min', 'Online', 'Life', ' Hard ',' Min ',' Persulit ',' ']</v>
      </c>
      <c r="D2171" s="3">
        <v>1.0</v>
      </c>
    </row>
    <row r="2172" ht="15.75" customHeight="1">
      <c r="A2172" s="1">
        <v>2170.0</v>
      </c>
      <c r="B2172" s="3" t="s">
        <v>2172</v>
      </c>
      <c r="C2172" s="3" t="str">
        <f>IFERROR(__xludf.DUMMYFUNCTION("GOOGLETRANSLATE(B2172,""id"",""en"")"),"['access',' data ',' super ',' slow ',' price ',' super ',' expensive ',' leftover ',' pulse ',' Colong ',' complete ',' class', ' Telkomsel ',' Main ',' Game ',' Shy ',' Ama ']")</f>
        <v>['access',' data ',' super ',' slow ',' price ',' super ',' expensive ',' leftover ',' pulse ',' Colong ',' complete ',' class', ' Telkomsel ',' Main ',' Game ',' Shy ',' Ama ']</v>
      </c>
      <c r="D2172" s="3">
        <v>1.0</v>
      </c>
    </row>
    <row r="2173" ht="15.75" customHeight="1">
      <c r="A2173" s="1">
        <v>2171.0</v>
      </c>
      <c r="B2173" s="3" t="s">
        <v>2173</v>
      </c>
      <c r="C2173" s="3" t="str">
        <f>IFERROR(__xludf.DUMMYFUNCTION("GOOGLETRANSLATE(B2173,""id"",""en"")"),"['Star', 'Quality', 'Network', 'Telkomsel', 'Bad', 'Area', 'Java', 'Problems',' Min ',' Quality ',' Good ',' Since ',' Pandemic ',' Covid ',' Network ',' Telkomsel ',' Destroyed ',' Please ',' Repaired ',' Min ',' Disturbing ',' Job ',' Thank you ',' Read"&amp;" ']")</f>
        <v>['Star', 'Quality', 'Network', 'Telkomsel', 'Bad', 'Area', 'Java', 'Problems',' Min ',' Quality ',' Good ',' Since ',' Pandemic ',' Covid ',' Network ',' Telkomsel ',' Destroyed ',' Please ',' Repaired ',' Min ',' Disturbing ',' Job ',' Thank you ',' Read ']</v>
      </c>
      <c r="D2173" s="3">
        <v>3.0</v>
      </c>
    </row>
    <row r="2174" ht="15.75" customHeight="1">
      <c r="A2174" s="1">
        <v>2172.0</v>
      </c>
      <c r="B2174" s="3" t="s">
        <v>2174</v>
      </c>
      <c r="C2174" s="3" t="str">
        <f>IFERROR(__xludf.DUMMYFUNCTION("GOOGLETRANSLATE(B2174,""id"",""en"")"),"['Ngeselin', 'Tlkomsial', 'Bru', 'Good', 'Network', 'Region', 'Tapung', 'Act', 'Quality', 'Telkomsel', 'Disappointing', 'Package', ' expensive ',' quality ',' destroyed ', ""]")</f>
        <v>['Ngeselin', 'Tlkomsial', 'Bru', 'Good', 'Network', 'Region', 'Tapung', 'Act', 'Quality', 'Telkomsel', 'Disappointing', 'Package', ' expensive ',' quality ',' destroyed ', "]</v>
      </c>
      <c r="D2174" s="3">
        <v>1.0</v>
      </c>
    </row>
    <row r="2175" ht="15.75" customHeight="1">
      <c r="A2175" s="1">
        <v>2173.0</v>
      </c>
      <c r="B2175" s="3" t="s">
        <v>2175</v>
      </c>
      <c r="C2175" s="3" t="str">
        <f>IFERROR(__xludf.DUMMYFUNCTION("GOOGLETRANSLATE(B2175,""id"",""en"")"),"['Network', 'rotten', 'noon', 'night', 'package', 'expensive', 'network', 'rotten', 'user', 'loyal', 'disappointed', 'network', ' Ngapa ',' Anjiiiiiiiiiiiiiiiiiiiiii ...]")</f>
        <v>['Network', 'rotten', 'noon', 'night', 'package', 'expensive', 'network', 'rotten', 'user', 'loyal', 'disappointed', 'network', ' Ngapa ',' Anjiiiiiiiiiiiiiiiiiiiiii ...]</v>
      </c>
      <c r="D2175" s="3">
        <v>1.0</v>
      </c>
    </row>
    <row r="2176" ht="15.75" customHeight="1">
      <c r="A2176" s="1">
        <v>2174.0</v>
      </c>
      <c r="B2176" s="3" t="s">
        <v>2176</v>
      </c>
      <c r="C2176" s="3" t="str">
        <f>IFERROR(__xludf.DUMMYFUNCTION("GOOGLETRANSLATE(B2176,""id"",""en"")"),"['explanation', 'pulse', 'thousand', 'thousand', 'buy', 'buy', 'notification', 'explanation', 'satisfying', 'corrupted', 'credit', 'customer', ' pulses', 'use', 'open', 'maklumi', 'package', 'unlimited', 'buy', 'top', 'application', 'notification', 'messa"&amp;"ge', 'buy', ""]")</f>
        <v>['explanation', 'pulse', 'thousand', 'thousand', 'buy', 'buy', 'notification', 'explanation', 'satisfying', 'corrupted', 'credit', 'customer', ' pulses', 'use', 'open', 'maklumi', 'package', 'unlimited', 'buy', 'top', 'application', 'notification', 'message', 'buy', "]</v>
      </c>
      <c r="D2176" s="3">
        <v>1.0</v>
      </c>
    </row>
    <row r="2177" ht="15.75" customHeight="1">
      <c r="A2177" s="1">
        <v>2175.0</v>
      </c>
      <c r="B2177" s="3" t="s">
        <v>2177</v>
      </c>
      <c r="C2177" s="3" t="str">
        <f>IFERROR(__xludf.DUMMYFUNCTION("GOOGLETRANSLATE(B2177,""id"",""en"")"),"['Package', 'Combo', 'Sakti', 'Unlimited', 'ugly', 'Quality', 'Signal', 'Loading', 'Snail', 'Full', 'Bar', 'LTE', ' Loss', 'pulse', 'buy', 'package', 'location', 'Yogyakarta', '']")</f>
        <v>['Package', 'Combo', 'Sakti', 'Unlimited', 'ugly', 'Quality', 'Signal', 'Loading', 'Snail', 'Full', 'Bar', 'LTE', ' Loss', 'pulse', 'buy', 'package', 'location', 'Yogyakarta', '']</v>
      </c>
      <c r="D2177" s="3">
        <v>1.0</v>
      </c>
    </row>
    <row r="2178" ht="15.75" customHeight="1">
      <c r="A2178" s="1">
        <v>2176.0</v>
      </c>
      <c r="B2178" s="3" t="s">
        <v>2178</v>
      </c>
      <c r="C2178" s="3" t="str">
        <f>IFERROR(__xludf.DUMMYFUNCTION("GOOGLETRANSLATE(B2178,""id"",""en"")"),"['Package', 'unlimited', 'thousand', 'slow', 'quota', 'main', 'open', 'youtube', 'loading', 'minute', 'quality', 'loadingya', ' Game ',' Mobile ',' Legen ',' Ping ',' Jumping ',' Jumping ',' lag ',' second ',' Considered ',' Game ',' Network ',' ilang ','"&amp;" fix ' , 'quality', 'network', 'unlimited', 'network', 'ugly', 'expensive', 'doang', 'network', 'lost', 'missing', ""]")</f>
        <v>['Package', 'unlimited', 'thousand', 'slow', 'quota', 'main', 'open', 'youtube', 'loading', 'minute', 'quality', 'loadingya', ' Game ',' Mobile ',' Legen ',' Ping ',' Jumping ',' Jumping ',' lag ',' second ',' Considered ',' Game ',' Network ',' ilang ',' fix ' , 'quality', 'network', 'unlimited', 'network', 'ugly', 'expensive', 'doang', 'network', 'lost', 'missing', "]</v>
      </c>
      <c r="D2178" s="3">
        <v>1.0</v>
      </c>
    </row>
    <row r="2179" ht="15.75" customHeight="1">
      <c r="A2179" s="1">
        <v>2177.0</v>
      </c>
      <c r="B2179" s="3" t="s">
        <v>2179</v>
      </c>
      <c r="C2179" s="3" t="str">
        <f>IFERROR(__xludf.DUMMYFUNCTION("GOOGLETRANSLATE(B2179,""id"",""en"")"),"['quota', 'internet', 'run out', 'robbing', 'pulse', 'main', 'please', 'rates',' normal ',' count ',' count ',' pulses', ' Thousands', 'Lost', 'That's',' Gara ',' Gara ',' Data ',' On ',' Quota ',' Out ',' Give ',' Input ',' Tlekomsel ',' Credit ' , 'main"&amp;"', 'is automated', 'replacement', 'data', 'selluler', 'detrimental', 'user', 'itung', 'itukan', 'second', 'pulses',' thousand ',' Direct ',' run out ',' loss', 'cung', 'experience', 'fate', '']")</f>
        <v>['quota', 'internet', 'run out', 'robbing', 'pulse', 'main', 'please', 'rates',' normal ',' count ',' count ',' pulses', ' Thousands', 'Lost', 'That's',' Gara ',' Gara ',' Data ',' On ',' Quota ',' Out ',' Give ',' Input ',' Tlekomsel ',' Credit ' , 'main', 'is automated', 'replacement', 'data', 'selluler', 'detrimental', 'user', 'itung', 'itukan', 'second', 'pulses',' thousand ',' Direct ',' run out ',' loss', 'cung', 'experience', 'fate', '']</v>
      </c>
      <c r="D2179" s="3">
        <v>1.0</v>
      </c>
    </row>
    <row r="2180" ht="15.75" customHeight="1">
      <c r="A2180" s="1">
        <v>2178.0</v>
      </c>
      <c r="B2180" s="3" t="s">
        <v>2180</v>
      </c>
      <c r="C2180" s="3" t="str">
        <f>IFERROR(__xludf.DUMMYFUNCTION("GOOGLETRANSLATE(B2180,""id"",""en"")"),"['The story', 'drive', 'motorbike', 'telephone', 'enter', 'pull over', 'lift', 'call', 'sound', 'sound', 'operator', 'costs',' charged ',' recipient ',' crazy ',' feature ',' number ',' known ',' entry ',' receiver ',' beloved ',' cost ',' conversation ',"&amp;"' please ',' deh ' , 'Telkomsel', 'omitted', 'Features', 'Yangsalah', 'Gunain']")</f>
        <v>['The story', 'drive', 'motorbike', 'telephone', 'enter', 'pull over', 'lift', 'call', 'sound', 'sound', 'operator', 'costs',' charged ',' recipient ',' crazy ',' feature ',' number ',' known ',' entry ',' receiver ',' beloved ',' cost ',' conversation ',' please ',' deh ' , 'Telkomsel', 'omitted', 'Features', 'Yangsalah', 'Gunain']</v>
      </c>
      <c r="D2180" s="3">
        <v>3.0</v>
      </c>
    </row>
    <row r="2181" ht="15.75" customHeight="1">
      <c r="A2181" s="1">
        <v>2179.0</v>
      </c>
      <c r="B2181" s="3" t="s">
        <v>2181</v>
      </c>
      <c r="C2181" s="3" t="str">
        <f>IFERROR(__xludf.DUMMYFUNCTION("GOOGLETRANSLATE(B2181,""id"",""en"")"),"['Telkom', 'security', 'difficult', 'people', 'know', 'card', 'product', 'next door', 'no', 'rich', 'gini', 'move', ' Telkom ',' hit ',' hypnosis', 'people', 'know', 'rb', 'pulse', 'transfer', 'money', 'rb', 'complaint', 'telkom', 'already' , 'no', 'comfo"&amp;"rtable', 'no', 'rich', 'telkom']")</f>
        <v>['Telkom', 'security', 'difficult', 'people', 'know', 'card', 'product', 'next door', 'no', 'rich', 'gini', 'move', ' Telkom ',' hit ',' hypnosis', 'people', 'know', 'rb', 'pulse', 'transfer', 'money', 'rb', 'complaint', 'telkom', 'already' , 'no', 'comfortable', 'no', 'rich', 'telkom']</v>
      </c>
      <c r="D2181" s="3">
        <v>1.0</v>
      </c>
    </row>
    <row r="2182" ht="15.75" customHeight="1">
      <c r="A2182" s="1">
        <v>2180.0</v>
      </c>
      <c r="B2182" s="3" t="s">
        <v>2182</v>
      </c>
      <c r="C2182" s="3" t="str">
        <f>IFERROR(__xludf.DUMMYFUNCTION("GOOGLETRANSLATE(B2182,""id"",""en"")"),"['What', 'buy', 'package', 'OMG', 'application', 'buy', 'package', 'package', 'reduced', 'pulses', 'quota', 'how']")</f>
        <v>['What', 'buy', 'package', 'OMG', 'application', 'buy', 'package', 'package', 'reduced', 'pulses', 'quota', 'how']</v>
      </c>
      <c r="D2182" s="3">
        <v>1.0</v>
      </c>
    </row>
    <row r="2183" ht="15.75" customHeight="1">
      <c r="A2183" s="1">
        <v>2181.0</v>
      </c>
      <c r="B2183" s="3" t="s">
        <v>2183</v>
      </c>
      <c r="C2183" s="3" t="str">
        <f>IFERROR(__xludf.DUMMYFUNCTION("GOOGLETRANSLATE(B2183,""id"",""en"")"),"['Package', 'Combo', 'Sakti', 'Yesterday', 'What', 'Telkomsel', 'Thinking', 'Customer', 'Wonder', 'Network', 'Sometimes',' Already ',' move', '']")</f>
        <v>['Package', 'Combo', 'Sakti', 'Yesterday', 'What', 'Telkomsel', 'Thinking', 'Customer', 'Wonder', 'Network', 'Sometimes',' Already ',' move', '']</v>
      </c>
      <c r="D2183" s="3">
        <v>2.0</v>
      </c>
    </row>
    <row r="2184" ht="15.75" customHeight="1">
      <c r="A2184" s="1">
        <v>2182.0</v>
      </c>
      <c r="B2184" s="3" t="s">
        <v>2184</v>
      </c>
      <c r="C2184" s="3" t="str">
        <f>IFERROR(__xludf.DUMMYFUNCTION("GOOGLETRANSLATE(B2184,""id"",""en"")"),"['user', 'card', 'Hello', 'Package', 'GB', 'Internet', 'GB', 'Entertainment', 'price', 'here', 'expensive', 'info', ' Change ',' Skali ',' Operator ',' How ',' Try ', ""]")</f>
        <v>['user', 'card', 'Hello', 'Package', 'GB', 'Internet', 'GB', 'Entertainment', 'price', 'here', 'expensive', 'info', ' Change ',' Skali ',' Operator ',' How ',' Try ', "]</v>
      </c>
      <c r="D2184" s="3">
        <v>4.0</v>
      </c>
    </row>
    <row r="2185" ht="15.75" customHeight="1">
      <c r="A2185" s="1">
        <v>2183.0</v>
      </c>
      <c r="B2185" s="3" t="s">
        <v>2185</v>
      </c>
      <c r="C2185" s="3" t="str">
        <f>IFERROR(__xludf.DUMMYFUNCTION("GOOGLETRANSLATE(B2185,""id"",""en"")"),"['min', 'before', 'application', 'good', 'min', 'open', 'directly', 'write', 'imitated', 'info', 'application', 'good', ' Min ',' write ',' situ ',' number ',' confirm ',' nda ',' ush ',' email ',' min ',' direct ',' bls', 'response', 'commentary' , 'colu"&amp;"mn', 'trimksh']")</f>
        <v>['min', 'before', 'application', 'good', 'min', 'open', 'directly', 'write', 'imitated', 'info', 'application', 'good', ' Min ',' write ',' situ ',' number ',' confirm ',' nda ',' ush ',' email ',' min ',' direct ',' bls', 'response', 'commentary' , 'column', 'trimksh']</v>
      </c>
      <c r="D2185" s="3">
        <v>1.0</v>
      </c>
    </row>
    <row r="2186" ht="15.75" customHeight="1">
      <c r="A2186" s="1">
        <v>2184.0</v>
      </c>
      <c r="B2186" s="3" t="s">
        <v>2186</v>
      </c>
      <c r="C2186" s="3" t="str">
        <f>IFERROR(__xludf.DUMMYFUNCTION("GOOGLETRANSLATE(B2186,""id"",""en"")"),"['sorry', 'just', 'star', 'open', 'Telkomsel', 'Musti', 'told', 'log', 'open', 'check', 'quota', 'must "",' Log ',' thanks']")</f>
        <v>['sorry', 'just', 'star', 'open', 'Telkomsel', 'Musti', 'told', 'log', 'open', 'check', 'quota', 'must ",' Log ',' thanks']</v>
      </c>
      <c r="D2186" s="3">
        <v>1.0</v>
      </c>
    </row>
    <row r="2187" ht="15.75" customHeight="1">
      <c r="A2187" s="1">
        <v>2185.0</v>
      </c>
      <c r="B2187" s="3" t="s">
        <v>2187</v>
      </c>
      <c r="C2187" s="3" t="str">
        <f>IFERROR(__xludf.DUMMYFUNCTION("GOOGLETRANSLATE(B2187,""id"",""en"")"),"['Bad', 'Telkomsel', 'Kayak', 'AXIS', 'SIYAK', 'BREAKING', 'PROMO', 'LONG', 'SYARI', 'KAKI', 'BOSS', 'CORET', ' Stars', 'scribbled', 'star', 'rating', 'bad', '']")</f>
        <v>['Bad', 'Telkomsel', 'Kayak', 'AXIS', 'SIYAK', 'BREAKING', 'PROMO', 'LONG', 'SYARI', 'KAKI', 'BOSS', 'CORET', ' Stars', 'scribbled', 'star', 'rating', 'bad', '']</v>
      </c>
      <c r="D2187" s="3">
        <v>1.0</v>
      </c>
    </row>
    <row r="2188" ht="15.75" customHeight="1">
      <c r="A2188" s="1">
        <v>2186.0</v>
      </c>
      <c r="B2188" s="3" t="s">
        <v>2188</v>
      </c>
      <c r="C2188" s="3" t="str">
        <f>IFERROR(__xludf.DUMMYFUNCTION("GOOGLETRANSLATE(B2188,""id"",""en"")"),"['Telkomsel', 'Singnal', 'ugly', 'bnget', 'lag', 'open', 'game', 'moba', 'beg', 'repair', 'signal', 'Telkomsel', ' In the area ',' Muara ',' Angke ',' Kelurahan ',' Pluit ',' Kecamatan ',' Penjaringan ',' Jakarta ',' North ',' Please ',' Sorry ',' Imacity"&amp;" ',' Safety ' , 'AssSlamualikum', '']")</f>
        <v>['Telkomsel', 'Singnal', 'ugly', 'bnget', 'lag', 'open', 'game', 'moba', 'beg', 'repair', 'signal', 'Telkomsel', ' In the area ',' Muara ',' Angke ',' Kelurahan ',' Pluit ',' Kecamatan ',' Penjaringan ',' Jakarta ',' North ',' Please ',' Sorry ',' Imacity ',' Safety ' , 'AssSlamualikum', '']</v>
      </c>
      <c r="D2188" s="3">
        <v>1.0</v>
      </c>
    </row>
    <row r="2189" ht="15.75" customHeight="1">
      <c r="A2189" s="1">
        <v>2187.0</v>
      </c>
      <c r="B2189" s="3" t="s">
        <v>2189</v>
      </c>
      <c r="C2189" s="3" t="str">
        <f>IFERROR(__xludf.DUMMYFUNCTION("GOOGLETRANSLATE(B2189,""id"",""en"")"),"['love', 'star', 'MyTelkomsel', 'according to', 'info', 'daily', 'check', 'daily', 'quota', 'internet', 'total', 'GB', ' Collect ',' Point ',' Stamp ',' Quota ',' GB ',' Try ',' Network ',' Stable ',' Please ',' Fix ',' Thank you ', ""]")</f>
        <v>['love', 'star', 'MyTelkomsel', 'according to', 'info', 'daily', 'check', 'daily', 'quota', 'internet', 'total', 'GB', ' Collect ',' Point ',' Stamp ',' Quota ',' GB ',' Try ',' Network ',' Stable ',' Please ',' Fix ',' Thank you ', "]</v>
      </c>
      <c r="D2189" s="3">
        <v>3.0</v>
      </c>
    </row>
    <row r="2190" ht="15.75" customHeight="1">
      <c r="A2190" s="1">
        <v>2188.0</v>
      </c>
      <c r="B2190" s="3" t="s">
        <v>2190</v>
      </c>
      <c r="C2190" s="3" t="str">
        <f>IFERROR(__xludf.DUMMYFUNCTION("GOOGLETRANSLATE(B2190,""id"",""en"")"),"['Connection', 'Internet', 'Bad', 'Download', 'Image', 'Video', 'WhatsApp', 'Really', 'Main', 'Game', 'Please', 'Conducting', ' Down ',' comfortable ',' thank you ']")</f>
        <v>['Connection', 'Internet', 'Bad', 'Download', 'Image', 'Video', 'WhatsApp', 'Really', 'Main', 'Game', 'Please', 'Conducting', ' Down ',' comfortable ',' thank you ']</v>
      </c>
      <c r="D2190" s="3">
        <v>1.0</v>
      </c>
    </row>
    <row r="2191" ht="15.75" customHeight="1">
      <c r="A2191" s="1">
        <v>2189.0</v>
      </c>
      <c r="B2191" s="3" t="s">
        <v>2191</v>
      </c>
      <c r="C2191" s="3" t="str">
        <f>IFERROR(__xludf.DUMMYFUNCTION("GOOGLETRANSLATE(B2191,""id"",""en"")"),"['Good', 'connection', 'internet', 'rotten', 'connection', 'internet', 'Telkomsel', 'city', 'lbh', 'good', 'mah', 'lose', ' Providers', 'Developing', 'Mending', 'Smartfren', 'LBH', 'Not bad', 'Stable', 'Connection', 'Internet', 'Raying', 'Buy', 'Buy', 'Pa"&amp;"ketan' , 'GB', 'connection', 'internet', 'rotten', 'really']")</f>
        <v>['Good', 'connection', 'internet', 'rotten', 'connection', 'internet', 'Telkomsel', 'city', 'lbh', 'good', 'mah', 'lose', ' Providers', 'Developing', 'Mending', 'Smartfren', 'LBH', 'Not bad', 'Stable', 'Connection', 'Internet', 'Raying', 'Buy', 'Buy', 'Paketan' , 'GB', 'connection', 'internet', 'rotten', 'really']</v>
      </c>
      <c r="D2191" s="3">
        <v>1.0</v>
      </c>
    </row>
    <row r="2192" ht="15.75" customHeight="1">
      <c r="A2192" s="1">
        <v>2190.0</v>
      </c>
      <c r="B2192" s="3" t="s">
        <v>2192</v>
      </c>
      <c r="C2192" s="3" t="str">
        <f>IFERROR(__xludf.DUMMYFUNCTION("GOOGLETRANSLATE(B2192,""id"",""en"")"),"['love', 'star', 'network', 'missing', 'home', 'tower', 'Telkomsel', 'slow', 'network', 'missing', 'really', 'disappointing', ' hopefully', '']")</f>
        <v>['love', 'star', 'network', 'missing', 'home', 'tower', 'Telkomsel', 'slow', 'network', 'missing', 'really', 'disappointing', ' hopefully', '']</v>
      </c>
      <c r="D2192" s="3">
        <v>2.0</v>
      </c>
    </row>
    <row r="2193" ht="15.75" customHeight="1">
      <c r="A2193" s="1">
        <v>2191.0</v>
      </c>
      <c r="B2193" s="3" t="s">
        <v>2193</v>
      </c>
      <c r="C2193" s="3" t="str">
        <f>IFERROR(__xludf.DUMMYFUNCTION("GOOGLETRANSLATE(B2193,""id"",""en"")"),"['promo', 'left', 'Days',' pulse ',' active ',' mid ',' right ',' belu ',' package ',' promo ',' harg ',' writeanys', ' Successful ',' Package ',' enter ',' enter ',' ']")</f>
        <v>['promo', 'left', 'Days',' pulse ',' active ',' mid ',' right ',' belu ',' package ',' promo ',' harg ',' writeanys', ' Successful ',' Package ',' enter ',' enter ',' ']</v>
      </c>
      <c r="D2193" s="3">
        <v>2.0</v>
      </c>
    </row>
    <row r="2194" ht="15.75" customHeight="1">
      <c r="A2194" s="1">
        <v>2192.0</v>
      </c>
      <c r="B2194" s="3" t="s">
        <v>2194</v>
      </c>
      <c r="C2194" s="3" t="str">
        <f>IFERROR(__xludf.DUMMYFUNCTION("GOOGLETRANSLATE(B2194,""id"",""en"")"),"['UDH', 'transaction', 'payment', 'package', 'active', 'promo', 'terah', 'TPI', 'buy', 'please', 'fix', 'transaction', ' Easy ',' Ribet ',' ']")</f>
        <v>['UDH', 'transaction', 'payment', 'package', 'active', 'promo', 'terah', 'TPI', 'buy', 'please', 'fix', 'transaction', ' Easy ',' Ribet ',' ']</v>
      </c>
      <c r="D2194" s="3">
        <v>1.0</v>
      </c>
    </row>
    <row r="2195" ht="15.75" customHeight="1">
      <c r="A2195" s="1">
        <v>2193.0</v>
      </c>
      <c r="B2195" s="3" t="s">
        <v>2195</v>
      </c>
      <c r="C2195" s="3" t="str">
        <f>IFERROR(__xludf.DUMMYFUNCTION("GOOGLETRANSLATE(B2195,""id"",""en"")"),"['Try', 'loan', 'online', 'shaped', 'pulse', 'practical', 'quota', 'pulse', 'thinning']")</f>
        <v>['Try', 'loan', 'online', 'shaped', 'pulse', 'practical', 'quota', 'pulse', 'thinning']</v>
      </c>
      <c r="D2195" s="3">
        <v>5.0</v>
      </c>
    </row>
    <row r="2196" ht="15.75" customHeight="1">
      <c r="A2196" s="1">
        <v>2194.0</v>
      </c>
      <c r="B2196" s="3" t="s">
        <v>2196</v>
      </c>
      <c r="C2196" s="3" t="str">
        <f>IFERROR(__xludf.DUMMYFUNCTION("GOOGLETRANSLATE(B2196,""id"",""en"")"),"['cell', 'Telkomsel', 'Yesterday', 'Call', 'Cotumer', 'Service', 'Operator', 'LGI', 'Disruption', 'System', 'KPN', 'Normally', ' PSL ',' Kjadian ',' cell ',' Telkomsel ',' Signal ',' Panteng ',' Paketan ',' Unlimitide ',' Game ',' Mashing ',' Krupuk ',' C"&amp;"pt ',' Fix ' , 'cell', 'Telkomsel', 'Telkomsel', 'GituC', 'BKN', 'can', 'can', 'disappointed', 'cell', 'Telkomsel', ""]")</f>
        <v>['cell', 'Telkomsel', 'Yesterday', 'Call', 'Cotumer', 'Service', 'Operator', 'LGI', 'Disruption', 'System', 'KPN', 'Normally', ' PSL ',' Kjadian ',' cell ',' Telkomsel ',' Signal ',' Panteng ',' Paketan ',' Unlimitide ',' Game ',' Mashing ',' Krupuk ',' Cpt ',' Fix ' , 'cell', 'Telkomsel', 'Telkomsel', 'GituC', 'BKN', 'can', 'can', 'disappointed', 'cell', 'Telkomsel', "]</v>
      </c>
      <c r="D2196" s="3">
        <v>1.0</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2022-02-26T06:56:41Z</dcterms:created>
  <dc:creator>openpyxl</dc:creator>
</cp:coreProperties>
</file>