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1AhPxFYAgVTMlJUhuWLfoIFEew=="/>
    </ext>
  </extLst>
</workbook>
</file>

<file path=xl/sharedStrings.xml><?xml version="1.0" encoding="utf-8"?>
<sst xmlns="http://schemas.openxmlformats.org/spreadsheetml/2006/main" count="1957" uniqueCount="1957">
  <si>
    <t>text_review</t>
  </si>
  <si>
    <t>text_review_english</t>
  </si>
  <si>
    <t>score</t>
  </si>
  <si>
    <t>['mohon', 'pelayanan', 'telkomsel', 'meringankan', 'pelanggan', 'setianya', 'berilah', 'penghargaan', 'pelanggan', 'setianya', 'bbrpa', 'pelanggan', 'setia', 'tetapnya', 'kartu', 'halo', 'skrg', 'mengubah', 'paket', 'telp', 'sms', 'grapari', 'pdhl', 'mudah', 'prosesnya', 'pergantian', 'manajemen', 'mudah', 'skrg', 'dipersulit', 'validasi', 'data', 'akurat', 'pindah', 'proses', 'dasar', 'trmksh', '']</t>
  </si>
  <si>
    <t>['pelanggan', 'setia', 'telkomsel', 'mohon', 'telkomsel', 'tolong', 'donk', 'cek', 'jaringan', 'daerah', 'maluku', 'utara', 'halmahera']</t>
  </si>
  <si>
    <t>['kecewa', 'harga', 'kuota', 'semahal', 'jaringan', 'bagus', 'film', 'aplikasi', 'viu', 'kualitas', 'pemutaran', 'rendah', 'putus', 'jalan', 'cuaca', 'hujan', 'area', 'surabaya', 'kota', 'masak', 'iya', 'selemot', 'jaringannya', 'beli', 'kuota', 'giga', 'jarigannya', 'lemot', 'surabaya', 'kota', 'solusinya', 'admin', '']</t>
  </si>
  <si>
    <t>['kinerja', 'telkomsel', 'parah', 'paket', 'data', 'browsing', 'notifnya', 'paket', 'data', 'sekalinya', 'browsing', 'termakan', 'pulsa', 'bener', 'buruk', 'telkomsel', 'jelasss', '']</t>
  </si>
  <si>
    <t>['pulsa', 'berkurang', 'menerus', 'pemakaian', 'internet', 'telp', 'mhn', 'bantu', 'solusinya']</t>
  </si>
  <si>
    <t>['parah', 'kesini', 'telkomsel', 'ngubah', 'ngubah', 'paketnya', 'contohnya', 'langganan', 'combo', 'sakti', 'unlimited', 'media', 'fup', 'dipakein', 'fup', 'doang', 'fupnya', 'nonton', 'film', 'youtube', 'medsosan', 'gb', 'doang', 'udahlah', 'mending', 'ganti', 'provider', 'tsel', 'customernya', 'udah', 'nyaman', 'ganyaman', 'tsel', 'gapeduli', 'customernya', 'ngutamain', 'marketingnya', 'dapet', 'keuntungan', '']</t>
  </si>
  <si>
    <t>['bangga', 'memakai', 'perdana', 'telkomsel', 'keluarga', 'telkomsel', 'jaringan', 'kuat', 'dmn', 'ngeleg', 'terima', 'kasih', 'telkomsel', '']</t>
  </si>
  <si>
    <t>['paketan', 'mahal', 'signal', 'jelek', 'parah', 'ampun', 'isi', 'paketan', 'jakarta', 'utara', 'kampung', 'pelosok', 'desa', '']</t>
  </si>
  <si>
    <t>['knp', 'telkomsel', 'banget', 'buka', 'tolong', 'promo', 'paket', 'ceria', 'mohon', 'aktifkan', 'karna', 'kali', 'beli', 'beli', 'kali', 'ngak', 'beli', 'kali', 'ngak', 'knp', 'promonya', 'blm', 'habis', 'kemaren', 'mohon', 'aktifkan', 'paket', 'ceria', 'maaf', 'ngasih', 'bintang', 'udh', 'kasih', 'bintang', '']</t>
  </si>
  <si>
    <t>['promo', 'telkom', 'ngk', 'contoh', 'disaat', 'saldo', 'nol', 'promo', 'khusus', 'paket', 'harga', 'lakukan', 'pengisian', 'ulang', 'biaya', 'beli', 'paket', 'hilang', 'diganti', 'sungguh', 'kecewa', 'telkom', 'dasar', 'tipu', '']</t>
  </si>
  <si>
    <t>['saran', 'telkom', 'mending', 'tutup', 'ajg', 'udh', 'rela', 'beli', 'kouta', 'mahal', 'lag', 'parah', 'mending', 'pindah', 'butuhkan', 'butuh', '']</t>
  </si>
  <si>
    <t>['perbaiki', 'jaringan', 'daerah', 'bogor', 'tolong', 'telkomsel', 'internetan', 'main', 'game', 'memuaskan', 'beli', 'kuota', 'mahal', 'jaringan', 'jumping', '']</t>
  </si>
  <si>
    <t>['aktif', 'internet', 'aplikasi', 'telkomsel', 'berlaku', 'dipakai', 'tanggal', 'aktif', 'tercantum', 'pulsa', 'tertarik', 'biaya', 'non', 'paket', 'telkomsel', 'aktif', 'internet', 'kesalahan', 'perihal', 'mohon', 'kesalahan', 'developer', 'mohon', 'diperbaiki', 'terimakasih']</t>
  </si>
  <si>
    <t>['main', 'game', 'signal', 'telkomsel', 'butuk', 'sarankan', 'diperbaiki', 'orang', 'terganggu', 'orang', 'pindah', 'provider', 'bermain', 'game', 'harga', 'paket', 'telkomsel', 'bandingkan', 'provider', 'telkomsel', 'work', 'dibeli', '']</t>
  </si>
  <si>
    <t>['paket', 'muncul', 'nomor', 'harganya', 'mahal', 'teman', 'harganya', 'murah', 'kartunya', 'pembelian', 'memeras', 'pelanggan', 'penghasilanya', 'menengah', 'gimana', 'generasi', 'maju', 'harga', 'paket', 'internetnya', 'mahal', 'saran', 'paketnya', 'merata', 'paket', 'mahal', 'muncul', 'harga', 'terendah', 'mahal', 'muncul', 'menu', 'pembelian', 'paketnya']</t>
  </si>
  <si>
    <t>['gua', 'benci', 'aplikasi', 'minggu', 'update', 'ngurasin', 'paket', 'idak', 'jugak', 'tolong', 'telkomsel', 'sinyal', 'perbaiki', 'beli', 'paket', 'mahal', 'sinyal', 'jelek', 'adil', 'tolong', 'perbaiki', 'mohon', 'secepat', '']</t>
  </si>
  <si>
    <t>['hasyeeem', 'mahal', 'peket', 'combonya', 'puasa', 'nyenengin', 'pelanggan', 'nyebelin', 'kemarin', 'palingan', 'reaponnya', 'maaf', 'kak', 'bla', 'bla', '']</t>
  </si>
  <si>
    <t>['mohon', 'sistem', 'pembayaran', 'aplikasi', 'dana', 'mohon', 'disamakan', 'sistem', 'nomor', 'dana', 'tercantum', 'permanen', 'ganti', 'nomor', 'dana', 'terimakasih']</t>
  </si>
  <si>
    <t>['', 'ngga', 'isi', 'ulang', 'pulsa', 'udah', 'konter', 'isi', 'pulsa', 'tetep', 'ngga', 'mytelkomsel', 'otw', 'ganti', 'kartu', 'trouble', 'kayak', 'gini', 'trus', 'beli', 'pulsa', 'mytelkomsel', 'ovo', 'saldo', 'udah', 'kepotong', 'pulsa', 'nggak', 'masuk', 'gimana', 'tanggung', 'telkomsel', 'nggak', 'pelayanan', 'nggak', 'sesuai', 'harganya', 'mahal']</t>
  </si>
  <si>
    <t>['assalamualaikum', 'aplikasi', 'telkomsel', 'berguna', 'pilihan', 'kuota', 'internet', 'terjangkau', 'murah', 'terimaksih', 'developer', 'telkomsel']</t>
  </si>
  <si>
    <t>['minggu', 'jaringan', 'area', 'banyumas', 'purwokerto', 'buruk', 'rekan', 'anggota', 'komunitas', 'mempercayakan', 'telkomsel', 'menunjang', 'kerja', 'mengeluhkan', 'tindak', 'permasalahan', '']</t>
  </si>
  <si>
    <t>['senang', 'aplikasi', 'telkomsel', 'undian', 'poin', 'mudah', 'mudahan', 'mobilnya', 'telkomsel', 'amin']</t>
  </si>
  <si>
    <t>['berlangganan', 'paket', 'omg', 'gb', 'aplikasi', 'abis', 'ujan', 'emang', 'suka', 'ngadat', 'dipake', 'download', 'film', 'telegram', 'lancar', 'seminggu', 'download', 'film', 'abis', 'uninstal', 'trs', 'login', 'wifi', 'trs', 'fungsinya', 'beli', 'quota', 'plisss', 'pemakai', 'telkomsel', 'masak', 'iya', 'ganti', 'provider', '']</t>
  </si>
  <si>
    <t>['mohon', 'maaf', 'kasih', 'bintang', 'sinyalnya', 'lemah', 'lemot', 'idiot', 'nggak', 'pakai', 'kerja', 'main', 'game', 'online', 'afk', 'payah', 'telkomsel', 'udh', 'mahal', 'bagus', 'pakai', 'profider', 'murah', 'lancar', 'nggak', 'nyendatnya', 'ngeleg', 'udh', 'sebulan', 'lari', 'pengguna', 'telkomsel', 'godby', '']</t>
  </si>
  <si>
    <t>['donlod', 'iming', 'hadiah', 'mending', 'maaf', 'emang', 'pelanggan', 'setia', 'telkomsel', 'bonus', 'iming', 'iming', 'pilih', 'pilih', 'telkomsel']</t>
  </si>
  <si>
    <t>['sinyal', 'telkomsel', 'buruk', 'main', 'game', 'ping', 'merah', 'kota', 'desa', 'sinyalnya', 'tolong', 'perbaiki', 'kualitasnya', 'mengecewakan', 'pelanggan', 'setia', 'pakai', 'telkomsel', '']</t>
  </si>
  <si>
    <t>['kualitas', 'taik', 'udah', 'upgrade', 'kartu', 'halo', 'kecepatan', 'kayak', 'beda', 'tagihan', 'mahal', 'kualitas', 'provider', 'klen', 'beli', 'uang', 'hargain', 'uang', 'paham', '']</t>
  </si>
  <si>
    <t>['layanan', 'bagus', 'ratingnya', 'bosku', 'jaringan', 'sprti', 'sinyal', 'kuat', 'tlkomsel', 'kali', 'masuk', 'aplikasi', 'koq', 'verifikasi', 'trus', 'sehari', 'kali', 'buka', 'app', 'hrs', 'verifikasi', 'nmr', 'tlpon', 'cemana', 'boss', '']</t>
  </si>
  <si>
    <t>['halo', 'admin', 'fup', 'risih', 'fup', 'tolong', 'perbaikin', 'fup', 'jangn', 'selemot', 'masak', 'buka', 'delay', 'parah', 'kuota', 'gb', 'fup', 'terimakasih', 'sekian', 'assalamualaikum', '']</t>
  </si>
  <si>
    <t>['kecewa', 'menit', 'jaringan', 'error', 'sinyal', 'rumah', 'bagus', 'tolong', 'telkomsel', 'perbaiki', 'udah', 'normal', 'kasih', 'bintang', '']</t>
  </si>
  <si>
    <t>['sinyal', 'telkomsel', 'pelabuhan', 'tanjung', 'perak', 'surabaya', 'zonk', 'coba', 'survey', 'pekerja', 'pelabuhan', 'disana', 'laporan', 'hasilnya']</t>
  </si>
  <si>
    <t>['menyesal', 'pakai', 'telkomsel', 'cek', 'kuota', 'dibeli', 'kuota', 'ekstra', 'untilitide', 'kombo', 'sakti', 'kuota', 'utama', 'untilitide', 'harganya', 'mahal', 'tolong', 'ekstra', 'untilitide', 'telkomsel', '']</t>
  </si>
  <si>
    <t>['gimana', 'telkomsel', 'paket', 'ceria', 'gb', 'harga', 'promo', 'ribu', 'tercantum', 'beli', 'tulisan', 'nunggu', 'proses', 'tunggu', 'proses', 'promo', 'beli', 'cantum', 'aplikasi', 'telkomsel', 'klik', 'beli', 'nunggu', 'proses', 'proses', 'tutup', 'promo', 'harapan', 'palsu', 'beli', 'menyesal', 'telkomsel', 'mending', 'im', 'indosat', 'ooredoo', 'jamin', 'promo', 'kaleng', '']</t>
  </si>
  <si>
    <t>['kecewa', 'telkomsel', 'paket', 'internet', 'ditawarkan', 'ketentuan', 'ketentuan', 'kenyataannya', 'beli', 'paket', 'internet', 'ketentuan', 'tertulis', 'kenyataannya', 'berbeda', 'contoh', 'paket', 'internet', 'unimited', 'max', 'keterangan', 'melewati', 'batas', 'wajar', 'pemakaian', 'dikurangi', 'kecepatannya', 'kbps', 'kenyataannya', 'mengakses', 'internet', 'telkomsel', 'mengecewakan']</t>
  </si>
  <si>
    <t>['jaringan', 'jelek', 'harga', 'paket', 'murah', 'kualitas', 'sampah', 'seuai', 'harga', 'kesini', 'parah', 'jaringan', 'tsel']</t>
  </si>
  <si>
    <t>['', 'telkomsel', 'tolonglah', 'berulang', 'kali', 'beli', 'paket', 'data', 'pay', 'kunjung', 'masuk', 'beli', 'paket', 'data', 'unlimited', 'kunjung', 'masuk', 'sampe', 'tolong', 'solusinya']</t>
  </si>
  <si>
    <t>['gamau', 'telkomsel', 'deh', 'mahal', 'internetnya', 'lambat', 'makan', 'kuota', 'cepat', 'buruk', 'dlu', 'beli', 'intrnet', 'cepat', 'mahal', 'kelebihannya', '']</t>
  </si>
  <si>
    <t>['gua', 'saranin', 'telkom', 'ngilangin', 'pemakaian', 'kuota', 'perkb', 'emang', 'kuota', 'gabisa', 'akses', 'internet', 'gitu', 'main', 'sedot', 'pulsa', 'orang', 'pulsa', 'gua', 'kecolong', 'ajg', 'gegara', 'paket', 'only', 'sinyal', 'down', 'kesedot', 'pulsa', 'semoga', 'dipertimbangkan', 'kenyamanan', 'pengguna']</t>
  </si>
  <si>
    <t>['alhmdllah', 'ucapkan', 'kpd', 'telkomsel', 'membantu', 'dlm', 'transaksi', 'pembelian', 'pulsa', 'kuota', 'dll', 'telkomsel', 'pst', 'terbaik', 'custamer', 'pst', 'harga', 'lbh', 'murah', 'sinyal', 'kuat', 'intinya', 'semangat', 'maju', 'trs', 'telkomsel', 'sukses', 'amin']</t>
  </si>
  <si>
    <t>['jaringan', 'jelek', 'wilayah', 'desa', 'pucung', 'lor', 'jalan', 'nakula', 'kroya', 'cilacap', 'jateng', 'indonesia', 'asia', 'tenggara', 'jawabannya', 'bagus', 'iya', 'jaringan', 'bagus', 'jaringan', 'letoyy', 'berdiri', 'tower', 'simpati', 'letoy']</t>
  </si>
  <si>
    <t>['telkomsel', 'tolong', 'paket', 'sosmed', 'sediain', 'paket', 'telegram', 'pengguna', 'paket', 'telkomsel', 'kuota', 'utama', 'habis', 'tersisa', 'paket', 'sosmed', 'mengakses', 'tele', 'kecepatan', 'kb', 'pengguna', 'tele', 'konsumsi', 'paket', 'streaming', 'mengandalkan', 'paket', 'utama', 'sayangkan', 'semoga', 'telkomsel', 'mempertimbangkan', 'thank', '']</t>
  </si>
  <si>
    <t>['telkom', 'beres', 'sms', 'pemberitahuan', 'suruh', 'akses', 'murah', 'akses', 'trnsaksi', 'berhasil', 'nipu', 'konsumen', 'kecewa', '']</t>
  </si>
  <si>
    <t>['paket', 'murah', 'koneksi', 'buruk', 'jaringan', 'tersedia', 'harga', 'murah', 'kualitas', 'jaringan', 'menurun', 'mencoba', 'bersaing', 'provider', 'kewalahan', 'gonta', 'ganti', 'sinyal', 'mencari', 'alternatif', 'sungguh', 'mengecewakan', '']</t>
  </si>
  <si>
    <t>['halo', 'telkomsel', 'kedepan', 'telkomsel', 'mahal', 'isi', 'pulsa', 'bonus', 'kuota', 'internet', 'kuota', 'pulsa', 'ribu', 'gb', 'isi', 'dapet', 'bonus', 'trus', 'pulsa', 'rb', 'kaya', 'skrg', 'ribu', 'tolong', 'telkomsel', 'kenyamanan', 'kpd', 'pelanggan', 'berpaling', 'mahal', 'terimakasih']</t>
  </si>
  <si>
    <t>['khusus', 'untukmu', 'isi', 'ulang', 'pulsa', 'mytelkomsel', 'app', 'tsel', 'pulsa', 'rb', 'dapatkan', 'extra', 'kuota', 'gb', 'langsung', 'yuk', 'buruan', 'isi', 'pulsa', 'skrg', 'skb', 'extra', 'kuotapun', 'kunjung', '']</t>
  </si>
  <si>
    <t>['', 'telkomsel', 'kenaapa', 'bagus', 'sinyal', 'membuka', 'aplikasi', 'payah', 'terbuka', 'sinyal', 'khusus', 'dimedan', 'bagus', 'tolong', 'dimedan', 'indentik', 'pemakai', 'telkomsel', 'telkomsel', 'perubahan', 'trimakasi']</t>
  </si>
  <si>
    <t>['beli', 'paket', 'gapernah', 'bisaa', 'muncul', 'maaf', 'gangguan', 'tunggu', 'menit', 'udah', 'tunggu', 'seharian', 'gapernah', 'bisaaa', 'please', 'telkomsel', 'pelanggan', 'setia', 'telkomsel', 'gini', 'males', 'buka', 'telkomsel', '']</t>
  </si>
  <si>
    <t>['bintang', 'yaaa', 'gangguan', 'signal', 'udah', 'turun', 'signalnya', 'semoga', 'lancar']</t>
  </si>
  <si>
    <t>['buka', 'aplikasi', 'telkomsel', 'muncul', 'komeksi', 'stabil', 'nunggu', 'gregetan', 'paket', 'data', 'tersedia', 'mahal', 'ketimbang', 'operator', 'perubahan', 'kedepannya', 'beralih', 'operator', 'deh', 'kayaknya', 'huuufft', '']</t>
  </si>
  <si>
    <t>['buruk', 'jaringan', 'telkomsel', 'kesini', 'aplikasi', 'mytelkomsel', 'berat', 'buka', 'update', 'mulu', 'update', 'buruk', 'tolong', 'donk', 'tingkatin', 'telkomsel', 'min', 'pengguna', 'telkomsel', 'kecewa', 'semoga', '']</t>
  </si>
  <si>
    <t>['developer', 'membeli', 'paket', 'internet', 'notifikasi', 'maaf', 'sistem', 'sibuk', 'mohon', 'developer', 'apk', 'telkomsel', 'ditindaklanjuti', 'nyaman', 'mudah', 'membeli', 'paket', 'internet', 'apk', 'telkomsel', '']</t>
  </si>
  <si>
    <t>['woi', 'telkomsel', 'gimana', 'pas', 'masuk', 'telkomsel', 'syarat', 'masukin', 'kode', 'cuman', 'masukin', 'nomor', 'telpon', 'doang', 'jin', '']</t>
  </si>
  <si>
    <t>['udah', 'telkomsel', 'harga', 'paket', 'kualitas', 'jaringan', 'ancur', 'download', 'file', 'jaringan', 'hilang', 'ngulang', 'download', 'buang', 'kuota', 'emang', 'udah', 'daerah', 'siang', 'speed', 'tembus', 'mbps', '']</t>
  </si>
  <si>
    <t>['telkomsel', 'kejam', 'kejam', 'tiri', 'hati', 'toleransi', 'kesalahan', 'ampun', 'kartu', 'sim', 'simpati', 'blokir', 'gara', 'gara', 'telat', 'isi', 'kecewa', 'telp', 'sms', 'cek', 'pulsa', 'isi', 'pulsapun', 'raja', 'tega', 'mentang', 'mentang', 'kaya', 'tega', 'banget', 'orang', 'miskin', '']</t>
  </si>
  <si>
    <t>['tolong', 'diperbaiki', 'aplikasinya', 'ringan', 'udah', 'kelewatan', 'berat', 'lemot', 'aplikasinya', 'sinyal', 'nggak', 'bagus', 'dikit', 'memuat', 'sekelas', 'telkomsel', 'berat', 'banget', 'aplikasi']</t>
  </si>
  <si>
    <t>['kak', 'paket', 'ribu', 'kecepetannya', 'kurangin', 'lelet', 'kbps', 'kbps', 'ngawur', 'udah', 'kbps', 'kurangin', '']</t>
  </si>
  <si>
    <t>['aplikasi', 'gini', 'rugi', 'download', 'sedot', 'pulsa', 'pulsa', 'download', 'login', 'sisa', 'pulsa', 'merugikan', 'orang', 'nyesal', 'download', 'aplikasi']</t>
  </si>
  <si>
    <t>['telkomsel', 'aplikasi', 'jelek', 'mempermudah', 'nambah', 'nyusahin', 'app', 'jarongan', 'bagus', 'buka', 'app', 'bertulisan', 'muat', 'ulang', 'refresh', 'kuota', 'ngelag', 'perbaiki', 'auto', 'copot', 'pemasangan']</t>
  </si>
  <si>
    <t>['sinyalnya', 'minus', 'pengguna', 'daerah', 'pelosok', 'sinyal', 'susah', 'gini', 'bener', 'pelosok', 'kasihan', 'buka', 'aplikasinya', 'klik', 'kebuka', 'kuota', 'internet', 'full', 'kasihan', 'pas', 'dapet', 'bantuan', 'kuota', 'pendidikan', 'pemerintah', 'giga', 'zonk', 'dipake', '']</t>
  </si>
  <si>
    <t>['udah', 'kartu', 'belom', 'combo', 'sakti', 'rumah', 'sinyal', 'kartu', 'gua', 'ganti', 'nyesel', 'gua', 'dapet', 'promo', 'paket', 'mahal', 'beda', 'temen', 'gua']</t>
  </si>
  <si>
    <t>['heii', 'telkomsel', 'udah', 'mahal', 'paketnya', 'trs', 'sinyal', 'parah', 'trs', 'pulsa', 'tersedot', 'tolong', 'perbaiki', 'provider', 'harga', 'kualitas', 'harga', 'kualitas', '']</t>
  </si>
  <si>
    <t>['jaringan', 'busuk', 'banget', 'parah', 'jaringan', 'tolong', 'donk', 'perbaikin', 'data', 'multimedia', 'gb', 'banget', 'maen', 'game', 'udah', 'bayar', 'telat', 'nyesel', 'pindah', 'provider', 'gini']</t>
  </si>
  <si>
    <t>['jaringan', 'bagus', 'setabil', 'hujan', 'down', 'jaringannya', 'alangkah', 'baiknya', 'telkomsel', 'paket', 'combo', 'sakti', 'murah', 'hilang', 'telkomsel']</t>
  </si>
  <si>
    <t>['telkomsel', 'kartu', 'telkomsel', 'jaringannya', 'stabil', 'kota', 'hutan', 'aplikasi', 'telkomsel', 'kasih', 'rate', 'buruknya', 'signal', 'wilayah', 'pelanggan', 'tempati', 'ngasih', 'wilayah', 'signalnya', '']</t>
  </si>
  <si>
    <t>['kecewa', 'jaringan', 'telkomsel', 'udah', 'mahal', 'harga', 'dibagusin', 'koneksinya', 'jelek', 'sedih', 'marah', 'bingung', 'kinerjanya', 'langganan', 'diphp', 'sad', 'parah', 'update', 'koneksi', 'data', 'dilatar', 'download', 'program', 'daily', 'bug', 'claim', 'parah', 'banget', 'kecewa']</t>
  </si>
  <si>
    <t>['kecewa', 'telkomsel', 'karna', 'keluhanku', 'tindak', 'lanjutin', 'kirim', 'aduan', 'via', 'line', 'chat', 'telkomsel', 'langganan', 'telkomsel', 'udh', 'senyaman', 'beli', 'paket', 'appsnya', 'trnyata', 'responsif', '']</t>
  </si>
  <si>
    <t>['telkomsel', 'hati', 'mencoba', 'pindah', 'kelain', 'hati', 'alasan', 'coba', 'bagus', 'eeee', 'ternya', 'telkomsel', 'bersih', 'pokoknya', 'dech', 'telkomsel', 'emang', 'nomor', 'uno', 'love', 'you', 'telkomsel', '']</t>
  </si>
  <si>
    <t>['aplikasi', 'telkomsel', 'membantu', 'kecepatan', 'internetnya', 'ngelag', 'indikator', 'sinyal', 'full', 'coba', 'restart', 'membantu', 'berharap', 'kualitas', 'sinyal', 'telkomsel', 'kedepannya']</t>
  </si>
  <si>
    <t>['pandemi', 'covid', 'aktifitas', 'bisnis', 'berkurang', 'aktifitas', 'telpon', 'iseng', 'liat', 'aplikasi', 'telpon', 'hantu', 'hantu', 'telpon', 'kian', 'kian', 'bertambah', 'berakibat', 'tagihan', 'kartu', 'halo', 'telpon', 'kirim', 'email', 'screenshot', 'log', 'panggilan', 'solusi', 'masak', 'urusan', 'gini', 'lapor', 'menteri', 'bumn', 'eric', 'tohir', 'presiden', '']</t>
  </si>
  <si>
    <t>['kecewa', 'telkomsel', 'beli', 'vocer', 'masuk', 'keterangan', 'sistem', 'sibuk', 'coba', 'udah', 'coba', 'nihil', 'payah', 'telkomsel', 'rugi', 'beli', 'kartu', 'telkomsel', 'minggu', 'paket', 'masuk', '']</t>
  </si>
  <si>
    <t>['paketnya', 'boros', 'banget', 'hemat', 'sebulan', 'isi', 'sebulan', 'pertengahan', 'habis', 'gimana', 'sech', 'telkomsel', 'sudaah', 'gitu', 'pulsanya', 'disedot', 'habis', 'sisa', 'pulsa', 'ribu', 'ehhh', 'taunya', 'sisa', 'kesal', 'bagus', 'gitu', 'sech', '']</t>
  </si>
  <si>
    <t>['tolong', 'perhatiannya', 'pihaj', 'telkomsel', 'perusahaan', 'kayak', 'telkomsel', 'beli', 'mesin', 'genset', 'tower', 'buol', 'mati', 'nunggu', 'jaringan', 'berjam', 'mati', 'kasian', 'anak', 'sekolah', 'kuta', 'udh', 'beli', 'pulsa', 'kuota', 'jaringan', 'mati', 'tower', 'sambungan', 'listrik', 'mohon', 'bantu', '']</t>
  </si>
  <si>
    <t>['tolong', 'pakai', 'link', 'gitu', 'pakai', 'kode', 'nomor', 'gaa', 'nomor', 'telkomsel', 'orang', 'android', 'apple', 'beli', 'paket', 'susah', 'ampun', 'login', 'payah', 'ampun', 'nomor', 'telkomsel', 'koneksk', 'internet', 'tolong', 'mengerti', 'pendapat', '']</t>
  </si>
  <si>
    <t>['telkomsel', 'tolong', 'tingaktin', 'kualitas', 'jaringannya', 'krtu', 'sim', 'klu', 'pke', 'telkomsel', 'jaringan', 'prnah', 'stabil', 'klu', 'provider', 'jaringan', 'slalu', 'normal', 'telkomsel', 'main', 'game', 'moba', 'jaringan', 'ngilang', 'trs', 'lihat', 'utube', 'kebanyakan', 'loading', 'beli', 'kouta', 'telkomsel', 'kualitas', 'jaringan', 'buruk', 'mah', 'smpe', 'ntar', 'orang', 'pindah', 'provider', 'perbaikan', 'klu', 'udah', 'nyaman', 'provider', 'mah', 'move', '']</t>
  </si>
  <si>
    <t>['mytelkomsel', 'lelet', 'jaringan', 'telkomsel', 'ancur', 'paket', 'datanya', 'mahal', 'jaringannya', 'lelet', 'telkomsel', 'meneger', 'pemimpin', 'telkomsel', 'udah', 'korupsi', 'mohon']</t>
  </si>
  <si>
    <t>['update', 'samsung', 'bug', 'app', 'tukar', 'poin', 'aplikasi', 'mati', 'nyala', 'aplikasi', 'game', 'terima', 'kasih']</t>
  </si>
  <si>
    <t>['mohon', 'maaf', 'paket', 'sakti', 'unlimited', 'batas', 'pemakaian', 'wajar', 'yaa', 'beli', 'mengurungkan', 'niat', '']</t>
  </si>
  <si>
    <t>['harga', 'unlimitid', 'max', 'gb', 'kualitas', 'jaringan', 'turunin', 'kuota', 'utama', 'gb', 'udh', 'habis', 'buka', 'youtube', 'leletnya', 'nauzubillah', 'buka', 'story', 'banget', 'tinggal', 'makan', 'jalan', 'jalan', 'mengaji', 'kepasar', 'nonton', 'bioskop', 'kebukaa', '']</t>
  </si>
  <si>
    <t>['promonya', 'nipu', 'murah', 'beli', 'paket', 'data', 'rp', 'rb', 'gb', 'hr', 'balas', 'chr', 'sms', 'rp', 'rb', 'gb', 'min', 'hr', 'balas', 'chr', 'beli', 'tsel', 'mei', 'selamat', 'paket', 'internet', 'gb', 'telpon', 'tsel', 'menit', 'aktif', 'berlaku', 'tgl', 'pkl', 'wib', 'cek', 'status', 'berhenti', 'berlangganan', 'telkomsel', 'apps', 'hub', 'info', 'habis', 'paket', 'harap', 'pelangganmu']</t>
  </si>
  <si>
    <t>['apk', 'bagus', 'apk', 'berguna', 'mengisi', 'data', 'pilihan', 'dta', 'bagus', 'bagus', 'apk', 'bonus', 'dri', 'cek', 'dapatkan', 'data', 'geratis', 'gb', 'terima', 'kasih']</t>
  </si>
  <si>
    <t>['udh', 'pakek', 'telkomsel', 'harganya', 'udh', 'ngerti', 'urusan', 'sinyal', 'udh', 'bagus', 'penawaran', 'paketnya', 'bagus', 'banyakan', 'harganya', 'mahal', 'paket', 'beli', 'harganya', 'seiring', 'kalok', 'pingin', 'lari', 'pelanggannya', 'aneh', 'aneh']</t>
  </si>
  <si>
    <t>['kuota', 'combo', 'sakti', 'gb', 'unlimited', 'pemakaian', 'batas', 'wajar', 'unlimited', 'dikasih', 'akses', 'bebas', 'aplikasi', 'kuota', 'gb', 'batas', 'pemakaian', 'wajar', 'gb', 'kecewa', 'langganan', 'beli', 'kuota']</t>
  </si>
  <si>
    <t>['yaa', 'kak', 'sinyal', 'aplikasi', 'telkomsel', 'lemot', 'banget', 'masuk', 'aplikasi', 'susah', 'beli', 'paket', 'lemotnya', 'ampun', 'kualitas', 'sinyal', 'bagus']</t>
  </si>
  <si>
    <t>['stop', 'habis', 'kuota', 'trus', 'sedot', 'pulsa', 'masuk', 'akal', 'pulsa', 'berpa', 'sekejap', 'habis', 'sedot', 'haus', 'banget', 'kek', 'telkomsel', 'ngabisiin', 'pulsa', 'pelanggan', 'kasiani', 'pelanggan', 'layan', 'terbaik', 'jaringan', 'suka', 'leg', 'kartu', 'jdi', 'edje', '']</t>
  </si>
  <si>
    <t>['apk', 'telkom', 'emang', 'ngisi', 'kouta', 'pulsa', 'lihat', 'riwayat', 'membeli', 'kouta', 'isi', 'kouta', 'masuk', 'pulsa', 'berkurang', 'butuh', 'tolong', 'perbaiki', 'pulsa', 'hilang', '']</t>
  </si>
  <si>
    <t>['kayak', 'taik', 'aplikasi', 'pulsa', 'sedot', 'beli', 'paket', 'error', 'gini', 'jaringan', 'seluler', 'terbaik', 'taik', 'kucing']</t>
  </si>
  <si>
    <t>['nyaman', 'pakai', 'telkomsel', 'unlimitedmax', 'ehhhhh', 'kebijakanya', 'berbeda', 'unlimited', 'kuota', 'batasanya', 'parahnya', 'habis', 'batasan', 'chat', 'whatsap', 'pdahal', 'pakai', 'paket', 'unli', 'gamemax', 'kecewa', 'auto', 'kesmartfren', 'kebanyakan', 'lagu', 'real', 'unlimited', 'dibatasi', 'fup', 'smua', 'aplikasi', '']</t>
  </si>
  <si>
    <t>['kecewa', 'aplikasi', 'telkomsel', 'promo', 'paket', 'murah', 'beli', 'berulang', 'kali', 'dicoba', 'pemberitahuan', 'pembelian', 'proses', 'menunggu', 'berhasil', 'pulsa', 'berkurang', 'coba', 'veronica', 'dibalas', 'balas', 'mohon', 'solusinya', 'min', '']</t>
  </si>
  <si>
    <t>['menghapus', 'aplikas', 'jaringan', 'telkomsel', 'daerah', 'gua', 'suka', 'macet', 'maen', 'game', 'onilne', 'sosmed', 'paket', 'game', 'uda', 'kebeli', 'tidk', 'berani', 'mengisi', 'pulsa', 'karna', 'suka', 'menyuri', 'pulsa', 'sampe', 'habis', 'habis', 'pelayanan', 'buruk', 'kyk', 'kuning', 'pulsa', 'save', 'aman', 'ngisi', 'pulsa', 'tukang', 'curi', 'kyk', 'kartu', 'gua', 'tmbahin', 'uda', 'gua', 'hubungin', 'almt', 'email', 'temukan', 'gaje', '']</t>
  </si>
  <si>
    <t>['', 'mahal', 'burik', 'jaringannya', 'tolong', 'lahh', 'nihh', 'pandemi', 'massa', 'harga', 'kuota', 'dasar', 'pengguna', 'ndk', 'telkomsel', 'burik', 'jaringannya']</t>
  </si>
  <si>
    <t>['', 'nomor', 'simpatiku', 'direkomendasikan', 'pindah', 'kartu', 'halo', 'jaringannya', 'cepat', 'byk', 'keuntungan', 'jaringannya', 'lelet', 'paket', 'paket', 'internetnya', 'mahal', 'huhuhu']</t>
  </si>
  <si>
    <t>['pelanggan', 'setia', 'telkomsel', 'mohon', 'jaringan', 'pelosok', 'mohon', 'jaringan', 'lancarkan', 'jaringan', 'telkomsel', 'susah', 'mohon', 'perhatikan', 'pasang', 'wifi', 'gara', 'jaringan', 'sekabupaten', 'kartu', 'sim', 'telkomsel', 'rugi', 'telkomsel', 'mohon', 'telkomsel', 'benahi', 'jaringan', 'terima', 'kassih', '']</t>
  </si>
  <si>
    <t>['isi', 'ulg', 'pulsa', 'slalu', 'dipotong', 'pdhal', 'suda', 'melunasi', 'pket', 'darurat', 'kecewa', 'apkl', 'telkomsel', 'lelet', 'mengulang', 'beberapakali', 'untk', 'mmbeli', 'paket', 'pelanggang', 'tlkosel']</t>
  </si>
  <si>
    <t>['aplikasi', 'membantu', 'pulsa', 'berkurang', 'pulsa', 'minus', 'sengaja', 'simpan', 'klaim', 'daily', 'check', 'mohon', 'penjelasannya', 'top', '']</t>
  </si>
  <si>
    <t>['penilaian', 'minus', 'kasih', 'jaringan', 'telkomsel', 'parah', 'jeleknya', 'naudzubillah', 'pelanggan', 'setia', 'jaringan', 'stabil', 'harga', 'paket', 'mahal', 'jaringan', 'tlkmsl', 'layak', 'dibanggakan', 'kecewa', 'pedalaman', 'dipake', 'game', 'bersahabat', 'buang', 'kartu', '']</t>
  </si>
  <si>
    <t>['knapa', 'batas', 'unlimited', 'kartu', 'paket', 'gb', 'berubah', 'mengaktifkan', 'kartu', 'seminggu', 'batas', 'aktif', 'penipuan', 'telkomsel', 'menarik', 'pembeli', 'udh', 'gitu', 'unlimited', 'lambatnya', 'mampus', 'udh', 'kuota', 'wajar', 'aplikasi', 'sms', 'telkomsel', '']</t>
  </si>
  <si>
    <t>['pelanggan', 'setia', 'telkomsel', 'sekeluarga', 'sumpah', 'kecewa', 'muak', 'udah', 'jaringan', 'buruk', 'error', 'paket', 'data', 'mahal', 'kombo', 'sakti', 'udah', 'unlimitid', 'sosmed', 'hebat', 'operator', 'berlomba', 'lomba', 'terbaik', 'coba', 'cek', 'opratr', 'paketan', 'murah', 'telkom', 'banggakan', 'jaringan', 'buruk', 'harga', 'paket', 'data', 'mahal', 'selangit', 'mikir', 'semoga', 'berhenti', 'brlanggan', '']</t>
  </si>
  <si>
    <t>['kuota', 'unlimmited', 'main', 'game', 'situ', 'tertulis', 'kuota', 'unlimmited', 'main', 'game', 'max', 'telkomsel', 'kesini', 'jelek', 'sinyal', 'mendingan', 'pindah', 'kartu', 'sinyal', 'menjamin', 'kuota', 'murah', 'unlimmited', 'aplikasi', 'telkomsel', 'kuota', 'unlimmited', 'nggak', 'nonton', 'youtube', 'sinyalnya', 'jelek', 'intinya', 'kecewa', 'telkomsel', 'mendingan', 'gua', 'pindah', 'kartu']</t>
  </si>
  <si>
    <t>['kadang', 'kebanyakan', 'paket', 'beli', 'beli', 'nomer', 'paket', 'aplikasi', 'teman', 'paket', 'dinilai', 'merata']</t>
  </si>
  <si>
    <t>['', 'goblog', 'beli', 'unlimited', 'max', 'rb', 'pas', 'kuota', 'utamanya', 'abis', 'kuota', 'unlimited', 'youtubnya', 'burik', 'bini', 'paket', 'youtube', 'lancar', 'setan', 'baleg', 'sia', 'kehed', 'paket', 'pilih', 'kasih', '']</t>
  </si>
  <si>
    <t>['telkomsel', 'sinyal', 'down', 'butuhkan', 'menelpon', 'susah', 'tinggal', 'pelosok', 'beralih', 'provider', 'deh']</t>
  </si>
  <si>
    <t>['penggunaan', 'kuota', 'didahulukan', 'sya', 'baca', 'kuota', 'habis', 'kuota', 'msih', 'puluhan', 'giga', 'bersamaan', 'sya', 'kuota', 'pendidikan', 'jangka', 'sebulan', 'kuota', 'pendidikan', 'diambil', 'seingt', 'sya', 'kuota', 'sebentar', 'terkecuali', 'kuota', 'utama', 'pendidikan', 'berbarengan', 'kuota', 'pendidikan', 'gmna', 'sistem', 'pastinya', '']</t>
  </si>
  <si>
    <t>['lemot', 'koneksi', 'akun', 'dana', 'layar', 'blank', 'muncul', 'versi', 'dicoba', 'versi', 'saran', 'mendingan', 'gaush', 'dibikin', 'aplikasi', 'ginian', 'rancang']</t>
  </si>
  <si>
    <t>['telkomsel', 'connect', 'akun', 'dana', 'mencoba', 'meng', 'connect', 'stack', 'latar', 'putih', 'tolong', 'perbaiki', 'bug']</t>
  </si>
  <si>
    <t>['kartu', 'telkomsel', 'bermasalah', 'sms', 'menerima', 'sms', 'call', 'menerima', 'call', 'kartu', 'dalah', 'aktif', 'sinyal', 'penuh', 'grapari', 'jaraknya', 'solusi', 'via', 'online', 'catatan', 'pengguna', 'kartu', 'telkomsel', 'kartu', 'telkomsel', 'pnya', 'bermasalah', 'rusak', 'karna', 'cek', 'pulsa', 'aktif', 'lancar']</t>
  </si>
  <si>
    <t>['tolong', 'telkomsel', 'budiman', 'paket', 'pendidikan', 'disediakan', 'perbulan', 'know', 'paket', 'kemdikbud', 'udah', 'coba', 'deh', 'tahan', 'minggu', 'sisanya', 'beli', 'paket', 'pendidikan', 'paket', 'perminggu', 'which', 'doang', 'sisa', 'kuota', 'terbuang', 'gitu', 'paket', 'perbulannya', 'enak', 'khawatir', 'know', 'perusahaan', 'laba', 'but', 'pendidikan', 'terima', 'kasih', '']</t>
  </si>
  <si>
    <t>['hai', 'telkomsel', 'taunan', 'aplikasi', 'telkomsel', 'udh', 'byk', 'kecewa', 'check', 'point', 'lumayan', 'byk', 'diskon', 'bsa', 'dapet', 'kuota', 'gratis', 'tapii', 'udh', 'masuk', 'check', 'point', 'bonusnya', 'kuota', 'tba', 'check', 'point', 'ilang', 'ajja', 'keterangan', 'apilkasinya', 'bbrp', 'muncul', 'sndr', 'check', 'point', 'mskpun', 'pls', 'kuota', 'gtu', 'nipu', 'bth', 'kuota', 'sekolah', 'anak', '']</t>
  </si>
  <si>
    <t>['males', 'sinyal', 'udah', 'bagus', 'pulsa', 'ribu', 'ambil', 'pesan', 'membayar', 'paket', 'darurat', 'pas', 'make', 'paket', 'darurat', 'kali', 'lunasin', 'ngambil', 'ribu', 'pulsa', 'korupsi', '']</t>
  </si>
  <si>
    <t>['anjim', 'kuota', 'unlimited', 'fup', 'beli', 'dapet', 'batas', 'unlim', 'kuota', 'habis', 'fup', 'kecepatanya', 'berubah', 'kbps', 'nonton', 'youtube', 'konten', 'menit', 'selesai', 'konten', 'penuh', 'boong', 'maahh', 'mendingan', 'tulis', 'embel', 'embel', 'unlimited', 'kecewa', 'kasihan', 'pelanggan', 'kalok', 'kuota', 'unlimited', 'mending', 'kagal']</t>
  </si>
  <si>
    <t>['iya', 'undian', 'mobil', 'hadiah', 'lainya', 'poin', 'langsung', 'tukar', 'sampe', 'alhamdulillah', 'satupun', 'hadiah', 'kasih', 'bintang']</t>
  </si>
  <si>
    <t>['aplikasi', 'beli', 'combo', 'sakti', 'unlimited', 'seharga', 'udah', 'unlimited', 'terbatas', 'dibatasi', 'unlimited', 'gb']</t>
  </si>
  <si>
    <t>['kecewa', 'telkomsel', 'lemot', 'banget', 'jaringan', 'internet', 'males', 'gunain', 'udah', 'telkomsel', 'enjoy', 'ngacak', 'harga', 'mahallll', '']</t>
  </si>
  <si>
    <t>['heran', 'pelayanan', 'telkomsel', 'masak', 'paket', 'internet', 'combo', 'sakti', 'hilang', 'isi', 'pulsa', 'cek', 'paket', 'paket', 'sesuai', 'layanan', 'lokasi', 'paket', 'promo', 'bertahun', 'combo', 'sakti', 'dibilang', 'promo', 'nyuruh', 'beli', 'paket', 'internet', 'omg', 'harga', 'mahal', 'pikir', 'duit', 'beli', 'pulsa', 'mengecewakan', 'pelanggan', '']</t>
  </si>
  <si>
    <t>['jaringannya', 'bagus', 'tpi', 'masuk', 'aplikasi', 'refres', 'unstable', 'connect', 'mohon', 'perbaiki', 'trimakasih']</t>
  </si>
  <si>
    <t>['kesini', 'lemot', 'jaringan', 'kmren', 'peningkatan', 'sistem', 'jelek', 'bertambah', 'penguna', 'telkomsel', 'terbebani', 'jaringan', 'stabil', 'cek', 'paketan', 'pulsa', 'mohon', 'ditingkatkan']</t>
  </si>
  <si>
    <t>['ngabisin', 'kuota', 'utama', 'nikmatin', 'bonus', 'dipake', 'kuota', 'utama', 'aktifnya', 'ngabisin', 'kuota', 'utama', 'nikmatin', 'bonus', 'akses', 'bonus', 'nggak', 'akses', 'beli', 'paket', 'paket', 'berkurang', 'paket', 'bonus', 'utuh', 'semoga', 'perubahan', 'sistemnya']</t>
  </si>
  <si>
    <t>['semenjak', 'setia', 'memakai', 'kartu', 'telkomsel', 'sinyal', 'kuat', 'memuaskan', 'pelanggan', 'suka', 'telkomsel', 'sinyal', 'lemah', 'harga', 'mahal', '']</t>
  </si>
  <si>
    <t>['tolong', 'min', 'kembalikan', 'paket', 'unlimited', 'batas', 'pemakaian', 'wajarnya', 'butuh', 'banget', 'kuota', 'unlimited', 'bener', 'unlimited', 'batasnya', '']</t>
  </si>
  <si>
    <t>['licik', 'paket', 'data', 'aktif', 'habis', 'nggak', 'kepake', 'hilang', 'aktifnya', 'paket', 'aktifnya', 'kepake', 'duluan', 'banget', 'kayak', 'gitu', 'korup', 'mental', 'dasar', 'makan', 'api', 'neraka']</t>
  </si>
  <si>
    <t>['wow', 'banget', 'telkomsel', 'the', 'best', 'gua', 'download', 'kali', 'buka', 'periksa', 'koneksi', 'internet', 'mulu', 'paket', 'youtuban', 'lancar', 'aplikasi', 'ttp', 'buka', '']</t>
  </si>
  <si>
    <t>['beli', 'paket', 'internet', 'gb', 'unlimited', 'udah', 'habis', 'gb', 'lelet', 'banget', 'males', 'serasa', 'rugi', 'beli', 'paket', 'mahal', 'unlimited', 'lelet', 'gratis', 'sosmed', 'lancarnya', 'kirim', 'pesan', 'doang', 'buka', 'daring', 'buka', 'link', 'absen', 'ngga', 'tolong', 'telkomsel']</t>
  </si>
  <si>
    <t>['gila', 'banget', 'masak', 'paket', 'unlimited', 'harganya', 'okelah', 'harganya', 'pas', 'harga', 'udah', 'kouta', 'unlimited', 'youtube', 'hapus', 'pelanggan', 'pilih', 'paket', 'unlimited', 'mahal', 'unlimited', 'youtube', 'gmana', 'unlimited', 'youtube', 'berlaku', 'paket', 'unlimited', 'hapus', 'diganti', 'berlangganan', 'disney', 'haadddeehhh', 'hancur', '']</t>
  </si>
  <si>
    <t>['namanya', 'pembodohan', 'konsumen', 'sekian', 'banyaknya', 'ulasan', 'masuk', 'dirugikan', 'telkomsel', 'tolong', 'benahi', 'kinerja', 'produk', 'dibiarkan', 'konsumen', 'smakin', 'berkurang', 'pengguna', 'dirugikan', '']</t>
  </si>
  <si>
    <t>['telkomsel', 'paket', 'unlimited', 'fup', 'kuota', 'harga', 'batas', 'pemakaian', 'wajar', 'sbelum', 'kuota', 'utama', 'habis', 'kuota', 'unlimited', 'smua', 'aplikasi', 'tetep', 'lancar', 'nomor', 'udah', 'thn', 'kali', 'ngerasa', 'kecewa', 'pensiun', 'nomor', '']</t>
  </si>
  <si>
    <t>['curaaaang', 'chekinnya', 'suka', 'hilang', 'misi', 'selesai', 'bonusnya', 'suka', 'hilang', 'apk', 'bener', 'pdhl', 'konsumen', 'setia', 'telkomsel', 'mimin', 'membantu', 'coba', '']</t>
  </si>
  <si>
    <t>['aktivasi', 'ulang', 'paket', 'kuota', 'keluarga', 'repot', 'banget', 'menu', 'paket', 'kuota', 'keluarga', 'hilang', 'nomer', 'terdaftar', 'grup', 'udah', 'habis', 'tolong', 'kuota', 'keluarga', 'peringkas', '']</t>
  </si>
  <si>
    <t>['aplikasi', 'telkomsel', 'bagus', 'fitur', 'favorit', 'pembelian', 'pulsa', 'paket', 'selebih', 'mengalami', 'tolong', 'kakak', 'perbaiaki', 'loading', 'masuk', 'app', 'menit', 'sekian', 'thanks', 'for', 'telkomsel', '']</t>
  </si>
  <si>
    <t>['knapa', 'kuota', 'game', 'slalu', 'eror', 'main', 'ngelag', 'trus', 'kuota', 'game', 'maen', 'pubg', 'mohon', 'perbaiki', 'membantu', 'pengguna']</t>
  </si>
  <si>
    <t>['aplikasi', 'konyol', 'mode', 'gratis', 'beli', 'kuota', 'aplikasi', 'isi', 'kuota', 'ketik', 'manual', 'konter', 'beli', 'aplikasi', 'telkomsel', 'konyol']</t>
  </si>
  <si>
    <t>['', 'kasih', 'pengguna', 'unlimited', 'telkomsel', 'skrg', 'gada', 'pade', 'ngambil', 'gb', 'kuota', 'bonus', 'gb', 'kuota', 'lokal', 'sosial', 'media', 'youtube', 'tiktok', 'total', 'gb', 'sebulan', 'pemakaian', 'miris', 'lemot', 'habis', 'duluan', 'kuotanya', 'ngertikn', 'skrg', 'kecewa', '']</t>
  </si>
  <si>
    <t>['daily', 'chechk', 'usahakan', 'khusus', 'kuota', 'kak', 'voucher', 'shoping', 'gitu', 'maaf', 'orang', 'kepake', 'bermanfaat', 'contoh', 'kuota', 'pulsa', 'kalopun', 'dapet', 'kuota', 'tambahan', 'harga', 'saldo', 'pulsa', 'kak']</t>
  </si>
  <si>
    <t>['tukarkan', 'poin', 'sistem', 'sibuk', 'kuota', 'mahal', 'jaringan', 'ngelag', 'pelit', 'baca', 'woooooy', 'benerin', 'sibuk', 'mulu', 'kaga', 'jelassss', 'bacaaaaaaa', '']</t>
  </si>
  <si>
    <t>['telkomsel', 'buka', 'aplikasi', 'koneksi', 'stabil', 'jaringan', 'full', 'trus', 'coba', 'hapus', 'cache', 'aplikasinya', 'masi', 'tetep', 'lemottt', 'tolong', 'fix', 'bug', '']</t>
  </si>
  <si>
    <t>['halo', 'admin', 'aplikasi', 'telkomsel', 'seburuk', 'beli', 'kuota', 'combo', 'unlimited', 'gb', 'apps', 'telkomsel', 'seharga', 'rb', 'bayar', 'shope', 'pay', 'saldo', 'shope', 'pay', 'terpotong', 'kuotanya', 'belom', 'masuk', 'belom', 'admin', 'tolong', 'solusinya', '']</t>
  </si>
  <si>
    <t>['kasih', 'bintang', 'kualitas', 'jaringan', 'turun', 'berbanding', 'terbalik', 'harga', 'kuota', 'mohon', 'telkomsel', 'meningkatkan', 'kualitas', 'jaringannya', 'trims', '']</t>
  </si>
  <si>
    <t>['pembelian', 'paket', 'paket', 'masak', 'beli', 'paket', 'combo', 'sakti', 'unlimited', 'rp', 'pulsanya', 'ambil', 'paket', 'rugi', 'unlimited', 'youtube', 'buka', 'apk', 'youtube', 'pkt', 'hiburan', 'bln', 'puasa', '']</t>
  </si>
  <si>
    <t>['benerin', 'jaringan', 'noh', 'lemot', 'terpenting', 'jaringan', 'perbaiki', 'gausah', 'menang', 'undian', 'undian', 'sgala', 'sinyal', 'stabil', 'udah', '']</t>
  </si>
  <si>
    <t>['paket', 'unlimited', 'youtube', 'habis', 'kouta', 'utama', 'kadang', 'akses', 'youtube', 'kecepatan', 'jaringan', 'mengakses', 'youtube', 'perlambat', 'telkomsel', 'sehat', '']</t>
  </si>
  <si>
    <t>['', 'pengguna', 'telkomsel', 'ama', 'berterima', 'kasih', 'kpd', 'telkomsel', 'menerus', 'meberikan', 'fitur', 'aplikasi', 'menarik', 'kemudahan', 'penggunanya', 'bravo', 'telkomsel', '']</t>
  </si>
  <si>
    <t>['telkomsel', 'jaringannnya', 'lemot', 'tolong', 'buktikan', 'ucapan', 'iklan', 'jaringan', 'lancar', 'dll', 'iklan', 'kenyataan', 'beda', 'tolong', 'perbaiki', 'janhan', 'iklan', 'hoax', 'mulu']</t>
  </si>
  <si>
    <t>['min', 'disetiap', 'jam', 'pagi', 'kecepatan', 'internet', 'lemot', 'dilanjut', 'jam', 'malam', 'malam', 'lemot', '']</t>
  </si>
  <si>
    <t>['knapa', 'skrang', 'aplikasi', 'telkomsel', 'lelet', 'pdahal', 'paket', 'internet', 'bnyk', 'tolong', 'perbaiki', 'msa', 'kartu', 'mahal', 'lelet', 'aplikasinya', 'mohon', 'responnya']</t>
  </si>
  <si>
    <t>['malam', 'min', 'knp', 'udah', 'bbrp', 'buka', 'apk', 'mytelkomsel', 'tampilan', 'muat', 'ulang', 'koneksi', 'stabil', 'klik', 'coba', 'hedeh', 'capek', 'pencet', 'gtu', 'trus', 'ngk', 'prubahan', 'jaringan', 'cepet', 'buka', 'lancar', 'streaming', 'ngk', 'buffr', 'coba', 'benerin', 'min', 'apk', '']</t>
  </si>
  <si>
    <t>['tgl', 'april', 'beli', 'paket', 'kombo', 'sakti', 'bayar', 'shoopepay', 'pembayaran', 'berhasil', 'paket', 'data', 'ditunggu', 'tunggu', 'jam', 'masuk', 'beli', 'bayar', 'pulsa', 'paketnya', 'langsung', 'aktif', 'dibayar', 'shoopepay', 'dimunculkan', 'opsi', 'pembayaran', 'dirugikan', 'saldo', 'shoopepay', 'terpotong', 'paket', 'data', 'beli', 'masuk', '']</t>
  </si>
  <si>
    <t>['udah', 'kelewatan', 'kesalahan', 'berkali', 'notif', 'paket', 'abis', 'udah', 'abis', 'alhasil', 'pulsa', 'kepotong', 'diem', 'alesan', 'buatan', 'robot', 'minimal', 'perbaiki', 'melongo', 'doang', 'boy', 'kebiasaan']</t>
  </si>
  <si>
    <t>['jaringan', 'telkomsel', 'area', 'banten', 'iyah', 'kak', 'hilang', 'hilang', 'sinyal', 'jga', 'batang', 'lancar', 'terusss', 'dimana', 'terimakasih', '']</t>
  </si>
  <si>
    <t>['kuota', 'gamenya', 'suka', 'ngeleg', 'sinyal', 'merah', 'pas', 'main', 'game', 'sakit', 'hati', 'jdi', 'mohon', 'sinyalnya', 'diperbaiki', 'sinyal', 'bagus', 'kuota', 'game', 'tpi', 'leg', 'lemot', 'maen', 'game', 'sya', 'keadilan', 'sya', 'berkomentar', 'karna', 'sya', 'mengalaminya', 'sya', 'berlangganan', 'telkomsel', 'dri', 'dlu', 'tpi', 'sinyalnya', 'nggk', 'bagus', 'maen', 'mobile', 'lagends', 'terimakasih', 'wassalamualaikum']</t>
  </si>
  <si>
    <t>['telkomsel', 'bagus', 'segi', 'kegunaan', 'bis', 'langsung', 'sisa', 'pulsa', 'ketik', 'papan', 'nomor', 'memantau', 'pemakaian', 'kartu', 'halo', 'makasih', 'telkomsel', '']</t>
  </si>
  <si>
    <t>['kuota', 'confrence', 'google', 'meet', 'kesedot', 'kuota', 'reguler', 'pembagian', 'wilayah', 'eorr', 'kuota', 'lokal']</t>
  </si>
  <si>
    <t>['telkomsel', 'provider', 'teknologi', 'kualitasnya', 'bobrok', 'tsel', 'survey', 'layanan', 'penilaian', 'terendah', 'kali', 'update', 'telkomsel', 'survey', 'berguna', '']</t>
  </si>
  <si>
    <t>['sinyal', 'bagus', 'kadang', 'loading', 'tolong', 'ditingkatkan', 'jaringanya', 'wilayah', 'kampungbaru', 'selatan', 'kepung', 'kediri', 'tepatnya', 'dusun', 'wonorejo', '']</t>
  </si>
  <si>
    <t>['tolong', 'pulsa', 'simpati', 'berkurang', 'aktifkan', 'tolong', 'transparansi', 'histori', 'penggunaan', 'pulsa', 'legal', '']</t>
  </si>
  <si>
    <t>['telkomsel', 'promo', 'kuota', 'giliran', 'pulsa', 'dibales', 'giliran', 'pulsa', 'dibales', 'bales', 'jing', 'butuh', 'kuota', 'promo']</t>
  </si>
  <si>
    <t>['aplikasi', 'aplikasi', 'telkomsel', 'suka', 'kluar', 'sampe', 'ngrestar', 'kendala', 'kemampuan', 'aplikasi', 'seprti', 'perubahan', 'sistem', 'kaya', 'kemarin', 'bagus', 'murah', 'kecewa', 'restart', 'dihapus', 'aplikasi', 'tlkomsel', 'lincah', 'pakai', 'aplikasi', 'memori', 'lancar', 'trus', 'aplikasi', 'eror', 'goblog', 'skearang', 'mah']</t>
  </si>
  <si>
    <t>['suka', 'pakai', 'telkomsel', 'mudah', 'penggunaan', 'aplikasinya', 'semoga', 'promo', 'kuota', 'bulanan', 'sukses', 'sayang', 'daerah', 'rumah', 'sinyalnya', 'suka', 'lemot', 'tolong', 'perbaikannya', '']</t>
  </si>
  <si>
    <t>['sungguh', 'buruk', 'kualitas', 'server', 'aplikasi', 'membutuhkan', 'pengecekan', 'cepat', 'sisa', 'pulsa', 'kuota', 'aktif', 'koneksi', 'aplikasi', 'server', 'buruk', 'rate', 'aplikasi', 'official', 'buruk', '']</t>
  </si>
  <si>
    <t>['pulsa', 'safe', 'jadikan', 'boros', 'qkuota', 'habis', 'pulsa', 'habis', 'satunya', 'nyaman', 'telkomsel', 'semoga', 'diperbaiki', 'kenyamanan', 'pengguna', 'pelanggan', 'telkomsel']</t>
  </si>
  <si>
    <t>['jaringannya', 'parah', 'buka', 'aplikasi', 'telkomsel', 'error', 'paket', 'super', 'mahal', 'kualitas', 'buruk', 'mending', 'beralih', 'kartu', 'paket', 'murah', 'jaringan', 'luas', 'telkomsel']</t>
  </si>
  <si>
    <t>['bagus', 'koneksi', 'stabil', 'muncul', 'mmbuka', 'aplikasi', 'tolong', 'perbaiki', 'sekian', 'terima', 'kasih', '']</t>
  </si>
  <si>
    <t>['aplikasi', 'buka', 'unstable', 'connection', 'jaringan', 'wifi', '']</t>
  </si>
  <si>
    <t>['tahunan', 'berlangganan', 'paket', 'gb', 'sebulan', 'ngisi', 'tawaran', 'promo', 'bonus', 'kecewa', 'berhubung', 'provider', 'jaringan', 'membaik', 'putuskan', 'beralih', '']</t>
  </si>
  <si>
    <t>['kecewa', 'sinyal', 'telkomsel', 'sinyalnya', 'lambat', 'seimbang', 'kode', 'sinyal', 'abal', 'abal', 'berkirim', 'pesan', 'buka', 'story', 'lelet', 'instagram', 'you', 'tube', 'telkomsel', 'diperbaiki', 'sinyal', 'kedepan', 'memperbaiki', 'berantakan']</t>
  </si>
  <si>
    <t>['appnya', 'jelek', 'susah', 'akses', 'pengalaman', 'aplikasi', 'verivikasi', 'sms', 'kali', 'verivikasi', 'berhasil', 'menunggu']</t>
  </si>
  <si>
    <t>['beli', 'paket', 'combo', 'sakti', 'unlimited', 'kesel', 'jaringannya', 'lemot', 'parah', 'buka', 'sosmed', 'apapun', 'susahnya', 'ampun', 'ngerti', 'coba', 'lgi', 'beli', 'paket', 'combo', 'sakti', 'mahal', 'tetep', 'lemot', 'sampe', 'cape', 'jdnya', '']</t>
  </si>
  <si>
    <t>['kecewaaaaa', 'telkomsel', 'memaksa', 'beli', 'paket', 'telkomsel', 'klik', 'link', 'sampi', 'banting', 'gerem', 'hallo', 'email', 'respon', '']</t>
  </si>
  <si>
    <t>['knpa', 'hujat', 'apk', 'apk', 'bagus', 'contoh', 'dapet', 'promo', 'sinyal', 'secepat', 'kilat', 'semoga', 'apk', 'berkembang', 'kedepan']</t>
  </si>
  <si>
    <t>['balikin', 'kartu', 'simpati', 'woi', 'kartu', 'halo', 'penipuan', 'kartu', 'kecewa', 'telkomsel', 'ganti', 'provider', 'karna', 'kartu', 'halo']</t>
  </si>
  <si>
    <t>['harga', 'udah', 'lumayan', 'murah', 'sinyal', 'main', 'game', 'tiktok', 'ram', 'sinyal', 'kuota', 'unlimited', 'tolong', 'kak', 'dijelasin']</t>
  </si>
  <si>
    <t>['sya', 'kecewa', 'koneksi', 'jaringannya', 'kecewa', 'sistem', 'pinjaman', 'pulsa', 'rb', 'dimana', 'buka', 'facebook', 'otomatis', 'masuk', 'link', 'pinjaman', 'telkomsel', 'paket', 'data', 'merugikan', 'mengganggu', 'arahan', 'link', 'otomatis', 'pinjaman', 'pulsa', 'alhasil', 'isi', 'pulsa', 'terpotong', 'otomatis', 'rb']</t>
  </si>
  <si>
    <t>['komplain', 'udah', 'kartu', 'telkomsel', 'lemot', 'banget', 'tinggal', 'daerah', 'jatinangor', 'udah', 'pindah', 'lemot', 'banget', 'mohon', 'perbaiki', 'udah', 'sabar', 'sampe', 'gini', 'kaga', 'kuat', 'lemotnya', 'ganti', 'operator', 'ribet', 'udah', 'nomer', '']</t>
  </si>
  <si>
    <t>['pengalaman', 'membeli', 'paket', 'data', 'gamemax', 'free', 'fire', 'pas', 'coba', 'masuk', 'gamenya', 'kayak', 'datanya', 'abis', 'datanya', 'tolong', 'telkomsel', 'perbaiki', 'bermain', 'game', 'free', 'fire', 'data', 'gamemax', 'terimakasih', '']</t>
  </si>
  <si>
    <t>['telkomsel', 'lemot', 'lancar', 'banget', 'kemaren', 'beli', 'paket', 'unlimited', 'chet', 'game', 'dll', 'kenap', 'nggak', 'nihh', 'gimana', 'harganya', 'pulsa', 'haduhhh', '']</t>
  </si>
  <si>
    <t>['operator', 'beli', 'kuota', 'gb', 'unllimited', 'aplikasi', 'kuota', 'utamanya', 'habis', 'aplikasi', 'kuota', 'unllimitednya', 'dahlah', 'nyesel', '']</t>
  </si>
  <si>
    <t>['jaringan', 'jelek', 'daerah', 'pedesaan', 'ngeluh', 'costumer', 'service', 'jawabannya', 'gitu', 'gitu', 'mulu', 'kaya', 'orang', 'bingung', 'wkwkwkw', 'terimakasih', '']</t>
  </si>
  <si>
    <t>['adakah', 'buka', 'aplikasi', 'mytelkomsel', 'sinyal', 'internet', 'hilang', 'total', 'restart', 'hape', 'normal', 'tukar', 'poin', 'undian', 'berhasil', 'menukar', 'masuk', 'sms', 'internet', 'mati', 'total', 'hape', 'redmi', 'note', 'pro', 'ram', '']</t>
  </si>
  <si>
    <t>['woy', 'bangke', 'hancur', 'jaringan', 'telkomsel', 'udah', 'biaya', 'paket', 'mahal', 'jaringan', 'bagus', 'paraaahhh', 'tolong', 'perbaiki', 'woy', 'bisanya', 'mahalin', 'harga', 'paket', 'kualitas', '']</t>
  </si>
  <si>
    <t>['woy', 'admin', 'barusan', 'beli', 'pulsa', 'beli', 'paket', 'internet', 'aplikasi', 'beli', 'jam', 'ngapain', 'habis', 'pulsa', 'ribu', 'nol', 'rupiah', 'penipuan', 'aplikasi', 'balikin', 'pulsa', 'teman', 'download', 'apk', 'bukti', 'aplikasi', 'korupsi']</t>
  </si>
  <si>
    <t>['aplikasi', 'kacau', 'milih', 'nsp', 'aplikasi', 'uda', 'diklik', 'judul', 'lagu', 'penyanyi', 'arilaso', 'hampa', 'kluar', 'nps', 'lagu', 'penyanyi', 'uda', 'bayar', '']</t>
  </si>
  <si>
    <t>['adduuuhhh', 'kemaren', 'super', 'lemooooooootttttttt', 'iniiihhhhh', 'ajah', 'telkomselllll', 'kerjaan', 'terbengkalaiii', '']</t>
  </si>
  <si>
    <t>['hallo', 'telkomsel', 'saran', 'developer', 'menyarankan', 'profesional', 'pulsa', 'menyarankan', 'fitur', 'pengunci', 'pulsa', 'pulsa', 'kesedot', 'adil', 'mengecewakan', 'pengguna', 'memenuhi', 'pengguna', 'makan', 'gaji', 'buta', 'kecewa', 'pulsa', 'kesedot', 'habis', 'habisan', 'kuota', 'habis', 'fitur', 'pengunci', 'pulsa', 'aplikasi', 'mytelkomsel', 'terima', 'kasih', '']</t>
  </si>
  <si>
    <t>['', 'daerah', 'wamena', 'tepatnya', 'sekitaran', 'pasar', 'sinakma', 'signal', 'ampun', 'kakak', 'presiden', 'berkunjung', 'signalnya', 'bagus', 'saingannya', 'signalnya', 'turunin', 'kecepatannya', 'sesuka', 'hati', 'baca', 'tolong', 'share', 'provider', 'bersaing', 'telkomsel', '']</t>
  </si>
  <si>
    <t>['member', 'platinum', 'telkomsel', 'mencoba', 'silver', 'paket', 'internet', 'telkomsel', 'diselipkan', 'gratis', 'tsel', 'voice', 'menit', 'gratis', 'sms', 'ujung', 'mubazir', 'beda', 'beli', 'paket', 'data', 'dapatnya', 'paket', 'data', 'bebas', 'trus', 'harganya', 'murah', 'terima', 'kasih', 'telkomsel', 'melahirkan', '']</t>
  </si>
  <si>
    <t>['', 'nyesel', 'deh', 'gaes', 'kepuasan', 'kemudahan', 'kebutuhan', 'kouta', 'bulanan', 'harian', 'gaes', 'telkomsel', 'ngadain', 'undi', 'happy', 'pelanggan', 'setia', 'hiburan', 'yuk', 'dwonload', 'aplikasinya', '']</t>
  </si>
  <si>
    <t>['telkomsel', 'memilah', 'kuota', 'pulsa', 'otomastis', 'kuota', 'habis', 'pulsa', 'terpotong', 'internet', 'dirugikan', '']</t>
  </si>
  <si>
    <t>['buka', 'aplikasinya', 'tulisan', 'koneksi', 'stabil', 'mah', 'lancar', 'tolong', 'perbaiki', 'aplikasinya', 'min', '']</t>
  </si>
  <si>
    <t>['pakai', 'telkomsel', 'susah', 'membuka', 'aplikasi', 'tulis', 'koneksi', 'stabil', 'bad', 'luck', 'for', 'telkomsel']</t>
  </si>
  <si>
    <t>['terima', 'kasih', 'pelayanan', 'aps', 'telkomsel', 'kecewa', 'jaringan', 'stabil', 'tanggal', 'april', 'jaringannya', 'lemot', 'stabil', 'berharap', 'tindakan', 'mengatasi', 'koneksi', 'stabil', '']</t>
  </si>
  <si>
    <t>['kecewa', 'telkomsel', 'aktif', 'pemberitahuan', 'apk', 'susah', 'dibuka', 'admin', 'menilai', 'goodloking', 'sekian', 'terima', 'kasih']</t>
  </si>
  <si>
    <t>['paket', 'swadaya', 'tersedia', 'kebelakang', 'harga', 'paket', 'kuota', 'tersedia', 'mahal']</t>
  </si>
  <si>
    <t>['min', 'mohon', 'ditinjau', 'ulang', 'paket', 'telkomsel', 'unlimitednya', 'fup', 'pelanggan', 'nyaman', 'paket', 'unlimited', 'fup', 'pribadi', 'kecewa', 'update', 'terbaru', 'paket', 'unlimited', 'telkomsel', 'notabene', 'dibatasi', 'fup', 'semoga', 'next', 'paket', 'unlimited', 'fup', 'trimakasih', '']</t>
  </si>
  <si>
    <t>['jaringan', 'jelek', 'gangguan', 'kah', 'pembelian', 'paket', 'jaringansibuk', 'kemarin', 'detik', 'kasih', 'perbaiki', 'kah', 'jaringan', 'kah', '']</t>
  </si>
  <si>
    <t>['unlimited', 'batasin', 'kouta', 'kecewa', 'kali', 'unlimited', 'dibtetep', 'lemott', 'tolong', 'klw', 'unlimited', 'batas', 'payah', 'telkomsel', 'ketipu']</t>
  </si>
  <si>
    <t>['lihat', 'paket', 'one', 'click', 'geser', 'geser', 'simple', 'histori', 'pembelian', 'paket', 'kegedean', 'ruang', 'diperkecil', 'level', 'pelanggan', 'beli', 'paket', 'apk', 'susah', 'alias', 'error', 'apk', 'tulis', 'unlimited', 'jujur', 'thanks']</t>
  </si>
  <si>
    <t>['main', 'game', 'moba', 'signal', 'buruk', 'nian', 'sarankan', 'memakai', 'provider', 'telkomsel', 'meng', 'upgtade', 'signal', 'pemakainya', 'cianjur', 'dananya', 'sarankan', 'mencari', 'partner', 'swasta', 'asing', 'profesional', 'memakai', 'samsung', '']</t>
  </si>
  <si>
    <t>['telkomsel', 'daerah', 'kesini', 'ancur', 'tolonglah', 'perbaiki', 'perluas', 'jaringannya', 'tolong', 'tanggapi', 'kekuhan', 'konsumen', 'tindak', 'kanjuti', 'perihal', 'jngn', 'menuai', 'kekecewaan', 'terimakasih', '']</t>
  </si>
  <si>
    <t>['jaringan', 'error', 'sinyal', 'stabil', 'telkomsel', 'diperbaiki', 'beralih', 'provider', 'terjangkau', 'harganya', 'mahal', 'jaringan', 'error', 'sinyal', 'stabil']</t>
  </si>
  <si>
    <t>['hallo', 'admin', 'jam', 'kartu', 'telkomsel', 'hilang', 'jaringan', 'apapun', 'jaringan', 'kartu', 'telkomsel', 'kartu', 'sinyal', 'hilang', 'layanan', 'sampe', 'check', 'berlaku', 'kartu', 'kadaluarsa', 'kartu', 'mohon', 'bantuan', 'karna', 'panik', 'jaringan', 'connect', 'telkomsel', 'bagus', 'jaringannya', '']</t>
  </si>
  <si>
    <t>['cma', 'mnta', 'update', 'doang', 'update', 'jaringan', 'internet', 'buruk', 'telkomsel', 'sya', 'dngan', 'paket', 'mahal', 'bsa', 'jamin', 'snyal', 'bagus', 'jelek', 'laporan', 'pengurus', 'tower', 'sma', 'call', 'center', 'hnya', 'petunjuk', 'doang', 'tindak', 'lanjuti', 'bnerin', 'dngan', 'tolong', 'perbaikin', 'krna', 'internet', 'skrang', 'jdi', 'kebutuhan', 'pkerjaan', '']</t>
  </si>
  <si>
    <t>['buka', 'bos', 'ram', 'ram', 'kaleee', 'buka', 'mohon', 'maaf', 'pindah', 'operator', 'sebelah', 'thanks', 'very', 'much']</t>
  </si>
  <si>
    <t>['telkomsel', 'melemah', 'mati', 'lampu', 'sinyal', 'hilang', 'eror', 'buka', 'telkomsel', 'kesini', 'jaringan', 'telkomsel', 'kyk', 'beli', 'kuota', 'telkomsel', 'mahal', 'banding', 'krna', 'pikir', 'kualitas', 'jaringan', 'bagus', 'tolong', 'diperhatikan', 'terimakasih']</t>
  </si>
  <si>
    <t>['sinyal', 'telkomsel', 'banget', 'maxunlimitid', 'murah', 'jelek', 'mahal', 'jelek', 'sinyalnya', 'parah', 'parah', 'perbaiki', 'kartu', 'indonesia', 'kualitas', 'sinyalnya', 'kek', 'ngeselin']</t>
  </si>
  <si>
    <t>['jaringan', 'buruk', 'langganan', 'kartu', 'hallo', 'jaringan', 'hilang', 'dipake', 'main', 'game', 'jelek', 'parah', 'mahal', 'doang', 'telkomsel', 'performa', 'buruk', '']</t>
  </si>
  <si>
    <t>['kecewa', 'banget', 'jaringanya', 'khusus', 'daerah', 'demak', 'kebanyakan', 'gangguan', 'akibatnya', 'kredit', 'skor', 'salah', 'game', 'berkurang', 'karna', 'keseringan', 'afk', 'mohon', 'admin', 'memperbaiki', 'jaringan', 'daerah', 'demak', 'jateng']</t>
  </si>
  <si>
    <t>['heh', 'gmna', 'telkomsel', 'jaringan', 'bener', 'bener', 'kasian', 'yaa', 'abang', 'gua', 'main', 'game', 'losestreak', 'kali', 'gara', 'gara', 'jaringan', 'iyaa', 'jaringan', 'ilang', 'ilangan', 'kek', 'doi', 'gitu', 'besok', 'besok', 'tolong', 'banget', 'mah', 'jaringan', 'lancar', 'kaya', 'roket', 'okee', '']</t>
  </si>
  <si>
    <t>['buruk', 'jaringan', 'kau', 'temkomsel', 'berpindah', 'kartu', 'untunynya', 'pakai', 'kartu', 'telkomsel', 'udh', 'paket', 'mahal', 'jaringan', 'jelek', 'kota', '']</t>
  </si>
  <si>
    <t>['downloads', 'aplikasi', 'pdhl', 'restart', 'downloads', 'aplikasi', 'perangkat', 'kompatibel', 'aplikasi', 'mohon', 'penjelasannya', '']</t>
  </si>
  <si>
    <t>['gimana', 'solusinya', 'kartu', 'simpati', 'masuk', 'masak', 'tenggang', 'beli', 'kartu', 'halo', 'pakai', 'setia', 'telkomsel', 'solusinya', 'ulasan', 'dihapus', '']</t>
  </si>
  <si>
    <t>['aplikasi', 'kena', 'bug', 'susah', 'login', 'kontrol', 'sistem', 'tolong', 'kebijakan', 'harga', 'kuota', 'murah', 'pelayanan', 'buruk', 'konsumen', 'kecewa', 'parah', 'rating', 'gubris', 'terkait', 'perbaikan', 'rating', 'jangn', 'salahkan', 'konsumen']</t>
  </si>
  <si>
    <t>['paraaahhh', 'lemot', 'kaya', 'jaringannya', 'udah', 'mah', 'mahal', 'harga', 'pulsa', 'kuota', 'jaringan', 'kaya', 'keong', 'bagus', 'jaringan', 'lemot', 'gini', 'lbh', 'bagus', 'sikuning', 'gampang', 'dibuka', 'sinyal', 'bagus', 'murah', 'harga', 'kuota', 'internet', 'semacamnya', '']</t>
  </si>
  <si>
    <t>['assalamu', 'alaikum', 'kak', 'admin', 'puasa', 'data', 'murah', 'telalau', 'promo', 'harga', 'paket', 'kurangin', 'paket', 'data', 'ribu', 'hilang', 'selalau', 'naikan', 'harga', 'paket', 'terkadang', 'jarang', 'promo', 'telkomsel', 'kali', 'tolong', 'kak', 'promo', 'kasih', 'telkomsel', 'maju', 'terima', 'kasih', 'pengertiannya', 'kak', 'admin', 'wasalm', '']</t>
  </si>
  <si>
    <t>['jelek', 'apk', 'login', 'gabisa', 'linknya', 'udah', 'ttp', 'gabisa', 'login', 'unin', 'ttp', 'gabisa', 'daily', 'chek', 'suka', 'hilang', 'pas', 'tukar', 'koin', 'gabisa']</t>
  </si>
  <si>
    <t>['waow', 'grapari', 'telkomsel', 'goodjoob', 'mantap', 'mudah', 'cepat', 'simple', 'customer', 'ramah', 'ramah', 'terimakasih', 'bantuan', 'kartu', 'hilang', 'info', 'info', 'terbaik', 'mudah', 'pelanggan', 'mytelkomsel', 'terima', 'kasih']</t>
  </si>
  <si>
    <t>['membantu', 'pelanggan', 'setia', 'telkomsel', 'semoga', 'paket', 'internet', 'paket', 'promosikan', 'mengatasi', 'internet', 'berkaitan', 'penghasilan', 'masyarakat', 'pandemi', 'covid', '']</t>
  </si>
  <si>
    <t>['permisi', 'min', 'knapa', 'vocher', 'tsel', 'wilayah', 'medan', 'langka', 'produksi', 'vochernya', 'dihentikan', 'gimana', 'mohon', 'penjelasannya', 'min', 'makasih', '']</t>
  </si>
  <si>
    <t>['susah', 'banget', 'beli', 'paketan', 'pilihan', 'internet', 'omg', 'muncul', 'dipilih', 'tolong', 'telkomsel', 'diperbaiki', 'beli', 'susah', 'banget', 'seharian']</t>
  </si>
  <si>
    <t>['harga', 'paketnya', 'harganya', 'naikin', 'kouta', 'internet', 'berkurang', 'harga', 'mahal', 'paket', 'kasih', 'kaya', 'paket', 'combo', 'sesuai', 'harga', 'unlimited', 'multimedia', 'harga', 'kouta', 'unlimited', 'batasin', 'kek', 'kaya', 'bebas', 'habis', 'aktif']</t>
  </si>
  <si>
    <t>['aplikasi', 'login', 'paket', 'internet', 'paket', 'login', 'udah', 'login', 'apk', 'mytelkomsel', 'sungguh', 'menyenangkan', 'habis', 'paket', 'cek', 'paket', 'internet', 'susah', 'ampun']</t>
  </si>
  <si>
    <t>['telkomsel', 'jaringan', 'sluruh', 'pelosok', 'tanah', 'air', 'masukan', 'aktif', 'habis', 'tolong', 'sisa', 'kuota', 'hangus', 'konsumen', 'isi', 'ulang', 'paket', 'sisa', 'tolong', 'aktifin', '']</t>
  </si>
  <si>
    <t>['knapa', 'buka', 'aplikasi', 'kuota', 'udah', 'gitu', 'jaringan', 'telkomsel', 'ampas', 'kecewa', 'make', 'telkomsel', 'jaringan']</t>
  </si>
  <si>
    <t>['telkomsel', 'kartu', 'bagus', 'sinyal', 'kuat', 'kartu', 'skrang', 'sya', 'kecewa', 'sinyal', 'mengecewakan', 'sinyal', 'susah', 'kota', 'bandar', 'lampung', 'kampung', 'terpencil', 'telkomsel', 'sinyak', 'bagus', 'kartu', 'dinyal', 'sebalik', 'telkomsel', 'singal', 'jelek', 'mati', 'lampu', 'sinyal', 'ilang', 'telkomsel', 'mati', 'lampu', 'ngaruh', 'sinyal', 'msh', 'bagus', 'mohon', 'perbaiki', '']</t>
  </si>
  <si>
    <t>['aplikasi', 'jelek', 'sekelas', 'telkomsel', 'aplikasi', 'kyk', 'gini', 'buka', 'app', 'error', 'istri', 'sebentar', 'login', 'alami', 'teman', '']</t>
  </si>
  <si>
    <t>['login', 'rumit', 'link', 'bolak', 'kdg', 'susah', 'liat', 'pulsa', 'keluhan', 'sinyal', 'stabil', 'pdhl', 'telkomselrjut', 'byk', 'menu', 'org', 'malas', 'lihatnya', 'diupdate', 'jelek', 'nyaman', 'banget']</t>
  </si>
  <si>
    <t>['paket', 'ramadhan', 'gini', 'napa', 'mahal', 'kecewa', 'jaringan', 'telkomsel', 'daerah', 'pekanbaru', 'subanteng', 'ngeleg', 'ampun', 'pelanggan', 'telkomsel', 'setia']</t>
  </si>
  <si>
    <t>['jual', 'paket', 'pakai', 'jaringan', 'skrang', 'lemah', 'buka', 'apk', 'sosmed', 'sja', 'leletnya', 'ampun', 'main', 'game', 'tolong', 'gmna', 'solusinya']</t>
  </si>
  <si>
    <t>['aplikasi', 'erorr', 'tolonglah', 'sbagai', 'provider', 'terbesar', 'indonesia', 'aplikasi', 'telkomsel', 'aplikasi', 'team', 'pengembang', 'sekelas', 'telkomsel', 'mengatasi', 'kegagalan', 'internet', 'layanan', 'mempermudah', 'mempersulit', 'rating', 'gua', 'kasih', 'full', 'ttep', 'dukung', 'aplikasi', 'telkomsel', 'angka', 'tetaplah', 'angka', 'kepuasan', 'pelanggan', 'utama', 'bayar', 'gratis', '']</t>
  </si>
  <si>
    <t>['sinyak', 'telkomsel', 'jelek', 'ngekuh', 'membantu', 'telkomsel', 'menawarkan', 'promosi', 'menguntungkan', 'rugikan', 'sinyal', 'jelek']</t>
  </si>
  <si>
    <t>['nomor', 'aktif', 'berlangganan', 'paket', 'internet', 'sebulan', 'gb', 'telpon', 'menit', 'sms', 'harganya', 'mahal', 'ketimbanng', 'kartu', 'nomor', 'simpati', 'pengguna', 'paket', 'internet', 'gb', 'skema', 'tarif', 'ratakan', 'pengguna', 'simpati', 'aktif', 'pindah', 'berlangganan', 'telkomsel', 'mengganti', 'nomor', '']</t>
  </si>
  <si>
    <t>['jelek', 'telkomsel', 'aplikasi', 'telkomsel', 'paket', 'promo', 'rb', 'pajang', 'telkomsel', 'beli', 'paket', 'tanggapan', 'telkomsel', 'pokok', 'telkomsel', '']</t>
  </si>
  <si>
    <t>['', 'maret', 'beli', 'kartu', 'telkomsel', 'nomor', 'salah', 'sambung', 'mencari', 'orang', 'jaringan', 'telkomsel', 'lambat', 'kuota', 'jaringannya', 'lambat', 'membalas', 'chat', 'whatsapp', '']</t>
  </si>
  <si>
    <t>['beli', 'kuota', 'telkomsel', 'pembayaran', 'via', 'ovo', 'saldo', 'berkurang', 'muncul', 'invoice', 'kuota', 'masuk', 'grapari', 'terdekat', 'dijanjian', 'kerja', 'pemberitahuan', 'kabar']</t>
  </si>
  <si>
    <t>['kesini', 'parah', 'pengguna', 'reward', 'hargane', 'unlimited', 'batasi', '']</t>
  </si>
  <si>
    <t>['mohon', 'admin', 'telkomsel', 'kuliah', 'online', 'jaringan', 'ilang', 'paket', 'kejadian', 'kesal', 'pas', 'lgai', 'persentase', 'jaringan', 'ilang', 'total', 'terganggu', 'kejadian', 'mohon', 'perbaiki', 'jaringan', 'telkomsel', 'daerah', 'kecamatan', 'kinali', 'kabupaten', 'pasaman', 'barat', 'sumatera', 'barat', 'indonesia', '']</t>
  </si>
  <si>
    <t>['sinyal', 'buruk', 'beli', 'paket', 'mahal', 'harganya', 'maen', 'game', 'pubg', 'ngelike', 'kali', 'pink', 'atans', 'lokasi', 'madiun', 'kota', 'kecewa', 'pakai', 'telkomsel', 'harga', 'mahal', 'sinyal', 'buruk', 'bintang', 'kasi', '']</t>
  </si>
  <si>
    <t>['telkomsel', 'tetep', 'mahal', 'harganya', 'dibandingkan', 'provider', 'kualitas', 'signal', 'berkualitas', 'sesuai', 'harganya', 'geser', 'sinyal', 'angin', 'anginan', 'ahh', 'mending', 'ganti', 'provider', 'laen', 'mahal', 'doank', 'angin', '']</t>
  </si>
  <si>
    <t>['ganti', 'kartu', 'telkomsel', 'mahal', 'drpd', 'kompetitornya', 'mohon', 'dikaji', 'ulang', 'pelayanan', 'ganti', 'kartunya', 'pelanggan', 'puas', 'bosss', '']</t>
  </si>
  <si>
    <t>['berlangganan', 'telkomsel', 'sampe', 'dikecewakan', 'skrg', 'kecewa', 'kouta', 'unlimited', 'batasan', 'pup', 'kouta', 'mending', 'ganti', 'namanya', 'ubah', 'non', 'unlimited', 'udah', 'mahal', 'unlimited', 'kecepatan', 'kb', 'hidup', 'dijaman', 'batu', 'buka', 'insta', 'story', 'leletnya', 'ampun', '']</t>
  </si>
  <si>
    <t>['mohon', 'maaf', 'telkomsel', 'kesini', 'jaringannya', 'daerah', 'jelek', 'dlu', 'bagus', 'tolong', 'perbaiki', 'jaringanya', 'trima', 'kasih', '']</t>
  </si>
  <si>
    <t>['telkomsel', 'beli', 'kuota', 'games', 'bermain', 'games', 'online', 'ribet', 'providernya', '']</t>
  </si>
  <si>
    <t>['kali', 'error', 'pelanggan', 'kesal', 'harap', 'perbaiki', 'jaringan', 'pakai', 'wifi', 'error', 'dirugikan', 'jaringan', 'tekomsel', 'harap', 'perbaiki', 'update', 'kualitas', 'jaringan', 'jelek']</t>
  </si>
  <si>
    <t>['tolong', 'opsi', 'chat', 'langsung', 'support', 'manusia', 'fitur', 'veronica', 'naif', 'bagus', 'terselesaikan']</t>
  </si>
  <si>
    <t>['kadang', 'eror', 'sesuai', 'harapkan', 'perasaan', 'paket', 'jga', 'harga', 'kek', 'cabai', 'pasar', 'tolong', 'min', 'dicek', 'apk', 'dibikin', 'mempermudah', 'murah', 'terimakasih', 'perhatiannya']</t>
  </si>
  <si>
    <t>['kecewa', 'berat', 'telkomsel', 'beli', 'paket', 'internet', 'bertulisan', 'pembayaran', 'selesai', 'paket', 'internet', 'masuk', 'menunggu', 'ngga', 'diproses', 'jam']</t>
  </si>
  <si>
    <t>['sblum', 'baca', 'komen', 'isinya', 'keluhan', 'skrg', 'giliran', 'gua', 'telkomsel', 'niat', 'ngadain', 'system', 'aplikasi', 'tlkmsel', 'gausah', 'gua', 'udah', 'chekin', 'stampel', 'bgitu', 'udah', 'point', 'gua', 'pengen', 'maaf', 'persediaan', 'voucher', 'abis', 'hmmzzz', 'tolong', 'bgitulah', '']</t>
  </si>
  <si>
    <t>['combo', 'sakti', 'udah', 'berubah', 'paket', 'nggak', 'enak', 'rubah', 'nggak', 'unlimited', 'kek', 'kemaren', 'batasin', 'saran', 'nggk', 'rubah', 'betah', 'pakek', 'telkom', 'karna', 'paket', 'rubah', '']</t>
  </si>
  <si>
    <t>['bug', 'tolong', 'telkomsel', 'unlimited', 'kasih', 'akses', 'aplikasi', 'telkomsel', 'kecepatan', 'kayak', 'akses', 'instagram', 'konyol', '']</t>
  </si>
  <si>
    <t>['kayak', 'telkomsel', 'tukar', 'poin', 'pulsa', 'telkomsel', 'poin', 'tukar', 'pulsa']</t>
  </si>
  <si>
    <t>['beli', 'paket', 'kuota', 'gopay', 'dana', 'udah', 'dipotong', 'kuota', 'masuk', 'gimana', 'telkomsel', 'udah', 'banget', 'kejadian', 'pusing', '']</t>
  </si>
  <si>
    <t>['udah', 'bagus', 'jaringanya', 'kasi', 'game', 'game', 'masuk', 'diunlimited', 'gamemax', 'gua', 'bingung', 'pas', 'main', 'game', 'tetep', 'ngelag', 'gua', 'unlimited', 'gamemax', 'tolong', 'kasi', '']</t>
  </si>
  <si>
    <t>['bingung', 'telkomsel', 'didaerah', 'dieng', 'susah', 'bngt', 'dapet', 'sinyal', 'komplen', 'beli', 'paket', 'telpon', 'kring', 'kring', 'disitu', 'tertulis', 'harga', 'ribu', 'pas', 'beli', 'pulsa', 'potong', 'jau', 'bngt', 'harganya', 'namanya', 'tipu', 'tuuh', 'sedih', 'langganan', 'telkom', 'bgini', '']</t>
  </si>
  <si>
    <t>['min', 'tolong', 'didaerah', 'paket', 'combo', 'sakti', 'lambat', 'mohon', 'diproses', 'berganti', 'daerah', 'kecepatan', 'thq', '']</t>
  </si>
  <si>
    <t>['pakai', 'wifi', 'terhubung', 'internet', 'registrasi', 'terhubung', 'internet', 'terkesan', 'ribet', 'muncul', 'notifikasi', 'blm', 'koneksi', 'internet', '']</t>
  </si>
  <si>
    <t>['aplikasi', 'update', 'login', 'susah', 'masuk', 'aplikasi', 'loading', 'jaringan', 'telkomsel', 'buruk', 'kayak']</t>
  </si>
  <si>
    <t>['kecewa', 'telkomsel', 'skrg', 'suka', 'lemot', 'memilah', 'paketan', 'habis', 'paketan', 'dipakai', 'habis', 'dluan', 'berasa', 'mubajir', 'paketan', 'bgitu', 'kelupaan', 'paketan', 'pulsa', 'utama', 'nol', 'kdng', 'detik', 'lupa', 'pulsa', 'udh', 'habis', 'perbaiki', 'sistemnya', 'pengguna', 'aman', 'pulsa', 'utama', 'kesedot', 'data', 'data', 'amankan', 'pulsa', 'utama']</t>
  </si>
  <si>
    <t>['perbaiki', 'sistem', 'paket', 'data', 'aktif', 'pulsa', 'lari', 'busuk', 'malaysia', 'bagus', 'nyolong', 'pulsa', 'indonesia', 'satelit', 'sda', 'aktifkan', 'paket', 'beli', 'paket', 'data', 'pulsa', 'sedot', 'gunung', 'tolong', 'pemerintah', 'indonesia', 'perbaiki', 'sistem', 'contohi', 'malaysia', 'pengaturan', 'pulsa', 'pulsa', 'internet', 'telkomsel', 'pencuri', 'nyata']</t>
  </si>
  <si>
    <t>['parah', 'banget', 'batas', 'pemakaian', 'wajarnya', 'jatohnya', 'gga', 'unlimited', 'gga', 'kaya', 'gini', 'abis', 'pemakaian', 'wajarnya', 'lemotnyaa', 'parah', 'bnget', 'doang', 'emang', 'udh', 'bnyak', 'bobrok', 'harganya', 'udh', 'gamau', 'byeee']</t>
  </si>
  <si>
    <t>['skrng', 'membeli', 'paket', 'swadaya', 'beli', 'tgl', 'april', 'beliskrng', 'paket', 'internet', 'mahal', '']</t>
  </si>
  <si>
    <t>['tolong', 'min', 'daerah', 'citayam', 'signalnya', 'bagusiin', 'kalah', 'sii', 'signalnya', 'citayem', 'propeider', 'negri', 'telkomsel', 'negri', 'kalah', 'jaringannya', 'gimana', 'nguntungin', 'orang', 'negri', 'propeider', 'negerinya']</t>
  </si>
  <si>
    <t>['paket', 'ribu', 'dibeli', 'tulisannya', 'disms', 'pas', 'dibeli', 'mlahan', 'tulisannya', 'produk', 'dibeli', 'tinggl', 'paket', 'mahal', 'males', 'gini']</t>
  </si>
  <si>
    <t>['assalamu', 'alaikum', 'kak', 'kartu', 'mati', 'aktifkan', 'nomor', 'whatsapp', 'kak', 'mohon', 'penjelasannya', 'terimakasih', '']</t>
  </si>
  <si>
    <t>['kuota', 'sinyal', 'susah', 'pas', 'beli', 'kuota', 'app', 'telkomsel', 'login', 'susah', 'eror', 'mulu', 'butuh', 'kalangan', 'menengah', 'pelayanan', 'diskriminasi']</t>
  </si>
  <si>
    <t>['sungguh', 'sayangkan', 'jaringan', 'telkomsel', 'putus', 'main', 'game', 'merugikan', 'beli', 'paket', 'duit', 'daun', 'jaringan', 'stabil', 'tolong', 'developer', 'perbaiki', 'ngerugiiin', 'konsumen', 'banget', '']</t>
  </si>
  <si>
    <t>['kecewa', 'layanan', 'mytelkomsel', 'kali', 'eror', 'login', 'login', 'jaringan', 'stabil']</t>
  </si>
  <si>
    <t>['sengaja', 'rat', 'baca', 'login', 'eror', 'pertanyaannya', 'jaringan', 'bagus', 'susah', 'login', 'jaringan', 'jelek', 'apknya', 'onfire', 'login', 'gilak', 'apk', 'bacot', 'sja', '']</t>
  </si>
  <si>
    <t>['telkomsel', 'suka', 'sesukanya', 'rubah', 'paket', 'murah', 'kali', 'dibeli', 'diubah', 'paket', 'mahal', 'derita', 'daerahnya', 'jaringan', 'telkomsel', 'coba', 'provider', 'mending', 'pindah', '']</t>
  </si>
  <si>
    <t>['sms', 'mengaktifkan', 'layanan', 'langit', 'musik', 'membayar', 'tagihan', 'mengaktifkan', 'layanan', 'kecewa', 'rugi', 'bayar', 'over', 'limit', 'tolong', 'layanan', 'layanan', 'berguna', 'mohon', 'ditawarkan', 'diaktifkan', 'sepengetahuan', 'pengguna', 'merugikan', 'terima', 'kasih', 'mohon', 'respon', 'cepatnya']</t>
  </si>
  <si>
    <t>['mohon', 'maaf', 'pakai', 'apl', 'terkadang', 'error', 'loging', 'kadang', 'sulit', 'muter', 'ujung', 'notif', 'mohon', 'periksa', 'nomer', '']</t>
  </si>
  <si>
    <t>['mimin', 'knp', 'paket', 'swadaya', 'knp', 'hilang', 'berlangganan', 'paket', 'swadaya', 'banget', 'tolong', 'penjelasannya', 'min', '']</t>
  </si>
  <si>
    <t>['kualitas', 'sinyal', 'thn', 'mengecewakan', 'gangguan', 'network', 'kali', 'seminggu', 'operator', 'kalah', 'operator', 'sebelah', '']</t>
  </si>
  <si>
    <t>['gila', 'tsel', 'paket', 'unlimited', 'fup', 'kasih', 'nama', 'unlimited', 'keterangan', 'max', 'kbps', 'kbps', 'tembus', 'balikin', 'kyk', 'dlu']</t>
  </si>
  <si>
    <t>['mudah', 'apk', 'telkomsel', 'cek', 'pulsa', 'paket', 'data', 'bahakan', 'promo', 'spesial', 'paket', 'internet', 'apk', 'telkomsel', 'harapannya', 'dikasih', 'promo', 'promo', 'pelanggan', 'betah', 'telkomsel', '']</t>
  </si>
  <si>
    <t>['aplikasi', 'sampah', 'pulsa', 'ribu', 'hilang', 'kuota', 'pulsa', 'kesedot', 'pembelian', 'mahal', 'tolong', 'perbaiki']</t>
  </si>
  <si>
    <t>['mohon', 'peketan', 'telkomsel', 'murah', 'warga', 'kayak', 'beli', 'promo', 'ribu', 'beli', 'hilang', 'kartu', 'ribu', 'kuota', 'utama', '']</t>
  </si>
  <si>
    <t>['beli', 'paket', 'ceria', 'internet', 'malam', 'aplikasi', 'mytelkomsel', 'bugnya', 'bagus', 'buruk', 'pindah', 'kartu', 'telkomsel', 'kualitasnya', 'buruk', '']</t>
  </si>
  <si>
    <t>['cek', 'paket', 'telkomsel', 'lihat', 'harga', 'paketan', 'suka', 'lemot', 'menerus', 'harga', 'paket', 'sumpah', 'males', 'beli', 'kuota', 'telkomsel', 'tinggal', 'tunggu', 'aktif', 'abis', 'deh', 'nyaman', 'telkomsel', 'lemot', 'banget', 'stabil', 'pengguna', 'kartu', 'lawas', 'umur', 'kartu', 'berumur', 'aplikasi', 'telkomsel', 'paket', 'paket', 'murah', 'terimakasih', '']</t>
  </si>
  <si>
    <t>['isi', 'ulang', 'pulsa', 'nominal', 'bayar', 'langsung', 'terpotong', 'notifnya', 'merugikan', 'signal', 'kesini', 'buruk', 'sore', 'jam', 'wib', 'jam', 'koneksi', 'internet', 'buruk', 'perbaiki', 'pelanggan', 'berkurang', 'jaringan', 'standar', 'mengecewakan', 'buruk', '']</t>
  </si>
  <si>
    <t>['kagak', 'ngerti', 'telkomsel', 'gue', 'gue', 'isi', 'pulsa', 'apaaain', 'pulsa', 'ilang', 'diemin', 'hilang', 'buruk', 'indosat', 'sistem', 'save', 'data', 'abis', 'kuota', 'pulsaa', 'kagak', 'kesedot', 'tolong', 'daerah', 'jaringan', 'telkomsel', 'lemot', 'perbaiki', 'mati', 'lampu', 'jaringan', 'telkomsel', 'ilang', '']</t>
  </si>
  <si>
    <t>['sebentar', 'orang', 'pakai', 'jaringan', 'telkomsel', 'stabil', 'pakai', 'sinyal', 'jelek', 'banget', 'ngerti', 'provider', 'luas', 'mahal', 'jaringan', 'kunntuuullll']</t>
  </si>
  <si>
    <t>['tolong', 'perbaiki', 'kadang', 'jaringan', 'mudah', 'hilang', 'kepentingan', 'mendadak', 'udah', 'screnshot', 'keluhan', 'keluhan', 'puas', 'pelanggan', '']</t>
  </si>
  <si>
    <t>['aplikasi', 'taik', 'login', 'susahnya', 'ampun', 'koneksi', 'stabil', 'koneksi', 'cek', 'pulsa', 'beli', 'paket', 'masuk', 'kali', 'perbaiki', 'donk', 'operator', 'terbesar', 'indonesia', 'kinerjanya', 'kayak', 'gini']</t>
  </si>
  <si>
    <t>['telkomsel', 'mencari', 'untung', 'pandemi', 'ekonomi', 'memburuk', 'lock', 'dri', 'tgl', 'telkomsel', 'menaikan', 'harga', 'pulsa', 'dri', 'data', 'telpon', 'ayo', 'smw', 'pindah', 'telkomsel', 'mencari', 'untung', 'suci', 'ramadhan']</t>
  </si>
  <si>
    <t>['jaringan', 'suka', 'ilang', 'sediri', 'diluar', 'pengen', 'make', 'data', 'jaringannya', 'ilang', 'ribet', 'kartu', 'emang', 'jaringan', 'daerah']</t>
  </si>
  <si>
    <t>['telkomsel', 'hancur', 'rugikan', 'bisnis', 'berkembang', 'bangkrut', 'paket', 'udah', 'mahal', 'jaringan', 'lelet', 'kayak', 'siput', '']</t>
  </si>
  <si>
    <t>['bbrp', 'minggu', 'susah', 'banget', 'aksesnya', 'disuruh', 'refresh', 'kadang', 'login', 'ulang', 'sampe', 'bbrp', 'kali', 'kesel', 'deh', 'susah', 'banget', 'cek', 'kuota', 'cek', 'tolong', 'diperbaiki', 'sistemnyaa']</t>
  </si>
  <si>
    <t>['semingguan', 'aplikasi', 'telkomsel', 'error', 'mulu', 'knp', 'pdhl', 'udh', 'update', 'eror', 'mulu', 'kirain', 'salah', 'pdhl', 'emg', 'aplikasi', 'error', 'perbaiki', 'min']</t>
  </si>
  <si>
    <t>['', 'sms', 'keterangan', 'periode', 'paket', 'telkomsel', 'ceria', 'tanggal', 'taunya', 'apk', 'blom', 'nyampe', 'tggl', 'udah', 'akses', 'lemot', '']</t>
  </si>
  <si>
    <t>['aktifkan', 'telkomsel', 'dapatkan', 'telkomsel', 'contohnya', 'beli', 'paket', 'internet', 'telkomsel', 'murah', 'praktis', 'cepat', '']</t>
  </si>
  <si>
    <t>['kemarin', 'promo', 'rb', 'gb', 'sekarng', 'kemana', 'yea', 'paket', 'tolong', 'manajemen', 'telkomsel', 'berilah', 'keringanan', 'sulit', 'trimakasih', 'semoga', 'aktif', '']</t>
  </si>
  <si>
    <t>['telkomsel', 'sayangkan', 'lemot', 'internet', 'berbeda', 'menerus', 'pelanggan', 'beralih', 'operator', 'mahalnya', 'doang', 'shop', 'perhatikan', 'kenyamanan', 'pelanggan', 'hancur', 'privasi', 'pelanggan', 'dll', 'ayo', 'ganti', 'operator', '']</t>
  </si>
  <si>
    <t>['bangke', 'banget', 'sinyal', 'lag', 'lag', 'update', 'lancar', 'lancar', 'sajah', 'persi', 'sekaran', 'bagus', 'parah', 'lag', 'ooooooo']</t>
  </si>
  <si>
    <t>['aktif', 'paket', 'promo', 'ngc', 'kah', 'tukar', 'kartu', '']</t>
  </si>
  <si>
    <t>['minggu', 'nyaman', 'aplikasi', 'login', 'aplikasi', 'koneksi', 'stabil', 'klik', 'coba', 'terkadang', 'login', 'aplikasi', 'verifikasi', 'nomor', 'mengganggu', 'kenyamanan', 'tolong', 'perbaiki', 'maaf', '']</t>
  </si>
  <si>
    <t>['plis', 'deh', 'hadiah', 'checkin', 'dikasih', 'kuota', 'voucher', 'zalora', 'tokopedia', 'apalah', 'pengguna', 'telkomsel', 'akun', 'gimana', 'mending', 'kuota', 'dikasih', 'telkomsel', 'poin', 'isi', 'pulsa']</t>
  </si>
  <si>
    <t>['sinyal', 'jaringan', 'jelek', 'harga', 'mahal', 'mahal', 'buka', 'aplikasi', 'mytelkomsel', 'loding', 'lemot', 'aplikasi', 'jeleeeeeeeeeeeeek', 'jaringan', 'benerin', 'sinyal', 'paket', 'data', 'stabil']</t>
  </si>
  <si>
    <t>['masak', 'kartu', 'paket', 'nge', 'lag', 'patah', 'parah', 'kadang', 'aplikaai', 'suka', 'eror', 'pdhl', 'jaringan', 'buka', 'lancar', 'bintang', 'diselesaikan', 'terimakasih']</t>
  </si>
  <si>
    <t>['tolong', 'depelover', 'perbaiki', 'jaringan', 'internet', 'hancur', 'telkomsel', 'jaringan', 'bener', 'stabil', 'diwilayah', 'aplikasi', 'error']</t>
  </si>
  <si>
    <t>['aplikasi', 'karyawan', 'menejernya', 'harga', 'paketnya', 'sultan', 'jaringan', 'ngak', 'penilaian', 'bintang', 'karna', 'suda', 'sesuai', 'sinyal', 'kalaw', 'lokasi', 'lokasi', 'konawe']</t>
  </si>
  <si>
    <t>['aplikasi', 'kemarin', 'beli', 'kuota', 'unlimited', 'aplikasi', 'seharga', 'kuota', 'habis', 'unlimited', 'beli', 'kuota', 'tanggal', 'april', 'normalnya', 'habis', 'unlimited', 'tanggal', 'mei', 'tanggal', 'april', 'udah', 'habis', 'kuota', 'unlimited', 'gimana', 'situ', 'tertera', 'maksimal', 'kuota', 'unlimited', 'sehari', 'aplikasi', 'tolol']</t>
  </si>
  <si>
    <t>['notifikasi', 'paket', 'blm', 'masuk', 'udah', 'jaringan', 'lemot', 'pas', 'cek', 'jam', 'malam', 'blm', 'masuk', 'pulsa', 'kemakan', 'kek', 'telkomsel', 'tolong', 'kasih', 'sayang', 'toleransi', 'mbak', '']</t>
  </si>
  <si>
    <t>['stupitt', 'jaringan', 'lelet', 'harganya', 'vocer', 'stupitttttttttt', 'kraizy', 'nga', 'langanan', 'gini', 'udah', 'bertahun', 'telkom', 'rugi', 'harii', 'ingatt', '']</t>
  </si>
  <si>
    <t>['telkomsel', 'tersayang', 'sumpah', 'kasar', 'kasih', 'pelayanan', 'sesuai', 'harga', 'tetapkan', 'mentang', 'provider', 'sinyalnya', 'bagus', 'auto', 'berlaku', 'seenak', 'kuota', 'unlimited', 'giliran', 'dibeli', 'dipake', 'geh', 'kagak', 'nyedot', 'pulsa', 'wih', 'mulus', 'banget', 'udah', 'kayak', 'jalan', 'tol', 'bebas', 'hambatan', 'gimana', 'pindah', 'provider', 'liat', 'jenis', 'pelayanan', 'buruk', 'kayak', 'gini', '']</t>
  </si>
  <si>
    <t>['susah', 'login', 'aplikasi', 'mempermudah', 'transaksi', 'pembelian', 'kuota', 'masuk', 'tuju', 'bener', 'kirimin', 'verifikasi', 'menerut', 'berhasil', 'masuk', 'semoga', 'cepet', 'solusinya', 'yaaa']</t>
  </si>
  <si>
    <t>['halo', 'min', 'tolong', 'bug', 'perbaiki', 'masak', 'notifikasi', 'aplikasi', 'mytelkomsel', 'logon', 'dapatkan', 'kuota', 'gb', 'buka', 'aplikasi', 'paket', 'darurat', 'yng', 'beli', 'udah', 'bayar', 'pas', 'ambil', 'paket', 'darurat', 'ditulis', 'melunasi', 'paket', 'darurat', 'aneh', 'gitu']</t>
  </si>
  <si>
    <t>['buruk', 'nihh', 'telkomsel', 'beli', 'kouta', 'ampe', 'bln', 'tertera', 'cek', 'iyaa', 'kuota', 'ampe', 'bln', 'cek', 'berubah', 'tolong', 'chat', 'cust', 'center', 'bls', 'robot', 'kesel']</t>
  </si>
  <si>
    <t>['tolong', 'kak', 'tambahkan', 'fitur', 'mengunci', 'pulsa', 'paket', 'datanya', 'kaya', 'aplikasi', 'sebelah', 'axis', 'paket', 'habis', 'trus', 'otomatis', 'nyedot', 'pulsa', 'tertidur', '']</t>
  </si>
  <si>
    <t>['pembaruan', 'aplikasi', 'telkomsel', 'merasakan', 'ketidaknyamanan', 'alami', 'akun', 'telkomsel', 'nomor', 'berbeda', 'perpindahan', 'nomor', 'nomor', 'masuk', 'versi', 'mohon', 'pencerahannya', 'mksh']</t>
  </si>
  <si>
    <t>['halo', 'perkenalkan', 'nama', 'bintang', 'gini', 'ayahku', 'mengirim', 'kuota', 'kuotanya', 'pas', 'uda', 'masuk', 'telkomsel', 'main', 'game', 'online', 'tolong', 'dibantu']</t>
  </si>
  <si>
    <t>['sinyal', 'telkomsel', 'buruk', 'kususnya', 'kawasan', 'pondok', 'labu', 'lebak', 'bulus', 'tolong', 'perbaiki', 'beli', 'paket', 'pakai', 'daun', 'mahal', 'sinyal', 'nggk', '']</t>
  </si>
  <si>
    <t>['', 'bintang', 'aplikasi', 'mytelkomsel', 'harga', 'paketnya', 'beda', 'beda', 'mohon', 'penjelasanya', 'bpk', 'terhormat', 'ikutan', 'telkomsel', 'poin', 'ngga', '']</t>
  </si>
  <si>
    <t>['kualitas', 'jaringan', 'paketan', 'ojol', 'bagus', 'kalah', 'paketan', 'beda', 'butuh', 'jaringan', 'bagus', 'murah', 'paketan', 'jaringn', '']</t>
  </si>
  <si>
    <t>['membeli', 'paket', 'kuota', 'berhasil', 'pulsa', 'miliki', 'pulsa', 'tersedot', 'pengembalian', 'pulsa', 'tersedot']</t>
  </si>
  <si>
    <t>['buka', 'aplikasinya', 'praktis', 'saran', 'gimana', 'buka', 'aplikasinya', 'tambahin', 'fitur', 'fingerpinrt', 'simple', '']</t>
  </si>
  <si>
    <t>['gila', 'telkomsel', 'berasa', 'kartu', 'susah', 'sinyal', 'dikampung', 'dikota', 'kecewa', 'telkomsel', 'ganti', 'kartu', 'mending', 'gua', 'udah', 'mahal', 'lelet', 'mending', 'murah', 'lelet', 'lelet']</t>
  </si>
  <si>
    <t>['mencoba', 'aplikasi', 'telkomsel', 'cek', 'sisa', 'paket', 'kerjanya', '']</t>
  </si>
  <si>
    <t>['telkomsel', 'daily', 'checkin', 'udh', 'sekitaran', 'muncul', 'muncul', 'tolong', 'bug', 'fix', '']</t>
  </si>
  <si>
    <t>['kecewa', 'jaringan', 'telkomsel', 'beli', 'kuota', 'gb', 'unlimited', 'kuota', 'utama', 'gb', 'abis', 'kuota', 'lemot', 'akses', 'internet', 'berasa', 'tipu', 'beli', 'paket', 'youtunbe', 'putus', 'nyambung', 'kuota', 'lancar', 'mohon', 'bedakan', 'paket', 'data', 'unlimited', '']</t>
  </si>
  <si>
    <t>['koq', 'aplikasi', 'nggak', 'buka', 'jelek', 'nggak', 'fungsi', 'download', 'hapus', 'download', 'msh', 'nggak', 'buka', '']</t>
  </si>
  <si>
    <t>['aplikasi', 'semudah', 'dibayangkan', 'sekaliber', 'telkomsel', 'masuk', 'pakai', 'link', 'sms', 'nomor', 'aneh', 'kanan', 'kemajuan', 'maaf', 'masukan', 'mudah', 'bagusan', 'pakai', 'nomor', 'telkom', 'lainya', 'nomor', 'jadul', 'khusus', 'nelp']</t>
  </si>
  <si>
    <t>['aplikasi', 'jelek', 'dibuka', 'coba', 'sinyal', 'buka', 'aplikasinya', 'coba', 'coba', 'baca', 'komen', 'keluhannya', 'perbaiki', 'telkomsel', 'apkikasi', 'tutup', 'iringi', 'notif', 'penggunaan', 'aplikasi', 'memakan', 'daya', 'boros', 'telkomsel', '']</t>
  </si>
  <si>
    <t>['pelayaman', 'veronika', 'permasalahan', 'alami', 'cerita', 'mainin', 'ditelepon', 'nomer', 'mainin', 'game', 'telepon', 'angkat', 'langsung', 'mati', 'kaya', 'miskol', 'padalah', 'menelepon', 'jam', 'tolong', 'veronika', 'permasalahan', 'alami', 'takut', 'skrng']</t>
  </si>
  <si>
    <t>['mytelkomsel', 'bawa', 'tumpangan', 'game', 'pengen', 'ngilangin', 'aplikasinya', 'kembalikan', 'sinyal', 'nomor', 'berdirinya', 'telkomsel', '']</t>
  </si>
  <si>
    <t>['maaf', 'turunin', 'bintang', 'paket', 'swadaya', 'gojek', 'ribuan', 'gojek', 'simpati', 'paketan', 'swadayanya', 'saran', 'chat', 'veronika', 'paket', 'situ', 'sehat', 'penghasilan', 'gojek', 'pindah', 'oprator', 'murah', '']</t>
  </si>
  <si>
    <t>['paket', 'combo', 'sakti', 'mahal', 'harganya', 'ribu', 'ribuan', 'ribuan', 'telkomsel', 'ribu', 'udah', 'naikan', 'harga', 'klu', 'udah', 'diturunkan', 'harganya', 'ubah', 'rating', '']</t>
  </si>
  <si>
    <t>['aplikasi', 'lola', 'nguras', 'dompet', 'karna', 'kartu', 'kendala', 'terpaksa', 'telkomsel', 'beli', 'paket', 'gb', 'gb', 'terpakai', 'internetan', 'sisanya', 'sia', 'sia', 'kartu', 'terpakai', 'jaringan', 'internet', 'internet', 'lokal', 'lokalan', 'tulisan', 'sia', 'sia', '']</t>
  </si>
  <si>
    <t>['telkomsel', 'minggu', 'motor', 'uang', 'tunai', 'bulannya', 'mobil', 'serasa', 'hadiah', 'permainan', 'telkomselnya', 'menukar', 'poinnya', 'mendownload', 'aplikasi', 'telkomselnya', 'mengikuti', 'undian', 'hadiah', 'kasih', 'bintang', 'sekian', 'keluhan', 'terima', 'kasih']</t>
  </si>
  <si>
    <t>['coba', 'ganti', 'nama', 'paket', 'unlimited', 'max', 'kasih', 'udah', 'kena', 'fup', 'otw', 'pindah', 'operator', 'bye', 'telkomsel']</t>
  </si>
  <si>
    <t>['kak', 'pulsa', 'berukurang', 'paket', 'internet', 'berlangganan', 'paket', 'nggak', 'tenang', 'beli', 'pulsa', 'belom', 'dipake', 'pulsa', 'berkurang', 'pulsa', 'butuh', 'nggak', 'penyebabnya', 'apk', 'telkomsel', 'tolong', 'aplikasi', 'telkomsel', 'ditambahin', 'fitur', 'lock', 'pulsa', 'menguap', 'pulsanya', 'membantu', 'banget', 'terima', 'kasih', '']</t>
  </si>
  <si>
    <t>['aplikasinya', 'bagus', 'mudah', 'membeli', 'paket', 'saran', 'jagan', 'mahal', 'pembelian', 'paketnya', 'adakan', 'bonus', 'stiap', 'kali', 'pembelian', 'paket', 'semangat', 'pembelian', 'paket', 'trimakasih']</t>
  </si>
  <si>
    <t>['', 'bagus', 'daerah', 'indonesia', 'tenyata', 'fitur', 'iklan', 'doang', 'elit', 'daerah', 'telkomsel', 'udah', 'kaya', 'laut', 'dominan', 'sinyal', '']</t>
  </si>
  <si>
    <t>['', 'menu', 'paket', 'ceria', 'promo', 'coba', 'ikuti', 'udah', 'coba', 'berpa', 'cuman', 'promo', 'php', 'ngasih', 'promo', 'menu', 'fiks', 'ganti', 'operator', '']</t>
  </si>
  <si>
    <t>['segi', 'informasi', 'pemberitahuan', 'konsumennya', 'pemberitahuan', 'perbaikan', 'jaringan', 'penggunaan', 'data', 'dimana', 'terkadang', 'konsumen', 'memiliki', 'jenis', 'kuota', 'data', 'berbeda', 'peralihan', 'kuota', 'data', 'lemot', 'kepedulian', 'sungguh', 'menyedihkan', 'pribadi']</t>
  </si>
  <si>
    <t>['paket', 'mahal', 'udh', 'kampung', 'jaringan', 'susah', 'perusahaan', 'telkomsel', 'iyaa', 'jaringannya', 'sebelah', 'mah', 'gapenasaran', 'paketnya', 'murah', 'jaringan', 'jelek', 'gpp', '']</t>
  </si>
  <si>
    <t>['beli', 'combo', 'sakti', 'unlimited', 'habis', 'paket', 'akses', 'internet', 'aplikasi', 'aplikasi', 'kuota', 'unlimited', 'apps', 'kecepatan', 'maksimal', 'kbps', 'memotong', 'pulsa', 'pelanggan', 'aktif', 'paket', 'berlaku', 'lelet', 'buka', 'tiktok', 'lelet', 'pembohong', '']</t>
  </si>
  <si>
    <t>['aplikasi', 'provider', 'terburuk', 'indonesia', 'telkomsel', 'telkomsel', 'siaga', 'siaga', 'emosi', 'pengguna', 'beli', 'paket', 'dibikin', 'persulit', 'event', 'perbaiki', 'server', 'aplikasinya', 'bug', 'burukkkkkkk']</t>
  </si>
  <si>
    <t>['jual', 'paket', 'youtube', 'unlimited', 'seminggu', 'dipake', 'udah', 'habis', 'alias', 'nggak', 'mengakses', 'youtube', 'aplikasi', 'bngsd', 'penipuan', '']</t>
  </si>
  <si>
    <t>['maaf', 'min', 'kasih', 'bintang', 'buka', 'telkomsel', 'min', 'ntah', 'masuk', 'dibilang', 'jaringan', 'jaringan', 'kencang', 'banget', 'tolong', 'perbaiki', 'min']</t>
  </si>
  <si>
    <t>['udah', 'bertahun', 'aplikasi', 'ampun', 'tetep', 'lambat', 'kayak', 'keong', 'berat', 'kayak', 'gajah', 'developernya', 'titipan', 'direktur', 'kali', 'peningkatan', '']</t>
  </si>
  <si>
    <t>['aplikasinya', 'jelek', 'bener', 'jelek', 'jaringannya']</t>
  </si>
  <si>
    <t>['mengecewakan', 'pakai', 'telkomsel', 'pemakaian', 'pulsa', 'sebulan', 'ribu', 'promo', 'kuota', 'murah', 'dibandingkan', 'teman', 'jarang', 'isi', 'pulsa', 'promo', 'kuota', 'murah', 'beralih', 'kartu']</t>
  </si>
  <si>
    <t>['tolong', 'hilangkan', 'pop', 'promo', 'masuk', 'aplikasi', 'berat', 'jaringan', 'stabil', 'menu', 'berita', 'hilangkan', 'aplikasi', 'memakai', 'koneksi', 'jaringan', '']</t>
  </si>
  <si>
    <t>['telkomsel', 'signalnya', 'bagus', 'bangettttt', 'plus', 'jarang', 'banget', 'gangguan', 'dikondisi', 'apapun', 'bagus', 'sinyalnya', 'trs', 'sempet', 'pindah', 'provider', 'skrg', 'pindah', 'telkomsel', 'signalnya', 'telat', 'trs', 'pas', 'masuk', 'telkomsel', 'trs', 'trsan', 'signal', 'stabil', 'mb', 'tingkatin', 'telkomsel', 'pindah', 'provider', 'lagiii']</t>
  </si>
  <si>
    <t>['buruk', 'jaringannya', 'wktu', 'telkomsel', 'jaringan', 'cepet', 'buka', 'apk', 'smpe', 'loading', 'muter', 'trus', 'tolong', 'diperbaiki', 'secepatnya', 'kecewa', '']</t>
  </si>
  <si>
    <t>['kesini', 'parah', 'sinyalnya', 'udah', 'mahal', 'sinyal', 'lelet', 'semoga', 'pakai', 'jujur', 'dibanding', 'three', 'three', '']</t>
  </si>
  <si>
    <t>['tolong', 'perhatikan', 'jaringan', 'update', 'mulu', 'tinggal', 'kota', 'karanganyar', 'kota', 'pelosok', 'jaringan', 'buruk', 'paketan', 'harga', 'kartu', 'harga', 'terjangkau', 'jaringan', 'bagus', 'pakai', 'kartu', 'telkomsel', 'sinyal', 'full', 'masak', 'pakai', 'youtube', 'mlbb', 'teman', 'ganti', 'kartu', '']</t>
  </si>
  <si>
    <t>['bayar', 'paket', 'mahal', 'kondisi', 'jaringan', 'internet', 'sesuai', 'kalimantan', 'barat', 'tolong', 'donk', 'terhormat', 'perhatian', 'petugas', 'becuss', 'mengurus', 'tower', 'ganti']</t>
  </si>
  <si>
    <t>['apanya', 'pelayanan', 'pelanggan', 'prioritas', 'jaringannya', 'bagus', 'berbeda', 'pelayanan', 'pln', 'situ', 'penyulang', 'jaringan', 'gangguan', 'plg', 'prioritas', 'premium', 'upayakan', 'semaksimal', 'hidup', 'kelistrikannya', 'telkomsel', 'boro', 'boro', 'jaringan', 'lag', 'inisiatif', 'ntah', 'manuver', 'sinyal', 'sinyal', 'kendala', 'taunya', 'nawari', 'plg', 'paket', 'mahal', 'kenyamanan', 'plg', 'lihat', 'buruk', 'pendat', 'besok', 'pakai', '']</t>
  </si>
  <si>
    <t>['aplikasi', 'buruk', 'banget', 'kouta', 'buka', 'dll', 'emang', 'ngeleg', 'telkomsel', 'males', 'gua', 'telkomsel', 'kartu', 'pas', 'ngirim', 'chat', 'temen', 'telkomsel', 'gambar', 'jam']</t>
  </si>
  <si>
    <t>['paket', 'combo', 'sms', 'kuota', 'telpon', 'harga', 'kemarin', 'heran', 'knp', 'mohon', 'servis', 'terimakasih', '']</t>
  </si>
  <si>
    <t>['tolong', 'hpus', 'kuota', 'kemdikbud', 'bknnya', 'membantu', 'mlh', 'lag', 'membantu', 'ush', 'buang', 'nyari', 'menghapus', 'layanan', 'kemdikbud', 'becus', 'bknnya', 'langsung', 'diperbaiki', 'org', 'orang', 'kaya', 'nuntut', 'perbaiki', 'gitu', 'dasar', 'tolol', 'tolong', 'ditindak', 'lanjuti']</t>
  </si>
  <si>
    <t>['udah', 'paket', 'buka', 'youtube', 'gimana', 'telkomsel', 'aplikasi', 'mytelkomsel', 'udah', 'udah', 'parah', 'banget', 'yok', 'pindah', 'jaringan', 'pakai', 'telkomsel', 'sebagus', 'sialan', 'ganti', 'kartu', 'blokir', 'telkomsel', 'sialan']</t>
  </si>
  <si>
    <t>['apk', 'bohong', 'apk', 'bagus', 'makan', 'kasih', 'bintang']</t>
  </si>
  <si>
    <t>['provider', 'penipu', 'curang', 'telkomsel', 'pas', 'pulsa', 'bnyk', 'promo', 'paket', 'internet', 'murah', 'tawarin', 'giliran', 'pulsa', 'sudh', 'isi', 'paketx', 'beli', 'sistem', 'error', 'jaringan', 'sibuk', 'lucu', 'kentara', 'unsur', 'nipu', 'curangx', 'hebatx', 'ratingx', 'bot', 'pandai', 'ngasi', 'rating', 'telkomsel', '']</t>
  </si>
  <si>
    <t>['kecewa', 'banget', 'semenjak', 'pandemi', 'sinyal', 'internet', 'lemot', 'aplikasi', 'video', 'conference', 'susah', 'ampun', 'masuk', 'aplikasi', 'sinyal', 'drop', 'sinyalnya']</t>
  </si>
  <si>
    <t>['internet', 'telkomsel', 'jelek', 'parah', 'banget', 'signal', 'full', 'paket', 'unlimited', 'zonk', 'buka', 'instagram', 'lelet', 'bat', 'kalah', 'smartfren', 'tolong', 'perbaikin', 'kualitasnya', 'harga', 'udah', 'mahal', 'jelek', 'kualitasnya', 'kecewa', 'parah', 'pengguna', 'setia', 'telkomsel', '']</t>
  </si>
  <si>
    <t>['selamat', 'malam', 'kak', 'kak', 'jaringan', 'telkomsel', 'sya', 'jelek', 'main', 'game', 'kadang', 'jelek', 'mohon', 'perbaiki', 'kak', 'terima', 'kasih', 'mohon', 'respon', 'kak']</t>
  </si>
  <si>
    <t>['kuotanya', 'ngotak', 'telkomsel', 'mikirin', 'pelajar', 'beli', 'kuota', 'harganya', 'selangit', 'coba', 'murahkanlah', 'harga', 'paket', 'coba', 'sediakan', 'paket', 'combo', 'unlimited', '']</t>
  </si>
  <si>
    <t>['telkomsel', 'jelek', 'jelek', 'operator', 'malem', 'emosi', 'memuncak', 'tolong', 'benerin', 'layanan', 'jaringannya', 'konsumen', 'kecewa', '']</t>
  </si>
  <si>
    <t>['jaringannya', 'uda', 'setting', 'nggak', 'knpa', 'skrang', 'nggak', 'tolonh', 'perbaiki', 'kuota', 'nggak', 'terpotong', 'pulsa']</t>
  </si>
  <si>
    <t>['membeli', 'paket', 'data', 'pakai', 'shopeplay', 'membeli', 'pulsa', 'pakai', 'shopeplay', 'tolong', 'perbaiki', 'karna', 'berguna', 'pribadi']</t>
  </si>
  <si>
    <t>['aplikasinya', 'msih', 'bagus', 'ganti', 'simcard', 'akses', 'giliran', 'upload', 'foto', 'ktp', 'dll', 'macet', 'bergerak', 'ngulang', 'beranda', 'coba', 'bgitu', 'trus', 'membantu', 'skali', 'tetep', 'grapari', 'haduh', 'repotnyaaa']</t>
  </si>
  <si>
    <t>['sprtinya', 'memburuk', 'sinyal', 'kalah', 'provider', 'kpd', 'jajaran', 'direksi', 'management', 'telkomsel', 'tolong', 'diperhatikan', 'kualitas', 'produk', 'jngan', 'hnya', 'penjualan', 'penjualan', 'sja', '']</t>
  </si>
  <si>
    <t>['libur', 'internet', 'lemot', 'banget', 'lag', 'orang', 'ngegame', 'direfresh', 'kyak', 'giman', 'tetep', 'lag', 'ngotak', 'gimana', 'telkomsel', 'kesini', 'lemot', 'sampe', 'jringan', 'lemotin']</t>
  </si>
  <si>
    <t>['masak', 'beli', 'paket', 'gamemax', 'nggak', 'pakai', 'main', 'game', 'bener', 'ganti', 'nama', 'gamemax', 'sodakohmax', '']</t>
  </si>
  <si>
    <t>['telkomsel', 'udah', 'parah', 'speerti', 'kaya', 'im', 'sampe', 'genteng', 'nyari', 'sinyal', 'ttp', 'dapet', 'promosi', 'wifi', 'sponsor', 'wifi', 'apalah', 'sinyal', 'susah', 'gblk', 'sekaranng', 'covid', 'butuh', 'butuh', 'intrnet', 'sinyal', 'kenceng', 'diliat', 'komen', 'gua', 'perbaiki', 'bodoh', 'dibaca', 'doang', 'komen', 'playstore', 'dibenerin', 'bodoh', 'mahal', 'doang', 'sinyal', 'mendukung', 'dasar', 'tmlol']</t>
  </si>
  <si>
    <t>['tolong', 'perbaiki', 'sinyal', 'daerah', 'tinggal', 'penggunaan', 'sehari', 'maksimal', 'desa', 'kucur', 'turi', 'kecamatan', 'dau', 'kabupaten', 'malang', 'kode', 'pos', 'terimakasih', 'telkomsel', 'sukses', '']</t>
  </si>
  <si>
    <t>['tolong', 'sinyal', 'internetnya', 'desa', 'optimalkan', 'mementingkan', 'kota', 'capek', 'ngelapor', 'sinyalnya', 'stabil', 'jelek', 'sinyal', 'telkomsel', 'optimal', 'ngandat', 'propedor', 'tebersar', 'indonesia', 'sinyal', 'internetnya', 'bagus', 'gangguan', 'ngelig', 'hidup', 'desa', 'butuh', 'namanya', 'pelayanan', 'kelancaran', 'internet', '']</t>
  </si>
  <si>
    <t>['mahal', 'paket', 'internet', 'tolong', 'keringanan', 'harga', 'paket', 'makek', 'apl', 'mytelkomsel', 'mahal', '']</t>
  </si>
  <si>
    <t>['fitur', 'lengkap', 'beli', 'paketan', 'nomor', 'nomor', 'telkomsel', 'kalah', 'axis', 'lengkap']</t>
  </si>
  <si>
    <t>['telkomsel', 'taik', 'jaringan', 'sinyal', 'bangkrut', 'perusahaan', 'kartu', 'bagus', 'jaringan', 'udah', 'mahal', 'jaringan', 'jelek', 'aduuuhhh', 'ketinggalan', 'progres', 'telkomsel', 'tukar', 'kartu', 'dlu', 'operator', 'dasar', 'telkomsel', 'taik']</t>
  </si>
  <si>
    <t>['ulasan', 'dibalesnya', 'disuruh', 'ngehubungin', 'aplikasi', 'disetiap', 'ulasan', 'karna', 'ulasan', 'garis', 'rekomendasi', 'user', 'bergabung', 'user', 'berfikir', 'telkomsel', 'aneh', 'kuota', 'mahal', 'kerugian', 'kartu', 'halo', 'jaringan', 'prioritas', 'tetp', 'jaringannya', 'kacau', '']</t>
  </si>
  <si>
    <t>['', 'akui', 'hati', 'hati', 'telkom', 'sel', 'pati', 'ketipu', 'tertipu', 'barusan', 'isi', 'pulsa', 'rb', 'coba', 'pasang', 'paket', 'harian', 'hak', 'beli', 'paket', 'pulsa', 'hilang', 'paket', 'ngak', 'produk', 'penuh', 'tipuan', 'perusahaan', 'negara', 'jaringan', 'amburadul', 'mahal', 'paketnya', 'jaringan', 'giman', 'karna', 'udah', 'terdaftar', 'perusahaan', 'kalaungak', 'udah', 'ganti', 'kartunya', 'swbelah', 'murah', 'bagus']</t>
  </si>
  <si>
    <t>['ralat', 'kasih', 'bintang', 'aplikasinya', 'susah', 'buka', 'jaringan', 'bagus', 'buka', 'aplikasi', 'susah', 'tolong', 'perbarui', 'untungnya', 'makasih']</t>
  </si>
  <si>
    <t>['aplikasinya', 'bagus', 'pembayaran', 'dana', 'coba', 'perbaiki', 'fitur', 'aplikasinya', 'terima', 'kasih']</t>
  </si>
  <si>
    <t>['paket', 'kuota', 'internet', 'dibeli', 'didahulukan', 'paket', 'kuota', 'aktifnya', 'cepat', 'habis', 'berlakunya', 'paket', 'kuota', 'aktifnya', 'pas', 'kuota', 'aktifnya', 'msh', 'habis', 'kuota', 'aktifnya', 'cepat', 'kedaluwarsa', 'terpakai', 'sma', 'mengecewakan', 'aplikasi', 'mytelkomsel', 'tombol', 'pilihan', 'memilih', 'penggunaan', 'paket', 'kuota', 'manual', 'spy', 'pelanggan', 'rugi']</t>
  </si>
  <si>
    <t>['gimana', 'telkomsel', 'udah', 'kouta', 'kadang', 'pulsa', 'suka', 'ilang', 'telepon', 'sms', 'pulsa', 'berkurang']</t>
  </si>
  <si>
    <t>['gimana', 'telkomsel', 'daily', 'checkin', 'dapet', 'kuota', 'tgl', 'kemarin', 'ngklaim', 'bonus', 'kuota', 'notice', 'suda', 'berhasil', 'alasan', 'gangguan', 'coba', 'gabisa', 'diklaim', 'ulang', 'kali', 'kayak', 'gini', 'kecewa', 'permainan', 'hmmm']</t>
  </si>
  <si>
    <t>['gimana', 'sich', 'mngecewakan', 'barusan', 'beli', 'paket', 'data', 'telkomsel', 'harga', 'rb', 'keterangannya', 'paket', 'data', 'gb', 'sdah', 'beli', 'trnyta', 'isinya', 'gb', 'kecewa', 'namanya', 'penipuan', '']</t>
  </si>
  <si>
    <t>['mohon', 'telkomsel', 'jaringan', 'kesusahan', 'ngirim', 'tugas', 'mohon', 'diperbaiki', 'konsumen', 'telkomsel', 'pindah', 'jaringan']</t>
  </si>
  <si>
    <t>['membuka', 'app', 'mytelkomsel', 'unstable', 'conection', 'aplikasi', 'membutuhkan', 'kuota', 'dipakai', 'kecewa', '']</t>
  </si>
  <si>
    <t>['suka', 'kecepatan', 'telkomsel', 'ampun', 'lemooood', 'syekaliiiii', 'denganmu', 'telkomsel', 'bangga', 'kecepatan', 'internetmu', 'pindah', 'privider', 'tolong', 'perbaiki']</t>
  </si>
  <si>
    <t>['ramadhan', 'paket', 'internet', 'diskon', 'murah', 'eehh', 'paket', 'mahal', 'paket', 'kombo', 'sakti', 'udahlah', 'pindah', 'opertor', 'ngasih', 'saran', 'kalok', 'tindak', 'lanjuti', 'kalok', 'bintang', 'separoh', 'gwa', 'kasih', 'bintang', 'separoh', 'keluhan', 'maaf', 'maaf', 'mengerti', 'pelanggannya', 'harga', 'paket', '']</t>
  </si>
  <si>
    <t>['aplikasinya', 'bermasalah', 'beli', 'kuota', 'pulsa', 'gagal', 'alasanya', 'pulsa', 'pulsa', '']</t>
  </si>
  <si>
    <t>['napa', 'pas', 'buka', 'apk', 'koneksi', 'stabil', 'jaringan', 'full', 'lihat', 'teman', 'sbg', 'pengguna', 'tolong', 'diperbaiki']</t>
  </si>
  <si>
    <t>['buruk', 'kesal', 'operator', 'kuota', 'internet', 'pulsa', 'kesedot', 'kali', 'operator', 'gitu', '']</t>
  </si>
  <si>
    <t>['metode', 'shopeepay', 'update', 'install', 'ulang', 'restart', 'tetep', 'kecewa', 'metode', 'shopeepay', 'hilang']</t>
  </si>
  <si>
    <t>['semoga', 'kedepannya', 'perbaiki', 'pelayanan', 'kualitasnya', 'pasca', 'bayar', 'prabayar', 'telkomsel', 'hemat', 'kuota', 'kaya', 'provider', 'murah', 'boros', 'suksesbterus', 'telkomsel', 'tingkatkan', 'pelayanan', '']</t>
  </si>
  <si>
    <t>['suka', 'main', 'pubg', 'make', 'telkomsel', 'nyesal', 'sinyalnya', 'lemot', 'udah', 'ngebacot', 'nggak', 'prubahan']</t>
  </si>
  <si>
    <t>['kapasitas', 'aplikasi', 'berat', 'pas', 'buka', 'apk', 'ganti', 'loading', 'membuka', 'apk', 'apk', 'update', '']</t>
  </si>
  <si>
    <t>['maksimal', 'udah', 'seminggu', 'akses', 'telkomsel', 'bilangnya', 'kesalahan', 'terhubung', 'signal', 'kecewa']</t>
  </si>
  <si>
    <t>['kpd', 'yth', 'dev', 'telkomtsel', 'mengkritik', 'pengaturan', 'pulsa', 'kuota', 'kuota', 'pulsa', 'tersedot', 'mohon', 'ditindak', 'lanjuti', 'menambah', 'fitur', 'lock', 'pulsa', 'pulsa', 'tersedot', 'singkat', 'kecewa', 'kali', 'tolong', 'perbaiki', 'bug', 'koneksi', 'login', 'telkomtsel', 'apps', 'bug', 'pembelian', 'paket', 'beruntun', 'bug', 'reward', 'and', 'poin', '']</t>
  </si>
  <si>
    <t>['tolong', 'donk', 'telkomsel', 'perbaiki', 'masuk', 'app', 'bacaan', 'koneksi', 'stabil', 'maksudnya', 'mengatasinya', 'saran', 'coba', 'rombak', 'ulang', 'aplikasinya', 'sekian', 'semoga', 'bermanfaat', 'mohon', 'perbaiki', 'salam', 'santun', 'hidayat', 'dwi', 'putera', '']</t>
  </si>
  <si>
    <t>['metode', 'login', 'tambahan', 'link', 'tambahan', 'metode', 'login', 'sidik', 'jari', 'kode', 'verifikasi', 'mudah', 'dipakai', 'sulit', 'ponsel', 'android', 'susah', 'login', 'aplikasi', 'android', '']</t>
  </si>
  <si>
    <t>['menurutku', 'poin', 'telkomsel', 'beli', 'kuota', 'pakai', 'pulsa', 'kepake', 'poin', 'mahal', 'paketannya', 'beli', 'kuota', 'kadang', 'saldo', 'shope', 'pay', 'kadang', '']</t>
  </si>
  <si>
    <t>['tolong', 'iya', 'nambah', 'harga', 'paketnya', 'dikondisikan', 'tetep', 'gitu', 'harganya', '']</t>
  </si>
  <si>
    <t>['telkomsel', 'aplikasi', 'jelek', 'payah', 'dibuka', 'alasannya', 'koneksi', 'stabil', 'browsing', 'lancar', 'lancar', '']</t>
  </si>
  <si>
    <t>['tolong', 'pulsa', 'gaib', 'kuota', 'jaringan', 'aplikasi', 'stabil', 'mulu', 'gaib', 'pulsa', 'notif', 'pulsa', 'udah', 'abis', 'dinotif', '']</t>
  </si>
  <si>
    <t>['tolong', 'diambil', 'pulsa', 'susah', 'nyari', 'duit', 'beli', 'pulsa', 'susah', 'ngumpulin', 'duitnya', 'berhenti', 'layanan', 'nggak', 'pakai', 'layanan', 'dicek', 'transaksi', 'nggak', 'keterangannya', 'pulsa', 'berkurang', 'susah', 'banget', 'nyari', 'duit', 'nyedot', 'pulsa', 'orang', '']</t>
  </si>
  <si>
    <t>['turunkan', 'harga', 'paket', 'dibagian', 'timur', 'gb', 'tinggal', 'timur', 'loe', 'kaya', 'raya', 'semoga', 'amal', 'ibadah', 'diterima']</t>
  </si>
  <si>
    <t>['telkomsel', 'internet', 'indosat', 'pas', 'indosat', 'hbs', 'pas', 'telkomsel', 'kouta', 'habis', 'bantuan', 'developer', 'kesel', 'kouta', 'sultan', 'jaringan', 'jlk']</t>
  </si>
  <si>
    <t>['aneh', 'aduh', 'sinyalnya', 'ilang', 'mulu', 'parah', 'udah', 'ilang', 'sinyalnya', 'ganti', 'sim', 'satunya', 'hadeuh', 'kacau', 'merusak', 'usaha', 'gaes', 'suek', 'telkomsel', 'ganti', 'kartu', 'kecewa', '']</t>
  </si>
  <si>
    <t>['sinyalnya', 'jelekkk', 'banget', 'sumpah', 'gua', 'dikota', 'ngerti', 'gua', 'telkomsel', 'paketan', 'mahal', 'kualiatasnya', 'persis', 'kaya', 'smartfrend', 'unlimited', 'kecewa', 'banget', 'sumpah', '']</t>
  </si>
  <si>
    <t>['maap', 'sopan', 'knp', 'pakai', 'kuota', 'unlimited', 'buka', 'sosial', 'media', 'males', 'pakekya', 'kartu', 'siyal', 'jugak', 'ngilang', 'udah', 'mahal', 'kuota', 'unlimited', 'pakai', '']</t>
  </si>
  <si>
    <t>['buruk', 'eror', 'mulu', 'jaringan', 'kagk', 'eror', 'lancar', 'knp', 'telkomsel', 'kartu', 'halo', 'kuota', 'tolong', 'telkomsel']</t>
  </si>
  <si>
    <t>['berlangganan', 'telkomsel', 'kelhuanku', 'kali', 'buka', 'amplkasi', 'konfirmasi', 'tlpn', 'sdah', 'daftar', 'sdah', 'beli', 'paketan', 'konfirmasi', 'tlpn', 'tros', '']</t>
  </si>
  <si>
    <t>['paketannya', 'laku', 'harga', 'paketan', 'sinyalnya', 'error', 'maaf', 'kasih', 'bintang', 'sesuai', 'pelayanannya', 'buruk']</t>
  </si>
  <si>
    <t>['telkomsel', 'jelek', 'barusan', 'isi', 'pulsa', 'beli', 'pulsa', 'terkuras', 'sms', 'masuk', 'berlangganan', 'berlangganan', 'ajirr']</t>
  </si>
  <si>
    <t>['kebijakan', 'mengakses', 'media', 'aplikasi', 'telkomsel', 'kumpulin', 'data', 'nomor', 'telkomsel', 'pengguna', 'akses', 'galeri']</t>
  </si>
  <si>
    <t>['telkom', 'pulsa', 'hilang', 'gitu', 'sehabis', 'aktifin', 'intermalem', 'seharga', 'rb', 'disedot', 'tolong', 'kerjasama', 'telkomsel', '']</t>
  </si>
  <si>
    <t>['knp', 'sinyal', 'telkomsel', 'lancar', 'ngeleg', 'eror', 'maaf', 'coba', 'telkomsel', 'service', 'via', 'telkomsel', 'intsagram', 'facebook', 'respon', 'telkomsel', 'peduli', 'covid', 'komunikasi', 'mohon', 'perbaiki', 'sinyal', 'telkomsel', 'jng', 'cuman', 'biaya', 'kuota', 'mahal', 'pelayanan', 'sinyal', 'ngk', 'makasih']</t>
  </si>
  <si>
    <t>['kuota', 'telkomsel', 'gila', 'gilaan', 'harganya', 'kebayang', 'ampe', 'masuk', 'indonesia', 'ratus', 'ribu', 'beli', 'kuota', 'mohon', 'kasih', 'kelonggaran', 'harga', 'ilang', 'berasa', 'kek', 'monopoli', 'telkomsel']</t>
  </si>
  <si>
    <t>['skarang', 'udah', 'bayar', 'shopee', 'berenti', 'beli', 'mytelkomsel', 'stok', 'puls', 'takut', 'kecolongan', 'tarif', 'regular', 'aneh', 'dampak', 'skali', 'nama', 'tarif', 'regular', 'musibah', '']</t>
  </si>
  <si>
    <t>['telkomsel', 'jelek', 'jaringan', 'pelosok', 'desa', 'kenal', 'kartu', 'telkomsel', 'stabil', 'kncang', 'semenjak', 'pandemi', 'lemot', 'abis', 'bela', 'beli', 'paket', 'harga', 'mahal', 'berharap', 'koneksinya', 'stabil', 'kencang', 'dugaan']</t>
  </si>
  <si>
    <t>['mahal', 'doank', 'internet', 'hilang', 'restart', 'hape', 'ditunggu', 'jam', 'muncul', 'sinyal', 'penuh', 'volte', 'restart', 'hape', 'deh', 'kadang', 'muncul', 'internetnya', 'giliran', 'udah', 'muncul', 'batre', 'low', 'gegara', 'restart', 'hape']</t>
  </si>
  <si>
    <t>['pelayanan', 'menjangkau', 'wilayah', 'indonesia', 'dibatasi', 'ruang', 'membantu', 'orang', 'orang', 'mobilitas', 'kekurangannya', 'kadang', 'kadang', 'sinyal', 'stabil', 'beban', 'pelanggan', 'bersamaan', 'kapasitas', 'server', 'ditingkatkan', 'seiring', 'bertambahnya', 'pelanggan', '']</t>
  </si>
  <si>
    <t>['isi', 'pulsa', 'transaki', 'respon', 'operator', 'sedih', 'banget', 'siiii', 'pelayanan', 'adil', '']</t>
  </si>
  <si>
    <t>['download', 'nmr', 'diisi', 'pulsa', 'cek', 'pulsa', 'gimana', 'mingkin', 'ganti', 'nomor', 'udah', 'dipakai', 'puluhan']</t>
  </si>
  <si>
    <t>['kesini', 'parah', 'telkomsel', 'bli', 'kouta', 'internet', 'gara', 'gara', 'lelet', 'bli', 'bli', 'kali', 'chat', 'veronika', 'perbaikan', 'mele', 'tgl', 'bli', 'ampe', 'abis', 'kouta', 'utuh', '']</t>
  </si>
  <si>
    <t>['kartu', 'telkomsel', 'mahal', 'bodoh', 'jaringan', 'kaya', 'gini', 'main', 'geme', 'lag', 'lag', 'kalah', 'kampung', 'jaringan', 'stabil', 'kotta', 'ampun', 'mahal', 'beli', 'all', 'limited', 'lelet', 'ampun', 'mempermasalahkan', 'harga', 'kualitas', 'oke', 'harga', 'mahal', 'kualitas', 'terbaik', 'kebalikan', 'harga', 'mahah', 'kualitas', 'lemot', 'ayo', 'jaya', 'kaya', 'anak', 'anak', 'jaya', 'terbaik']</t>
  </si>
  <si>
    <t>['', 'pengguna', 'sungguh', 'momen', 'tragis', 'telkomsel', 'sinyal', 'ngedrop', 'menjalankan', 'pekerjaan', 'bergantung', 'jaringan', 'data', 'terkutuk', '']</t>
  </si>
  <si>
    <t>['tolong', 'sinyal', 'main', 'game', 'ngelek', 'beli', 'paket', 'mahal', 'sesuai', 'harapkan', 'sinyal', 'ngelek', 'tolong', 'perbaiki', 'secepatnya', 'terimakasih', '']</t>
  </si>
  <si>
    <t>['pulsa', 'telkomsel', 'mahal', 'sinyal', 'lemot', 'mending', 'smartfren', 'indosat', 'sinyal', 'bukanya', 'edge', 'hsdpa', 'padalan', 'kota', '']</t>
  </si>
  <si>
    <t>['aplikasinya', 'membantu', 'customernya', 'mempermudah', 'pinjaman', 'darurat', 'orang', 'beli', 'kuota', 'mahal', 'minimal', 'ribu', 'ekonomi', 'terbatas', 'kasih', 'bintang', '']</t>
  </si>
  <si>
    <t>['kuota', 'harga', 'mahal', 'sebanding', 'kualitas', 'signal', 'jelek', 'parah', 'kesini', 'stabil', 'ditinggalkan', 'pelanggan', 'setiamu', 'telkomsel', '']</t>
  </si>
  <si>
    <t>['sms', 'dri', 'telkomsel', 'promo', 'pembelian', 'kouta', 'giliran', 'buka', 'linknya', 'koneksi', 'gagal', 'cek', 'aplikas', 'mytelkomsel', 'dulunya', 'ribu', 'perbulan', 'skrng', 'ribu', 'perbulan', 'gb', 'sni', 'mahal', 'sms', 'kudapat', 'katasnya', 'promo', 'masuk', 'inbox', 'sekedar', 'pemanis', '']</t>
  </si>
  <si>
    <t>['plis', 'lambat', 'telkomsel', 'udah', 'beli', 'paket', 'mahal', 'lambat', 'pindah', 'paket', 'doang', 'mahal', 'lambat', '']</t>
  </si>
  <si>
    <t>['lemot', 'banget', 'jaringan', 'telkomsel', 'ngga', 'mahalnya', 'doang', 'admin', 'reaksi', 'perubahan', 'lemot', 'parah']</t>
  </si>
  <si>
    <t>['simpati', 'tolong', 'dikasih', 'promosi', 'murah', 'disabilitas', 'pakai', 'kursi', 'roda', 'uang', 'dikasih', 'orang', 'pakai', 'simpati', 'jaringan', 'internet', '']</t>
  </si>
  <si>
    <t>['najis', 'sinyal', 'susah', 'lelet', 'sharusnya', 'kontrol', 'harga', 'paket', 'naikin', 'kualitas', 'sinyal', 'busuk', 'allhamdullilah', 'skarang', 'masuk', 'sinyal', 'smua', 'pengguna', 'telcomsel', 'pindah', 'smua', '']</t>
  </si>
  <si>
    <t>['respon', 'bagus', 'benahi', 'jaringan', 'sampek', 'kadang', 'hilang', 'badahal', 'respon', 'benahi', 'kecewa', 'deh', 'pelanggan', 'setia', 'kaya', 'gini', 'ammati', 'udh', 'harga', 'paketan', 'mahal', 'gini', 'ammat', 'respon', 'laporan', 'vironika', 'orang', 'call', 'senter', 'robot', 'jwb']</t>
  </si>
  <si>
    <t>['aplikasinya', 'dbuka', 'skali', 'spt', 'trus', 'uninstal', 'aplikasi', 'sinyal', 'smakin', 'lemot', 'udah', 'pelanggan', 'tnp', 'gnti', 'kartu', 'sdari', 'harga', 'paket', 'smakin', 'mahal', 'bonusnya', 'smakin', 'dkurangi', 'paket', 'sakti', 'dpt', 'gb', 'plus', 'menit', 'nelpon', 'skrng', 'harga', 'dpt', 'menit', 'nlpn', 'kaga', 'pindah', 'provider', '']</t>
  </si>
  <si>
    <t>['bertahun', 'telkomsel', 'bagus', 'signal', 'jelek', 'download', 'striming', 'muter', 'melulu', 'game', 'ngelek', 'tingkat', 'kwalitas', 'signal', '']</t>
  </si>
  <si>
    <t>['paket', 'ceria', 'nggak', 'beli', 'promo', 'mengalaminya', 'teman', 'mengalami', 'mohon', 'perbaiki', '']</t>
  </si>
  <si>
    <t>['bagus', 'buka', 'telkomselnya', 'eeeehhhh', 'pas', 'liat', 'harga', 'paketnya', 'beli', 'paket', 'warna', 'hitam', 'iya', 'kagetlah', 'langsung', 'kembaliin', 'pas', 'dibuka', 'apk', 'telkomselnya', 'buka', 'banget', 'tungguin', 'koleksi', 'internet', 'stabil', 'udah', 'mode', 'pesawatin', '']</t>
  </si>
  <si>
    <t>['kuota', 'mahal', 'sesuai', 'setia', 'telkomsel', 'murahkanlah', 'harga', 'pakt', 'data', 'merekomendasikan', 'sanak', 'saudara', 'teman', '']</t>
  </si>
  <si>
    <t>['udah', 'puluhan', 'pakai', 'telkomsel', 'kali', 'jaringan', 'buruk', 'hilang', 'udah', 'paket', 'data', 'mahal', 'jaringan', 'buruk', 'merugikan', 'perbaiki', 'secepatnya', 'perbaiki', 'tutup', 'perusahaanya', 'ngapain', 'pakai', 'telkomsel', 'mahal', 'jaringan', 'bagus', 'secepatnya', 'perbaiki']</t>
  </si>
  <si>
    <t>['isi', 'paket', 'sms', 'isi', 'transaksi', 'via', 'shopepay', 'cashback', 'transaksi', 'aplikasi', 'lambat', 'isi', 'paket', 'pulsa', 'geser', 'kebawah', 'refresh', 'berubah', 'nominalnya', 'pemberitahuan', 'kuota', 'habis', 'habis', 'kesedot', 'pulsanya', 'layanan', 'customer', 'service', 'manusia', 'beneran', 'veronika', 'bot', 'sesuai', 'menu', 'botnya', '']</t>
  </si>
  <si>
    <t>['jeleknya', 'jaringan', 'jelek', 'buka', 'apk', 'menit', 'lodingnya', 'uda', 'jelek', 'sperti', 'apapun', 'tehniknya', 'jelek', 'jelek', 'jelek', 'jelek', 'main', 'game', 'puzzle', 'jaringannta', 'uda', 'jaringan', 'jelek', 'paket', 'mahal', 'nga', 'diandalkan', 'mnjalan', 'app', 'pakai', 'telkomsel', 'pakai', 'simpati', 'suka', 'lelet', 'terbukanya', 'kuganti', 'sim', 'dngn', 'im', 'terbuka', 'appnya', 'lancar', 'mengecewakan', 'telkomsel']</t>
  </si>
  <si>
    <t>['sumpah', 'emosi', 'aplikasi', 'error', 'koneksi', 'stabil', 'clear', 'cache', 'hadeuh', 'perbaiki', 'mending', 'unistal', 'aplikasi', 'kyak', 'gini', 'jaringan', 'stabil', 'ngendokk', 'aplikasi', 'koneksi', 'stabil', 'nyesel', 'gue', 'download', 'unistal', 'aplikasi', '']</t>
  </si>
  <si>
    <t>['inii', 'poin', 'dituker', 'maaf', 'gangguan', 'sistem', 'mmng', 'gangguan', 'sistem', 'sebulan', '']</t>
  </si>
  <si>
    <t>['harga', 'kualitas', 'pepatah', 'ngk', 'berlaku', 'telkomsel', 'pepatah', 'kartu', 'asli', 'parah', 'sinyal', 'hrus', 'ngk', 'kasih', 'bintang', 'gimn', 'lgi', 'ngk', 'bsa', 'kosong', 'bintang', 'intinya', 'sngat', 'emosi', 'internet', 'pke', 'telkomsel', 'provider', 'sbelah', 'stabil', 'kuat']</t>
  </si>
  <si>
    <t>['telkomsel', 'tolong', 'perbaiki', 'kualitas', 'sinyalnya', 'peguna', 'telkomsel', 'ketidak', 'nyamanannya', 'ter', 'khusus', 'kecamatan', 'tanjung', 'raja', 'lampung', 'utara', '']</t>
  </si>
  <si>
    <t>['jujur', 'kartu', 'telkomsel', 'ngebut', 'jaringan', 'kalah', 'kartu', 'merek', 'harganya', 'murah', 'kartu', 'telkomsel', 'lumayan', 'bahal', 'kecewa', 'telkomsel', 'pelanggan', 'kabur']</t>
  </si>
  <si>
    <t>['ksni', 'smakin', 'bagus', 'jaringannya', 'smntara', 'main', 'game', 'jaringannya', 'hilang', 'normal', 'mati', 'lampu', 'hujan', 'telkomsel', 'stabil', 'jaringannya', 'paketnya', 'lumayan', 'mahal', 'kalah', 'bagus', 'operator', 'sebelah', 'klu', 'terusan', 'ganti', 'operator']</t>
  </si>
  <si>
    <t>['gila', 'skrg', 'sinyal', 'simpati', 'jelek', 'sumpah', 'menghambat', 'kerjaan', 'orang', 'pke', 'simpati', 'udh', 'bbrpa', 'sinyal', 'jlek', 'kecewa', 'banget', '']</t>
  </si>
  <si>
    <t>['beli', 'kuota', 'ketengan', 'error', 'tross', 'ribetnya', 'ampun', 'pas', 'udah', 'kebeli', 'eeh', 'jaringan', 'ngedrop', 'ngilang', 'udalah', 'mahal', 'kuota', 'abis', 'sia', 'pusing', 'kepala', 'gue', 'ganti', 'masuk', 'jangkauan', 'pusiing', 'pusing', '']</t>
  </si>
  <si>
    <t>['pengguna', 'telkomsel', 'dirugikan', 'telkomsel', 'membeli', 'kuota', 'mahal', 'telkomsel', 'kota', 'habis', 'pulsa', 'utama', 'kesedot', 'habis', 'jahat', 'sekelas', 'telkomsel', 'sanggup', 'perbedaan', 'kuota', 'internet', 'pulsa', 'utama', 'sistem', 'penggunaan', 'kuota', 'internet', 'dipakai', 'pelanggan', 'khusus', 'internet', 'pulsa', 'utama', 'kesedot', 'kuota', 'internet', 'habis', 'pengalaman', 'komen', '']</t>
  </si>
  <si>
    <t>['bagus', 'sayang', 'mati', 'lampu', 'jaringan', 'mati', 'mati', 'lampu', 'jarimgan', 'mati', '']</t>
  </si>
  <si>
    <t>['gua', 'komplain', 'paket', 'omg', 'gua', 'paket', 'omg', 'butuh', 'contohnya', 'pakai', 'bermain', 'game', 'gua', 'pemain', 'game', 'moba', 'gua', 'paket', 'internet', 'omg', 'hilangkan', 'coba', 'menambah', 'mohon', 'admin', 'telkomsel', 'cepat', 'gua', 'butuh', 'banget', 'kuota', '']</t>
  </si>
  <si>
    <t>['bayarnya', 'internet', 'bsa', 'karna', 'kualitas', 'jaringan', 'inet', 'memburuk', 'jngan', 'migrasi', 'kartu', 'halo', 'karna', 'byar', 'gji', 'buta', 'yng', 'pelayanan', 'jaringan', 'jelek', 'byar', 'perbulan', 'sia', 'sia', 'sja', 'kuota', 'internet', 'down', 'telkomsel', 'signal', 'loading', 'gprs', 'jengkel', '']</t>
  </si>
  <si>
    <t>['aplikasi', 'mytelkomsel', 'buka', 'tulisannya', 'koneksi', 'stabil', 'muat', 'ulang', 'trus', 'kecepatan', 'internet', 'mb', 'aplikasinya', 'terbuka', 'ditungguin', 'terbuka', 'hapus', 'download', 'ulang', 'hadeeehh', 'aplikasinya', 'buruk', 'memuaskan', '']</t>
  </si>
  <si>
    <t>['sedih', 'pengguna', 'telkomsel', 'memuaskan', 'data', 'berangsur', 'angsur', 'drastis', 'membanggakan', 'pengguna', 'apapun', 'naikkan', 'harga', 'nominal', 'pembelian', 'mahal', 'berpindah', 'kartu', 'jalan', 'exsis', 'murah', 'sesuai', 'sinyal', 'telkomsel', 'mahal', 'sesuai', 'sinyal', 'semoga', 'penjelasan', '']</t>
  </si>
  <si>
    <t>['kouta', 'paket', 'internet', 'combo', 'murah', 'harga', 'nurun', 'paket', 'pengguna', 'setia', 'telkomsel', 'udah', 'berjuta', 'juta', 'habis', 'pulsa', 'telkomsek', 'pelanggan', 'senang', 'bahagia', 'tekan', 'menambah', 'derita', 'pengguna']</t>
  </si>
  <si>
    <t>['selamat', 'tinggal', 'paket', 'telkomsel', 'beli', 'paket', 'udah', 'mahal', 'gonta', 'ganti', 'paket', 'tpi', 'tetep', 'sinyal', 'kota', 'sma', 'kaya', 'gunung', 'ditungguin', 'dicek', 'sinyal', 'tetep', 'berubah', 'smpai', 'paket', 'ratusan', 'ribu', 'habis', 'krna', 'aktif', 'pngen', 'kasar', 'tpi', 'msih', 'puasa', 'jdi', 'menghimbau', 'teman', 'dsini', 'mending', 'pakai', 'provider', 'menyenangkan', 'hati', 'pakai', 'sinyal', 'wuiiihhh', 'manjiw', 'kaya', 'provider', 'bkin', 'emosi', '']</t>
  </si>
  <si>
    <t>['kena', 'tipu', 'aplikasi', 'aplikasi', 'bangkeee', 'daily', 'check', 'claim', 'scam', 'doank', 'hati', 'hati', 'aplikasi', 'telkomsel', 'roli', 'dpt', 'sms', 'suruh', 'download', 'gratis', 'quota', 'caution', 'download', 'ngabis', 'in', 'kuota', 'penipuan']</t>
  </si>
  <si>
    <t>['aplikasinya', 'udah', 'bagus', 'sinyal', 'lancar', 'kendala', 'saran', 'coba', 'tambahkan', 'fitur', 'lock', 'pulsa', 'terbuang', 'sia', 'sia', 'pulsa', 'nyala', 'data', 'tetep', 'aman', 'pupnya', 'ambil', 'gitu', 'terimaksih']</t>
  </si>
  <si>
    <t>['dihapus', 'aplikasi', 'berguna', 'log', 'susah', 'masuknya', 'password', 'berkali', 'kali', 'valid', 'cape', 'deh', '']</t>
  </si>
  <si>
    <t>['tgl', 'masuk', 'aplikasi', 'tanggal', 'perbaikan', 'harga', 'kuota', '']</t>
  </si>
  <si>
    <t>['aplikasi', 'error', 'jaringan', 'bagus', 'tar', 'unistal', 'aplikasi', 'udah', 'minggu', 'koneksi', 'gagal', 'trus', 'aneh', 'aplikasi', 'kecewa', '']</t>
  </si>
  <si>
    <t>['versi', 'apk', 'busuk', 'dibuka', 'nyalahin', 'koneksi', 'koneksi', 'sekrang', 'parah', 'udah', 'jam', 'siang', 'jaringan', 'dipakai', 'sinyal', 'jaringan', 'internet', 'silang']</t>
  </si>
  <si>
    <t>['puas', 'pelayanan', 'telkomsel', 'costumer', 'service', 'bener', 'ramah', 'keluhan', 'ditanggapi', 'prosedur', 'sesuai', 'membutuhkan', 'kesabaran', 'menunggu', 'terimakasih', 'puas']</t>
  </si>
  <si>
    <t>['allikasi', 'download', 'knapa', 'aplikasinya', 'memgulah', 'hapus', 'download', 'ulang', 'stelah', 'parah', 'ngga', 'buka', 'aplikasi', 'gara', 'pelanggan', 'pindah', 'kartu', 'kajol', '']</t>
  </si>
  <si>
    <t>['menghubungkan', 'akun', 'dana', 'akun', 'telkomsel', 'mempermudah', 'pembayaran', 'paket', 'data', 'menghubungkannya', 'melanjutkannya', 'muncul', 'layar', 'putih', 'kosong', 'tunggu', 'menit', 'mohon', 'bantuannya', 'terimakasih']</t>
  </si>
  <si>
    <t>['kuota', 'games', 'nggak', 'nyambung', 'games', 'uninstal', 'aplikasi', 'pengaturan', 'nyambung', 'games', 'ulasan', 'mohon', 'diperbaikin', '']</t>
  </si>
  <si>
    <t>['sumpaj', 'gua', 'kevewa', 'banget', 'update', 'jelek', 'sinyalnya', 'jelek', 'banget', 'update', 'nggak', 'kayak', 'gini', 'pakai', 'lancar', 'skrg', 'pakai', 'susah', 'banget', 'buka', 'apk', '']</t>
  </si>
  <si>
    <t>['kendala', 'kualitas', 'jaringan', 'internet', 'kecamatan', 'batahan', 'kabupaten', 'mandailing', 'natal', 'provinsi', 'sumatera', 'utara', 'mohon', 'diperbaiki', 'kendala', 'ndak', 'ditanggapi', 'telkomsel', 'aplikasi', 'okelah', 'mantap', 'bintang', 'kukasih', '']</t>
  </si>
  <si>
    <t>['jaringan', 'rusak', 'tinggal', 'kota', 'makassar', 'tolong', 'jaringan', 'benahin', 'pemakai', 'setia', 'telkomsel', 'jaringan']</t>
  </si>
  <si>
    <t>['', 'pelanggan', 'setia', 'telkomsel', 'sampe', 'ganti', 'jaringan', 'musim', 'penghujan', 'signal', 'suka', 'stabil', 'hususnya', 'didaerah', 'tinggal', 'smoga', 'telkomsel', 'slalu', 'menjdi', 'the', 'best', 'jaringan', 'indonesia', '']</t>
  </si>
  <si>
    <t>['kasih', 'bintang', 'paket', 'mahal', 'jaringan', 'stabil', 'gangguan', 'tolong', 'telkomsel', 'pengguna', 'telkomsel', 'tolong', 'perbaiki', 'jaringan', 'jangn', 'suka', 'ngeleg', 'terima', 'kasih']</t>
  </si>
  <si>
    <t>['aplikasi', 'bagus', 'berjalan', 'normal', 'membari', 'paket', 'internet', 'tinggal', 'habis', 'pulsa', 'tertera', 'terima', 'kasih', 'perbaikan', 'developer', 'senang']</t>
  </si>
  <si>
    <t>['', 'aplikasi', 'promotion', 'diakses', 'pajang', 'php', 'doang', 'heran', 'keluhan', 'pelanggan', 'kesini', 'enak', 'telkomsel', 'tolong', 'proses', 'keluhan', 'pelanggan', '']</t>
  </si>
  <si>
    <t>['payah', 'banget', 'gue', 'beli', 'paketan', 'pembayaran', 'shopeepay', 'app', 'telkomsel', 'udah', 'engga', 'coba', 'memudahkan', 'pelanggan', '']</t>
  </si>
  <si>
    <t>['mohon', 'solusi', 'paket', 'bulanan', 'internet', 'lambat', 'jenis', 'paket', 'aneh', 'nomor', 'bintang', 'solusi', 'ntar', 'rate', 'bintang', '']</t>
  </si>
  <si>
    <t>['sayang', 'kemaren', 'kemaren', 'beli', 'paketan', 'combo', 'sakti', 'combo', 'sakti', 'ganti', 'sepesial', 'ramadhan', 'combo', 'sakti', 'hapus', 'hilangkan']</t>
  </si>
  <si>
    <t>['menyesal', 'mendownload', 'aplikasi', 'paketan', 'murah', 'bonus', 'nelpon', 'sms', 'terdownload', 'aplikasi', 'menggila', 'harga', 'paketan', 'bonus', 'hilang', 'aplikasi', 'pembodohan', 'mendownload', 'saran', 'deh', '']</t>
  </si>
  <si>
    <t>['paket', 'unlimited', 'skrang', 'berubah', 'kaya', 'dlu', 'sepuasnya', 'skrang', 'batas', 'kek', 'gtu', 'nyaman', 'telkomsel', 'skrang', '']</t>
  </si>
  <si>
    <t>['kesini', 'ngaco', 'beli', 'paket', 'combo', 'sakti', 'unlimited', 'pembayaran', 'dana', 'saldo', 'udh', 'kepotong', 'pembayaran', 'berhasil', 'tpi', 'pembelian', 'paket', 'berhasil', 'suruh', 'coba', 'saldo', 'blum', 'terpotong', 'wajar', 'udh', 'saldo', 'terpotong', 'paket', 'ndak', 'masuk', 'hub', 'respon', 'ngaco']</t>
  </si>
  <si>
    <t>['pelit', 'ngasih', 'paket', 'kemarin', 'paket', 'bicaranya', 'menit', 'menit', 'menit', 'sebentar', 'udah', 'habis', 'trus', 'sinyalnya', 'payah', 'ngasih', 'bintang', 'kulihat', '']</t>
  </si>
  <si>
    <t>['jaringan', 'telkomsel', 'hancur', 'kota', 'metropolitan', 'kayaknya', 'berpindah', 'hati', 'telkomsel', 'kalah', 'bersaing', 'tetangga', 'sebelah', 'full', 'nyaman', 'paketnya', 'mahal', 'bangat', 'keterangan', 'karuan', 'bantu', 'aktivitas', 'loading', 'turus', 'main', 'game', 'nge', 'chat', 'mati', 'terkirim']</t>
  </si>
  <si>
    <t>['aplikasinya', 'membantu', 'mudah', 'operasi', 'penggunaannya', 'check', 'daily', 'pergantian', 'dapatkan', 'kuota', 'klaim', 'varian', 'kuota', 'berdasarkan', 'ketentuan', 'check', 'daily', 'semoga', 'kedepannya', 'telkomsel', '']</t>
  </si>
  <si>
    <t>['kuota', 'promo', 'pelanggan', 'udah', 'tahunan', 'pakai', 'telkomsel', 'mahal', 'kecepatan', 'jaringan', 'buruk', 'ganti', 'provider', '']</t>
  </si>
  <si>
    <t>['sinyal', 'drop', 'perfomanya', 'signal', 'sesuai', 'perfoma', 'tolong', 'perbaiki', 'sesuai', 'tarif', 'bayar', '']</t>
  </si>
  <si>
    <t>['mahal', 'mahal', 'dibandingkan', 'operator', 'aplikasi', 'kaya', 'youtube', 'operator', 'unlimited', 'telkomsel', 'batasin', 'terpaksa', 'beli', 'berlaku', 'sim', 'habis', 'habis', 'rekomendasi', '']</t>
  </si>
  <si>
    <t>['mohon', 'maaf', 'admin', 'sinyal', 'telkomsel', 'bagus', 'parah', 'banget', 'sinyal', 'buruk', 'udah', 'make', 'telkomsel', 'enak', 'mah', 'sinyal', 'ilang', 'ilangan', 'dikota', 'lancar', 'sinyalnya', 'kota', 'lancar', 'udah', 'pindah', 'oprator', 'gakuat', 'telkom', 'menghambat', 'aktivitas', 'respon', 'customer', 'service', 'geh', 'gitu', 'monoton', 'ngasih', 'solusi', 'perubahan', 'zonk', 'makasih']</t>
  </si>
  <si>
    <t>['parahmean', 'program', 'daily', 'hilangin', 'isi', 'pulsa', 'konter', 'rencana', 'klaim', 'kuota', 'hasil', 'daily', 'hilangkan', 'harga', 'paket', 'combo', 'sakti', 'naikin', 'harga', 'naikin', 'dahlah', 'kyk', 'gue', 'pindah', 'kartu', 'im', '']</t>
  </si>
  <si>
    <t>['memakai', 'kartu', 'lancar', 'bener', 'lemot', 'lelet', 'duh', 'emosi', 'mlh', 'tlong', 'berbaiki', 'karna', 'peguna', 'telkomsel', 'lbh', 'thn', 'trimakasih']</t>
  </si>
  <si>
    <t>['beli', 'mahal', 'rb', 'tanggal', 'april', 'tanggal', 'april', 'hbs', 'kuota', 'utama', 'habis', 'kuota', 'tambahan', 'interlokal', 'sma', 'unlimited', 'lemot', 'susah', 'buka', 'sma', 'ber', 'menit', 'apasih', 'sbnrnya', 'beli', 'tifu', 'gunain', 'sma', 'dikasii', 'bintang', 'telkomsel', 'kasih', '']</t>
  </si>
  <si>
    <t>['sinyal', 'telkomsel', 'setabil', 'udah', 'sinyalnya', 'buruk', 'buruk', 'burukkkkk', 'telkomsel', 'sinyal', 'andalkan', '']</t>
  </si>
  <si>
    <t>['kasih', 'pelayanan', 'terbaik', 'tawar', 'quota', 'pakai', 'provider', 'lancar', 'kmren', 'salah', 'isi', 'pls', 'pakai', 'quota', 'telkomsel', 'lemotnya', 'jaringan', 'pajangan', 'sesuai', 'perbaiki', 'kehilangan', 'pelanggan', '']</t>
  </si>
  <si>
    <t>['smenjak', 'unlimited', 'sinyal', 'smakin', 'harcur', 'skarang', 'pengguna', 'telkomsel', 'udh', 'pindah', 'smartfren', 'kecepatan', 'internetnya', 'lbih', 'bagus', 'daripda', 'telkomsel', 'lanjutkan', 'kayak', 'gini', 'sampe', 'ntar', 'lihat', 'perubahan', 'konter', 'nyedian', 'perdana', 'paketan', 'telkomsel', 'keluhan', 'customer', 'trus', 'menambah', 'karna', 'sinyal', 'trimakasih']</t>
  </si>
  <si>
    <t>['semenjak', 'update', 'cuman', 'buka', 'telkomsel', 'download', 'diam', 'diam', 'iyaaa', 'cek', 'status', 'kecepatan', 'koneksi', 'sampe', 'kb', '']</t>
  </si>
  <si>
    <t>['paket', 'data', 'kb', 'tagihan', 'kejadian', 'kali', 'jan', 'perubahan', 'paket', 'data', 'tagihan', 'turun', 'ngk', 'pakai', 'paket', 'datanya', 'kartu', 'halo', 'telkosel', 'unlimited', 'info', 'telkomsel', 'tanggung', 'januari', 'love', '']</t>
  </si>
  <si>
    <t>['tolong', 'developer', 'serius', 'update', 'aplikasi', 'pembaharuan', 'menyelesaikan', 'sebelumya', 'muncul', 'apliksai', 'stuck', 'berat', 'jaringan', 'internet', 'terhubung', 'aplikasi', 'kecewa', 'update']</t>
  </si>
  <si>
    <t>['bintang', 'isi', 'pulsa', 'data', 'ribu', 'pulsa', 'ribu', 'pulsa', 'kesedot', 'cepat', 'pulsa', 'data', 'stabil', 'tidakv', 'daily', 'cek', 'mohon', 'informasinya', 'terima', 'kasih', '']</t>
  </si>
  <si>
    <t>['pengguna', 'telkomsel', 'mari', 'pindah', 'tinggal', 'telkomsel', 'pelanggan', 'paket', 'murah', 'pelanggan', 'paket', 'mahal', 'jaringan', 'buruk', 'ucapkan', 'selamat', 'tinggal', 'telkomsel']</t>
  </si>
  <si>
    <t>['telkomsel', 'terhormat', 'isi', 'pulsa', 'isi', 'pdahal', 'bukti', 'pengisian', 'sukses', 'dri', 'sms', 'trus', 'beli', 'paket', 'darurat', 'anehnya', 'hilang', 'monetary', 'udah', 'susah', 'nabung', 'kuota', 'dikorupsi', 'ajg']</t>
  </si>
  <si>
    <t>['respon', 'customer', 'service', 'via', 'twitter', 'cepat', 'terima', 'kasih', 'perbaikan', 'lakukan', 'semoga', 'depannya', 'konsisten', 'kualitas', 'pelayanan', '']</t>
  </si>
  <si>
    <t>['susah', 'meng', 'connect', 'akun', 'dana', 'udh', 'tungguin', 'loading', 'trs', 'gimana', 'telkomsel', 'beli', 'kouta', 'susah', 'connect', 'akun', 'dana', '']</t>
  </si>
  <si>
    <t>['tolong', 'perbaikin', 'sinyalnya', 'perasaan', 'sinyal', 'telkomsel', 'karuan', 'main', 'game', 'susah', '']</t>
  </si>
  <si>
    <t>['driver', 'ojek', 'online', 'kecewa', 'sinyal', 'kaga', 'mengecewakan', 'sinyal', 'hilang', 'kalah', 'bersaing', 'operator', 'pengguna', 'lapangan', 'berefek', 'order', '']</t>
  </si>
  <si>
    <t>['pakai', 'telkomsel', 'ganti', 'kartu', 'pelayanan', 'buruk', 'diskriminasi', 'adil', 'harga', 'mahal']</t>
  </si>
  <si>
    <t>['membeli', 'paket', 'app', 'pembayaran', 'ovo', 'pembayaran', 'berhasil', 'ovo', 'paket', 'masuk', 'mohon', 'diperbaiki', 'telkomsel', 'bertanggung', 'pelanggan', 'paket', 'masuk', '']</t>
  </si>
  <si>
    <t>['aplikasi', 'buruk', 'sekaliiiiiii', 'pulsa', 'habis', 'terpakai', 'internet', 'lemot', 'aplikasinya', 'lemot', 'nge', 'leg', 'kwota', 'cepat', 'terkuras', 'pkoknya', 'kecewa', 'telkomsel', 'perbaiki', 'copot', 'aplikasinya', '']</t>
  </si>
  <si>
    <t>['update', 'versi', 'error', 'koneksi', 'stabil', 'membuka', 'aplikasi', 'sinyal', 'full', 'bar', 'mohon', 'diperbaiki', 'device', 'redmi', 'note', 'varian', 'mohon', 'developer', 'gamblang', 'terima', 'kasih', '']</t>
  </si>
  <si>
    <t>['aplikasinya', 'penipuan', 'beli', 'paket', 'tmnya', 'telpon', 'slalu', 'bilangnya', 'tersambung', 'pas', 'telpon', 'pakai', 'nomor', 'tersambung', 'untung', 'yaa', '']</t>
  </si>
  <si>
    <t>['bagus', 'telkomsel', 'jaringannya', 'lancar', 'paketnya', 'murah', 'murah', 'karna', 'murah', 'pelosok', 'mudahkan', 'kali', 'telkomsel', 'gb', 'seratus', 'ribu', 'oke', '']</t>
  </si>
  <si>
    <t>['jaringan', 'cepat', 'siput', 'kayaknya', 'parah', 'telkomsel', 'mahal', 'mahal', 'beli', 'paket', 'jalan', 'internet', 'tolong', 'perbaiki', 'secepatnya', '']</t>
  </si>
  <si>
    <t>['perbaiki', 'jaringan', 'lemot', 'apalah', 'terkuras', 'mulu', 'paket', 'nnnnnnnnbiurikkk']</t>
  </si>
  <si>
    <t>['', 'edited', 'app', 'habis', 'isi', 'pulsa', 'paket', 'dibeli', 'muncul', 'udah', 'berkali', 'kayak', 'gini', 'tolong', 'diperbaiki', 'app', 'install', 'ulang', 'app', '']</t>
  </si>
  <si>
    <t>['daily', 'check', 'kecewa', 'udah', 'ngumpulin', 'dapet', 'mahal', 'harga', 'paket', 'internet', 'beli', 'combo', 'sakti', 'rb', 'pilih', 'annya', 'cuman', 'rb', 'jaringan', 'cepat', 'iya', 'harga', 'kesini', 'makan', 'mahal', 'kartu', 'mati', 'pemberitahuan', 'ngasih', 'notif', 'tenggang', 'kartu', 'habis', 'nggak', 'kecewa', 'berat', 'pokoknya', 'telkomsel']</t>
  </si>
  <si>
    <t>['pembohong', 'cek', 'promo', 'paket', 'internet', 'udah', 'isi', 'pulsa', 'beli', 'paket', 'promonya', 'cek', 'dihapus', 'paket', 'promonya', 'ramadhan', 'menipu', 'berbohong', '']</t>
  </si>
  <si>
    <t>['tetahunan', 'pakai', 'telkomsel', 'udah', 'genap', 'ngerasa', 'emosi', 'ama', 'signalnya', 'kerjaan', 'berantakan', 'serba', 'pakai', 'internet', '']</t>
  </si>
  <si>
    <t>['', 'murah', 'terjangkau', 'mahal', 'terjangkau', 'unlimited', 'batasi', 'embel', 'embel', 'unlimitaed', 'nipuuuuuu', 'beralih', 'mengerti', 'konsumen', '']</t>
  </si>
  <si>
    <t>['bermasalah', 'jaringan', 'provider', 'udh', 'beli', 'paket', 'internet', 'susah', 'bnget', 'dpet', 'kuota', 'pulsa', 'abis', 'dluan', 'gmn', 'pelanggan', 'sneng', 'kcewa', 'bgini', 'fokus', 'playanan', 'kualitas', 'jaringan', 'dlu', 'cari', 'unggul', 'jenis', 'jaringan', 'lemot', 'kaya', 'ban', 'bagus', 'angin', 'pakai', '']</t>
  </si>
  <si>
    <t>['bebrapa', 'buka', 'mytelkomsel', 'ngga', 'loading', 'putih', 'nomor', 'tlf', 'layar', 'membeli', 'paket', 'promo', 'gtu', 'tpi', 'pdhl', 'paket', 'coba', 'pakai', 'wifi', 'layarnya', 'tolong', 'pertimbangan', '']</t>
  </si>
  <si>
    <t>['paket', 'pulsa', 'kesedot', 'pakai', 'kartu', 'telkomsel', 'mahal', 'kualitas', 'kapasita', 'ribu', 'hilang', 'sumpah', 'kecewa']</t>
  </si>
  <si>
    <t>['buruk', 'telkomsel', 'skarang', 'sinyal', 'lemot', 'buka', 'lag', 'main', 'game', 'kaga', 'perbaiki', 'beli', 'paketan', 'mahal', 'abis']</t>
  </si>
  <si>
    <t>['cek', 'data', 'pulsa', 'praktis', 'semudah', 'membalikan', 'telapak', 'tangan', 'informasinya', 'lengkap', 'penukaran', 'point', 'harapkan', 'mudah', 'mendapaknnya']</t>
  </si>
  <si>
    <t>['', 'aplikasi', 'kekurangannya', 'beli', 'pulsa', 'trus', 'beli', 'paket', 'aplikasi', 'tekurang', 'pulsanya', 'beli', 'pulsa', 'tolong', 'fitur', 'kunci', 'pulsa', 'kepake', 'pulsanya', 'internet', '']</t>
  </si>
  <si>
    <t>['apknya', 'kehabisan', 'jangka', 'kuota', 'selang', 'sehari', 'beli', 'kuota', 'berjalan', 'normal', 'semalam', 'beli', 'kuota', 'apk', 'jam', 'kuota', 'habis', 'jam', 'pagi', 'kuota', 'hilang', 'bug', 'gmna', 'bukanya', 'jangka', 'diperpanjang', 'keriset', 'hilang', 'tolong', 'apk', 'bug', 'tolong', 'dibenerin', '']</t>
  </si>
  <si>
    <t>['aneh', 'telkomsel', 'tarif', 'fikir', 'sultan', 'tarif', 'unlimited', 'gb', 'rb', 'untung', 'unlimitednya', 'berlaku', 'tolonglah', 'pengertiannya', '']</t>
  </si>
  <si>
    <t>['telkomsel', 'eror', 'buka', 'lihat', 'pulsa', 'atw', 'data', 'cek', 'lwat', 'pagar', 'tlp', 'bsa', 'trima', 'tlp', 'telkomsel', 'lgi', 'knapa', 'soalny', 'bberpa', 'pnya', 'sya', 'bgni', 'trimksh']</t>
  </si>
  <si>
    <t>['bayar', 'pakai', 'shoppepay', 'telkomsel', 'kaya', 'tolong', 'mytelkomsel', 'tolong', 'kasih', 'pembantaran', 'shoppepay', 'aplikasi', 'telkomsel', 'gampang', 'shoppepay', 'kartu', 'pembayaran', 'utama', 'makasih', 'semoga', '']</t>
  </si>
  <si>
    <t>['udah', 'pelanggan', 'telkomsel', 'sinyal', 'jelek', 'udah', 'harga', 'mahal', 'paketan', 'sesuai', 'kualitas', 'jaringannya', 'sinyal', 'hilang', 'bites', 'kecewa', 'telkomsel']</t>
  </si>
  <si>
    <t>['', 'aplikasi', 'bagus', 'jaringan', 'bagus', 'koneksi', 'lemah', 'maksudnya', 'jaringan', 'salah', 'bagus', 'jaringan', 'aplikasi', 'koneksi', 'buruk', 'aplikasi', 'kayak', 'setan', 'tolong', 'perbaiki', '']</t>
  </si>
  <si>
    <t>['puas', 'pelayanan', 'mytelkomsel', 'harapan', 'kedepan', 'jaringan', 'server', 'main', 'game', 'lemot', 'coba', 'mantap', 'jaringan', 'telkomsel', 'kab', 'kepulauan', 'sangihe']</t>
  </si>
  <si>
    <t>['paket', 'kuota', 'surprise', 'deal', 'tolong', 'variatif', 'rate', 'dibwh', 'cepe', 'bln', 'top', 'markotoobbs', 'bermanfaat', 'era', 'daring', 'skrg', 'pengguna', 'setia', 'telkomsel', 'the', 'best']</t>
  </si>
  <si>
    <t>['kartu', 'tolol', 'main', 'game', 'sinyal', 'jumping', 'mulu', 'ngedownload', 'banget', 'ngedownload', 'size', 'mb', 'ngeupdate', 'aplikasi', 'habis', 'menit', 'kuota', 'mahal', 'sinyal', 'murahan', 'mending', 'kartu', 'tri', 'sumpah', 'aman', 'aman', 'nge', 'game', '']</t>
  </si>
  <si>
    <t>['', 'jam', 'kadang', 'signal', 'change', 'low', 'and', 'high', 'pm', 'daerah', 'pencil', 'mndapatkan', 'jaribgan', 'normal', 'kadang', 'membuka', 'aplikasi', 'periksa', 'koneksi', 'mohon', 'untu', 'perluas', 'jangkauan', 'signal', 'aplikasi', 'udah', 'joozz', 'membantu']</t>
  </si>
  <si>
    <t>['simpati', 'sinyalnya', 'mylai', 'down', 'diruang', 'terbuka', 'sinyal', 'down', 'down', 'trus', 'ganti', 'berlangganan', 'simpati', 'sprti', 'pindah']</t>
  </si>
  <si>
    <t>['rating', 'telkomsel', 'nurun', 'bkn', 'dear', 'telkomsel', 'tlg', 'kecewakan', 'pelanggan', 'mkin', 'lma', 'mkin', 'trun', 'kya', 'gini', 'pelanggan', 'pindah', 'kartu', 'sblah', 'kartu', 'sblh', 'murah', 'jaringan', 'aman', 'nyedot', 'pulsa', 'sya', 'kecewa', 'sma', 'telkomsel', 'skrg', 'kecepatan', 'jaringan', 'mkin', 'turun', 'kuota', 'still', 'mahal', 'plg', 'ngeselin', 'nyedot', 'pulsa', 'pdhl', 'kuota', 'sya', 'beli', 'pulsa', 'nelpon', 'beli', 'kuota', 'akses', 'internet', 'kuota', 'nyedot', 'pulsa', 'kuota', '']</t>
  </si>
  <si>
    <t>['lentenir', 'klen', 'lintah', 'darat', 'jaman', 'sulit', 'paket', 'internet', 'klen', 'membantu', 'meringan', 'beban', 'konsumen', 'murah', 'menaikan', 'harga', 'paket', 'internet']</t>
  </si>
  <si>
    <t>['provider', 'suka', 'nyolong', 'pulsa', 'kuota', 'internet', 'anehnya', 'pulsa', 'beli', 'combo', 'harga', 'seratus', 'ribu', 'pulsa', 'pas', 'beli', 'combo', 'harga', 'sisa', 'pulsanya', 'disedot', 'dikit', 'kuota', 'internet', 'emang', 'telkomsel', 'kang', 'nyolong', 'inget', 'netizen', 'sisain', 'pulsa', 'nomer', 'aseli', 'kesedot', '']</t>
  </si>
  <si>
    <t>['susah', 'bener', 'dibukanya', 'skrg', 'emg', 'jaringan', 'telkomsel', 'busuk', 'parah', 'parah', 'parah', 'ampas', '']</t>
  </si>
  <si>
    <t>['gimana', 'udah', 'beli', 'paket', 'gamesnya', 'woi']</t>
  </si>
  <si>
    <t>['beli', 'kuota', 'ketengan', 'unlimited', 'youtube', 'gabisa', 'dipakai', 'youtube', 'aneh', 'kasih', 'fitur', 'buang', 'buang', 'duit', 'udah', 'beli', 'digunain', 'loadingnya', 'ampun', 'lemot', '']</t>
  </si>
  <si>
    <t>['beli', 'paket', 'harga', 'gb', 'kepake', 'gb', 'sisanya', 'mubadzir', 'hadeh', 'parah', 'pelanggan', 'telkomsel', 'anggap', 'anak', 'tiri', 'doang', 'telkomsel', 'menyedihkan', '']</t>
  </si>
  <si>
    <t>['tuker', 'poin', 'susah', 'brp', 'kali', 'coba', 'sistem', 'sibuk', 'susahh', 'ulang', 'inget', 'telkomsel', 'paketannya', 'mahal', 'lohh', 'pelanggan', 'kecewa', 'thanks', 'hiww']</t>
  </si>
  <si>
    <t>['kecewa', 'apk', 'program', 'daily', 'chekin', 'pas', 'dapet', 'kuota', 'gb', 'ilang', 'programnya', 'istri', 'saudara', 'ngalamin', 'akal', 'operator', 'profesional', '']</t>
  </si>
  <si>
    <t>['aplikasi', 'parah', 'signyal', 'menjalankan', 'aplikasi', 'lancar', 'lancar', 'giliran', 'buka', 'telkomsel', 'lemot', 'parah', 'banget', 'kayak', 'banting', 'tolong', 'diperbaiki', 'bug']</t>
  </si>
  <si>
    <t>['pakai', 'kartu', 'telkomsel', 'koneksi', 'internet', 'kuota', 'pulsa', 'sampe', 'kaya', 'gini', 'sayang', 'dapet', 'pulsa', 'sekolah', 'kuota', 'kemendikbud', 'sosmed']</t>
  </si>
  <si>
    <t>['parah', 'telkomsel', 'kuota', 'mahal', 'sinyal', 'stabil', 'gila', 'banget', 'cari', 'untungnya', 'komplain', 'respon', 'protes', 'gubris', 'cari', 'untung', 'parah', 'ngotak', 'beli', 'kuota', 'mahal', 'mahal', 'kasih', 'sinyal', 'stabil', 'sumpah', 'mending', 'tower', 'telkomsel', 'robohin', 'penggunanya', 'pindah', 'provider']</t>
  </si>
  <si>
    <t>['parah', 'kartu', 'smpe', 'ganti', 'paketan', 'murah', 'harganya', 'kartu', 'murah', 'gimana', 'pengguna', 'kasih', 'bonus', 'dimahalin', 'jujur', 'kecewa', 'banget', 'sayaa', 'gunain', 'simpati', 'loop', 'btw', 'kecewa']</t>
  </si>
  <si>
    <t>['woi', 'telkomsel', 'niat', 'perusahaan', 'mending', 'tutup', 'sinyal', 'lemot', 'paket', 'mahal', 'sesuai', 'diharapkan', '']</t>
  </si>
  <si>
    <t>['praktis', 'efisien', 'layanan', 'pasca', 'bayar', 'internetan', 'ngebut', 'bebas', 'akses', 'apapun', 'batas', 'mohon', 'tingkatkan', 'pelayanan', 'signal', '']</t>
  </si>
  <si>
    <t>['pengguna', 'setia', 'telkomsel', 'kecewa', 'jaringan', 'telkomsel', 'jelek', 'palsu', 'provider', 'sorry', 'say', 'selamat', 'tinggal', 'telkomsel']</t>
  </si>
  <si>
    <t>['jaringannya', 'mohon', 'perbaiki', 'cepat', 'mohon', 'mengganti', 'mode', 'tetapkan', 'jaringan', 'mohon', 'dukungannya', 'telkomsel', 'bermain', 'game', 'ngelag', 'kartu']</t>
  </si>
  <si>
    <t>['jaringan', 'lemot', 'aplikasi', 'susah', 'dibuka', 'sja', 'pulsa', 'sedot', 'paket', 'ajar', 'kembalikan', 'jaringan']</t>
  </si>
  <si>
    <t>['telkomsel', 'kecewain', 'pelangggan', 'jaringan', 'main', 'game', 'lemot', 'game', 'aplikasi', 'perbaikan', 'semoga', 'perbaiki', 'cepat', '']</t>
  </si>
  <si>
    <t>['kecewa', 'berat', 'pulsa', 'gue', 'ghoib', 'berkurang', 'kuota', 'pemberitahuan', 'mengakses', 'internet', 'kuota', 'pulsa', 'gue', 'berkurang', 'kejelasan', '']</t>
  </si>
  <si>
    <t>['paket', 'combo', 'gb', 'mkin', 'mahal', 'kirain', 'mahal', 'paketnya', 'trtambah', 'sms', 'tlfn', 'data', 'mlah', 'trkurang', 'tlfn', 'dpat', 'menit', 'skrg', 'jdi', 'mnit', 'harga', 'mlah', 'jdi', 'rb', 'puasa', 'bukanya', 'brsdekah', 'mlah', 'bkin', 'knsumen', 'emosi', '']</t>
  </si>
  <si>
    <t>['telkomsel', 'nyedot', 'pulsa', 'banget', 'paket', 'habis', 'pulsanya', 'kesedot', 'ganti', 'kartu', 'kaya', 'gini', 'rugi']</t>
  </si>
  <si>
    <t>['siknal', 'telkomsel', 'sepertih', 'bagus', 'kepelosok', 'negeri', 'klau', 'diperbaiki', 'ditinggal', 'konsumen', 'ayooo', 'telkomsel', 'perbaiki', 'kuatkan', 'siknal', 'mengganggu', 'pekerjaan', 'hubungan', 'internet', 'loading', 'lambat', 'pekerjaan', 'terganggu', '']</t>
  </si>
  <si>
    <t>['telkomsel', 'paraahhh', 'sinyalll', 'lemottttt', 'telkomsel', 'sebagus', 'kuota', 'jaringan', 'lemot', 'bngt', 'sinyal', 'full', 'lemot', '']</t>
  </si>
  <si>
    <t>['pengalaman', 'buruk', 'kedepan', 'kualitas', 'aplikasi', 'memburuk', 'pelanggan', 'bertambah', 'developer', 'bersantai', 'peduli', 'kendala', 'dialami', 'pelanggannya', 'auto', 'uninstall', '']</t>
  </si>
  <si>
    <t>['aplikasi', 'cek', 'daily', 'claim', 'gb', 'dibuka', 'trus', 'alias', 'something', 'wrong', 'eror', 'trus', 'aplikasi', 'gaje', '']</t>
  </si>
  <si>
    <t>['bintang', 'gua', 'kasih', 'wkekekekw', 'ganti', 'ganti', 'menyusahkan', 'liat', 'track', 'pembelian', 'gua', 'telkomsel', 'gini', 'fix', 'ganti', 'provider', 'jaringan', 'bossss', 'merugikan', 'beli', 'paket', 'omg', 'rb', 'kadang', 'sebulan', 'jaringan', 'buruk', 'bye', 'telkomsel', '']</t>
  </si>
  <si>
    <t>['aplikasi', 'buatan', 'telkomsel', 'berjalan', 'jaringan', 'telkomsel', 'koneksi', 'stabil', 'layanan', 'dipersulit', 'dituntut', 'aplikasi', 'aplikasinya', 'diandalkan', '']</t>
  </si>
  <si>
    <t>['haloo', 'kenaoa', 'jaringan', 'internetnya', 'provider', 'murahan', 'yaa', 'kecewa', 'sayaa', 'sungguh', 'recomendet', 'looh', 'ayolaah', 'harga', 'kualitas', '']</t>
  </si>
  <si>
    <t>['kesini', 'telkomsel', 'aplikasinya', 'bermasalah', 'jaringannya', 'gitu', 'ntah']</t>
  </si>
  <si>
    <t>['udah', 'setia', 'telkomsel', 'kali', 'beli', 'setia', 'telkomsel', 'krna', 'jaringannya', 'lancar', 'promo', 'disediakan', 'menarik', '']</t>
  </si>
  <si>
    <t>['', 'org', 'cetak', 'nomor', 'bener', 'kartu', 'beli', 'debt', 'collector', 'bank', 'telfon', 'nmr', 'cantumkan', 'cek', 'pakai', 'get', 'contact', 'nmr', 'namanya', 'save', 'org', 'persis', 'namanya', 'debt', 'collector', 'bank', 'hubungi', 'gmna', 'klw', 'org', 'buang', 'nmr', 'knpa', 'aktifkan', 'kerja', 'nmr', 'malas', 'gmna', 'nmr', 'aktif', 'diaktifkan', 'jual', 'anehhh', 'sialan', '']</t>
  </si>
  <si>
    <t>['woyy', 'pembuat', 'aplikasi', 'tolonglah', 'sinyal', 'bagusin', 'bukak', 'apk', 'koneksi', 'stabil', 'truss', 'tolong', 'perbaiki', 'gimana', 'beli', 'kuota', 'bukak', 'apk', 'tolong', 'tolong', 'perbaiki', 'paham', '']</t>
  </si>
  <si>
    <t>['susah', 'masuk', 'telkomsel', 'kali', 'mencoba', 'kejadiannya', 'mengisi', 'memperpanjang', 'paket', 'internet', 'tolong', 'diperbaiki', '']</t>
  </si>
  <si>
    <t>['udh', 'telkomsel', 'brtahun', 'udh', 'topup', 'brjuta', 'kecewa', 'bngt', 'paket', 'combo', 'sakti', 'gua', 'hilang', 'sdangkan', 'tmn', 'pngguna', 'combo', 'sakti', 'krtu', 'patahkan', 'trus', 'ganti', 'kartu', 'dpt', 'combo', 'saktinya', 'lgi', 'heran', 'user', 'kasih', 'murah', 'plangann', 'mahal', '']</t>
  </si>
  <si>
    <t>['telkomsel', 'koneksinya', 'buruk', 'buka', 'app', 'telkomsel', 'coba', 'coba', 'telkomsel', 'utang', 'kubota', 'gb', 'klaim', 'check', 'daily', 'payah']</t>
  </si>
  <si>
    <t>['', 'telkomsel', 'buka', 'suruh', 'muat', 'ulang', 'harga', 'paket', 'sinyal', 'benahi', 'sinyal', 'telkomsel', 'berasa', 'axis', 'harga', 'selangit', '']</t>
  </si>
  <si>
    <t>['knp', 'kesini', 'jaringan', 'telkomsel', 'bagus', 'lemot', 'skrng', 'kecewa', 'jaringa', 'telkomsel', 'sya', 'buruk', '']</t>
  </si>
  <si>
    <t>['aplikasi', 'bagus', 'aplikasinya', 'susah', 'buka', 'pulsa', 'kesedot', 'habis', 'dirugikan', 'pembelian', 'paket', 'internet', 'sekrang', 'bayar', 'pakai', 'shopee', 'pay', 'tolong', 'perbaiki', 'terimakasih', '']</t>
  </si>
  <si>
    <t>['astagaaa', 'telkomsel', 'niat', 'sihh', 'bantu', 'orang', 'disaat', 'daring', 'telkomsel', 'app', 'konek', 'jaringan', 'full', 'udah', 'paket', 'mahal', 'trus', 'nggak', 'sesuai', 'jaringan', 'super', 'kesel', 'kecewa', 'telkomsel', 'makai', 'telkomsel']</t>
  </si>
  <si>
    <t>['aplikasi', 'berat', 'aplikasi', 'dibuka', 'bahasa', 'randomnya', 'bahasa', 'inggris', 'mengutamakan', 'orang', 'asing', 'hai', 'telkomsel', 'perusahaan', 'milik', 'indonesia', 'pulsa', 'hilang', 'jelasss', 'mahal', 'adl', 'bumn', 'jadiii', 'berpihaklah', 'kpd', 'rakyat', 'bnyk', 'capek', 'ngetiknya', '']</t>
  </si>
  <si>
    <t>['tolong', 'perbaiki', 'aplikasi', 'beli', 'paket', 'jaringan', 'buka', 'telkomsel', 'memuat', 'ulang', '']</t>
  </si>
  <si>
    <t>['jaringan', 'lemot', 'setau', 'telkomsel', 'bagus', 'jaringan', 'tpi', 'lemot', 'pket', 'data', 'full', 'giliran', 'liat', 'aplikasi', 'nonton', 'video', 'muter', 'kecewa', 'penonton']</t>
  </si>
  <si>
    <t>['provider', 'termahal', 'terpelit', 'mentang', 'memtang', 'pengguna', 'belagu', 'pelit', 'bonus', 'bonusnya', 'kasihan', 'rakyat', 'memengah', 'sekolah', 'beli', 'paket', 'data', 'belajar', 'online', 'semoga', 'telkomsel', 'penggunanya', 'cepet', 'bangkrut', 'amien', '']</t>
  </si>
  <si>
    <t>['telkomsel', 'coba', 'cek', 'pembelian', 'paket', 'data', 'mundur', 'tanggalnya', 'baca', 'notif', 'sms', 'pelanggan', 'knp', 'komplain', 'semoga', 'perbaikan', '']</t>
  </si>
  <si>
    <t>['simpati', 'bandel', 'jam', 'malam', 'pulsa', 'hilang', 'nyalain', 'data', 'paket', 'ulah', 'perusahaan', 'emang', 'pegawainya', 'bandel', 'tolong', 'report', 'aplikasinya']</t>
  </si>
  <si>
    <t>['maaf', 'kurangi', 'bintang', 'ngerti', 'telkomsel', 'jelek', 'jaringannya', 'klw', 'pengguna', 'telkomsel', 'berhenti', 'berlangganan', 'mahal', 'klw', 'memuaskan', 'pelanggan', 'klw', 'diluar', 'pulau', 'maklumi', 'wilayah', 'bromo', 'jawa', 'timur', 'boss', 'wisata', 'ternama', 'tolong', 'diperhatikan', 'keluhan', 'pelanggan', '']</t>
  </si>
  <si>
    <t>['telkomsel', 'gajelas', 'pulsa', 'terkuras', 'pdahal', 'bru', 'beli', 'paket', 'paket', 'ntah', 'pulsa', 'cepat', 'banget', 'habis', 'telfonpun', 'jarang', 'gada', 'beli', 'paket', 'rbu', 'jga', 'udh', 'kebeli', 'trus', 'pulsa', 'jga', 'terkuras', 'aneh']</t>
  </si>
  <si>
    <t>['dibuka', 'warna', 'putih', 'tertulis', 'jaringan', 'setabil', 'coba', 'samsung', 'core', 'jaringan', 'dibuka', 'akukan', 'pengen', 'belanja', 'paket', 'dibuka', '']</t>
  </si>
  <si>
    <t>['tolong', 'penggunaan', 'kuota', 'berdasarkan', 'enak', 'makainya', 'masak', 'check', 'harian', 'dapet', 'bonus', 'kuota', 'berkurang', 'kuota', 'utamanya', 'bonus', 'kuotanya', 'rugi', 'kayak', 'gini', 'kasih', 'fitur', 'mengunci', 'pulsa', 'data', 'aktif', 'pulsa', 'berkurang', '']</t>
  </si>
  <si>
    <t>['aplikasinya', 'lemot', 'update', 'enak', 'banget', 'mytelkomsel', 'skrg', 'kesel', 'cek', 'kuota', 'payah']</t>
  </si>
  <si>
    <t>['nanya', 'masuk', 'telkomsel', 'jaringan', 'stabil', 'pas', 'refresh', 'gabisaa', 'udh', 'hapus', 'download', 'lgi', 'susah', 'banget', 'beli', 'paket', 'mohon', 'penjelasannya']</t>
  </si>
  <si>
    <t>['maaf', 'gangguan', 'teros', 'jaringan', 'aman', 'aman', 'pembelian', 'center', 'say', 'kenyamanan', 'ganggu', 'terimakasih']</t>
  </si>
  <si>
    <t>['telkomsel', 'kesini', 'jelek', 'jaringan', 'stabil', 'lemot', 'mohon', 'diperbaiki', 'dioptimalkan', 'costumer', 'pergi', 'provider']</t>
  </si>
  <si>
    <t>['apk', 'scam', 'gimana', 'buka', 'apk', 'download', 'layar', 'jalan', 'udah', 'force', 'close', 'normal', 'coba', 'jelasin', '']</t>
  </si>
  <si>
    <t>['buka', 'aplikasi', 'lancar', 'lag', 'pas', 'buka', 'aplikasi', 'telkomsel', 'kebuka', 'buka', 'bilangnya', 'jaringan', 'stabil', 'aplikasi', 'cek', 'sisa', 'kuota', 'doang', 'susah', 'bener', 'mampus', 'uninstall']</t>
  </si>
  <si>
    <t>['', 'komentar', 'gimana', 'aplikasinya', 'meresahkan', 'uninstal', 'instal', 'hasilnya', 'meresahkan', 'chat', 'aplikasinya', 'bermasalah', '']</t>
  </si>
  <si>
    <t>['app', 'kayak', 'gini', 'masuk', 'susah', 'signal', 'kayak', 'keong', 'jalan', 'fokus', 'untungnya', 'pelanggan', 'kecewain', '']</t>
  </si>
  <si>
    <t>['buka', 'app', 'koneksi', 'stabil', 'klik', 'coba', 'cape', 'klik', 'ulang', 'pas', 'check', 'terima', 'hadiahnya', 'capek', 'nunggu', 'perbaiki', 'kek', 'gimana', 'isi', 'pulsa', 'paket', '']</t>
  </si>
  <si>
    <t>['telkomsel', 'error', 'apps', 'buka', 'pembelian', 'kuota', 'gagal', 'pulsa', 'tersedot', 'kecewa', 'telkomsen']</t>
  </si>
  <si>
    <t>['sarankan', 'telkomsel', 'karna', 'sendri', 'telkomsel', 'kecewa', 'karna', 'jaringan', 'parah', 'lag', 'trus', 'main', 'game', 'internetan', 'sepertnya', 'pekerja', 'telkomsel', 'korupsi', 'maknya', 'jaringan']</t>
  </si>
  <si>
    <t>['membantu', 'terpaksa', 'telkomsel', 'kasih', 'bintang', 'jas', 'update', 'app', 'lemoot', 'liat', 'ulasan', 'pengguna', 'puas', 'kecewaaaa']</t>
  </si>
  <si>
    <t>['', 'perusahaan', 'pecat', 'pecat', 'bidang', 'pengembangan', 'aplikasi', 'aplikasi', 'kli', 'buka', 'gangguan', 'trus', 'aplikasi', 'nonton', 'video', 'lancar', 'jaya', 'cek', 'pulsa', 'paket', 'beli', 'paket', 'dll', 'aplikasi', 'mending', 'pecat', 'karyawannya', 'uang', 'pengembangan', 'bidang', 'sekian']</t>
  </si>
  <si>
    <t>['knpa', 'buka', 'app', 'cek', 'koneksi', 'koneksi', 'udh', 'bermasalah', 'jdi', 'puas', 'sma', 'pelayanan', 'team', 'telkomsel', 'tolong', 'perbaiki', 'lgi', 'jaringan', 'internet']</t>
  </si>
  <si>
    <t>['jaringan', 'parah', 'terlelet', 'liat', 'komentar', 'ngeluh', 'bagus', 'main', 'game', 'putus', 'putus', 'parah', 'sinyal', 'mentok', 'kb', 'sampe', 'mb', 'pindah', 'kapok', 'paketnya', 'mahal', 'kualitas', 'buruk', 'mending']</t>
  </si>
  <si>
    <t>['lemot', 'buka', 'apk', 'error', 'jaringan', 'nomor', 'jaringan', 'kesel', 'doang', 'emosi', '']</t>
  </si>
  <si>
    <t>['verifi', 'masuk', 'susah', 'banget', 'log', 'teknologinya', 'kalah', 'operator', 'sebelah', 'verfikate', 'udah', 'langsung', 'masuk', 'perbaiki', 'jaringan', 'terbaik', 'error', '']</t>
  </si>
  <si>
    <t>['kualitas', 'jelek', 'sinyal', 'ilang', 'ilangan', 'koneksi', 'internetnya', 'busuk', 'lelet', 'pol', 'paket', 'mahal', 'sesuai', 'paket', 'internet', 'mahal', 'sesuai', 'kualitas', 'koneksinya']</t>
  </si>
  <si>
    <t>['gimana', 'beli', 'paket', 'combo', 'sakti', 'kuota', 'masuk', 'pulsa', 'kepotong', 'rugi', 'banget', 'diperbaiki', 'laporkan', 'berwajib']</t>
  </si>
  <si>
    <t>['', 'telkomsel', 'koq', 'lemot', 'banget', 'susah', 'kebuka', 'aplikasinya', 'jaringan', 'tsel', 'lengkap', 'pelayanan', 'memuaskannya', 'udh', 'dikomplen', 'twitter', 'instagram', 'dll', 'solusi', 'didpt', 'promosi', 'program', 'ngk', '']</t>
  </si>
  <si>
    <t>['apk', 'mngecewakan', 'pelanggan', 'serba', 'mudah', 'pakek', 'apk', 'hah', 'masuk', 'susah', 'mudah', 'miinnnnn', 'kcewa', 'lek', '']</t>
  </si>
  <si>
    <t>['kesini', 'jaringan', 'telsel', 'toleransi', 'beli', 'paket', 'mahal', 'jaringannya', 'lambat', 'pakai', 'telsel', 'berharap', 'jaringan', 'bagus', 'tolong', 'tingkatkan', 'pelayanan', 'segi', 'jaringan', 'pembelian', 'paket', 'sedot', 'paket', 'beli', 'paket', 'aktif', 'paketnya', 'bentar', 'bodoh', 'kali', 'lahhhh']</t>
  </si>
  <si>
    <t>['paket', 'swadaya', 'gojek', 'didaftar', 'paket', 'bulanan', 'murah', 'trus', 'aplikasi', 'telkomsel', 'super', 'lemot', 'susah', 'dibuka']</t>
  </si>
  <si>
    <t>['signal', 'internet', 'pas', 'dicek', 'kuota', 'gb', 'digunain', 'buka', 'youtube', 'game', 'viu', 'dll', 'chatting', 'mohon', 'secepatnya', 'diatasi', 'habis', 'kuota', 'tinggal', 'salah', 'pelanggan', 'setia', 'telkomsel', 'email', 'tolong', '']</t>
  </si>
  <si>
    <t>['telkom', 'sinyalnya', 'jelek', 'kemarin', 'enak', 'kasih', 'bintang', 'udah', 'perbaiki', 'kasih', 'bintang', '']</t>
  </si>
  <si>
    <t>['jaringan', 'parah', 'ngatur', 'sinyal', 'kesamber', 'gledek', 'kali', 'update', 'aplikasi', 'ajh', 'jalan', 'buka', 'sosmed', 'ngelag', 'tolong', 'donk', 'sinyal', 'sebagus', 'harga', 'mahal', 'doank', 'berkualitas', 'engga', '']</t>
  </si>
  <si>
    <t>['layanan', 'buruk', 'buka', 'aplikasi', 'reload', 'menyalahkan', 'jaringan', 'jaringan', 'stabil', 'apalah', 'semoga', 'perbaiki', 'isu', 'pengguna']</t>
  </si>
  <si>
    <t>['telkomsel', 'jelek', 'banget', 'jaringannya', 'buka', 'apk', 'lemot', 'banget', 'kalah', 'operator', 'murah', 'cepet', 'nyesel', 'pakai', 'data', 'telkom', 'udh', 'beli', 'bamyak', 'tolong', 'telkom', 'diperbaiki', 'jaringannya', 'kota']</t>
  </si>
  <si>
    <t>['layanan', 'memburuk', 'sinyal', 'data', 'super', 'lemot', 'telpon', 'ngga', 'sbgai', 'pengguna', 'bertahun', 'kecewa', 'layanan', 'telkomsel', 'mencari', 'provider', 'goodbye', 'telkomsel']</t>
  </si>
  <si>
    <t>['aplikasinya', 'bagus', 'tambahkan', 'metode', 'topup', 'game', 'aplikasinya', 'pembayaran', 'telkomsel', 'aplikasi', 'google', 'playstore', '']</t>
  </si>
  <si>
    <t>['aplikasi', 'buruk', 'udah', 'upgrade', 'versi', 'terbaru', 'error', 'bonus', 'daily', 'cek', 'udah', 'penuh', 'ambil', 'sengaja', '']</t>
  </si>
  <si>
    <t>['lemot', 'dibuka', 'bertahun', 'pakai', 'pembenahan', 'tolong', 'liat', 'pulsa', 'kuota', 'susah', 'banget', '']</t>
  </si>
  <si>
    <t>['membeli', 'paket', 'ketengan', 'youtube', 'pakai', 'loading', 'tab', 'home', 'youtube', 'udh', 'mode', 'pesawat', 'restart', 'matikan', 'data', 'tetep', 'kecewa', '']</t>
  </si>
  <si>
    <t>['update', 'bagus', 'buka', 'aplikasinya', 'susah', 'koneksi', 'bagus', 'mohon', 'cari', 'solusinya', 'pengguna', 'senang', 'thanks', '']</t>
  </si>
  <si>
    <t>['beli', 'paket', 'combo', 'sakti', 'lemot', 'banget', 'telkomsel', 'jaringan', 'lemoooot', 'sumpah', 'nyesel', 'banget', 'internet', 'telkomsel', 'pengguna', 'kartu', 'telkomsel', 'udah']</t>
  </si>
  <si>
    <t>['hapus', 'aplikasi', 'playstor', 'gunanya', 'lma', 'klok', 'niat', 'kayak', 'gni', 'keluhan', 'membantu', 'aplikasi', 'suruh', 'masuk', 'kemarilh', 'situ', 'gunanya', '']</t>
  </si>
  <si>
    <t>['masuk', 'telkomsel', 'payah', 'alasanya', 'koneksi', 'stabil', 'jaringannya', 'biak', 'mohon', 'ditinjau', 'apl', 'consumen', 'kecewa', '']</t>
  </si>
  <si>
    <t>['mahal', 'sinyal', 'ilang', 'event', 'menarik', 'kayak', 'kartu', 'sebelah', 'ramadhan', 'gini', 'event', 'harga', 'tulis', 'potong', 'liat', 'angka', 'nambah', 'dipotong', 'tetep', 'ajh', 'gede', 'wkwwk']</t>
  </si>
  <si>
    <t>['admin', 'telkomsel', 'terhormat', 'pulsa', 'tersedot', 'habis', 'kuota', 'kayak', 'gini', 'rugi', 'pulsa', 'habis', 'kuota', 'hbis', 'wajar', 'pulsa', 'kesedot', 'kuota', 'pulsa', 'kesedot']</t>
  </si>
  <si>
    <t>['telkomsel', 'aplikasi', 'susah', 'buka', 'sinyal', 'lemot', 'perbaiki', 'tarif', 'mahal', 'tinggal', 'ibukota', 'jkt', 'tinggal', 'daerah', 'perosok', '']</t>
  </si>
  <si>
    <t>['applikasi', 'error', 'kali', 'coba', 'login', 'kuota', 'internet', 'butuh', 'membeli', 'mohon', 'dibantu']</t>
  </si>
  <si>
    <t>['aplikasi', 'ambil', 'kuota', 'status', 'terklaim', 'kuota', 'masuk', 'respon', 'customer', 'service', 'membantu', 'karna', 'udah', 'coba', 'bantuan', 'aplikasi', 'solusi', 'telkomsel', 'terkait', 'klaim', 'kuota', '']</t>
  </si>
  <si>
    <t>['tolong', 'bersaing', 'sehat', 'mentang', 'game', 'support', 'operator', 'sinyal', 'game', 'jelekin', 'buka', 'game', 'lemot', 'giliran', 'dll', 'bersamaan', 'cepet', 'jelek', 'mainnya']</t>
  </si>
  <si>
    <t>['maaf', 'telkomsel', 'susah', 'diakses', 'masuk', 'aplikasinya', 'menu', 'dalamnya', 'muncul', 'muncul', 'tulisan', 'koneksi', 'stabil', 'jaringan', 'telkomsel', 'daerah', 'bagus', 'mohon', 'bantuannya', 'kesulitan', 'transaksi', 'pembelian', 'paket', 'internet', 'paket', 'teleponnya', 'terimakasih', 'perhatiannya', '']</t>
  </si>
  <si>
    <t>['parah', 'disaat', 'ketergantungan', 'aplikasi', 'skrg', 'sulit', 'diakses', 'koneksi', 'stabil', 'buka', 'aplikasi', 'browsing', 'streaming', 'download', 'lancar', '']</t>
  </si>
  <si>
    <t>['jelek', 'aplikasi', 'mytelkomsel', 'dibuka', 'bisaa', 'udh', 'refresh', 'berkali', 'jugak', 'ngecek', 'kuota', 'doang', 'jdi', 'ribet', 'gunanya', 'aplikasi', 'udah', 'update', 'jugak', 'dibukak', 'sinyal', 'jelek']</t>
  </si>
  <si>
    <t>['telkomsel', 'udah', 'mahal', 'ribet', 'merugikan', 'kalu', 'udah', 'memblokir', 'nomor', 'permanen', 'orang', 'sistemnya', 'ubah', 'masak', 'recovery', 'nomor', 'hapus', 'permanen', 'bisnis', 'kacau', 'gara', 'blokir', 'permanen', 'haduh']</t>
  </si>
  <si>
    <t>['aplikasi', 'beli', 'paket', 'masuk', 'sulit', 'lemot', 'tolong', 'dipersulit', 'hapus', 'dowload', 'aplikasi', 'telkom', 'pulsa', 'pelangan', 'tersedot']</t>
  </si>
  <si>
    <t>['aplikasi', 'update', 'stelah', 'update', 'login', 'otomatis', 'lemot', 'frekuensi', 'error', 'ngeselin', 'gonta', 'ganti', 'cover', 'doang', 'bermanfaat', 'konsumen', '']</t>
  </si>
  <si>
    <t>['semenjak', 'internet', 'lemot', 'nomor', 'karna', 'kartu', 'bertahun', 'pemakai', 'telkomsel', 'mengalami', 'menyesal', 'berlangganan', 'internet', 'operator', 'telkomsel']</t>
  </si>
  <si>
    <t>['update', 'payah', 'masuknya', 'koneksi', 'jaringan', 'stabil', 'aplikasi', 'kayak', 'gitu', 'masuk', 'cepat', 'tolong', 'diperbaiki', 'koneksi', 'jaringan', 'terimakasih', '']</t>
  </si>
  <si>
    <t>['aplikasi', 'sulit', 'akses', 'login', 'jaringan', 'bagus', 'aplikasi', 'update', 'tolong', 'kembaikan', 'performa', 'terbaik', 'telkomsel', 'terima', 'kasih', '']</t>
  </si>
  <si>
    <t>['sanagt', 'kecewa', 'karna', 'membuka', 'aplikasi', 'telkomsel', 'ngelag', 'data', 'seluler', 'hidup', 'kecewa', 'telkomsel', 'memakai', 'telkomsel', 'membeli', 'kuota', 'beda', 'karna', 'sinyal', 'telkomsel', 'lag']</t>
  </si>
  <si>
    <t>['aplikasi', 'lambat', 'suka', 'mogok', 'kadang', 'lancar', 'lemot', 'sekonsisten', 'aplikasi', 'ovo', 'dll', 'rating', 'diaplikasi', 'disuruh', 'twiter', 'facebook', '']</t>
  </si>
  <si>
    <t>['bantu', 'rate', 'star', 'puas', 'terwakili', 'review', 'rekan', 'membayar', 'melihatmu', 'hancur', 'aplikasi', 'doank', 'down']</t>
  </si>
  <si>
    <t>['parah', 'banget', 'apk', 'banget', 'nge', 'freeze', 'close', 'pas', 'beli', 'kuota', 'apk', 'perbarui', 'bagus', 'gajelas', 'admin', 'pengembang', 'gimana', 'kerjanya', 'tolong', 'tindak', 'lanjutin', '']</t>
  </si>
  <si>
    <t>['lemot', 'banget', 'udah', 'mah', 'pulsanya', 'sedot', 'aneh', 'daily', 'chekin', 'engga', 'klaim', 'chekin', 'hadiahnya', 'klaim', '']</t>
  </si>
  <si>
    <t>['apk', 'susah', 'buka', 'buka', 'koneksi', 'stabil', 'jaringan', 'full', 'kuota', 'bnyak', 'youtube', 'lancar', 'benerin', 'mending', 'apk', 'telkomsel', 'kyk', 'zaman', 'dll', '']</t>
  </si>
  <si>
    <t>['telkomoney', 'cocok', 'perusahaan', 'aplikasi', 'gua', 'paket', 'menit', 'nelpon', 'gada', 'angin', 'gada', 'hujan', 'pulsa', 'gua', 'disedot', 'nelpon', 'bentaran', 'doang', 'lucunya', 'blm', 'buka', 'aplikasi', 'gua', 'blm', 'idupin', 'paket', 'pulsa', 'kesedot', 'anying', 'kecewa', 'bos', 'bintang', 'perbaiki', 'layanan', 'ngasi', 'bintang', 'kinerja', 'layanan', 'gaji', 'gratis', 'bos', 'ngotak', 'sikit', '']</t>
  </si>
  <si>
    <t>['kecewa', 'telkomsel', 'harganya', 'udah', 'mahal', 'mahal', 'jaringannya', 'stabil', 'main', 'game', 'sinyal', 'ngak', 'ngelag', 'kecewa', 'banget', 'jaringan', 'udah', 'luas', 'ngeleg', 'ngeleg', 'koneksi', '']</t>
  </si>
  <si>
    <t>['kecewa', 'telkomsel', 'kuota', 'internet', 'tersedia', 'gb', 'pulsa', 'sedop', 'mengecewakan', 'data', 'internet', 'pulsa', 'sedot', 'habis', 'cek', 'paket', 'tersedia', 'coba', 'reload', 'pulsa', 'hilang', 'mengecewakan', 'pulsa', 'ambil', 'diam']</t>
  </si>
  <si>
    <t>['maaf', 'bintangnya', 'turunkan', 'pulsa', 'kesedot', 'habis', 'internetpun', 'mytelkomsel', 'lihat', 'riwayat', 'transaksi', 'keterangan', 'sedih']</t>
  </si>
  <si>
    <t>['tolong', 'telkomsel', 'rugi', 'beli', 'kuota', 'gunaiin', 'tulisanya', 'unlimited', 'game', 'main', 'game', 'ajg']</t>
  </si>
  <si>
    <t>['gmna', 'skrng', 'telkomsel', 'cek', 'kuota', 'susah', 'koneksi', 'stabil', 'trus', 'sinyal', 'full', 'youtube', 'lancar', 'cek', 'kuota', 'susah', 'tolong', 'doperbaiki']</t>
  </si>
  <si>
    <t>['update', 'terbaru', 'selesai', 'instal', 'dibuka', 'aplikasi', 'telkomsel', 'buruk', 'pekerjakanlah', 'orang', 'orang', 'bidangnya', 'aplikasi', 'telkomsel', 'buka', '']</t>
  </si>
  <si>
    <t>['terima', 'kasih', 'telkomsel', 'berlangganan', 'bertahun', 'bagus', 'jelek', 'jaringan', 'aplikasi', 'error', 'beli', 'paket', 'promo', 'makasi', 'aps', 'sampah', '']</t>
  </si>
  <si>
    <t>['masuk', 'stuck', 'menu', 'loading', 'error', 'try', 'again', 'mulu', 'maksudnya', 'gimana', 'perbaiki', 'telkomsel', 'bobrok', 'paketnya', 'mahal', 'promo']</t>
  </si>
  <si>
    <t>['buruk', 'telkomsel', 'bos', 'pemilik', 'telkomsel', 'karyawannya', 'memikirkan', 'untung', 'kualiatas', 'contoh', 'menyediakan', 'paket', 'lumayan', 'murah', 'ambil', 'apk', 'tekomsel', 'paket', 'ceria', 'telkomsel', 'paket', 'mahal', 'ambil', 'sungguh', 'akal', 'belanda', 'menjajah', 'indonesia', 'melekat', 'kualitas', 'pelayanan', 'mohon', 'perbaiki', 'pola', 'menampilkan', 'promo', 'palsu', '']</t>
  </si>
  <si>
    <t>['telkomsel', 'lemot', 'pulsa', 'kuota', 'paket', 'data', 'sekelas', 'telkomsel', 'terbilang', 'mahal', 'susah', 'sinyal', 'tolong', 'diperbaiki', 'kenyamanan', '']</t>
  </si>
  <si>
    <t>['jaman', 'smp', 'telkomsel', 'ganti', 'kartu', 'berasa', 'mah', 'parah', 'banget', 'sinyal', 'kadang', 'hilang', 'jaringan', 'edge', 'berpengaruh', 'membuka', 'salah', 'aplikasi', 'pokonya', 'super', 'lemot', 'tolong', 'perbaiki', 'kualitas', 'jaringannya', 'kasih', 'saran', 'sinyal', 'saran', 'terbaik', 'ganti', 'kartu', 'sim', '']</t>
  </si>
  <si>
    <t>['isi', 'pulsa', 'tanggal', 'april', 'membeli', 'paket', 'kombo', 'sakti', 'tanggal', 'pulsa', 'kepake', 'beli', 'paket', 'game', 'max', 'diamond', 'padhal', 'ngg', 'beli', 'paket', 'aplikasi', 'beli', 'paket', 'tolong', 'kejelasan', 'halah', 'udh', 'lapor', 'tetep', 'ngg', 'kejelasan', 'veronika', 'ngg']</t>
  </si>
  <si>
    <t>['sinyal', 'lemot', 'telkomsel', 'mengcewakan', 'pelanggannya', 'pelayanan', 'memuaskan', 'update', 'terbaru', 'aplikasi', 'mytelkomselnya', 'sulit', 'loginnya', 'tolong', 'perbaiki', 'pelayanan']</t>
  </si>
  <si>
    <t>['susah', 'paket', 'data', 'internet', 'reguler', 'kemendikbud', 'login', 'game', 'online', 'mohin', 'atasi', 'nomor']</t>
  </si>
  <si>
    <t>['uda', 'perbaikin', 'tutup', 'server', 'uda', 'usa', 'nipu', 'coustamer', 'org', 'ngeluh', 'jaringan', 'liat', 'problemnya', 'coustamer', 'telkomsel', 'ngeluh', 'jaringanyg', 'sediakan', 'tindak', 'lanjutin', 'keluhan', 'telkomsel', 'abia', 'ganti', 'kartu', '']</t>
  </si>
  <si>
    <t>['kecewa', 'paket', 'abis', 'pas', 'beli', 'notif', 'pulsa', 'berkali', 'kali', 'gagal', 'pas', 'cek', 'pulsa', 'utuh', 'coba', 'tersedot', 'pulsanya', 'isi', 'pulsa', 'berhasil', 'sungguh', 'kecewa', 'telkomsel', 'jaringannya', 'sekuat', 'rindu', 'telkomsel', 'andalkan', 'manapun']</t>
  </si>
  <si>
    <t>['gara', 'update', 'pas', 'dialy', 'check', 'diklaim', 'pas', 'udah', 'update', 'apk', 'statusnya', 'terklaim', 'masuk', 'kuotanya', '']</t>
  </si>
  <si>
    <t>['bagus', 'sinyal', 'lemot', 'parah', 'download', 'aplikasi', 'jam', 'ping', 'game', 'paketan', 'mahal', 'kualitas', 'sinyal', 'rendahan', 'mending', 'axis', 'smartfren', 'perbandingan', 'kecepatan', 'sinyal', 'provider', 'udah', 'paketannya', 'murah', 'sinyal', 'lancar', 'jaya']</t>
  </si>
  <si>
    <t>['berlangganan', 'paket', 'telkomsel', 'kesini', 'jaringannya', 'lemot', 'susah', 'kota', 'tolong', 'perbaiki', 'daerah', 'padanh']</t>
  </si>
  <si>
    <t>['telkomsel', 'memakai', 'kartu', 'telkomsel', 'bonus', 'pembelian', 'kuota', 'internet', 'bberpa', 'temen', 'promo', 'paket', 'internet', 'murah', 'nomor', 'mahal', 'pembelian', 'paket', 'internet']</t>
  </si>
  <si>
    <t>['berbulan', 'perbaikan', 'baiknya', 'telkomsel', 'ganti', 'nama', 'telkomtol', 'admin', 'tiling', 'kikik', 'ristirt', 'hipi', 'nyi']</t>
  </si>
  <si>
    <t>['kedepan', 'telkomsel', 'buruk', 'kecewa', 'khusus', 'kota', 'medan', 'jaringan', 'bln', 'stabil', 'bolak', 'tlpn', 'customer', 'jawabannya', 'tetangga', 'mengalami', 'jaringan', 'internet', 'kecewa', 'telkomsel', 'memperhatikan', 'pelanggan']</t>
  </si>
  <si>
    <t>['jaringan', 'lemot', 'kartunya', 'paketnya', 'mahal', 'sesuai', 'degan', 'kualitas', '']</t>
  </si>
  <si>
    <t>['mohon', 'diperbaiki', 'jaringan', 'telkomsel', 'daerah', 'mahal', 'beli', 'paket', 'internet', 'lelet', 'didaerah', 'pasca', 'covid', 'puas', 'pelayanan', 'telkomsel', 'nias', 'sumatera', 'utara']</t>
  </si>
  <si>
    <t>['jaringan', 'eror', 'keluarga', 'smua', 'telkomsel', 'jaman', 'udah', 'paket', 'data', 'mahal', 'ditambah', 'jaringan', 'buruk', 'orang', 'pindah', 'jaringan', 'kaya', 'gini', 'bos']</t>
  </si>
  <si>
    <t>['pulsa', 'tersedot', 'karna', 'lupa', 'matikan', 'data', 'makan', 'duit', 'haram', 'sinyalnya', 'busukk', 'lemot', 'nyesel', 'jdi', 'pelanggan', 'tsel', 'kecewa', 'berat', 'kesini', 'bagus', 'jdi', 'busukk', 'tsel', 'mengecewakann', '']</t>
  </si>
  <si>
    <t>['memuaskan', 'jaringan', 'stabil', 'ngelag', 'liat', 'story', 'muter', 'truss', 'hebat', 'skrg', 'telkomsel', 'kebelakang', 'asik', 'main', 'game', 'jaringan', 'error', 'truss', 'kadang', 'bintang', 'dibawa', 'bintang', 'kasi', '']</t>
  </si>
  <si>
    <t>['dipelabuhan', 'tanjung', 'emas', 'semarang', 'sinyal', 'telkomsel', 'buruk', 'parah', 'masak', 'kalah', 'jaringan', 'males', 'telkomsel', '']</t>
  </si>
  <si>
    <t>['', 'telkomsel', 'baguss', 'bet', 'harga', 'kuota', 'mahal', 'masyarakat', 'sperti', 'contohnya', 'internet', 'aga', 'boros', 'sebanding', 'intrnet', 'beli']</t>
  </si>
  <si>
    <t>['jaringan', 'lemot', 'lemot', 'lemot', 'tolong', 'perbaiki', 'login', 'akun', 'aplikasi', 'telkomsel', '']</t>
  </si>
  <si>
    <t>['membantu', 'membeli', 'tukar', 'data', 'semoga', 'paketannya', 'menarik', 'murah', 'pelanggannya', 'betah', '']</t>
  </si>
  <si>
    <t>['install', 'telkomsel', 'android', 'marshmallow', 'emg', 'provider', 'mahal', 'terinstall', 'kentang', 'canda', 'kentang', '']</t>
  </si>
  <si>
    <t>['telkomsel', 'signal', 'terjelek', 'didunia', 'umbar', 'paket', 'murarahan', 'dipersulit', 'deh', 'pecinta', 'internet', 'mending', 'axis', 'karna', 'signal', 'disudut', 'kampung', 'bersahabat', 'dibanding', 'telkomsel', 'sok', 'kasih', 'murah', 'layanan', 'murahan', 'pindah', 'axis', 'hapus', 'nmr', 'telkomsel']</t>
  </si>
  <si>
    <t>['lemot', 'beli', 'paket', 'sinyal', 'combo', 'sakti', 'harganya', 'udah', 'bersihin', 'cache', 'instal', 'ulang', 'app', 'restart', 'hape', 'deh', 'telkomsel', '']</t>
  </si>
  <si>
    <t>['mengecewakan', 'telkomsel', 'sya', 'berlangganan', 'kartu', 'telkomsel', 'sya', 'kecewa', 'jaringan', 'lelet', 'pulsa', 'tersedot', 'habis', 'data', 'sya', 'kecewa', 'tolong', 'telkomsel', 'perbaiki', 'kesalahan']</t>
  </si>
  <si>
    <t>['game', 'lag', 'steaming', 'lag', 'nonton', 'youtube', 'lancar', 'browsing', 'lancar', 'instagram', 'lancar', 'udah', 'beli', 'mahal', 'lag', 'lag']</t>
  </si>
  <si>
    <t>['telkomsel', 'beli', 'paketan', 'via', 'pulsa', 'pulsa', 'pulsa', 'uda', 'sampe', 'lumer', 'perbaiki', 'bug', 'pelanggan', 'kabur', 'provider', '']</t>
  </si>
  <si>
    <t>['', 'ampun', 'jaringan', 'telkomsel', 'bufferingnya', 'ampun', 'tolong', 'perbaiki', 'iya', 'iya', 'iya', 'telkomsel', 'parah', 'banget', 'sinyalnya', 'kalah', 'im', 'kartu', 'paketnya', 'murah', 'jarang', 'banget', 'namanya', 'buffering', 'simpati', 'ternama', 'lho', 'jaman', 'bagus', 'jaringan', 'bobrok', 'alasan']</t>
  </si>
  <si>
    <t>['saran', 'tambahkan', 'mengaktifkan', 'voucer', 'internet', 'aplikasi', 'mytelkomsel', 'sistem', 'sibuk', 'voucer', 'terbuang', 'sia', 'sia', '']</t>
  </si>
  <si>
    <t>['provider', 'jelek', 'banding', 'provider', 'jaringan', 'lemot', 'beli', 'kuota', 'mahal', 'tlp', 'mahal', 'sms', 'mahal', 'serba', 'mahal', 'udah', 'jelek', 'jaringan', 'harga', 'sgala', 'naikin', 'jaringan', 'jelek', 'banget', 'bye', 'telkomsel', '']</t>
  </si>
  <si>
    <t>['alat', 'komunikasi', 'diseluruh', 'indonesia', 'negara', 'mementingkan', 'negara', 'kesatuan', 'membangun', 'anak', 'bangsa', 'maju', 'bidan', 'ekonomi', 'pendidikan', 'tehnologi', 'diinformasikan', 'amin', '']</t>
  </si>
  <si>
    <t>['beli', 'paket', 'data', 'bbrpa', 'maaf', 'gangguan', 'sistem', 'cek', 'koneksi', 'ulangi', 'transaksi', 'menit', 'kecewa', 'gabisa', 'beli', 'paket', 'data', 'gangguan', 'gajelas', '']</t>
  </si>
  <si>
    <t>['ayo', 'donk', 'developer', 'apk', 'telkomsel', 'suka', 'ambil', 'ambil', 'pulsa', 'orang', 'pembelian', 'sesuai', 'pengguna', 'mohon', 'ber', 'bijaklah', 'melayani', 'layanan', 'online', 'semoga', 'dipercaya', 'masyarakat', 'kepercayaan', 'berkah', 'kehidupan', '']</t>
  </si>
  <si>
    <t>['lapor', 'bos', 'ahir', 'jaringan', 'telkomsel', 'daerah', 'jati', 'bening', 'bekasi', 'sinyalnya', 'udah', 'minggu', 'down', 'maen', 'mobile', 'legend', 'boro', 'gamenya', 'buka', 'padhal', 'kuota', 'gb', 'cht', 'veronika', 'membantu', 'jaringan', 'normal', '']</t>
  </si>
  <si>
    <t>['proses', 'pembelian', 'paket', 'internet', 'bnget', 'gagal', 'tolong', 'notif', 'gagl', 'udah', 'berkli', 'klik', 'bayar', 'keterangnya', 'pesanan', 'diproses', 'sinyal', 'kuat', 'pulsa', '']</t>
  </si>
  <si>
    <t>['dear', 'development', 'mytelkomsel', 'telkomsel', 'lgi', 'lgi', 'error', 'tdi', 'login', 'game', 'gabisa', 'tpi', 'giliran', 'ytan', 'igan', 'dll', 'tpi', 'game', 'gabisa', 'woi', '']</t>
  </si>
  <si>
    <t>['udh', 'kapok', 'fix', 'ganti', 'kartu', 'telkomsel', 'parah', 'lemotnya', 'langganan', 'paketan', 'gb', 'aktif', 'karna', 'jaringannya', 'lemot', 'berasa', 'tipu', '']</t>
  </si>
  <si>
    <t>['login', 'aplikasi', 'padahalsebelumnya', 'mendaftarkan', 'nmr', 'trus', 'skarang', 'ganti', 'masuk', '']</t>
  </si>
  <si>
    <t>['belasan', 'jdi', 'pelanggan', 'telkomsel', 'tpi', 'skrng', 'sinyal', 'internet', 'lemot', 'lihat', 'ulasan', 'bnyak', 'ksh', 'bintang', 'wajar', 'lemot', 'andalkan', 'usaha', 'ribet', '']</t>
  </si>
  <si>
    <t>['maksudnya', 'pilihan', 'membeli', 'kuota', 'pulsa', 'rb', 'kuota', 'internet', 'kuota', 'lokal', 'kuota', 'omg', 'kuota', 'chat', 'kartu', 'simpati', 'mahal', 'membeli', 'tolonglah', 'uang', 'bantulah', 'orang', 'orang', 'terimakasih']</t>
  </si>
  <si>
    <t>['halo', 'kakak', 'abg', 'tolong', 'membeli', 'paket', 'ceria', 'pulsa', 'pulsa', 'dipotong', 'paketnya', 'tolong', 'kakak', '']</t>
  </si>
  <si>
    <t>['parah', 'isi', 'pulsa', 'taunya', 'dipotong', 'udah', 'motongnya', 'nggak', 'ngotak', 'kondisi', 'data', 'off', 'beli', 'paket', 'nggak', 'pulsa', 'nggak', 'beli', 'pulsa', 'dipotong', 'puasa', 'orang', 'marah', 'mikir', 'ngotak', 'dikit', 'napa', '']</t>
  </si>
  <si>
    <t>['dapet', 'promo', 'ceria', 'gb', 'harga', 'ribu', 'dibeli', 'diakses', 'kadaluarsa', 'promonya', 'halooo', 'sebercanda', 'telkomsel', 'pelanggannya', '']</t>
  </si>
  <si>
    <t>['knapa', 'jaringan', 'lelet', 'lemot', 'mengecewakan', 'parah', 'lbih', 'parah', 'jaringan', 'kartu', 'malu', 'beli', 'kuota', 'mahal', 'mahal', 'jaringan', 'bagus', 'super', 'lemot', 'super', 'lelet', 'perbaiki', 'layanannya', 'bagus', 'malu', 'ama', 'kartu', 'malu', 'axis', 'signal', 'lemot', 'lelet']</t>
  </si>
  <si>
    <t>['paket', 'gb', 'rb', 'rb', 'tambahan', 'gratis', 'nelp', 'menit', 'dikurangi', 'menit', 'sinyal', 'lambat', 'perbaikan', 'harga', 'paket', 'mahal', 'sebanding', 'koneksi', 'internet', '']</t>
  </si>
  <si>
    <t>['', 'beli', 'paket', 'disitulah', 'aplikasinya', 'error', 'kasih', 'gift', 'otp', 'muncul', 'error', 'beli', 'paket', 'nomor', 'sial', '']</t>
  </si>
  <si>
    <t>['telkomsel', 'sinyalnya', 'jelek', 'kuota', 'internetan', 'lambat', 'bet', 'tolong', 'min', 'benerin', 'masak', 'kuota', 'mahal', 'sinyal', 'jelek']</t>
  </si>
  <si>
    <t>['ngerti', 'perusahaan', 'sinyal', 'kaya', 'kouta', 'abis', 'leled', 'kalah', 'sma', 'provider', 'ksini', 'parah', 'sinyal', 'penuh', 'kaya', 'kouta', 'leled', 'prnh', 'komplen', 'parah', 'tolong', 'perbaiki', 'serius', 'tmen', 'pda', 'move', 'doang', 'ngalami', 'bagusnya', 'jabodetabek', 'doang', '']</t>
  </si>
  <si>
    <t>['kecewa', 'jaringan', 'telkomsel', 'buka', 'telegram', 'menghubungkan', 'uda', 'ngajukan', 'keluhan', 'tanggapannya', 'bagus', 'pindah', 'operator', 'nampaknya', 'kuat']</t>
  </si>
  <si>
    <t>['paraaah', 'beneeer', 'emg', 'telkomsel', 'skg', 'lemooot', 'paraah', 'pdhal', 'sinyal', 'pool', 'kadang', 'suka', 'hilang', 'sinyal', 'pdhal', 'deket', 'toweer', 'nyedoot', 'pulsa', 'paketin', 'pakeet', 'data', 'pool', 'koq', 'telkomsel', 'potong', 'pulsa', 'org', 'yak', 'mgk', 'krna', 'laku', 'keraas', 'angin', 'kagak', 'saingan', '']</t>
  </si>
  <si>
    <t>['ampun', 'bang', 'jago', 'bang', 'protes', 'knp', 'sya', 'main', 'game', 'sim', 'telkm', 'ngleg', 'sinyal', 'pas', 'dlm', 'game', 'sinyal', 'bagus', 'main', 'game', 'ngleg']</t>
  </si>
  <si>
    <t>['pakai', 'tsel', 'kali', 'pulsa', 'gatau', 'kepotong', 'kuota', 'nelfon', 'sms', 'rb', 'pulsa', 'kepotong', 'gatau', 'kemana', 'malam', 'tdr', 'rb', 'pas', 'besoknya', 'cek', 'hilang', 'gilasih', 'gatau', 'gaada', 'konfirmasi', 'pembelanjaan', '']</t>
  </si>
  <si>
    <t>['thn', 'telkomsel', 'kecewa', 'telkomsel', 'lemot', 'keong', 'berjalan', 'ganti']</t>
  </si>
  <si>
    <t>['lelet', 'buka', 'app', 'muncul', 'refresh', 'stelh', 'refresh', 'berulang', 'kali', 'ttp', 'loading', 'kali', 'jaringan', 'stabil', '']</t>
  </si>
  <si>
    <t>['bagus', 'gampang', 'edit', 'fitur', 'poin', 'voucher', 'diharapkan', 'redeem', 'poin', 'voucher', 'berubah', 'pemberitahuan', 'profesional', 'rugi', 'poin']</t>
  </si>
  <si>
    <t>['', 'kartu', 'knp', 'siii', 'dlu', 'lancar', 'bet', 'dmn', 'skrg', 'jaringan', 'kek', 'siput', 'kuota', 'beli', 'sinyalnya', 'gada', 'make', 'telkomsel', 'udh', 'thn', 'kali', 'ngerasain', 'jaringan', 'separah', 'saran', 'operator', 'perbaikin', 'jaringan', 'maksimal', 'pelanggan', 'kaga', 'kartu', 'laen', '']</t>
  </si>
  <si>
    <t>['tsel', 'terhormat', 'pakai', 'kartu', 'perdana', 'beli', 'paket', 'unlimited', 'kombo', 'sakti', 'karna', 'aktivitas', 'sosial', 'terhenti', 'karna', 'beli', 'paket', 'kombo', 'sakti']</t>
  </si>
  <si>
    <t>['kurangin', 'bintangnya', 'beli', 'pulsa', 'link', 'saldo', 'link', 'reportnya', 'transaksi', 'sukses', 'link', 'sms', 'telkomsel', 'pembayaran', 'berhasil', 'disuruh', 'pembayaran', 'ulang', 'pas', 'buka', 'link', 'saldonya', 'berkurang', 'coba', 'ulang', 'transaksi', 'berhasil', 'ketarik', 'saldo', 'link', 'kali', 'bayar', 'pulsa', '']</t>
  </si>
  <si>
    <t>['siang', 'penguna', 'kartu', 'telkomsel', 'knp', 'tlp', 'pangilan', 'khusus', 'pakai', 'pulsa', 'reguler', 'sinyal', 'pulsa', 'reguler', 'diisi', 'cek', 'pulsa', 'masuk', 'stiap', 'tlp', 'pangilan', 'slalu', 'haduh', 'ancur', 'kualitas', 'telkomsel']</t>
  </si>
  <si>
    <t>['suka', 'pakai', 'telkomsel', 'jaringannya', 'lancar', 'serimg', 'bonus', 'hadiah', 'undian', 'transaksi', 'gampang', 'banget', 'kartu', 'kartu', 'resek', 'pulsa', 'reguler', 'dipotong', 'counter', 'android', 'love', 'bgtt', 'dech', 'trimakasih', 'telkomsel']</t>
  </si>
  <si>
    <t>['telkomsel', 'khusus', 'simpati', 'layak', 'pakai', 'sinyal', 'bagus', 'lag', 'rekomendasi', 'pokoknya', 'salah', 'penipuan', 'developer', 'telkomsel', 'dagang', 'jujur', 'akhirat', '']</t>
  </si>
  <si>
    <t>['knapa', 'kak', 'udah', 'error', 'internetan', 'kuota', 'berkurang', 'sinyal', 'lte', 'muncul', 'knapa', 'kak', '']</t>
  </si>
  <si>
    <t>['lampung', 'way', 'kanan', 'buay', 'bahuga', 'bumiharjo', 'sinyal', 'telkomsel', 'sungguh', 'menyedihkan', 'dimana', 'paketan', 'mahal', 'sinyal', 'burik', 'terima', 'kasih', 'telkomsel', 'insyaallah', 'mengajak', 'orang', 'wilayah', 'ganti', 'developer', '']</t>
  </si>
  <si>
    <t>['', 'telkomsel', 'paket', 'murah', 'mahal', 'berubah', 'ubah', 'susah', 'login', 'masuk', 'aplikasi', 'syaa', 'alami', 'semangat', 'tingkat', 'telkomsel']</t>
  </si>
  <si>
    <t>['aplikasi', 'mytelkomsel', 'buka', 'loading', 'sinyal', 'bagus', 'akses', 'aplikasinya', 'beli', 'paket', 'internet', 'tolong', 'diperbaiki', '']</t>
  </si>
  <si>
    <t>['heran', 'lihat', 'telkomsel', 'buruk', 'bru', 'isi', 'pulsa', 'paket', 'data', 'pelanggan', 'pengguna', 'telkomsel', 'puasdengan', 'akses', 'internet', 'lemot', 'tolong', 'telkomsel', 'membantu', 'customer', 'keluhan', 'karna', 'ketidak', 'nyamannya', 'telkomsel']</t>
  </si>
  <si>
    <t>['sedot', 'pulsa', 'sampek', 'ribu', 'tpi', 'berkali', 'kali', 'beli', 'apapun', 'paket', '']</t>
  </si>
  <si>
    <t>['jaringan', 'telkomsel', 'parah', 'banget', 'jelek', 'ngecek', 'kuota', 'gabisa', 'terkendala', 'jaringan', 'tolong', 'telkomsel', 'perbaiki', 'jaringan', 'udah', 'kuota', 'mahal', 'jaringan', 'jelek', 'kecewa', 'pelanggan', '']</t>
  </si>
  <si>
    <t>['hey', 'admin', 'telkom', 'paketan', 'gua', 'gini', 'kuota', 'nonton', 'ngeleg', 'ngeleg', 'buka', 'ngeleg', 'main', 'game', 'online', 'oke', 'buka', 'ngeleg', 'paket', 'kemana', 'hah', '']</t>
  </si>
  <si>
    <t>['rubah', 'update', 'login', 'something', 'was', 'wrong', 'mulu', 'apk', 'telkomsel', 'berat', 'dibandingin', 'apk', 'operator']</t>
  </si>
  <si>
    <t>['tetiba', 'sim', 'hilang', 'sinyal', 'tanda', 'sinyal', 'lenyap', 'kuota', 'gb', 'hangus', 'dipakai', 'haduh', '']</t>
  </si>
  <si>
    <t>['jaringan', 'telkomsel', 'rumah', 'susah', 'banget', 'terkadang', 'kecepatan', 'internetnya', 'kb', 'tolong', 'diperbaiki', 'jaringannya', 'semoga', 'pelanggan', 'setia', 'telkomsel', 'kabur', '']</t>
  </si>
  <si>
    <t>['telkomsel', 'main', 'udah', 'beli', 'kuota', 'unlimited', 'mahal', 'kagak', 'dipake', 'berdagang', 'jujur', 'nipu', 'puasa', 'nipu', 'dasar', 'kecewa', 'telkomsel', 'kesini', 'layak', 'dipake', 'iya', 'beli', 'kuota', 'unlimited', 'dipake', 'kuota', 'reguler', 'beli', 'mahal', '']</t>
  </si>
  <si>
    <t>['signal', 'full', 'ping', 'bermain', 'game', 'putus', 'nyambung', 'paket', 'mahal', 'kualitas', 'kayak', 'operator', 'murahan', 'buatlah', 'aplikasi', 'seminim', 'fitur', 'fitur', 'memberatkan', 'lemot', 'kayak', 'gini', 'berangkat', 'pelanggan', 'setia', 'kecewakan', 'kepercayaan', 'cek', 'nilai', 'rating', 'telkomsell', '']</t>
  </si>
  <si>
    <t>['kuota', 'gb', 'daily', 'ceck', 'masuk', 'tolong', 'penjelasan', 'telkomsel', 'aneh', 'telkomsel', '']</t>
  </si>
  <si>
    <t>['harap', 'fitur', 'penguncian', 'pulsa', 'pengguna', 'pulsa', 'sesuai', 'diharapkan', 'berkurang', 'jujur', 'fitur', 'dibutuhkan', 'pelanggan', 'pelanggan', 'aman', 'menyisakan', 'pulsa', 'kepentingan', 'harap', 'fitur', 'dihadirkan', 'secepatnya', 'terimakasih']</t>
  </si>
  <si>
    <t>['telkomsel', 'keluhan', 'pulsa', 'kesedot', 'sampe', 'orang', 'tua', 'marah', 'pulsa', 'kesedot', 'pulsa', 'dipake', 'internetan', 'nelpon', 'paket', 'pulsa', 'berkurang', 'pulsa', 'kesedot', 'tolong', 'kembalikan', 'pulsa', 'tersedot', 'misterius', 'telkomsel', '']</t>
  </si>
  <si>
    <t>['pokok', 'pulsa', 'telkomsel', 'kuota', 'paket', 'ngisi', 'tetep', 'pulsa', 'kesedot', 'berkali', 'kali', 'banget', 'jaringan', 'buruk', 'pulsa', 'habis', 'normal', 'kecewa', 'banget', '']</t>
  </si>
  <si>
    <t>['hallo', 'telkomsel', 'beli', 'kartu', 'jaringan', 'internet', 'stabil', 'beli', 'data', 'lumayan', 'mahal', 'permasalahkan', 'jaringan', 'masalh', 'jaringan', 'internet', 'telkomsel', 'buruk', 'kesal', 'jaringan', 'telkomsel', 'main', 'game', 'down', '']</t>
  </si>
  <si>
    <t>['aneh', 'berlangganan', 'paket', 'internet', 'beli', 'pulsa', 'habis', 'membayar', 'berlangganan', 'paket', 'internet', 'telkomsel', 'gimana', 'menu', 'unreg', 'menyebalkan', '']</t>
  </si>
  <si>
    <t>['pakai', 'telkomsel', 'kecewa', 'sinyal', 'susah', 'lemot', 'banget', 'hrga', 'kuota', 'datanya', 'udah', 'mahal', 'mending', 'pakai', 'profider', 'murah', '']</t>
  </si>
  <si>
    <t>['aplikasi', 'ssssssssssssssssssssaaaaaaaaaaaaaaaaaaaaaaaaaaaaaaaaaannnnnnnnnnnnnnnnnnnnnnnnnnnnnnnnngggggggggggggggggggggggggggggggggggaaaaaaaaaaaaaaaaaaaaaaaaaaaaaaaaaaaaaaaaaatttttttttttttttttttttttttttttttttttttttttttttttttttttttttttttttt', 'bbbbbbbbbbbbbbbbbbbbbbbbbbbbbbbbbbbbbbbbbbbbbaaaaaaaaaaaaaaaaaaaaaaaaaaaaaaaaaaaaaaaaggggggggggggggggggggggggggggggggggggggggggggggggggggggggguuuuuuuuuuuuuuuuuuuuuuuuuuuuuuuuuuuuuuuuuuuuuuuussssessssssssssssssssssssssssssssssssssssss', 'nyesel', 'download', '']</t>
  </si>
  <si>
    <t>['udah', 'bayar', 'mahal', 'sinyal', 'lemot', 'mahal', 'sinyal', 'bagusan', 'provider', 'kuat', 'download', 'telkomsel', 'buka', 'aplikasi', 'telkomsel', 'lemot', 'ampunn', '']</t>
  </si>
  <si>
    <t>['kesel', 'banget', 'pelayanan', 'respon', 'udah', 'gtu', 'selesai', 'dpt', 'kuota', 'gadak', 'dinotifikasi', 'keterangan', 'udah', 'masuk', 'kuota', 'dicek', 'zonkkkkkk', '']</t>
  </si>
  <si>
    <t>['puas', 'pelayanan', 'check', 'klaim', 'hadiah', 'check', 'pulsa', 'potong', 'hadiah', 'terima', 'disitu', 'keterangan', 'terima', 'nambah', 'kesel', 'disuruh', 'nunggu', 'jam', 'sampek', 'masuk', 'pelanggan', 'kecewa', 'terimakasih']</t>
  </si>
  <si>
    <t>['karuan', 'reward', 'data', 'hasil', 'check', 'harian', 'poin', 'pulsa', 'terpotong', '']</t>
  </si>
  <si>
    <t>['update', 'harga', 'paket', 'kuota', 'mahal', 'jujur', 'keberatan', 'harga', 'paket', 'tolong', 'diadakan', 'harga', 'paket', 'ekonomis', 'terjangkau', 'terimakasih']</t>
  </si>
  <si>
    <t>['jujur', 'kecewa', 'telkomsel', 'knp', 'harga', 'paket', 'nambah', 'mahal', 'unlimited', 'maxx', 'unlimited', 'tolong', 'telkom', 'balikin', 'harga', 'unlimited', 'maxx', 'unlimited', 'soschat', 'game', 'tiktok', 'youtube', 'sosmed', 'mohon', 'balikin', '']</t>
  </si>
  <si>
    <t>['telkomsel', 'gblok', 'beli', 'paket', 'mahal', 'sinyal', 'tolol', 'kouta', 'colong', 'lankak', 'paket', 'beli', 'mahal', 'brosing', 'sumpahin', 'bangkrut', '']</t>
  </si>
  <si>
    <t>['kali', 'sms', 'notifikasi', 'penerimaan', 'paket', 'pulsa', 'terpotong', 'membeli', 'paket', 'tempo', 'pembeliannya', 'habis']</t>
  </si>
  <si>
    <t>['pakai', 'buruk', 'jaringan', 'harga', 'kuota', 'perbaiki', 'jaringan', 'naikan', 'harga', 'kuota', 'malu', 'malu', 'malu', 'engga', '']</t>
  </si>
  <si>
    <t>['update', 'buruk', 'akses', 'conectec', 'signyal', 'lanjar', 'keselnya', 'daily', 'check', 'error', 'nggak', 'buka', 'gua', 'abil', 'hadiahnya', 'telkomsel', 'skrng', '']</t>
  </si>
  <si>
    <t>['pakai', 'mytelkomsel', 'pulsa', 'sisa', 'habis', 'sisanya', 'kosong', 'laporan', 'pulsa', 'habis', 'pelanggan', 'kecewa']</t>
  </si>
  <si>
    <t>['berguna', 'aplikasi', 'jelek', 'berfungsi', 'paket', 'games', 'beli', 'sisa', 'gua', 'pakai', 'game', 'pulsa', 'ribu', 'kesedot', 'habis', 'kartu', 'aplikasi', 'bermutu', 'tolong', 'uda', 'pakai', 'kartu', 'telkomsel', 'bertahun', 'masak', 'kayak', 'gini', 'sistem', 'bermain', 'sedot', 'pulsa', 'situ', 'untung', 'rugi']</t>
  </si>
  <si>
    <t>['payah', 'susah', 'masuk', 'masuk', 'dibilang', 'jaringan', 'stabil', 'stabil', 'apanya', 'bossssss', 'jaringan', 'pengguna', 'redmi', 'not', 'pro', 'coba', 'buka', 'youtube', 'lancar', 'jaringan', 'main', 'pubg', 'bagus', 'jaringan', 'tolong', 'bossssssss', 'perbaiki', 'karenakan', 'mamakai', 'kartu', 'telkomsel']</t>
  </si>
  <si>
    <t>['usul', 'cuman', 'harga', 'paket', 'naikin', 'coba', 'program', 'berhadia', 'tukarin', 'plsa', 'gratis', 'poin', 'isi', 'ulang', 'adil', 'konsumen', 'puas', 'jaringan', 'internetya', 'perbaiki', 'smkin', 'lelet', 'makasi']</t>
  </si>
  <si>
    <t>['bangkrut', 'rumah', 'gue', 'deket', 'tower', 'telkomsel', 'sinyal', 'kaya', 'siput', 'sinyal', 'payaah', 'banget', 'gue', 'komplain', 'perbaikan', 'respon', 'kaya', 'dikomplain', 'merek', 'kaya', 'miris']</t>
  </si>
  <si>
    <t>['kuotanya', 'mahal', 'sinyal', 'burik', 'tolong', 'perbaiki', 'sinyal', 'jngan', 'cuman', 'perbnyak', 'promo', 'tpi', 'sinyak', 'burik', 'harga', 'kuota', 'mahal', 'masak', 'sekelas', 'telkomsel', 'jaringan', 'dimana', 'tpi', 'sinyal', 'buruk', '']</t>
  </si>
  <si>
    <t>['lumayan', 'bagus', 'tpi', 'sinyalnya', 'mantap', 'kadang', 'kadang', 'turun', 'mendadak', 'kesal', 'kadang', 'login', 'sinyal', 'hilang']</t>
  </si>
  <si>
    <t>['', 'bintang', 'turun', 'bintang', 'sinyalnya', 'ampun', 'deh', 'bener', 'stabil', 'game', 'online', 'melatih', 'kesabaran', 'member', 'platinum', 'ganti', 'provider', 'tolong', 'tingkat', 'jaringan', 'khusus', 'daerah', 'kabupaten', 'bekasi', 'rawa', 'kalong']</t>
  </si>
  <si>
    <t>['kecewa', 'telkomsel', 'internetnya', 'lambat', 'harga', 'kuota', 'mahal', 'pengguna', 'telkomsel', 'kasih', 'paketan', 'murah', 'pengguna', 'setia', 'telkomsel', 'bertahun', 'kasih', 'harga', 'kuota', 'mahal', 'internet', 'lemot', 'kecewa', 'sumpah']</t>
  </si>
  <si>
    <t>['woi', 'telkomsel', 'paket', 'data', 'urusan', 'internet', 'lancar', 'parah', 'ngak', 'layanan', 'harinya', 'bagus', 'kebanyakan', 'harinya', 'lelet', 'strategi', 'dagang', 'kecanduan', 'makan', 'uang', 'haram', 'hasil', 'ngadalin', 'pelangan', 'bodoh', 'tolong', 'penjelasannya', 'perubahan', 'bahasanya', 'hubungi', 'menyalahkan', 'perangkat', 'kecewa', 'bukn', '']</t>
  </si>
  <si>
    <t>['jaringan', 'telkomsel', 'karuan', 'mending', 'kartu', 'sekencang', 'telkom', 'lancar', 'kaya', 'telkomsel', 'jaringannya', 'babi', 'turun', 'parah', 'telkomsel', 'telkomsel', 'nyesal']</t>
  </si>
  <si>
    <t>['maaf', 'update', 'telkomsel', 'kali', 'bagus', 'karna', 'masuk', 'bnyak', 'loading', 'hbis', 'update', 'kali', 'nge', 'bag', 'terimakasih', '']</t>
  </si>
  <si>
    <t>['saran', 'pelanggan', 'telkomsel', 'pantengin', 'aplikasinya', 'cek', 'reguler', 'pemotongan', 'kuotanya', 'pribadi', 'lelah', 'kecolongan', 'stop', 'pakai', 'kuota', 'telkomsel', 'cari', 'operator', 'isi', 'langsung', 'nol', 'sebulan', 'sisa', 'gb', 'terima', 'kasih', 'berusaha', 'terbaik', 'pelangganya', 'pemotongan', 'kuota', 'sungguh']</t>
  </si>
  <si>
    <t>['heiiiiiiiii', 'telkomselll', 'gimana', 'sinyal', 'anjlebbb', 'ilang', 'ilang', 'mengganggu', 'keceawa', 'parah', 'langganan', 'banget', 'fasilitas', 'kyk', 'gini', 'bayar', 'mahal', 'emosi', 'akut', '']</t>
  </si>
  <si>
    <t>['maju', 'internet', 'strees', 'sinyal', 'jelek', 'telkomsel', 'aplikasi', 'kerasukan', 'myxl', 'hapus', 'paket', 'kuota', 'udah', 'usang', 'percaya', 'kuota', 'indonesia', 'kebanyakan', 'paket', 'usang', 'provider', 'seharus', 'cek', 'goggle', 'play', 'store', 'lihat', 'live', 'chat', 'twitter', '']</t>
  </si>
  <si>
    <t>['domisili', 'daerah', 'serang', 'banten', 'sinyal', 'internet', 'buruk', 'rumah', 'berjarak', 'tower', 'telkomsel', 'teman', 'merasakan', 'keluhan', 'sinyal', 'internet', 'telkomsel', 'buruk', '']</t>
  </si>
  <si>
    <t>['tolong', 'telkomsel', 'terhormat', 'jaringan', 'busuk', 'parah', 'sumpah', 'udah', 'seminggu', 'main', 'pubg', 'ping', 'normal', 'tolong', 'diperbaiki', '']</t>
  </si>
  <si>
    <t>['kualitas', 'sinyal', 'stabilan', 'sinyal', 'buruk', 'buruk', 'kecepatan', 'internet', 'lambat', 'mematok', 'harga', 'kualitas', 'bagus', 'provider', 'sadar', 'kondisi', 'diperbaiki', 'menutup', 'telkomsel', 'bersaing', 'provider', 'harap', 'perbaiki', 'wilayah', 'sulawesi', 'utara', 'bitung']</t>
  </si>
  <si>
    <t>['', 'pakai', 'telkomsel', 'lancar', 'puas', 'sekian', 'kesal', 'sinyal', 'stabil', 'nelpon', 'susah', 'pingin', 'pindah', 'operator', 'terpaksa', 'kasih', 'bintang', '']</t>
  </si>
  <si>
    <t>['kesini', 'lancar', 'ancur', 'jaringan', 'internet', 'lemot', 'puas', '']</t>
  </si>
  <si>
    <t>['udah', 'upgrade', 'dpt', 'bonus', 'kuota', 'hai', 'telkomsel', 'udah', 'kasih', 'bintang', 'tlong', 'masukkan', 'white', 'list', 'pelangan', 'telkomsel', 'dpt', 'promo', 'kuota', 'please', '']</t>
  </si>
  <si>
    <t>['tolong', 'telkomsel', 'kesini', 'sinyalnya', 'gajelas', 'sumpah', 'males', 'banget', 'gua', 'telkomsel', 'udah', 'kesel', 'gua', 'sinyal', 'telkom', 'dikit', 'dikit', 'ilang', 'jaringannya', 'tolong', 'kenyamanan', 'pelanggan', 'telkomsel', 'akses', 'internetnya', 'cepet', 'perbaiki', 'tunda', 'tunda', 'bangke', '']</t>
  </si>
  <si>
    <t>['kecewa', 'beli', 'paket', 'internet', 'telkomsel', 'pembayaran', 'link', 'saldo', 'link', 'terpotong', 'paket', 'internet', 'belom', 'masuk', 'telkomsel', 'riwayat', 'transaksinya', 'pembelian', 'paket', 'internet', 'belom', 'masuk', 'tolong', 'bantu', 'komplain', 'responnya']</t>
  </si>
  <si>
    <t>['telkomsel', 'lemot', 'telkomsel', 'rusak', 'laporkan', 'perbaikan', 'telkomsel', 'rusak', 'rip', 'telkomsel', 'telkomsel', 'lemot']</t>
  </si>
  <si>
    <t>['min', 'sinyal', 'udah', 'setahun', 'terkahir', 'jelek', 'paketnya', 'mahal', 'tepatnya', 'kota', 'cibatu', 'kabupaten', 'garut', 'provinsi', 'jawabarat', 'desa', 'kertajaya', 'bagus', 'kesini', 'nggak', 'perbaikilah', '']</t>
  </si>
  <si>
    <t>['murah', 'murahan', 'anjirrrrr', 'knp', 'bintang', 'komennya', 'bagus', 'telkomsel', 'sang', 'jaringan', 'murahan', '']</t>
  </si>
  <si>
    <t>['aplikasi', 'berat', 'buka', 'aplikasi', 'koneksi', 'stabil', 'cek', 'kuota', 'ampun', 'tolong', 'perbaiki', 'aplikasi', '']</t>
  </si>
  <si>
    <t>['diupdate', 'aplikasinya', 'buruk', 'jaringan', 'bagus', 'susah', 'membeli', 'paket', 'aplikasi', 'membuka', 'aplikasinya', 'lelet', '']</t>
  </si>
  <si>
    <t>['lelet', 'jaringan', 'lancar', 'pas', 'buka', 'apk', 'temkomsem', 'ditulis', 'coba', 'tolong', 'gerena', 'diperbaiki', 'grafiknya', 'dibuatkan', 'pintu', 'sekian', 'saran', '']</t>
  </si>
  <si>
    <t>['maaf', 'min', 'layanan', 'telkom', 'ditingkatkan', 'min', 'daerah', 'perdesaaan', 'komplek', 'daerah', 'terpencil', 'sya', 'mengakses', 'internet', 'jaringanya', 'lemot', 'susah', 'mengirim', 'tugas', 'saran', 'min', 'ditingkat', 'jaringanya', 'murahin', 'paketanya', 'min', 'wkwkwkwk']</t>
  </si>
  <si>
    <t>['pelanggan', 'setia', 'telkomsel', 'dikasih', 'promo', 'kuota', 'murah', 'kouta', 'udah', 'mahal', 'dimahalin', 'taiklah', 'note', 'ngadain', 'paket', 'promo', 'kasih', 'beli', 'paket', 'bulanan', 'besoknya', 'promo', 'taiklah', '']</t>
  </si>
  <si>
    <t>['telkomsel', 'kasi', 'promosi', 'ceria', 'berlaku', 'sampe', 'tgl', 'april', 'tgl', 'pulsa', 'rbu', 'beli', 'paket', 'ceria', 'kemarin', 'paket', 'udh', 'dibeli', 'smp', 'skrng', 'blm', 'masuk', 'pket', 'udh', 'selesai', 'kah', 'ato', 'gmn', 'pls', 'kepotong', 'promo', 'msh', 'jalan', 'maaf', 'bintang', 'dlu', '']</t>
  </si>
  <si>
    <t>['maaf', 'knapa', 'membeli', 'paket', 'gb', 'rb', 'promo', 'msih', 'pulsa', 'udah', 'metode', 'pembayaran', 'diproses', 'tpi', 'ttep', 'kasih', 'solusinya', 'udh', 'kemarin']</t>
  </si>
  <si>
    <t>['ditawari', 'pindah', 'kartu', 'hallo', 'migrasi', 'pengeluaran', 'mahal', 'merasakan', 'upgrade', 'kecepatan', 'internet', 'migrasi', 'best', 'bad', 'operator']</t>
  </si>
  <si>
    <t>['otak', 'udah', 'berhasil', 'klaim', 'grtis', 'bberapa', 'sms', 'sistem', 'sibuk', 'poin', 'kembalikan', 'cek', 'pulsa', 'najis', 'sbeginikah', 'telkomsel', 'cari', 'uang', 'haram']</t>
  </si>
  <si>
    <t>['aplikasi', 'sampah', 'developer', 'aplikasi', 'memudahkan', 'user', 'aplikasi', 'tulisan', 'periksa', 'koneksi', 'coba', 'jaringan', 'bagus', 'situ', 'niat', 'aplikasi', '']</t>
  </si>
  <si>
    <t>['saran', 'telkomsel', 'khusus', 'pengguna', 'setia', 'telkomsel', 'tolong', 'perhatikan', 'apresiasi', 'harga', 'spesial', 'paket', 'data', 'internet', 'samakan', 'pengguna', 'trimakasih', '']</t>
  </si>
  <si>
    <t>['bener', 'telkomsel', 'isi', 'plsa', 'pas', 'liat', 'tgl', 'rb', 'pdhal', 'giliran', 'daftarin', 'murah', 'pdhal', 'msih', 'tlong', 'operator', 'becus', 'sruh', 'donload', 'aplikadi', 'berguna', 'kyak', 'gini', '']</t>
  </si>
  <si>
    <t>['', 'telkomsel', 'apk', 'min', 'pikir', 'orang', 'indonesia', 'bhs', 'inggris', 'cobala', 'pikiran', 'klw', 'orng', 'indonesia', 'bhs', 'inggris', 'apk', 'usahakan', 'memiliki', 'bahasa', 'negara', 'orng', 'mendonload', 'apk', 'nga', 'pusing', '']</t>
  </si>
  <si>
    <t>['knp', 'beli', 'pulsa', 'terkuras', 'telkomsel', 'nguras', 'pulsa', '']</t>
  </si>
  <si>
    <t>['tolong', 'team', 'telkomesel', 'perbaiki', 'jaringan', 'telkomsel', 'wilayah', 'pagar', 'gunung', 'kab', 'lahat', 'suamatera', 'selatan', 'karna', 'wilayah', 'sopport', 'jaringan', 'mohon', 'perbaiki', 'pengguna', 'puas', 'memakai', 'kartu', 'telkomsel', 'terima', 'kasih']</t>
  </si>
  <si>
    <t>['kecewa', 'kali', 'paket', 'swadya', 'gojek', 'stabil', 'klen', 'masyarakat', 'aplikasi', 'orang', 'darah']</t>
  </si>
  <si>
    <t>['semenjak', 'update', 'klaim', 'daily', 'check', 'bermasalah', 'check', 'reward', 'sistem', 'halaman', 'daily', 'check', 'buruk', 'check', 'otomatis', 'terklaim', 'otomatis', 'hadiah', 'menyesal', 'update', 'kali', '']</t>
  </si>
  <si>
    <t>['telkomsel', 'ajar', 'beli', 'paket', 'ketengan', 'youtube', 'unlimited', 'seharga', 'streaming', 'youtube', 'jam', 'paket', 'kuota', 'utama', 'berkurang', 'drastis', 'trus', 'gunanya', 'beli', 'paket', 'youtube', 'dasar', 'penipu', 'telkomsel', 'penipu']</t>
  </si>
  <si>
    <t>['kayak', 'gini', 'masak', 'beli', 'paket', 'unlimited', 'cma', 'pakai', 'lokalnya', 'beli', 'lokasi', 'kabupaten', 'kecamatan', 'tetep', 'pakai', 'lokalnya', 'trik', 'penjualan', 'hebat', 'merugikan', 'castamer', 'setia', 'pakai', 'tekomsel']</t>
  </si>
  <si>
    <t>['aneh', 'terkadang', 'menu', 'daily', 'check', 'aplikasi', 'terkadang', 'menghilang', 'kabar', 'update', 'pembaruan', 'gunanya', 'perbaikan', 'telkomsel']</t>
  </si>
  <si>
    <t>['sinyal', 'jelek', 'udah', 'tlp', 'operator', 'jelek', 'jaringannya', 'gmn', 'ganti', 'kartu', 'perdana', 'pindah', 'sebelah', 'ckckckc']</t>
  </si>
  <si>
    <t>['sinyal', 'simpati', 'paketan', 'mahal', 'main', 'sinyal', 'masi', 'down', 'kecewa', 'banget', 'pakai', 'simpati', '']</t>
  </si>
  <si>
    <t>['min', 'tolong', 'diperbaiki', 'udah', 'diupdate', 'masuk', 'dibilang', 'sibuk', 'parah', 'beli', 'paket', 'something', 'went', 'wroong', 'tulisannya', '']</t>
  </si>
  <si>
    <t>['nanya', 'jaringan', 'internet', 'kadang', 'suka', 'ilang', 'bukti', 'main', 'game', 'suka', 'ilang', 'koneksi', 'kalah', 'deh', 'game', '']</t>
  </si>
  <si>
    <t>['knp', 'sinyal', 'telkomsel', 'turun', 'turun', 'login', 'game', 'buka', 'youtube', 'muter', 'gmna', 'telkomsel', 'ramadhan', 'sinyal', 'tolong', 'secepatnya', 'diperbaiki', 'menggangu', 'aktifitas', 'orang', 'kartu', 'telkomsel', 'kerja', 'sekolah', 'online']</t>
  </si>
  <si>
    <t>['bintang', 'kesal', 'kali', 'isi', 'pulsa', 'karna', 'kau', 'promosiin', 'paket', 'paketnya', 'jam', 'kau', 'proses', 'kau', 'suruh', 'tunggu', 'jam', 'kau', 'pikir', 'cuman', 'dibuang', 'kau', 'emang', 'gabisa', 'kau', 'promosiin', 'paket', 'menerus', 'berisik', 'notif', '']</t>
  </si>
  <si>
    <t>['aplikasi', 'berat', 'lemot', 'error', 'pakai', 'sinyal', 'wifi', 'lemot', 'sinyalnya', 'lemot', 'buka', 'aplikasi', 'lancar', 'aplikasi', 'mytelokmsel', 'lemot', 'error', 'udah', 'complain', 'kayak', 'gini', 'progres', 'customer', 'kabur', '']</t>
  </si>
  <si>
    <t>['pengalaman', 'menyenangkan', 'telkomsel', 'urusan', 'mobile', 'terimaksih', 'telkomsel', 'bravo', 'catatan', 'mohon', 'sinyalnya', 'ditingkatkan', 'kenyamanan', 'pelanggan', '']</t>
  </si>
  <si>
    <t>['bangga', 'telkomsel', 'skrg', 'mempertahankan', 'koneksi', 'rekan', 'telkomsel', 'mohon', 'tolong', 'tingkatkan', 'kualitas', 'jaringan', 'daerah', 'kalisuren', 'tajurhalang', 'bogor', 'bogor', 'kota', 'malu', '']</t>
  </si>
  <si>
    <t>['aplikasi', 'error', 'susah', 'buka', 'uninstall', 'install', 'ulang', 'susah', 'buka', 'telkomsel', 'aplikasi', 'model', 'ginian', 'parah', '']</t>
  </si>
  <si>
    <t>['', 'telkomsel', 'bagus', 'mengkutin', 'kemajuan', 'jaman', 'modern', 'daerah', 'tingal', 'hilang', 'jaringan', 'internet', '']</t>
  </si>
  <si>
    <t>['paket', 'combo', 'sakti', 'unlimited', 'sakti', 'provider', 'sebelah', 'bebrpa', 'bln', 'pindah', 'telkomsel', 'tertarik', 'paket', 'combo', 'sakti', 'unlimitednya', 'menarik', 'terjangkau', 'walalupun', 'unlimitednya', 'berlaku', 'aplikasi', 'unlimited', 'batas', 'pemakaian', 'wajar', 'beda', 'provider', 'combo', 'sakti', 'unlimited', 'aplikasinya', 'berlaku', 'batas', 'pemakaian', 'wajar', 'telkomsel', 'provider', '']</t>
  </si>
  <si>
    <t>['memuaskan', 'semenjak', 'update', 'aplikasinya', 'karuan', 'tulisan', 'something', 'went', 'wrong', 'unstable', 'conection', 'jaringan', 'stabil']</t>
  </si>
  <si>
    <t>['maaf', 'paketan', 'gb', 'unlimited', 'dipakai', 'buka', 'sosial', 'media', 'chat', 'lemot', 'unlimited', 'pengguna', 'kartu', 'telkomsel', '']</t>
  </si>
  <si>
    <t>['bonus', 'daily', 'check', 'gb', 'raib', 'lgi', 'alias', 'udah', 'lbh', 'dri', 'skli', 'alasan', 'sistem', 'sibuk', 'silakan', 'coba', 'coba', 'lgi', 'gmn', 'fitur', 'klaimnya', 'udah', 'gbsa', 'klik', 'ngadu', 'aplikasi', 'bantuan', 'telkomsel', 'jwbannya', 'nyambung', 'trnyata', 'liat', 'playstore', 'korbannya', 'ane', 'suruh', 'ngadu', 'email', 'mna', 'jwabannya', 'critanya', 'gmn', 'telkomsel', 'aplikasinya', 'cma', 'narik', 'untungnya', 'gtu', 'ngapain', 'cape', 'bukain', 'aplikasi', 'bwt', 'check', 'ngasi', 'harapan', 'kosong']</t>
  </si>
  <si>
    <t>['apk', 'menguji', 'kesabaran', 'kualitas', 'jaringan', 'bagus', 'buka', 'apk', 'ngelike', 'buka', 'tolong', 'perbaikin', 'min', 'kasih', 'bintang', '']</t>
  </si>
  <si>
    <t>['dark', 'system', 'telkomsel', 'migrasi', 'mudah', 'kartu', 'kartu', 'halo', 'online', 'putuskan', 'kontrak', 'matikan', 'kartu', 'halo', 'wajib', 'grapari', 'online', 'ngakak', 'kebodohan', 'sistem', 'takut', 'dosa', 'nuduh', 'penipuan', 'takut', 'dosa', 'nilai', 'intinya', 'dipaksakan', 'membayar', 'kartu', 'halo', 'pakai', 'kartu', 'buang', 'tagihan', 'berjalan', 'kartu', 'meninggal', 'terputus', 'kontrak', '']</t>
  </si>
  <si>
    <t>['oppo', 'buka', 'aplikasi', 'telkomsel', 'loadingnya', 'banget', 'nyampe', 'menit', 'buka', 'aplikasi', 'lancar', 'jaya', 'jaringan', 'tolong', 'direspon', 'diperbaiki', 'bug', 'tks']</t>
  </si>
  <si>
    <t>['', 'ngerti', 'telkomsel', 'orang', 'bahasa', 'planet', 'emng', 'bahasa', 'manusia', 'contoh', 'axis', 'penggunaanya', 'mudah', 'bahasa', 'indonesia', 'salut', 'deh', 'axis']</t>
  </si>
  <si>
    <t>['rekomended', 'sms', 'banking', 'mahal', 'beli', 'paket', 'kuota', 'mahal', 'pengusaha', 'orang', 'kaya', 'mahal', 'lihat', 'kerja', 'pas', 'pasan', 'menikmati', 'produk', 'sendir', 'susahnya', 'ampun']</t>
  </si>
  <si>
    <t>['kecewa', 'telkomsel', 'beli', 'paket', 'ketengan', 'unlimited', 'youtube', 'seharga', 'pakai', 'paket', 'pulsa', 'terkuras', 'maksut', 'bangsatttt', 'kalok', 'morotin', 'orang', 'engotak', 'dikit', 'kau', 'operator']</t>
  </si>
  <si>
    <t>['pembaruan', 'aplikasi', 'kali', 'redeem', 'poin', 'cek', 'daily', 'kuota', 'hafiah', 'masuk', 'tolong', 'hubungi', 'lwt', 'tpi', 'blm', 'solusi', 'mhn', 'dibantu', 'tks', '']</t>
  </si>
  <si>
    <t>['kecewa', 'aplikasi', 'buruk', 'pulsa', 'beli', 'paket', 'internet', 'malam', 'senilai', 'ribu', 'notifnya', 'proses', 'gagal', 'pulsa', 'udah', 'hilangg']</t>
  </si>
  <si>
    <t>['gimana', 'kembalikan', 'sistem', 'boss', 'paje', 'aplikasi', 'aplikasi', 'jelass', 'kali', 'masuk', 'disuruh', 'reload', 'truss', 'udah', 'diupdate', 'ngak', 'masuk', 'salah', 'boss', 'corona', 'aplikasinya', 'bermasalah', 'teruss', 'terimakasih', 'kaka']</t>
  </si>
  <si>
    <t>['klaim', 'hadiah', 'daily', 'check', 'diklaim', 'gagal', 'tombol', 'mengulang', 'klaim', 'dimatikan', 'seakan', 'program', 'tipu', '']</t>
  </si>
  <si>
    <t>['udah', 'klaim', 'hadiah', 'daily', 'check', 'udah', 'masuk', 'sms', 'hadiah', 'buka', 'app', 'telkomsel', 'buka', 'app', 'pulsa', 'sedot', 'hadiah', 'kuota', 'program', 'daily', 'chekin', 'sms', 'doang', 'kecewa', '']</t>
  </si>
  <si>
    <t>['meng', 'aktif', 'paket', 'combo', 'ribu', 'gratis', 'sosmed', 'sosmed', 'kuota', 'utama', 'berkurang', 'trus', 'gunanya', 'unlimited', 'sosmed', '']</t>
  </si>
  <si>
    <t>['telkomsel', 'beli', 'paket', 'internet', 'lokal', 'aksesnya', 'wilayah', 'aktifasi', 'pas', 'cek', 'pulsa', 'tinggal', 'bismillah', 'selamat', 'tinggal', 'telkomsel', 'pindah', 'armada', '']</t>
  </si>
  <si>
    <t>['bagus', 'memudahkan', 'membeli', 'paket', 'hadiah', 'menarik', 'berhasil', 'cek', 'terimakasih', 'telkomsel', 'semoga', 'maju', 'jaya', '']</t>
  </si>
  <si>
    <t>['masuk', 'data', 'masuk', 'data', 'wifi', 'masuk', 'data', 'telkomsel', 'pulsa', 'utama', 'habis', 'masuk', 'telkomsel', 'masuk', 'data', 'hrus', 'data', 'telkomsel', 'parah', 'sia', 'upgrade', 'kartu', 'masuk', 'telkomsel', 'nyesel']</t>
  </si>
  <si>
    <t>['min', 'banget', 'gangguan', 'unlimited', 'max', 'seharga', 'mohon', 'tingkatkan', 'jaringannya', 'lag', 'lag', 'mohon', 'kembalikan', 'paket', 'unlimited', 'max', 'karna', 'pandemi', 'harga', 'paket', 'mohon', 'tinggikan', 'partisipasi', 'telkomsel', 'mengatasi', 'jaringan', 'mengembalika', 'paket', 'unlimited', 'max', 'terimakasih', '']</t>
  </si>
  <si>
    <t>['penipu', 'main', 'game', 'kesedot', 'quota', 'utama', 'duluan', 'main', 'quota', 'game', 'sinyalnya', 'suka', 'pindah', 'pindah', 'pengguna', 'salahkan', 'sinyal', 'jelek', 'juta', 'kali', 'restart', 'otak', 'atik', 'sinyalnya', 'begok', 'operator', 'nomor', 'operator', 'buruk', 'signal', '']</t>
  </si>
  <si>
    <t>['mislnya', 'paket', 'data', 'pulsa', 'sisa', 'disadari', 'sekli', 'cek', 'pulsa', 'lngsung', 'hbis', 'berkurang', 'padhal', 'paket', 'dat', 'unlimited', 'nlfon', 'gratis', 'sms', 'gratis', 'nyedot', 'sisa', 'pulsa', 'kyk', 'tuyul', 'beli', 'paket', 'sllu', 'pas', 'in', 'bnyak', 'rugi', 'jaringan', 'super', 'lemoooooot', 'sekian', 'suara', 'dlm', 'hati']</t>
  </si>
  <si>
    <t>['isi', 'paket', 'data', 'voucher', 'bisaaa', 'kali', 'isi', 'tulisan', 'operator', 'sibuk', 'kenapaa', 'lakukan', 'menonton', 'youtube', 'harga', 'voucher', 'lumayan', 'mahal', '']</t>
  </si>
  <si>
    <t>['butuh', 'proses', 'sempurna', 'melewati', 'kekurangan', 'kekurangan', 'pesan', 'upgrade', 'paket', 'murah', 'hilang', 'tolong', 'bantu', 'prok', 'prok', 'prok', '']</t>
  </si>
  <si>
    <t>['telkomsel', 'udh', 'thn', 'karna', 'jaringan', 'oke', 'paket', 'mahal', 'karna', 'jaringan', 'oke', 'koq', 'marih', 'harga', 'paket', 'mahal', 'jaringan', 'goblokkk', 'kouta', 'lemot', 'ampun', 'mending', 'ganti', 'kartu', 'laen', 'capek', 'telkomsel', 'srkng', 'mah', '']</t>
  </si>
  <si>
    <t>['super', 'lemooooot', 'koq', 'perbaikan', 'udah', 'bertahun', 'supr', 'lemot', 'aplikasi', 'ajib', 'cepat', 'kayak', 'youtube', 'axis', 'cepat', 'kpmen', 'pelanggan', 'dibaca', '']</t>
  </si>
  <si>
    <t>['konsisten', 'sebenrnya', 'aktif', 'tenggang', 'kartu', 'simpati', 'maret', 'tnggl', 'isi', 'ulang', 'sudh', 'bongko', 'mati', 'tnggl', 'april', 'coba', 'layanan', 'telkomsel', 'terdekat', 'bilangnya', 'mati', 'total', 'telkomsel', '']</t>
  </si>
  <si>
    <t>['kurangi', 'bintangnya', 'klaim', 'bonus', 'check', 'kadang', 'gagal', 'pulsa', 'poin', 'kembalikan', 'bonusnya', 'hilang', 'tdak', 'bsa', 'klaim', 'sia', 'sia', 'ngumpulin', 'stamp', '']</t>
  </si>
  <si>
    <t>['telkomsel', 'murah', 'murahan', 'paket', 'mahal', 'jaringan', 'lemot', 'kualitas', 'speed', 'jaringan', 'beda', 'operator', 'murah', 'harga', 'terjangkau', 'contohnya', 'indoosat', 'smartfren', 'tinggal', 'kota', 'pekanbaru', 'jaringan', 'telkom', 'lelet', 'bar', 'jaringan', 'penuh', 'udah', 'coba', 'telkomsel', 'mengutamakan', 'hasil', 'daripda', 'kenyamanan', 'pengguna', 'semoga', 'keluhan', 'terima', 'terimakasih', '']</t>
  </si>
  <si>
    <t>['', 'terimakasih', 'telkomsel', 'pelayanan', 'terbaik', 'memakai', 'kartu', 'telkomsel', 'prabayar', 'taun', 'beralih', 'telkomsel', 'halo', 'pasca', 'bayar', 'far', 'puas', 'terimakasih', '']</t>
  </si>
  <si>
    <t>['aseeeeem', 'paaiit', 'daftar', 'paket', 'kuota', 'msh', 'giga', 'disedot', 'pulsa', 'namanya', 'pembodohan', 'sinyal', 'jelek', 'sisa', 'plsa', 'aman', 'nyaman', 'lbh', 'pindah', 'tetangga', '']</t>
  </si>
  <si>
    <t>['telkomsel', 'didaerah', 'jawa', 'kususu', 'kota', 'demak', 'sinyalnya', 'lemot', 'jaringan', 'full', 'tpi', 'lemot', 'sperti', 'trus', 'pindah', 'jaringan', 'gtu', 'udah', 'kouta', 'mahal', 'jaringan', 'beres', 'tolong', 'diperbarui', 'jaringan', 'kusus', 'kota', 'demak', 'jawa', '']</t>
  </si>
  <si>
    <t>['telkomsel', 'lemot', 'jaringan', 'penuh', 'kuota', 'buka', 'youtube', 'muter', '']</t>
  </si>
  <si>
    <t>['buka', 'tiktok', 'main', 'game', 'pubg', 'mobile', 'dll', 'putus', 'putus', 'jaringan', 'internet', 'telkomsel', 'jaringan', 'internet', 'telkomsel', 'terputus', 'putus', 'jaringan', 'internet', 'telkomsel', '']</t>
  </si>
  <si>
    <t>['maaf', 'pulsa', 'rb', 'pas', 'cek', 'beli', 'paket', 'pulsa', 'isi', 'nsp', 'nelpon', 'pulsa', 'habis', 'sedot', 'balikin', 'pulsa', 'rb', 'sedot', 'kali', 'error', 'perbaiki', 'semangat', 'mimin', 'update', 'error', 'maaf', 'komen', 'kasar', 'balas', '']</t>
  </si>
  <si>
    <t>['maaf', 'min', 'nanya', 'pas', 'abis', 'beli', 'kartu', 'kuotanya', 'udh', 'daftar', 'kuotanya', 'dipake', 'beli', 'akunya', 'rugi', 'kartu', 'telkomsel', 'banget', 'truss', 'jaringan', 'susah', 'dhlh', '']</t>
  </si>
  <si>
    <t>['kartu', 'mahal', 'voucher', 'ketengan', 'udah', 'mahal', 'jaringan', 'gangguan', 'bertahun', 'make', 'absurb', 'jaringan', 'gangguan', 'mohon', 'maaf', 'ketidak', 'nyamanan', 'gangguan', 'good', 'luck', 'kedepannya', '']</t>
  </si>
  <si>
    <t>['tolol', 'kualitas', 'internet', 'kek', 'sampah', 'nyesel', 'beli', 'kuota', 'telkomsel', 'harga', 'doang', 'mahal', 'kualitas', 'internet', 'murahan']</t>
  </si>
  <si>
    <t>['kecewa', 'telkomsel', 'paket', 'internet', 'satunya', 'combo', 'unlimited', 'unlimited', 'kepake', 'tetep', 'combo', 'unlim', 'unlimited', 'kecewaa']</t>
  </si>
  <si>
    <t>['cek', 'pas', 'claim', 'hadiah', 'pemberitahuan', 'jaringan', 'eror', 'ujung', 'ujungnya', 'paket', 'hadiah', 'masuk', 'udah', 'kejadian', 'kaya', 'gini', 'sebenernya', 'niat', 'ngasih', 'hadiah']</t>
  </si>
  <si>
    <t>['gimana', 'telkomsel', 'beli', 'paket', 'gabisa', 'update', 'bagus', 'buruk', 'kayak', 'nyesal', 'update']</t>
  </si>
  <si>
    <t>['beli', 'paket', 'mytelkomsel', 'skrg', 'lawas', 'android', 'install', 'terpaksa', 'pakai', 'login', 'susah', 'errornya', 'tolong', 'diperbaiki']</t>
  </si>
  <si>
    <t>['min', 'kartu', 'promo', 'paket', 'unlimited', 'pakai', 'kartu', 'beli', 'paket', 'unlimited', 'daftar', 'nomor', 'kartu', 'bedain', 'gitu', 'promo', 'paket', '']</t>
  </si>
  <si>
    <t>['garut', 'semenjak', 'slalu', 'telkomsel', 'berubah', 'pikiran', 'tuk', 'ganti', 'kartu', 'karna', 'sinyal', 'data', 'telkomsel', 'jelek', 'banget', 'tolong', 'bagusin', 'pelanggan', 'kabur', 'telkomsel', 'sinyal', 'jelekkkkkkk', 'bangetttttttt']</t>
  </si>
  <si>
    <t>['telkomsel', 'jaringan', 'mengecewakan', 'nelfon', 'macem', 'tinggal', 'hutan', 'gini', 'telkomsel', 'pelanggan', 'setia', 'lari', 'nelfon', 'udah', 'parah', 'kecewa', 'telkomsel', '']</t>
  </si>
  <si>
    <t>['kecewa', 'sinyal', 'semalam', 'membaik', 'parah', 'peningkatan', 'sinyal', 'kecewa', 'berlangganan', 'telkomsel']</t>
  </si>
  <si>
    <t>['telkomsel', 'sehat', 'jaringan', 'kota', 'denpasar', 'tinggal', 'hutan', 'parah', 'signal', 'hilang', 'apk', 'telkomsel', 'lambat', 'sengaja', 'cari', 'provider', 'mahal', 'kualitas', 'paraahhh', 'pelangganmu', 'kabur', 'kecewa', '']</t>
  </si>
  <si>
    <t>['signal', 'cicayur', 'tangerang', 'jelek', 'turun', 'hujan', 'pdhl', 'telkomsel', 'ngga', 'jaringan', 'kuat', 'dipolosok', '']</t>
  </si>
  <si>
    <t>['maaf', 'min', 'pakai', 'udah', 'beli', 'kuota', 'isi', 'pulsa', 'udh', 'gue', 'perbarui', 'nggk', 'nggk', 'masuk', 'mohon', 'bantu', 'min', 'gue', 'kasih', 'reting', 'gue', 'puas', 'gue', 'beli', 'kuota', 'mohon', 'cepat', 'min']</t>
  </si>
  <si>
    <t>['update', 'error', 'operator', 'pakai', 'kesini', 'beres', 'bener', 'layanan', 'udah', 'tarif', 'mahal', 'sesuaikan', 'harga', 'mahal', 'kualitas', 'pelayanan', 'bagus', 'harga', 'mahal', 'kualitas', 'bobrok', '']</t>
  </si>
  <si>
    <t>['pulsa', 'berkurang', 'aktifitas', 'log', 'aplikasi', 'kalinya', 'pakai', 'perdana', 'kecewa', 'pokoknya', 'kapok', '']</t>
  </si>
  <si>
    <t>['', 'aplikasi', 'buka', 'telkomsel', 'koneksi', 'melulu', 'uninstal', 'instal', 'ulang', 'perubahan', 'aplikasi', 'rusakkkkkk', '']</t>
  </si>
  <si>
    <t>['tolong', 'kak', 'mengaktivasi', 'paket', 'ceria', 'pulsa', 'harganya', 'pembelian', 'disitu', 'tertera', 'diproses', 'ulang', 'berkali', 'kali', 'tolong', 'dipercepat', 'kak', '']</t>
  </si>
  <si>
    <t>['pengalaman', 'simpati', 'mengecewakan', 'sulit', 'sinyal', 'tinggal', 'perkotaan', 'grapari', 'lemot', 'simpati']</t>
  </si>
  <si>
    <t>['ramadhan', 'bukanya', 'telkomsel', 'membaik', 'jaringan', 'buruk', 'ramdhan', 'jaringan', 'udah', 'eror', 'pas', 'ramdhan', 'hancur', 'hadeuuuhhhh', 'perbaikin', 'jaringan', 'aplikasinya', 'eror', '']</t>
  </si>
  <si>
    <t>['mohon', 'tingkat', 'kualitas', 'pengingatan', 'kuota', 'habis', 'tida', 'pulsa', 'utama', 'habis', 'jaringan', 'ahir', 'ahir', 'jelek', 'grafik', 'bagus', 'sinyal', 'jelek', 'terimakasih', '']</t>
  </si>
  <si>
    <t>['daily', 'check', 'belom', 'diklaim', 'kuota', 'gb', 'terklaim', 'gimana', 'pilih', 'klaim', 'terklaim', 'bonus', 'tipuan', 'hadehh', 'parahlah', 'telkomsel', 'harga', 'mahal', 'jaringan', 'sesuai', 'bonus', 'check', 'bye', 'makasih', '']</t>
  </si>
  <si>
    <t>['nomor', 'down', 'mulu', 'kebanyakan', 'daring', 'sekolah', 'online', 'buruk', 'telkomsel', 'pindah', 'nyengsarain', 'orang', 'mahal', 'gangguan', 'mulu', 'magabut', 'kerja', '']</t>
  </si>
  <si>
    <t>['tolong', 'perbaiki', 'kualitas', 'jaringan', 'paket', 'mahal', 'jaringan', 'super', 'buruk', 'daerah', 'kota', 'jaringan', 'kualitas', 'jaringan', 'buruk', 'layak', 'kondisi', 'jaringan', 'tolong', 'perbaiki', 'malu', 'in', '']</t>
  </si>
  <si>
    <t>['telkomsel', 'meresahkan', 'jaringannya', 'kuat', 'gitu', 'asw', 'mending', 'jaringan', 'lemot', 'beli', 'paket', 'mahal', 'mahal', 'lemot', 'main', 'game', 'susah', 'buka', 'aplikasi', 'susah', 'jaringan', 'telkomsel', 'mending', 'tutup', 'kantor', 'mending', 'pindah', 'telkomnyet']</t>
  </si>
  <si>
    <t>['bumn', 'pelayanan', 'pelanggan', 'memuaskan', 'harga', 'mahal', 'pelyanan', 'abaikan', 'ulasan', 'tanggapi', 'suruh', 'kirim', 'keluhan', 'email', 'telkomsel', 'udah', 'banget', 'kirim', 'email', 'telkomsel', 'hasil', 'nol', 'jaringan', 'susah', 'terpaksa', 'telkomsel', 'karna', 'daerah', 'operator', 'telkomsel', 'andai', 'operator', 'im', 'smartfren', 'axis', 'mending', 'telkomsel', 'sinyal', 'lol']</t>
  </si>
  <si>
    <t>['tolong', 'bantuannya', 'kali', 'masuk', 'app', 'telkomsel', 'berulang', 'kali', 'coba', 'mohon', 'infonya', '']</t>
  </si>
  <si>
    <t>['sinyalnya', 'parah', 'ganti', 'provider', 'liat', 'keluhan', 'diplaystore', 'jawabannya', 'tanggapannya', 'membosankan', 'basi', 'solusi', '']</t>
  </si>
  <si>
    <t>['gimana', 'kuota', 'ngisi', 'sisa', 'gb', 'medsos', 'dll', 'chat', 'local', 'data', 'unlimited', 'tolong', 'perbaiki', '']</t>
  </si>
  <si>
    <t>['nanya', 'pulsa', 'kesedot', 'sape', 'kek', 'yaa', 'udah', 'liat', 'google', 'paket', 'berhenti', 'unreg', 'tekan', 'yaa', 'paket', '']</t>
  </si>
  <si>
    <t>['tgl', 'isi', 'pulsa', 'habis', 'pdhal', 'dipakai', 'dana', 'beli', 'pulsa', 'msk', 'hilang', 'suruh', 'ganti', 'simcard', 'loop', 'telkomsel', 'bgm', 'pindah', 'nomor', 'looper', 'suruh', 'pindah', 'app', 'loper', 'bner', 'telkom', '']</t>
  </si>
  <si>
    <t>['aplikasi', 'rusak', 'sinyal', 'pas', 'masuk', 'apk', 'tulisan', 'muat', 'ulang', 'berkali', 'kali', 'refresh', 'sinyal', 'update', 'server', 'down']</t>
  </si>
  <si>
    <t>['jelek', 'aplikasi', 'jaringan', 'udan', 'lelet', 'aplikasi', 'telkomsel', 'ikutan', 'perubahan', 'kasi', 'bintang', 'kasi', 'bintang', '']</t>
  </si>
  <si>
    <t>['nyesel', 'paket', 'gb', 'tolong', 'balikin', 'paket', 'habis', 'telkomsel', 'nggak', 'paket', 'tolong', 'uang', 'tolong', 'balikin', 'seminggu', 'telkomsel', '']</t>
  </si>
  <si>
    <t>['mahal', 'kuota', 'telkomsel', 'udah', 'pandemi', 'tolong', 'beli', 'kartu', 'langsung', 'mahal', 'harga']</t>
  </si>
  <si>
    <t>['knapa', 'buka', 'min', 'force', 'close', 'kali', 'buka', 'auto', 'macet', 'total', 'hape', 'oppo', 'ram', 'coba', 'instal', 'ulang', 'hasilnya', 'buka', 'udah', 'seminggu', 'loo', 'tolong', 'perbarui', 'karna', 'harga', 'via', 'dial', 'mahal', 'via', 'aplikasi', 'tolong', 'perbaiki']</t>
  </si>
  <si>
    <t>['pulsa', 'hilang', 'terpotong', 'paket', 'data', 'wifi', 'rumah', 'kirim', 'email', 'keluhan', 'respon', 'kecewa']</t>
  </si>
  <si>
    <t>['buruk', 'jaringan', 'bagus', 'udah', 'member', 'platinum', 'diamon', 'males', 'isi', 'pulsa', 'males', 'suka', 'kesal', 'main', 'game', 'upload', 'unggah', 'kecepatan', 'cuman', 'kg', 'cuman', 'pelanggan', 'kecewa', 'kualitas', 'jaringan', 'buruk', 'pakai', 'smartfren', 'internetan', 'telkomsel', 'cuman', 'verifikasi', 'akun', '']</t>
  </si>
  <si>
    <t>['udah', 'maxtream', 'ganool', 'disney', 'lemot', 'nyedot', 'kuota', 'nyedot', 'ruang', 'pas', 'buka', 'aplikasi', 'pas', 'nontonnya', 'kuota', 'khusus', 'mitos', 'mitos', 'murahnya', '']</t>
  </si>
  <si>
    <t>['ngisi', 'vocher', 'paket', 'gb', 'ketemu', 'telkomsel', 'gb', 'paket', 'tersisa', 'pengisian', 'paket', 'hilang', 'ngak', 'update', 'payahh', '']</t>
  </si>
  <si>
    <t>['udh', 'ngisi', 'pulsa', 'bbrp', 'kali', 'pulsa', 'hbis', 'pdhl', 'paket', 'gb', 'lbh', 'nomor', 'kesedot', 'sampe', 'hbis', 'sisa', 'kecewa', 'beli', 'pulsa', 'blm', 'hbis', 'mslh', 'oke', 'kdg', 'bsa', 'log', '']</t>
  </si>
  <si>
    <t>['zzwassalamualaikum', 'selamat', 'pagi', 'anak', 'kelas', 'semoga', 'dalm', 'lindungan', 'allah', 'swt', 'kesehatan', 'samangat', 'mengikuti', 'pembelajaran', 'selamat', 'menunaikan', 'ibadah', 'puasa', 'semoga', 'ibadah', 'paha', 'berlipatganda', 'sisih', 'allah', 'swt', 'jumat', 'april', 'lanjutkan', 'pembelajar', 'pjok', 'mencatat', 'sebebentar', 'aka', 'kirim', 'materinya', 'selesai', 'mencatat', 'tugasnya', 'janga', '']</t>
  </si>
  <si>
    <t>['beli', 'paket', 'youtube', 'buka', 'pas', 'buka', 'youtube', 'harap', 'telkomsel', 'memperkatikan', 'sistemnya', 'planggan', 'kecewa', 'terima', 'kasih']</t>
  </si>
  <si>
    <t>['sedot', 'pulsa', 'panggilan', 'telpon', 'sms', 'paket', 'data', 'pulsa', 'sedot', 'rb', 'sms', 'telkomsel', 'paket', 'internet', 'paket', 'gb', 'mohon', 'diperbaiki', 'sedot', 'pulsa', 'orang', 'udh', 'puluhan', 'telkomsel', 'bagus', 'jelek', 'pulsa', 'disedot', 'trs', '']</t>
  </si>
  <si>
    <t>['jaringan', 'simpati', 'internet', 'lelet', 'banget', 'lokasi', 'sumatera', 'selatan', 'kelurahan', 'sukomoro', 'kecamatan', 'talang', 'kelapa', 'banyuasin', 'udah', 'minggu', 'sinyal', 'internet', 'menghilang', 'menghambat', 'aktivitas', 'ank', 'sekolah', 'online', '']</t>
  </si>
  <si>
    <t>['jaringan', 'ampas', 'main', 'game', 'jaringan', 'suka', 'hilang', 'telkomsel', 'ngasi', 'pelayanan', 'bagus', 'doa', 'semoga', 'pengguna', 'telkomsel', 'pindah', 'provider', 'sebelah', 'jaringan', 'hilang', 'kayak', 'telkomsel', 'harga', 'mahal', 'sesuai', 'jaringan', 'burik']</t>
  </si>
  <si>
    <t>['mendownload', 'aplikasi', 'masuk', 'kali', 'masuk', 'upgrade', 'berulang', 'ulang', 'masuk', 'tolong', 'perbaiki', 'aplikasi', 'delete', '']</t>
  </si>
  <si>
    <t>['udah', 'gatau', 'jaringannya', 'lelet', 'banget', 'kuota', 'akses', 'aplikasi', 'youtube', 'browsing', 'dll', 'lelet', 'banget', 'jaringannya', 'mohon', 'diperbaiki', 'secepatnya', 'diakses', 'itupun', 'ngirim', 'file', 'banget', 'mohon', 'secepatnya', 'diperbaiki', 'terganggi', 'karna', 'beberepa', 'kepentingan', 'berhubungan', 'koneksi', 'internet', 'semoga', 'cepat', 'diperbaiki', 'jaringannya', '']</t>
  </si>
  <si>
    <t>['paraaaah', 'udh', 'cape', 'check', 'hri', 'pas', 'klaim', 'hadiah', 'gagal', 'trs', 'blgnya', 'lgi', 'peningkatan', 'sistem', 'dtgg', 'jam', 'tpi', 'udh', 'klaim', 'hadiah', 'msh', 'gagal', 'trs', 'bsa', 'dklaim', 'ulang', 'hadiahnya', 'angus', 'gtu', '']</t>
  </si>
  <si>
    <t>['isi', 'pulsa', 'rb', 'rb', 'hati', 'membeli', 'combo', 'sakti', 'gb', 'buka', 'aplikasi', 'tsel', 'pulsa', 'rb', 'hilang', 'paket', 'omg', 'pembelian', 'kecewa', 'aplikasi']</t>
  </si>
  <si>
    <t>['parah', 'stelah', 'update', 'error', 'udah', 'refresh', 'berkali', 'ttap', 'error', 'stiap', 'kali', 'habis', 'check', 'klaim', 'gagal', 'trus', 'tlong', 'dperbaiki', 'systemnya', 'error', '']</t>
  </si>
  <si>
    <t>['haiiii', 'telkomsel', 'mahal', 'beli', 'paket', 'kuota', 'daaaaannnn', 'langganan', 'error', 'telkomsel', 'chat', 'loding', 'mulu', 'padhal', 'kuota', 'kurir', 'susah', 'chat', 'gara', 'telkomsel', 'error', 'mulu', 'nnton', 'youtube', 'lodiiiiiiing', 'malam', 'signal', 'ilang', 'mulu', '']</t>
  </si>
  <si>
    <t>['kesal', 'kali', 'sisa', 'paket', 'midnight', 'tersisa', 'memakan', 'pulsa', 'mengaktifkan', 'paket', 'jam', 'masuk', 'pemberitahuan', 'pemakaian', 'non', 'paket', 'sekejap', 'pulsa', 'terpotong', 'rb', 'sistem', 'berkerja', 'tsel', 'bangsat', '']</t>
  </si>
  <si>
    <t>['paket', 'sahur', 'dihapus', 'paket', 'malam', 'dihapus', 'udah', 'sinyal', 'naek', 'turun', 'paket', 'mahal', 'menu', 'ngga', 'beli', 'hapus', 'system', 'update', 'mahal', 'doank', 'pelayanan', 'keg', 'gini', 'puasa', 'puasa', 'paket', 'sahur', 'paket', 'malam', 'dihapus', 'kocak', 'bintang', 'kasih', 'bintang', '']</t>
  </si>
  <si>
    <t>['buk', 'telkomsel', 'ngawur', 'poin', 'hilang', 'susah', 'kali', 'masuk', 'eror', 'niat', 'apk', 'mending', 'ribet']</t>
  </si>
  <si>
    <t>['buka', 'apk', 'mytelkomsel', 'jaringan', 'eror', 'memuat', 'coba', 'berkali', 'kali', 'gitu', 'koneksi', 'stabil', 'jaringan', 'lancar', 'udah', 'hapus', 'chache', 'gimna', 'chat', 'veronika', 'karna', 'eror', 'pas', 'selesai', 'update', 'gini', '']</t>
  </si>
  <si>
    <t>['check', 'daily', 'check', 'klaim', 'jerjadi', 'gangguan', 'sistem', 'sia', 'sia', 'check', 'tolong', 'telkomsel', 'kompensasi', 'gangguan', 'sistem', '']</t>
  </si>
  <si>
    <t>['aplikasinya', 'jelek', 'sistem', 'pembelianya', 'permainan', 'menguntungkan', 'telkomsel', 'konfigurasi', 'data', 'permainan', 'mencolok', 'memeras', 'pelanggan']</t>
  </si>
  <si>
    <t>['pengen', 'bintang', 'jaringan', 'lelet', 'harga', 'lelet', 'bukak', 'telkomsel', 'kayak', 'parah', 'separahnya', 'nyesel', 'beli', 'paketan', 'telkomsel']</t>
  </si>
  <si>
    <t>['jaringan', 'telkomsel', 'kian', 'ancur', 'maaf', 'telkomsel', 'nyaman', 'jaringan', 'harga', 'mahal', 'merosot', 'harga', 'mahal', 'terima', 'kasih', 'telkomsel']</t>
  </si>
  <si>
    <t>['memuaskan', 'isi', 'pulsa', 'bonus', 'monetary', 'beli', 'paket', 'sisa', 'pulsa', 'regular', 'knp', 'sms', 'tulisannya', 'mengakses', 'internet', 'tarif', 'non', 'paket', 'info', 'tsel', 'data', 'tarif', 'hemat', 'beli', 'paket', 'internet', 'tsel', 'cek', 'aplikasi', 'telkomsel', 'pulsa', 'reguler', 'maksudnya', '']</t>
  </si>
  <si>
    <t>['telkomsel', 'terhormat', 'tolong', 'jaringannya', 'ituloh', 'kotanya', 'tinggal', 'sinyal', 'pedalaman', 'hutan', 'belantara', 'greget', 'kali', 'telkomsel', 'dahlah', 'besok', 'auto', 'ganti', 'kartu', 'males', 'kartu', 'telkomsel', 'udah', 'pakenya', 'rusak', 'kurasa', 'tunjukin', 'bagus', 'bla', 'bla', 'bla', 'iklan', 'aslinya', 'zonk', 'menyesal', 'harga', 'mahal', 'kali', 'sinyal', 'hauhau', '']</t>
  </si>
  <si>
    <t>['dear', 'telkomsel', 'sinyalnya', 'bagus', 'kemarin', 'tetring', 'laptop', 'sinyalnya', 'kenceng', 'banget', 'skrg', 'lelet', 'buka', 'email', 'and', 'download', 'dokumen', 'email', 'via', 'laptop', 'susahnya', 'ampun', 'tolong', 'perbaiki', 'buka', 'via', 'laptop', 'susahnya', 'allah', '']</t>
  </si>
  <si>
    <t>['simpati', 'sinyal', 'bagus', 'coba', 'sinyal', 'parah', 'jelek', 'banget', 'bagus', 'ketimbang', 'merk', 'pesaing', 'semoga', 'perubahan', 'kedepannya', 'terimakasih']</t>
  </si>
  <si>
    <t>['didaerah', 'perumahan', 'pesona', 'kahuripan', 'kecamatan', 'kelapa', 'nunggal', 'kabupaten', 'bogor', 'terkadang', 'signalny', 'hilang', 'tolong', 'ditambah', 'menara', 'signal', 'blm', 'daerah', 'terima', 'kasih', 'telkomsel', '']</t>
  </si>
  <si>
    <t>['apanya', 'jaringan', 'terluas', 'terbaik', 'paket', 'inetnya', 'mahal', 'down', 'jaringan', 'jelek', 'tinggal', 'kota', 'batam', 'kasih', 'bintang', 'bintang', 'kosong', 'kasih', 'bintang', 'kosong', 'sekian', 'terima', 'kasih', '']</t>
  </si>
  <si>
    <t>['sya', 'udh', 'pke', 'telkomsel', 'direkomendasikan', 'bermain', 'game', 'online', 'axis', 'stabil', 'telkomsel', 'sinyal', 'buluk', 'burik', 'mahal', 'doank', 'kualitas', 'noooolllll']</t>
  </si>
  <si>
    <t>['telkomsel', 'sialan', 'klw', 'jaringan', 'lelet', 'pulsa', 'custumer', 'dimakan', 'malaj', 'bilamg', 'data', 'non', 'paket', 'paket', 'internet', 'pulsa', 'sedot', 'telkomsel', 'waras', 'ngak', 'langganan', 'bertahun', 'sistem', 'perbaiki', 'pulsa', 'makan', 'kau', 'beli', 'pulsa', 'ngak', 'duit', 'bintang', 'nol', 'ngak', 'parah', 'pulsa', 'tewas', 'paket', 'hancur', 'telkomsel', 'bangsatt', '']</t>
  </si>
  <si>
    <t>['mahal', 'doang', 'paketan', 'sinyal', 'hancur', 'kerjaan', 'terhambat', 'spam', 'bintang', 'telkomsel', 'besok', 'ganti', 'kartu', 'patahkan', 'bodoh', 'penipuan', 'public', 'namanya', 'bangkrut', 'sampe', 'sampe', 'sinyal', 'hancur', 'gini']</t>
  </si>
  <si>
    <t>['telkomsel', 'kendala', 'jaringan', 'mengecewakan', 'tolong', 'benerin', 'jaringan', 'beli', 'kuota', 'mahal', 'kecewa', 'kepentingan', 'online', 'terganggu', 'karna', 'jaringan', 'gangguan']</t>
  </si>
  <si>
    <t>['jaringan', 'daerahku', 'rumah', 'rumah', 'signal', 'buruk', 'malas', 'hujan', 'rumah', 'tolong', 'simpati', 'tingkatkan', 'ganti', 'operator', '']</t>
  </si>
  <si>
    <t>['jaringan', 'gitu', 'error', 'tolong', 'telkomsel', 'perbaikan', 'sistem', 'jaringan', 'menggangu', 'penggunaan', 'layanan', 'telkomsel', 'terimakasih']</t>
  </si>
  <si>
    <t>['', 'off', 'mode', 'pesawat', 'udah', 'tetep', 'ngga', 'ngaruh', 'kecepatan', 'jaringan', 'lancar', 'main', 'game', 'lancar', 'jam', 'nunggu', 'jam', 'main', 'lag', 'kesel', 'berhari', 'gitu', 'kecewa', '']</t>
  </si>
  <si>
    <t>['bingung', 'telkomsel', 'aplikasinya', 'susah', 'dibuka', 'sistem', 'error', 'tolong', 'telkomsel', 'perhatian', 'produknya', 'puas', 'kritik', 'pengguna', 'bahan', 'evaluasi']</t>
  </si>
  <si>
    <t>['mohon', 'diperbaiki', 'jaringan', 'didaerah', 'pasar', 'kaler', 'ujung', 'berung', 'kota', 'bandung', 'didaerah', 'sinyal', 'telkomsel', 'bad', 'signal', 'daerah', 'meter', 'jalan', 'raya', 'utama', 'nasution', '']</t>
  </si>
  <si>
    <t>['lelet', 'niat', 'bantu', 'mengejar', 'keuntungan', 'telkomsel', 'parah', 'banget', 'mending', 'pindah', 'operator']</t>
  </si>
  <si>
    <t>['udah', 'beli', 'kouta', 'ketengan', 'youtube', 'pas', 'buka', 'youtube', 'pulsa', 'disedotnya', 'habis', 'sms', 'telkomsel', 'mengakses', 'internet', 'tarif', 'non', 'paket', 'paket', 'beli', 'gunanya']</t>
  </si>
  <si>
    <t>['udah', 'beli', 'kouta', 'ketengan', 'youtube', 'pas', 'buka', 'youtube', 'pulsa', 'disedotnya', 'habis', 'sms', 'telkomsel', 'mengakses', 'internet', 'tarif', 'non', 'paket', 'paket', 'beli', 'gunanya', 'tolong', 'telkomsel', 'penjelasan']</t>
  </si>
  <si>
    <t>['telkomsel', 'terhormat', 'mohon', 'jaringan', 'perbaiki', 'harga', 'quota', 'mahal', 'sesuaikan', 'kualitas', 'lemot', 'thanks', '']</t>
  </si>
  <si>
    <t>['pengguna', 'tsel', 'thn', 'heran', 'liat', 'kondisi', 'jaringan', 'telkomsel', 'buruk', 'peduli', 'harga', 'developer', 'sanggup', 'membeli', 'kondisikan', 'jaringan', 'kota', 'lelet', 'ampun', 'harga', 'selangit', 'kualitas', 'sampah', 'isi', 'pulsa', 'ribu', 'paket', 'internet', 'kualitas', 'sampah', 'kecepatan', 'internet', 'max', 'kb', 'cuihh', 'pindah', 'operator', 'serasa', 'bodoh', 'bodohi', '']</t>
  </si>
  <si>
    <t>['min', 'belakngan', 'jaringan', 'drop', 'udah', 'hub', 'balasan', 'kecewa', 'skli', '']</t>
  </si>
  <si>
    <t>['aplikasinya', 'jelek', 'boong', 'yahahhahayuk', 'oapalaepalalpeleappalepalapel']</t>
  </si>
  <si>
    <t>['parah', 'gara', 'signal', 'lemot', 'nol', 'koma', 'dtempat', 'kerja', 'dkota', 'pdhl', 'kerjaan', 'input', 'lapor', 'survey', 'ditangani', 'lemot', 'gedung', 'bertingkat', '']</t>
  </si>
  <si>
    <t>['banget', 'tulisan', 'koneksi', 'stabil', 'klik', 'coba', 'membuka', 'aplikasinya', 'memakai', 'sinyal', 'full', 'bar', 'mohon', 'perbaiki', 'kualitas', 'sinyal', 'stabil', '']</t>
  </si>
  <si>
    <t>['dear', 'telkomsel', 'niat', 'promo', 'ceria', 'ngelag', 'jaringan', 'muncul', 'gimana', 'make', 'ceria', 'jaringan', 'mulu', 'garis', 'kadang', 'jaringan', 'sampe', 'hilang', 'daerah', 'kota', 'jaringan', 'operator', 'seburuk', 'kecewa', 'udah', 'telkomsel', 'mohon', 'follow', 'tigapanah', 'kab', 'karo', 'sumatera', 'utara', '']</t>
  </si>
  <si>
    <t>['aplikasi', 'jdi', 'error', 'masuk', 'mulu', 'iya', 'pingin', 'beli', 'paket', 'dalem', 'aplikasi', 'tolong', 'perbaiki', 'secepatnya', 'terima', 'kasih', '']</t>
  </si>
  <si>
    <t>['kali', 'cek', 'pulsa', 'kuota', 'internet', 'dibuka', 'klik', 'langsung', 'terbuka', 'nggak', 'memuaskan', 'signa', 'telkomsel', 'aman', 'aman', 'salah', 'system', '']</t>
  </si>
  <si>
    <t>['telkomsel', 'harga', 'paketnya', 'mahal', 'jaringan', 'loading', 'putus', 'putus', 'bilanh', 'telkomsel', 'jaringan', 'pemeras', 'masyarakat', 'mengutamakan', 'jaringan', 'axis', 'jaringan', 'telkomsel', 'stabil', '']</t>
  </si>
  <si>
    <t>['tukar', 'point', 'aneh', 'dapet', 'point', 'dipakai', 'mohon', 'perbaikannya', 'harapan', 'palsu', 'isi', 'pulsa', 'point', 'samasekali', 'udah', 'jaringan', 'telkomsel', 'lemot', 'maintenance', 'perbaiki', 'jangn', 'kecewa', 'pengguna', 'telkomsel', '']</t>
  </si>
  <si>
    <t>['gajelas', 'pasang', 'paket', 'pembayaran', 'proses', 'proses', 'dicoba', 'lebaran', 'kambing', 'auto', 'uniinstal', '']</t>
  </si>
  <si>
    <t>['telkomsel', 'taik', 'jaringan', 'bagus', 'internet', 'putus', 'barusan', 'telpon', 'operator', 'nanya', 'jaringan', 'putus', 'matikan', 'anak', 'setan']</t>
  </si>
  <si>
    <t>['diambil', 'setauku', 'pakai', 'telkomsel', 'pulsaku', 'kesedot', 'pemberitahuan', 'kuota', 'internetnya', 'kadang', 'lambat', 'nggak', 'kompensasi', 'uang', 'uang', 'pulsaku', 'tersedot', 'sia', 'sia', 'hitungan', 'detik', 'rb', 'hilang', 'terulang', 'total', 'kerugian', 'jt', 'pulsa', 'diambil', 'pulsaku', 'hitungan', 'detik', 'langsung', 'habis', 'pulsanya', 'kompensasinya', 'diberipulsa', 'gratis', 'nggak']</t>
  </si>
  <si>
    <t>['tolong', 'perbaiki', 'berdiam', 'sinyal', 'terkadang', 'hilang', 'nunggunya', 'pindah', 'kelokasi', 'lancar', 'berdiam', 'hilang', 'menggagu']</t>
  </si>
  <si>
    <t>['udah', 'telkomsel', 'kali', 'nyoba', 'unlimited', 'max', 'internetnya', 'lemot', 'banget', 'apk', 'doang', 'lancar', 'itupun', 'loading', 'banget', 'liat', 'status', 'orang', 'apk', 'loading', 'komplain', 'veronica', 'membantu', 'permasalahan', 'sisa', 'kuota', 'gb', 'sampe', 'iya', 'doang', 'apk', 'bukanya', 'kek', 'nunggu', 'jodoh', 'udah', 'ngikutin', 'instruksi', 'ttp', 'membantu', 'gini', 'mah', 'keknya', 'keluarga', 'gunain', 'telkomsel', '']</t>
  </si>
  <si>
    <t>['tolong', 'telkomsel', 'jaringan', 'daerah', 'kenpa', 'gangguan', 'menghambat', 'aktifitas', 'tolong', 'sesuaikan', 'dgan', 'harga', 'paket', 'beli', '']</t>
  </si>
  <si>
    <t>['tolong', 'perbaiki', 'kualitas', 'jaringannya', 'kerja', 'serba', 'online', 'belanja', 'oline', 'transaksi', 'uang', 'online', 'menjengkelkan', 'gangguan', 'jarian', 'padalah', 'paket', 'pakai', 'telkomsel', 'kualitasnya', 'kemunginan', 'beralih', 'operator', '']</t>
  </si>
  <si>
    <t>['telkomsel', 'puas', 'hapus', 'aplikasi', 'masuk', 'nomor', 'terdaftar', 'tolong', 'penjelasannya', 'telkomsel', '']</t>
  </si>
  <si>
    <t>['jaringan', 'parah', 'ditambah', 'beli', 'psket', 'promo', 'ceria', 'udah', 'isi', 'pulsa', 'ber', 'kali', 'bahakan', 'udh', 'isi', 'pulsa', 'harga', 'paket', 'sms', 'notofikasi', 'muncul', 'udah', 'minggu', 'bsa', 'karna', 'paket', 'promo', 'paketyg', 'langsung', 'notif', 'balasan', 'cape', 'nunggu', '']</t>
  </si>
  <si>
    <t>['mengeluh', 'pembelian', 'paket', 'internet', 'telfon', 'wilayah', 'papua', 'mahal', 'beda', 'wilayah', 'kartu', 'perdana', 'paketnya', 'harganya', 'beda', 'telkomsel', 'mohon', 'respon', 'terimakasih', '']</t>
  </si>
  <si>
    <t>['telkomsel', 'mohon', 'perbaikin', 'jaringan', 'pengguna', 'kartu', 'telkomsel', 'udah', 'pakai', 'ngerasain', 'jaringan', 'lelet', 'parah', 'kaya', 'gini', 'mohon', 'perbaikin', 'min', 'pelanggan', 'kecewa', 'terimaksih', '']</t>
  </si>
  <si>
    <t>['sinyal', 'telkomsel', 'kartu', 'hallo', 'gangguan', 'terbilang', 'kota', 'sinyal', 'lemot', 'lemot', 'kalah', 'produk', 'sebelah', 'harganya', 'murah', '']</t>
  </si>
  <si>
    <t>['telkomsel', 'membeli', 'paket', 'promo', 'berlaku', 'paket', 'aplikasinya', 'menyusahkan', 'beli', 'paket', 'diproses', 'membeli', 'paket', 'sampah']</t>
  </si>
  <si>
    <t>['dapet', 'sms', 'promo', 'paket', 'data', 'telkomsel', 'giliran', 'pas', 'klik', 'mengakses', 'promo', 'trus', 'telkomsel', 'kirim', 'sms', 'promo']</t>
  </si>
  <si>
    <t>['komentar', 'paket', 'kemendikbud', 'aplikasi', 'telkomsel', 'semenjak', 'paket', 'kemendikbud', 'orang', 'paket', 'menguntungkan', 'paketan', 'bertambah', 'paket', 'menyebabkan', 'low', 'connection', 'pengguna', 'paket', 'kemendikbud', 'kegunaannya', 'belajar', 'membuka', 'google', 'link', 'youtube', 'pembelajaran', 'dikirimkan', 'guru', 'pendownload', 'video', 'pembelajaran', 'lemot', '']</t>
  </si>
  <si>
    <t>['woiii', 'tolong', 'min', 'udah', 'beli', 'paket', 'ceria', 'gb', 'udah', 'beli', 'masuk', 'paket', 'ceria', 'pulsa', 'berkurang', 'sesuai', 'pembayaran', 'paket', 'ceria', '']</t>
  </si>
  <si>
    <t>['hai', 'info', 'dark', 'mode', 'app', 'mytelkomsel', 'android', 'default', 'tulisan', 'aplikasi', 'menu', 'edit', 'mode', 'tema', 'warna', 'disesuaikan', 'user', 'mohon', 'diperbaiki', 'thankyou']</t>
  </si>
  <si>
    <t>['minggu', 'tlfon', 'operator', 'nanyain', 'jaringan', 'tetep', 'internetnya', 'leled', 'youtube', 'buffering', 'buka', 'google', 'bilangnya', 'laporan', 'diproses', 'tungu', 'udh', 'bln', 'tetep', 'leled', 'udh', 'niat', 'bersaing', 'provider', 'mnding', 'ilangin', 'telkomsel', 'muka', 'bumi', 'malu', 'in', 'harga', 'paketan', 'mahal', 'kecepatan', 'darah', 'semoga', 'dibaca', 'ditindaklanjuti', '']</t>
  </si>
  <si>
    <t>['telkomsel', 'menang', 'nama', 'jelek', 'kali', 'jaringannya', 'main', 'mobile', 'legend', 'jelek', 'jaringannya', 'tolong', 'diperbaiki', 'memuakkan', '']</t>
  </si>
  <si>
    <t>['gausah', 'daily', 'cek', 'gamau', 'rugi', 'harga', 'paket', 'selangit', 'sinyal', 'buruk', 'udah', 'bangkrut', 'jari']</t>
  </si>
  <si>
    <t>['penipuan', 'mohon', 'maaf', 'udah', 'daily', 'cek', 'reward', 'kuota', 'gb', 'all', 'network', 'klaim', 'pulsa', 'terpotong', 'notifikasi', 'kuota', 'masuk', 'ampas', '']</t>
  </si>
  <si>
    <t>['dasar', 'aplikasi', 'pemerasan', 'langgsung', 'ngisi', 'pulsa', 'oorb', 'lupa', 'matikan', 'data', 'ngk', 'menit', 'pulsa', 'langgsung', 'nol', 'kesel', 'banget', 'telkomsel']</t>
  </si>
  <si>
    <t>['bobrok', 'pelayanan', 'telkomsel', 'refresh', 'terbuka', 'lelet', 'bobrok', 'bermutu', 'bagus', 'copot', 'menyampah', 'hape', 'nyesal', 'download', 'aplikasi']</t>
  </si>
  <si>
    <t>['jaringan', 'jelek', 'banget', 'udah', 'nekat', 'beli', 'paket', 'mahal', 'mahal', 'jaringan', 'susah', 'turunin', 'harga', 'paket', 'sesuaikan', 'layanan', 'jaringan', 'tutup', 'skalian', 'orang', 'rugi', '']</t>
  </si>
  <si>
    <t>['apk', 'membantu', 'memudahkan', 'kecewa', 'rugikan', 'telkomsel', 'tolong', 'game', 'max', 'perbaiki', 'beli', 'paket', 'gamemax', 'pakai', 'main', 'game', 'paket', 'beli', 'mubazir', 'mengakses', 'game', 'tertera', 'paket', '']</t>
  </si>
  <si>
    <t>['kasih', 'star', 'paket', 'gamemax', 'telkomsel', 'main', 'pubg', 'login', 'doang', 'paket', 'gamemax', 'udah', 'main', 'pubg', 'kasih', 'star', '']</t>
  </si>
  <si>
    <t>['bulanan', 'aplikasi', 'susah', 'ngga', 'dibuka', 'login', 'login', 'truuuus', 'kebuka', 'mah', 'kaga', 'hapus', 'instal', 'ulang', 'ngga', 'uninstal', 'layanan', 'ngejengkelin', 'nich', 'telkomsel', '']</t>
  </si>
  <si>
    <t>['download', 'loading', 'coba', 'loading', 'jaringan', 'bagus', 'bermasalah', 'kali', 'download', 'membukanya', 'loading', 'membeli', 'berhasil', 'suruh', 'menunggu', 'kali', 'aplikasi', 'bagus', 'membantu', 'kinerja', 'menurun', 'mohon', 'diperbaiki', '']</t>
  </si>
  <si>
    <t>['fenifu', 'kuota', 'conference', 'pakai', 'aplikasi', 'zoom', 'tersedot', 'kuota', 'reguler', 'utama', 'pulsa', 'keesokan', 'hilang', 'tersedot', 'habis', 'kuota', 'utama', 'aktif', '']</t>
  </si>
  <si>
    <t>['permisi', 'cuman', 'kasih', 'telkomsel', 'mengurangi', 'sifat', 'autisnya', 'cuman', 'kasi', 'info', 'kasian', 'orang', 'ngeluh', 'sinyal', 'telkomselnya', 'cuman', 'nyimakin', 'wilayah', 'doang', 'dibagusin', 'saran', 'mohon', 'autisnya', 'kurangin', 'kasian', 'providernya', 'ngeluh']</t>
  </si>
  <si>
    <t>['permisi', 'maaf', 'komen', 'paket', 'bermasalah', 'bermasalah', 'paket', 'aplikasi', 'telkomsel', 'penguna', 'telkomsel', 'terimakasih', '']</t>
  </si>
  <si>
    <t>['sistemnya', 'eror', 'gimana', 'masak', 'udah', 'nyoba', 'aktifin', 'voucher', 'telkomsel', 'gabisa', 'tulisannya', 'maaf', 'sistem', 'sibuk', 'cobalah', 'tolong', 'diperbaiki', '']</t>
  </si>
  <si>
    <t>['aplikasi', 'konyol', 'beli', 'paketan', 'gabisa', 'yakali', 'tekan', 'tombol', 'beli', 'refresh', 'mulu', 'aplikasi', 'emang', 'becus', 'kea', 'gini', '']</t>
  </si>
  <si>
    <t>['plis', 'keamanan', 'pulsa', 'ditambah', 'paket', 'habis', 'kadaluwarsa', 'pulsa', 'sedot', 'logika', 'kek', 'gue', 'beli', 'kuota', 'harian', 'jam', 'siang', 'jam', 'pagi', 'habis', 'hangus', 'pulsa', 'gue', 'bayangin', 'diposisi', 'gue', 'gimana', 'ganti', 'rugi', 'kartu', 'axis', 'dll', 'keamanan', 'dimana', 'kuota', 'habis', 'pulsa', 'kesedot', 'dibilang', 'network', 'cepat', 'tingkat', 'keamanan', 'safety', 'pulsa', 'mikir']</t>
  </si>
  <si>
    <t>['bonus', 'check', 'lapor', 'pusat', 'bantuan', 'responnya', 'tanggap', 'salahin', 'jaringan', 'teeima', 'kasih']</t>
  </si>
  <si>
    <t>['sumpah', 'kecewa', 'berat', 'telkomsel', 'harga', 'mahal', 'jaringan', 'buruk', 'lengkap', 'telkomsel', 'berhasil', 'kehilangan', 'pahala', 'suci', 'ramadhan', 'pokonya', 'terburuk', 'banget', 'kartu', '']</t>
  </si>
  <si>
    <t>['apk', 'telkomsel', 'kesini', 'daily', 'chek', 'elor', 'claim', 'login', 'terclaim', 'kuota', 'voucher', 'masuk', '']</t>
  </si>
  <si>
    <t>['kuota', 'unlimited', 'max', 'soschat', 'video', 'gms', 'unlimited', 'kuota', 'habis', 'ngga', 'internetan', 'gitu', 'unlimited', 'namanya', '']</t>
  </si>
  <si>
    <t>['lumayan', 'bonus', 'check', 'ing', 'promo', 'paket', 'keluarin', 'promo', 'gb', 'harga', 'harganya', '']</t>
  </si>
  <si>
    <t>['aplikasi', 'kemarin', 'isi', 'pulsa', 'truzz', 'beli', 'paket', 'ceria', 'gb', 'seharga', 'otomatis', 'pulsa', 'tinggal', 'habis', 'internet', 'makan', 'pulsa', 'beli', 'paketkan', 'tipu', 'kek', 'gini', 'truzz']</t>
  </si>
  <si>
    <t>['trimakasih', 'telkomsel', 'membantu', 'pembelian', 'paket', 'promo', 'menarik', 'tingkatkan', 'kualitasnya', 'trimakasih', '']</t>
  </si>
  <si>
    <t>['aplikasi', 'telkomsel', 'alias', 'rusak', 'tlg', 'aplikasi', '']</t>
  </si>
  <si>
    <t>['tolong', 'daerah', 'cinere', 'perbagus', 'jaringannya', 'sekelas', 'telkomsel', 'kalah', 'jaringan', 'thre', 'kaya', 'gini', 'ganti', 'kartu', 'ajalah', 'paket', 'ama', 'paket', 'thre', 'beda', 'harganya', 'kasi', 'masi', 'kaegini', 'berhenti', 'pelanggan', 'telkomsel', '']</t>
  </si>
  <si>
    <t>['apk', 'sngt', 'memuaskan', 'login', 'mnta', 'verif', 'menyusahkan', 'berguna', 'bot', 'sehebat', 'provider', 'tetangga', 'miris', 'lbh', 'usang', 'apk']</t>
  </si>
  <si>
    <t>['aplikasinya', 'error', 'jaringan', 'stabil', 'pas', 'masuk', 'apk', 'jaringan', 'stabil', 'pas', 'daily', 'check', 'gimana', 'min', 'mohon', 'bantuannya', '']</t>
  </si>
  <si>
    <t>['kak', 'maaf', 'nanya', 'beli', 'paket', 'internet', 'gb', 'paket', 'lancar', 'pas', 'masuk', 'game', 'nge', 'lag', 'sumpah', 'ngeganggu', 'banget', 'main', 'restart', 'hape']</t>
  </si>
  <si>
    <t>['bodoh', 'aplikasi', 'buka', 'asik', 'muat', 'ulaang', 'paket', 'promo', 'kebeli', 'keterangan', 'proses', 'booodoooo', 'booodooo', '']</t>
  </si>
  <si>
    <t>['khusus', 'pengguna', 'game', 'online', 'mending', 'pindah', 'kartu', 'signal', 'telkomsel', 'parah', 'patah', 'nambah', 'parah', 'signal', 'ngilang', 'aneh', 'doang', 'kesini', 'kapok', 'beli', 'paket', 'rb']</t>
  </si>
  <si>
    <t>['barang', 'mahal', 'barang', 'kualitas', 'bagus', 'karna', 'duit', 'duit', 'bohong', 'kali', 'duit', 'ngebohongin', 'paket', 'kuotanya', 'mahal', 'kualitasnya', 'payah', 'fixs', 'kecewaa', 'gua']</t>
  </si>
  <si>
    <t>['telkomsel', 'bagus', 'paket', 'sya', 'gb', 'asli', 'kesel', 'jaringan', 'ndak', 'bedanya', 'sya', 'telpon', 'operator', 'disuruh', 'mode', 'pesawat', 'trus', 'tetep', 'ndak', 'trus', 'kartu', 'bermasalah', 'taaaeeekkkklahhh', 'jawabannya', 'berbelit', 'belit', '']</t>
  </si>
  <si>
    <t>['lag', 'kali', 'cocok', 'nge', 'game', 'nyesal', 'pakai', 'jaringan', 'ngilang', 'emosi', 'buang', 'buang', 'uang', 'beli', 'paket', 'main', 'emosi', 'uda', 'team', 'bocah', 'ngelag', 'aduhai', 'pengen', 'mukul', 'orang']</t>
  </si>
  <si>
    <t>['terdaftar', 'pas', 'check', 'kuota', 'log', 'pas', 'kirim', 'link', 'lwat', 'sms', 'satupun', 'sms', 'link', 'hape', '']</t>
  </si>
  <si>
    <t>['kesini', 'jaringan', 'telkomsel', 'lemot', 'mohon', 'diperbaiki', 'pelanggan', 'kecewa', 'truss', 'semoga', 'telkomsel', 'maju', 'kedepan', 'trims', '']</t>
  </si>
  <si>
    <t>['', 'operator', 'jaringan', 'telkomtod', 'gangguan', 'kecewaan', 'rasakan', 'harga', 'paket', 'mahal', 'sesuai', 'ekonomi', 'paket', 'harian', 'murah', 'kualitas', 'jaringan', 'bermain', 'game', 'telkomtod', 'hujad', 'caci', 'maki', 'gangguan', 'tnx', '']</t>
  </si>
  <si>
    <t>['eror', 'gimana', 'beli', 'paket', 'promo', 'udh', 'beli', 'paket', 'promonya', 'sia', 'sia', 'beli', 'pulsa', 'kecewa']</t>
  </si>
  <si>
    <t>['halo', 'telkomsel', 'jaringan', 'lemot', 'jaringan', 'telkomsel', 'diam', 'gaji', 'buta', 'perbaiki', 'pelanggann', 'bayar', 'wacana', 'balasan', 'chat', 'telkomsel', 'play', 'store']</t>
  </si>
  <si>
    <t>['', 'spesial', 'ceria', 'gb', 'rb', 'beli', 'proses', 'ampe', 'purnama', 'hadeehhh', 'tsel', 'emang', 'suka', 'semena', 'mentang', 'sim', 'uda', 'masuk', 'kriteria', 'dpat', 'promo', 'tampilin', 'donk', 'promonya', 'sdg', 'dlm', 'progres', 'paket', 'data', 'tsel', 'mahal', 'promo', 'kyak', 'ceria', 'mending', 'provider', '']</t>
  </si>
  <si>
    <t>['kemudahan', 'penggunaan', 'semenjak', 'makai', 'apk', 'mytelkomsel', 'mudah', 'mudah', 'dlm', 'membeli', 'paket', 'mudah', 'memeriksa', 'isi', 'kartu', 'kouta', 'gratis', 'cek', 'sinyal', 'jaringannya', 'daerah', 'lancar', 'lancar', 'prnah', 'lelet', 'trima', 'ksh', 'mytelkomsel']</t>
  </si>
  <si>
    <t>['disuruh', 'download', 'telkomsel', 'uninstal', 'instal', 'uninstal', 'lgi', 'ehh', 'login', 'kirimin', 'via', 'sms', 'klik', 'linknya', 'invalid', 'parah', 'banget', 'aplikasinya']</t>
  </si>
  <si>
    <t>['tolol', 'sinyal', 'kagak', 'google', 'meet', 'mulu', 'ngirim', 'chat', 'susah', 'browsing', 'susah', 'streaming', 'susah', 'gunanya', 'tolol', 'mahal', 'doang', 'perkembangan', 'ngasih', 'rating', 'bintang', 'minus', 'gua', 'kasih']</t>
  </si>
  <si>
    <t>['ngisi', 'pulsa', 'pulsanya', 'ilang', 'nggak', 'kalinya', 'pulsa', 'ilang', 'nyesel', 'isi', 'pulsa', 'mendingan', 'ganti', 'kartu', 'bener', 'developer', 'kasih', 'solusinya', '']</t>
  </si>
  <si>
    <t>['kuota', 'habis', 'berlakunya', 'promonya', 'murah', 'pas', 'kuota', 'habis', 'berlakunya', 'harga', 'kuota', 'langsung', 'auto', 'mehong', 'ngeri', 'auto', 'im', '']</t>
  </si>
  <si>
    <t>['jelek', 'aplikasinya', 'sinyalnya', 'handphone', 'bar', 'buka', 'story', 'muter', 'nonton', 'youtube', 'bufferingnya', 'nggak', 'ketulungan', 'harga', 'udh', 'murah', 'kualitas', 'koneksi', 'murahan', '']</t>
  </si>
  <si>
    <t>['telkomsel', 'emang', 'provider', 'haram', 'bersahabat', 'iya', 'kuota', 'kemdikbud', 'subsidy', 'diisi', 'pulsa', 'pulsanya', 'langsung', 'habis', 'dinyalain', 'datanya', 'iya', 'privider', 'ngemis', 'ngemis', 'pundi', 'pundi', 'rupiah', 'kaya', 'gitu', 'malu', 'udah', 'boros', 'jaringan', 'stabil', 'pencuri', 'pulsa', 'beda', 'tri', 'fitur', 'save', 'pulsa', 'kuota', 'habis', 'ambil', 'pulsa', 'udah', 'main', 'game', 'stabil', 'jaringan', 'bar', 'stabil', 'tsl', '']</t>
  </si>
  <si>
    <t>['sayang', 'perusahan', 'perampok', 'program', 'ditawarkan', 'ketengan', 'you', 'tube', 'unlimited', 'beli', 'sukses', 'dipakai', 'sehari', 'besoknya', 'dipakai', 'pulsa', 'sisa', 'dirampok', 'habis', 'tinggal', 'rupiah', 'hati', 'lho', 'urusan', 'dunia', 'stlh', 'selesai', '']</t>
  </si>
  <si>
    <t>['aplikasi', 'masuk', 'udh', 'masukin', 'nomor', 'pke', 'nomor', 'jga', 'ngeselin', 'banget']</t>
  </si>
  <si>
    <t>['pulsa', 'berkurang', 'paket', 'kouta', 'penipuan', 'pulsa', 'habisin', 'kouta', 'terpakai', 'udah', 'ngga', 'paket', 'telkomsel', 'gue', 'bye']</t>
  </si>
  <si>
    <t>['maaf', 'min', 'min', 'baca', 'bahasa', 'negeri', 'bhs', 'inggris', 'tolong', 'sedia', 'bahasa', 'indonesia', 'aplikasi', 'membaca', 'memahami', 'aplikasi', 'maaf', 'min', 'kasih', 'bintang', 'bintang', 'sedia', 'bhs', 'indonesia', '']</t>
  </si>
  <si>
    <t>['koneksi', 'busuk', 'setara', 'provider', 'mahal', 'isi', 'voucher', 'kuota', 'gangguan', 'mulu', 'bener', 'telkomshit', 'kesini', 'jelek', 'koneksi', 'internetnya', 'kayak', 'provider', 'amatiran']</t>
  </si>
  <si>
    <t>['aplikasi', 'update', 'kwalitasnya', 'sampah', 'makan', 'kouta', 'coba', 'telkomsel', 'belajar', 'pelayanan', 'layak', 'pelanggan', 'terang', 'sngt', 'kecewa', 'telkomsel', 'ditempat', 'jaringan', 'telkomsel', 'haramkan', 'makai', 'telkomsel', 'perubahan', 'peningkatan', 'pelayanan', 'percepatan', 'jaringan', 'konsistensi', 'pelayanan']</t>
  </si>
  <si>
    <t>['telkomsel', 'aneh', 'udah', 'sinyal', 'jelek', 'kuota', 'mahal', 'aneh', 'pulsa', 'pas', 'beli', 'kuota', 'alesannya', 'pulsa', 'mencukupi', 'aneh', 'bin', 'ajaib', 'cek', 'pulsa', 'mencukupi', 'beli', 'kuota', 'ngak', 'ngak', 'pelayanan', 'telkomsel', 'kemuduran', 'pelayana', '']</t>
  </si>
  <si>
    <t>['pulsa', 'gua', 'utang', 'beliin', 'paket', 'gagal', 'mulu', 'gimana', 'balikin', 'pulsa', 'tolong', 'udh', 'kartu', 'mahal', 'kecewa', 'banget']</t>
  </si>
  <si>
    <t>['telkomsel', 'pelanggan', 'telkomsel', 'telkomsel', 'jaringannya', 'bagus', 'betah', 'pakai', 'semenjak', 'pergantian', 'telkomsel', 'sinyalnya', 'lemot', 'banget', 'susah', 'zoom', 'meeting', 'ayo', 'telkomsel', 'perbaikin', 'kek', 'jaringannya', 'gini', 'trus', 'ajah', 'tri', 'axis', 'trus', 'mendingan', 'ganti', 'kartu', 'deh']</t>
  </si>
  <si>
    <t>['simpati', 'buruk', 'jaringan', 'wilayah', 'bandung', 'cimahi', 'thn', 'tolong', 'harga', 'paket', 'internet', 'mahal', 'jaringannya', 'burukkkkkkkkk', 'sekaliiiiiiiiiii', '']</t>
  </si>
  <si>
    <t>['kartu', 'telkomsel', 'banget', 'pulsa', 'dipakek', 'berkurang', 'suda', 'gitu', 'paket', 'acur', 'sesuwai', 'pulsa', 'dibayar', 'mahal', 'suda', 'kartu', 'mahal', 'bayar', 'paket', 'usa', 'aktif', 'kartu']</t>
  </si>
  <si>
    <t>['percaya', 'kartu', 'kartu', 'buruk', 'indonesia', 'test', 'kecepatanny', 'kb', 'merekomendasikan', 'axis', 'kartu', 'kartu', 'buruk', 'dibandingkan', 'kartu', 'percayalah', '']</t>
  </si>
  <si>
    <t>['aplikasi', 'jelek', 'faktor', 'pengembangan', 'perbaiki', 'telkomsel', 'ganti', 'pulsa', 'beli', 'paket', 'masuk', 'rp', 'mohon', 'telkomsel', 'kek', 'babi']</t>
  </si>
  <si>
    <t>['telkomsel', 'bos', 'kuota', 'sultan', 'mahal', 'doang', 'kualitas', 'sinyal', 'jelek', 'bet', 'gimana', 'daerah', 'gunung', 'rumah', 'support', 'kartu', 'terpaksa', 'telkom', 'lag', 'parah', 'ngerjain', 'tugas', 'kesusahan', 'gara', 'gara', 'sinyal']</t>
  </si>
  <si>
    <t>['keluhan', 'membeli', 'paket', 'kuota', 'kombo', 'sakti', 'unlimited', 'kuota', 'utama', 'prioritas', 'utama', 'habis', 'kuota', 'unlimited', 'otomatis', 'aktif', 'kuota', 'unlimited', 'milik', 'aktif', 'membuka', 'apps', 'daftar', 'unlimited', 'berkecepatan', 'lakukan', 'kuota', 'unlimited', 'apps', 'aktif', 'sesuai', 'ketentuan', '']</t>
  </si>
  <si>
    <t>['akibat', 'ngak', 'pakek', 'rakber', 'kek', 'gini', 'heheheh', 'perjanjian', 'kronologi', 'pembayaran', 'separuh', 'harga', 'burung', 'nyampek', 'tangan', 'bayar', 'pelunasan', 'separuhnya', 'burung', 'dateng', 'sampek', 'minggu', 'burungnya', 'mati', 'gara', 'melunasi', 'bener', 'pengiriman', 'pengiriman', 'burung', 'mati', 'jalan', 'pengiriman', 'tanggung', 'bangkai', 'burungnya', 'belom']</t>
  </si>
  <si>
    <t>['ganti', 'paket', 'internet', 'mahalan', 'gag', 'disuruh', 'telp', 'telp', 'gag', 'grapari', 'pandemi', 'gini', 'bukanya', 'menghindari', 'berkerumun', 'ketemu', 'orang', 'disuruh', 'bukanya', 'dimana', 'dianjurkan', 'virtual', 'apalah', 'namanya', 'gunanya', 'aplikasi', 'mytelkomsel', 'hrsnya', 'covid', 'gini', 'dipermudah', 'jng', 'dikit', 'grapari', 'cmn', 'ganti', 'paket', 'internet', 'hrs', 'grapari', 'yak', 'klu', 'rumah', 'disebelah', 'grapari', '']</t>
  </si>
  <si>
    <t>['jaringan', 'parah', 'buruk', 'banget', 'benci', 'telkomsel', 'dulunya', 'jaringan', 'bagus', 'jelek', 'banget', 'parah', 'pas', 'main', 'game', 'lag', 'mulu', 'lag', 'parah', 'banget', 'kayak', 'gini', 'ganti', 'kartu', 'urusin', 'kartu', 'telkomsel', 'jaringan', 'ter', 'buruk', 'sedunia', '']</t>
  </si>
  <si>
    <t>['jaringan', 'telkomsel', 'jaringan', 'lemot', '']</t>
  </si>
  <si>
    <t>['tolong', 'telkomsel', 'jaringan', 'dipaerbaiki', 'kayak', 'kecewa', 'kualias', 'sinyal', 'main', 'game', 'online', 'lemot', 'disayangkan', 'telkomsel', 'kartu', 'idaman', 'bangat', 'diandalkan', '']</t>
  </si>
  <si>
    <t>['applikasi', 'dasar', 'gaji', 'buta', 'gimana', 'negara', 'untung', 'masuk', 'menu', 'muter', 'doank', 'kecepatan', 'mbps', 'donk', 'rumah', 'pakai', 'cbn', 'rb', 'sebulan']</t>
  </si>
  <si>
    <t>['bagus', 'daftar', 'nomor', 'satunya', 'hilang', 'petunjuk', 'tambahkan', 'nomor', 'terpakai', 'login', 'pakai', 'email']</t>
  </si>
  <si>
    <t>['maaf', 'performa', 'telkomsel', 'menurun', 'sisi', 'layanan', 'jaringan', 'lelet', 'klu', 'kebanyakan', 'promo', 'tolong', 'upayakan', 'pertahankan', 'tingkatkan', 'kualitas', 'layanan', 'mohon', 'saran', 'baca', 'dengar', 'resapi', 'telkomsel', 'telkomsel', 'pelanggannya', 'thanks']</t>
  </si>
  <si>
    <t>['kuota', 'kementrian', 'pulsa', 'kesedot', 'nonton', 'youtube', 'kuota', 'pakai', 'nonton', 'youtube', 'mohon', 'perbaiki', 'kali', 'kena', 'kaya', 'gini', '']</t>
  </si>
  <si>
    <t>['kesini', 'jaringan', 'telkomsel', 'susah', 'dapet', 'kb', 'tolong', 'telkomsel', 'jaringannya', 'perluas', 'kesusahan', 'kuliah', 'daring', '']</t>
  </si>
  <si>
    <t>['paraaaahhh', 'bintang', 'nol', 'udah', 'capek', 'check', 'giliran', 'tukar', 'bilangnya', 'sistem', 'error', 'sibuk', 'sorry', 'your', 'request', 'could', 'not', 'processed', 'because', 'your', 'usage', 'has', 'exceeded', 'the', 'maximum', 'limit', 'info', 'hub', 'mohon', 'maaf', 'sistem', 'sibuk', 'coba', 'poin', 'dikembalikan', 'terima', 'kasih', 'hasil', 'check', 'poin', 'langsung', 'hilang', 'hapus', 'program', 'check', 'program', '']</t>
  </si>
  <si>
    <t>['kuota', 'all', 'network', 'program', 'daily', 'check', 'pulsa', 'rp', 'poin', 'dipotong', 'bentuk', 'klaim', 'hadiah', 'mohon', 'maaf', 'sistem', 'sibuk', 'coba', 'poin', 'dikembalikan', 'terima', 'kasih', 'ken', 'prank', 'telkomsel', 'jlz', 'jir']</t>
  </si>
  <si>
    <t>['telkomsel', 'ngajak', 'bercanda', 'jaringan', 'lemot', 'harga', 'paket', 'mahal', 'main', 'sisa', 'kuota', 'akumulasikan', 'semenit', 'suka', 'ngilang', 'gb', 'wkwkwkwkwkkk', 'makhluk', 'astral', 'suka', 'ngilang', 'sesukanya', 'complaint', 'baca', '']</t>
  </si>
  <si>
    <t>['maaf', 'turunkan', 'bintang', 'udh', 'ngumpuli', 'poin', 'tukar', 'ama', 'kuota', 'gangguan', 'sistem', 'mulu', 'jawabanya', 'masaan', 'minggu', 'gangguan', 'sistem', 'ngapain', 'teknisinya', 'dahh', 'bye', 'kartu', 'telkomselnya', 'nelpon', 'malas', 'beli', 'kuota', '']</t>
  </si>
  <si>
    <t>['kesini', 'telkomsel', 'ancur', 'jelek', 'banget', 'sinyal', 'full', 'koneksi', 'putus', 'internetan', 'datanya', 'loading', 'kecewa', 'telkomsel', '']</t>
  </si>
  <si>
    <t>['jaringan', 'hancur', 'tolong', 'perbaiki', 'nyaman', 'main', 'game', 'lemot', 'jaringan', 'besok', 'buang', 'kartu', 'karna', 'jaringan', 'berkualitas', 'bayar', 'mahal', 'mahal', 'cuman', 'beli', 'jaringan', 'hancur']</t>
  </si>
  <si>
    <t>['sia', 'beli', 'paket', 'instagram', 'sampe', 'paket', 'dipake', 'ngabisin', 'kuota', 'reguler', 'nguras', 'pulsa', 'nanya', 'payaaahh', 'bangeettt', 'email', 'sampe', 'respon', 'intinya', 'beli', 'paket', 'unlimited', 'mubadzir', 'dipake', 'inetnya', 'telkomsel', 'udah', 'lelet', 'paket', 'mahal', 'dipake', 'ngabisin', 'pulsa', 'fix', 'pindah', 'provider', '']</t>
  </si>
  <si>
    <t>['saran', 'aplikasi', 'telkomsel', 'memilih', 'kuota', 'prioritaskan', 'gue', 'kuota', 'gb', 'pemakaiannya', 'tinggal', 'minggu', 'kepake', 'kuota', 'kemendikbud', 'jangka', 'gue', 'sedot']</t>
  </si>
  <si>
    <t>['beli', 'paket', 'internet', 'aplikasi', 'pakai', 'linkaja', 'terpotong', 'biaya', 'paket', 'masuk', 'mohon', 'penjelasan', 'min', 'perbaikan', 'gimana']</t>
  </si>
  <si>
    <t>['download', 'berulang', 'kali', 'hapus', 'data', 'hapus', 'chece', 'tetep', 'dibuka', 'terbuka', 'sempurna', 'geregetan', 'trus', 'ngapain', 'tulisan', 'didalam', 'aplikasi', 'vak', 'pisa']</t>
  </si>
  <si>
    <t>['', 'update', 'lancar', 'nyusahin', 'muat', 'ulang', 'muncul', 'jaringan', 'full', 'pindah', 'nomor', 'gagal', 'update', 'aplikasi']</t>
  </si>
  <si>
    <t>['telkomsel', 'memakai', 'sistem', 'provaider', 'disaat', 'kuota', 'habis', 'otomatis', 'melanjutkan', 'pemakain', 'kuota', 'pulsa', 'konfirmasi', 'mahal', '']</t>
  </si>
  <si>
    <t>['aplikasi', 'sekian', 'uji', 'coba', 'paket', 'kuota', 'keluarga', 'ilang', 'nongol', 'instal', 'ulang', 'berulang', 'ulang', 'tetep', 'ilang', 'batasan', 'sekian', 'kali', 'pakainya', 'disengaja', 'pindah', 'paket', 'tolong', 'penjelasan', 'pembatasan', 'kalinya', 'efektif', 'pemakaian', 'paket', 'main', 'ngilang', 'kayak', 'gini', '']</t>
  </si>
  <si>
    <t>['jaringan', 'lemot', 'check', 'hadiah', 'udah', 'klaim', 'kuota', 'masuk', 'kasar', 'udah', 'nama', 'jaringan', 'sistemnya', 'kayak', 'gini', 'suram']</t>
  </si>
  <si>
    <t>['login', 'error', 'periksa', 'koneksi', 'jaringanku', 'ngasih', 'daily', 'check', 'kadang', 'hilang', 'kadang', 'emang', 'banget', '']</t>
  </si>
  <si>
    <t>['telkomsel', 'beli', 'paket', 'msh', 'promo', 'hilang', 'aplikasi', 'aktivasi', 'sms', 'pdhl', 'tls', 'tinggal', 'balas', 'sms', 'uda', 'beli', 'paket', 'promo', 'murah', 'uda', 'email', 'komplain', 'ksh', 'uda', 'lakukan', 'tnyin', 'tanggapan', 'kecewaaaa', 'pokok', '']</t>
  </si>
  <si>
    <t>['', 'telkomsel', 'rusak', 'even', 'ambil', 'beli', 'paket', 'biaya', 'masuk', 'paket', 'masuk', 'msk', 'rusak', 'update', 'rusak', 'bagusin', 'vision', 'kemarin', 'rusak', '']</t>
  </si>
  <si>
    <t>['kesini', 'sinyal', 'telkomsel', 'lgsg', 'trus', 'hilang', 'sinyal', 'apk', 'telkomsel', 'error', 'mulu', 'tolong', 'perbaiki']</t>
  </si>
  <si>
    <t>['check', 'failed', 'dpt', 'reward', 'check', 'daily', 'pas', 'reward', 'habis', 'deh', 'check', 'today', 'kesini', 'busuk', '']</t>
  </si>
  <si>
    <t>['sinyal', 'didaerah', 'bagus', 'kuota', 'mahal', 'sesuai', 'sinyalnya', 'pengguna', 'memprioritaskan', 'pengguna', 'setia', 'gold', 'mengecewakan', 'keluhan', 'sekian', 'pengguna', 'setia', 'telkomsel', 'sekian', 'terimakasih']</t>
  </si>
  <si>
    <t>['udh', 'gila', 'kali', 'udh', 'tinggal', 'ngeclaim', 'hadiah', 'daily', 'check', 'nggak', 'batas', 'penukaran', 'rusak', 'apk', 'udh', 'capek', 'nunggu', 'sampek', 'begadang', 'taunya', 'ilang', 'daily', 'check', 'perbarui', 'bagus', 'rusak', 'kecewa', 'berat']</t>
  </si>
  <si>
    <t>['yth', 'pembesar', 'pembesar', 'big', 'bos', 'telkomsel', 'tlong', 'dibantu', 'penambahan', 'tower', 'telkomsel', 'dimorowali', 'khususx', 'dikec', 'bahodopi', 'desa', 'labota', 'makarti', 'padabaho', 'betebete', 'pemakaian', 'desa', 'berhubung', 'pabrik', 'terbesar', 'asia', 'tenggara', 'kariyawanx', 'berkisar', 'ribu', 'jiwa', 'imip', 'perusahaan', 'nikel', 'trbesaar', 'harapan', 'masyarat', 'dibangunkan', 'tower', 'trimah', 'kasih', '']</t>
  </si>
  <si>
    <t>['diup', 'jelek', 'beli', 'kuota', 'link', 'lemot', 'chek', 'susah', 'adakan', 'chek', '']</t>
  </si>
  <si>
    <t>['telkomsel', 'kesal', 'gps', 'jam', 'jalan', 'jam', 'pagi', 'akses', 'aplikasi', 'unlimited', 'tunggu', 'kouta', 'utama', 'habis', 'jalan', 'unlimitednya', 'kayak', 'gini', 'org', 'beli', 'unlimited', 'menhemat', 'kouta', 'utama', 'gini', 'pas', 'gue', 'nikmatin', 'unlimited', 'gue', 'kouta', 'utama', 'gue', 'habiskan', 'luan', 'gue', 'akses', 'aplikasi', 'unlimited', 'alamat', 'berhenti', 'langanan', 'org', 'menyadari']</t>
  </si>
  <si>
    <t>['plis', 'kasih', 'min', 'make', 'paket', 'lokal', 'beli', 'paket', 'promo', 'dipake', 'doang', 'gunanya', 'beli', 'mahal', 'trauma', 'nyoba', 'kali', 'jln', 'internetnya', 'pdhl', 'dipake', 'knpa', 'pas', 'dipake']</t>
  </si>
  <si>
    <t>['terimakasih', 'sinyal', 'terbaik', 'telkomsel', 'ngasih', 'nilai', 'bintang', 'nol', 'kecewa', 'provider', 'sygnya', 'bintang', 'minimal', 'bintang', 'sungguh', 'kecewa', 'telkomsel']</t>
  </si>
  <si>
    <t>['apl', 'telkomsel', 'lemot', 'log', 'out', 'repot', 'iklan', 'muncul', 'menu', '']</t>
  </si>
  <si>
    <t>['gua', 'telkomsel', 'lemot', 'ampun', 'jaringan', 'kagakn', 'tabil', 'video', 'call', 'menghubungkan', 'game', 'lemot', 'ampun', 'benerin', 'gua', 'area', 'tasikmalaya', 'pemakaian', 'gua', 'sebulan', 'ampir', 'ribu', 'doang', 'paketin', 'dapet', 'jaringan', 'jelek', 'bener', 'stabil']</t>
  </si>
  <si>
    <t>['halo', 'aplikasinya', 'bagus', 'bagus', 'nanya', 'kuota', 'multimedia', 'disney', 'hotstar', 'kah', 'sms', 'pemberitahuan', 'disney', 'hotstar']</t>
  </si>
  <si>
    <t>['telkomsel', 'beli', 'paket', 'telkomsel', 'jumat', 'berkah', 'gb', 'beli', 'pulsa', 'paket', 'hilang', 'ganti', 'gb', 'isi', 'pulsa']</t>
  </si>
  <si>
    <t>['oiii', 'telkomsel', 'tolong', 'ngapo', 'jaringan', 'kuani', 'cak', 'taiikkkkkkkkkk', 'cakmano', 'nak', 'ningkatke', 'kualitas', 'maen', 'bae', 'jaringan', 'kalah', 'samo', 'tri', 'samo', 'indosat', 'beli', 'paket', 'mahal', 'oiii', 'ecek', 'ecek', 'kualitas', 'dak', 'bermutu', 'nian', 'jaringan', 'cak', 'taiikkkkkkkk', 'noroni', 'performa', 'bae', 'cakmano', 'nak', 'percayo', 'samo', 'kartu', 'kau', 'kualitas', 'jaringan', 'dibawah', 'standar', 'tinggal', 'kota', 'pusat', 'kota']</t>
  </si>
  <si>
    <t>['penipuan', 'daftar', 'paket', 'promo', 'suprise', 'deal', 'jum', 'berkah', 'menu', 'pilihan', 'harga', 'ribu', 'ribu', 'ribu', 'pas', 'isi', 'pulsa', 'ribu', 'beli', 'paket', 'ribuan', 'pulsa', 'udah', 'terisi', 'daftar', 'harga', 'paketnya', 'hilang', 'ngak', 'tinggal', 'daftar', 'paket', 'harga', 'ribuan', 'ribu', 'hilang', 'kemana', 'ngak', 'penipuan', 'pulsa', 'ngisi', 'ribu', 'ngak', 'kepakai', 'ujung', 'abis', 'kesedot', 'babi', '']</t>
  </si>
  <si>
    <t>['oii', 'biji', 'sapi', 'bertahun', 'make', 'apk', 'poin', 'byk', 'update', 'trs', 'ilang', 'poin', 'indonesia', 'mmg', 'byk', 'tipu', 'makan', 'point', 'sampe', 'akhirat', '']</t>
  </si>
  <si>
    <t>['maaf', 'terpaksa', 'kurangi', 'bintang', 'promo', 'beli', 'harga', 'sesuai', 'promo', 'pas', 'cek', 'kuota', 'aplikasi', 'aplikasi', 'eror', 'dial', 'phone', 'ribet', 'kaya', 'orang', 'ngurus', 'ktp', 'aplikasi', 'ancur', 'jaringan', 'parah', 'jaringan', 'terluwwwwaaasssszzzzzzz', 'pelayanan', 'kapasssa', 'enteng', 'ringan', 'berbobot', '']</t>
  </si>
  <si>
    <t>['tolong', 'terkait', 'pengguna', 'internet', 'telkomsel', 'daerah', 'cimahi', 'utara', 'sinyal', 'internet', 'telkomsel', 'jelek', 'susah', 'buka', 'aplk', 'buka', 'aplk', 'terimakasih', 'telkomsel']</t>
  </si>
  <si>
    <t>['ngambil', 'paketan', 'internet', 'harian', 'ngambil', 'pilihan', 'paket', 'malam', 'gb', 'pulsa', 'udah', 'potong', 'paketan', 'pakai', 'mengecewakan', 'telkomsel', 'kli', 'orang', 'orang', 'pindah', 'provider']</t>
  </si>
  <si>
    <t>['udh', 'saia', 'mode', 'pesawat', 'sampe', 'non', 'aktifkan', 'kartu', 'ttp', 'gata', 'twitter', 'saia', 'prngen', 'perbaiki', 'main', 'game', 'lancar']</t>
  </si>
  <si>
    <t>['telkomsel', 'tolong', 'perbaiki', 'transaksi', 'terbaca', 'masuk', 'paket', 'data', 'pulsa', 'berkurang', 'menboca', 'pagi', 'sore', 'hasil', 'kecewa', 'telkomsel', 'jaringan', 'suka', 'drop', '']</t>
  </si>
  <si>
    <t>['jaringan', 'stabil', 'telkomsel', 'siang', 'daerah', 'malam', 'bagus', 'tolong', 'kondisikan', 'ganti', 'mode', 'manual', 'jaringan', 'tetep', 'ngga', 'bagus', 'daerah', 'indragiri', 'hilir', 'kecamatan', 'kateman', 'parah', 'jaringannya', 'ngga', 'support', 'dimana', 'kendala', 'mohon', 'perbaiki']</t>
  </si>
  <si>
    <t>['tolong', 'telkomsel', 'jaringannya', 'perbaiki', 'susah', 'sosmed', 'pilih', 'telkomsel', 'bagus', 'nch', 'mahal', 'beli', 'internet', 'jaringannya', 'mala', 'kayak', 'kartu', 'perbaiki', 'pribadi', 'sekeluarga', 'kawan', 'kerja', 'sahabat', 'teman', 'berhenti', 'pakai', 'telkomsel', 'mohon', 'perbaiki', 'jaringan', 'telkomsel', '']</t>
  </si>
  <si>
    <t>['telkomsel', 'promo', 'dibeli', 'jaringan', 'ilang', 'telkomsel', 'miskin', 'mati', 'lampu', 'sinyal', 'langsung', 'ilang', 'telkomsel', 'minus', 'pokoknya']</t>
  </si>
  <si>
    <t>['sinyal', 'jelek', 'tolong', 'segerah', 'perbaiki', 'pelanggan', 'sinyal', 'hancur', 'aplikasi', 'berguna', 'pas', 'beli', 'paketan', 'harganya', 'sungguh', 'kecewa', 'telkomsel', 'pokoknya', 'telkomsel', 'jelek', 'sinyal', 'habis', 'perbarui', 'suka', 'ngebug', 'pas', 'beli', 'paketan', 'harganya', 'promo', 'paketan', 'hilang', 'kecewa', 'telkomsel']</t>
  </si>
  <si>
    <t>['janji', 'doank', 'download', 'mbps', 'unggah', 'mbps', 'matikan', 'sinyalnya', 'bapuk', 'bagaiman', '']</t>
  </si>
  <si>
    <t>['tgl', 'april', 'kecewa', 'promo', 'suprisedeal', 'jumat', 'berkahnya', 'lgs', 'tarik', 'telkomsel', 'disisain', 'hrg', 'pdhl', 'jarang', 'promo', 'promo', 'hrs', 'cek', 'telkomsel', 'diinfo', 'nsbh', 'lgs', 'sms', 'tolong', 'unt', 'sinyal', 'diperbaiki', 'udh', 'bayar', 'mahal', 'unt', 'beli', 'paketanya', 'paketan', 'data', 'bulanannya', 'murahin', 'pakai', 'telkomsel', 'kalangan', 'kalangan', 'keatas', 'kejangkau', 'unt', 'kalangan', 'menengah', 'sekian', 'thanks', '']</t>
  </si>
  <si>
    <t>['telkomsel', 'wilayah', 'seputaran', 'gowa', 'sul', 'sel', 'jaringan', 'amburadul', 'kadang', 'kebanyakan', 'lemot', 'main', 'game', 'game', 'susah', 'masuk', 'nonton', 'youtube', 'loading', 'trus', 'merasukimu', 'telkomsel', '']</t>
  </si>
  <si>
    <t>['mytelkomsel', 'senang', 'hati', 'diakhir', 'sakit', 'hati', 'sms', 'paket', 'surprise', 'deal', 'jum', 'berkah', 'hadir', 'udah', 'senang', 'paket', 'gb', 'paket', 'gbnya', 'muncul', 'menit', 'pilihan', 'paket', 'iti', 'dihilangkan', 'tersisa', 'paket', 'fup', 'paket', 'dihilangkan', 'konsisten', 'nawarin', 'paketnya', 'main', 'hilangkan', 'jujur', 'ngga', 'beli', 'paket', '']</t>
  </si>
  <si>
    <t>['aplikasinya', 'keren', 'banget', 'bro', 'ane', 'beli', 'promo', 'telkomsel', 'unik', 'berhasil', 'pakai', 'internetan', 'pulsanya', 'sedot', 'unik', 'telkomsel', 'kenyamanan', 'sinyal', 'gunakn', 'internetan', 'sinyal', 'hilang', 'saran', 'mending', 'pindah', 'provider', 'bro', 'axis', 'promonya', 'harganya', 'murah', 'sinyalnya', 'andalkan', 'yuk', 'beralih', 'provider', '']</t>
  </si>
  <si>
    <t>['sinyal', 'bagus', 'beli', 'paket', 'data', 'mahal', 'sinyalnya', 'turun', 'kadang', 'maksudnya', 'coba', 'udah', 'dimatiin', 'kesal', '']</t>
  </si>
  <si>
    <t>['jaringan', 'telkomsel', 'buruk', 'aslii', 'tolong', 'perbaiki', 'wilayah', 'jakarta', 'selatan', 'kuota', 'maem', 'game', 'online', 'ngelek', 'kaya', 'gini', 'pakai', 'telkomsel', 'auto', 'buang', 'kartu', 'pindah', 'kartu', '']</t>
  </si>
  <si>
    <t>['jaringan', 'down', 'udah', 'turun', 'trus', 'speed', 'download', 'jelek', 'kecewa', 'telkomsel', '']</t>
  </si>
  <si>
    <t>['sinyal', 'jelek', 'udah', 'matiin', 'hidupin', 'data', 'mode', 'pesawat', 'restart', 'panggilan', 'darurat', 'rugi', 'simpati']</t>
  </si>
  <si>
    <t>['sinyalnya', 'jelek', 'main', 'game', 'ngeleg', 'parah', 'perubahan', 'sinyal', 'buruk', 'sumpah', 'kecewa', 'harga', 'mahal', 'sinyal', 'lelet', '']</t>
  </si>
  <si>
    <t>['sayaa', 'belik', 'paketnya', 'pulsa', 'harga', 'tarif', 'sampe', 'besok', 'notif', 'kelen', 'lariss', 'gitu', 'pliss', 'wee', 'pliss', 'puasa', 'gamungkin', 'hotspot', 'knapa', 'belik', 'paketnya', 'semalam', 'butuh', 'inii', 'keerja', 'ngga', '']</t>
  </si>
  <si>
    <t>['jaringan', 'bagus', 'tower', 'wilayah', 'balige', 'sumatera', 'utara', 'bermasalah', 'kah', 'jaringan', '']</t>
  </si>
  <si>
    <t>['kuota', 'kemendikbud', 'pakai', 'instagram', 'tolong', 'ikhlas', 'kuota', 'aplikasi', 'diatur', 'atur', 'gini', 'dibetulkan', 'hilangkan', 'fitur', 'lemot', 'lemot', 'sinyalnya', 'mohon', 'dibetulkan', 'kuota', 'dipakai', 'sinyal', 'cepet', 'dicoding', 'jaringan', 'lemot', 'kasih', 'keterbatasan', 'penggunaan', 'data', 'aplikasi', 'kuota', 'dipakai', 'aplikasi', 'tugas', 'daring', '']</t>
  </si>
  <si>
    <t>['hidupkan', 'paket', 'darurat', 'hidup', 'hidup', 'kendala', 'sinyal', 'beli', 'gb', 'udh', 'habis', 'isi', 'ulng', 'pulsanya', 'ngurang', 'bener', 'mah', 'aplikasi', 'aneh', 'udh', 'beli', 'tarik', 'pulsa', 'paket', 'darurat', '']</t>
  </si>
  <si>
    <t>['yth', 'telkomsel', 'seminggu', 'jaringan', 'internet', 'telkomsel', 'parah', 'banget', 'leled', 'kecewa', 'kemaren', 'isi', 'kouta', 'gb', 'sia', 'kuota', 'jaringan', 'loading', 'mulu', 'terpaksa', 'berpaling', 'perdana', 'trims']</t>
  </si>
  <si>
    <t>['guaa', 'beli', 'paket', 'unlimited', 'youtube', 'facebook', 'chat', 'dll', 'tambahan', 'gb', 'kuota', 'internet', 'mengikuti', 'jangka', 'kuota', 'gua', 'gua', 'buka', 'youtube', 'ama', 'facebook', 'makan', 'kuota', 'internet', 'gb', 'unlimited', 'pas', 'gua', 'cek', 'kuota', 'kuota', 'internet', 'dikitit', 'unlimited', 'namanya', 'coba', 'udahlah', 'paket', 'mahal', 'pelayanan', 'jaringan', 'gax', 'memuaskan', 'coba', 'pikir', 'gua', 'kasi', 'bintang', 'lu']</t>
  </si>
  <si>
    <t>['telkom', 'menurun', 'kualitas', 'sinyalnya', 'kyk', 'dlu', 'skrg', 'gini', 'telkom', 'sengaja', 'boros', 'paket', 'paket', 'habis', 'disuruh', 'membeli', 'paket', 'telkom', 'curang']</t>
  </si>
  <si>
    <t>['maintance', 'udah', 'sanggup', 'ganti', 'ajah', 'pelanggan', 'dikorbankan', 'harga', 'mahal', 'sinyal', 'putus', 'nyambung', '']</t>
  </si>
  <si>
    <t>['kapada', 'telkomsel', 'terhormat', 'keluarga', 'bersaudara', 'berkeluarga', 'memakai', 'telkomsel', 'puas', 'pelayanan', 'telkomsel', 'kecewa', 'signal', 'telkomsel', 'separah', 'parahnya', 'detik', 'signal', 'terputus', 'tolong', 'perbaiki']</t>
  </si>
  <si>
    <t>['didaerah', 'kalimantan', 'selatan', 'susah', 'sinyal', 'telkomsel', 'akibat', 'bsa', 'update', 'tolong', 'jaringn', 'dikembang', 'dam', 'susah', 'bnget', 'nelpon', '']</t>
  </si>
  <si>
    <t>['beli', 'mahal', 'voucher', 'giga', 'rb', 'tulisannya', 'sistem', 'sibuk', 'silahkan', 'coba', 'udah', 'kek', 'gitu', 'trus', 'bangke', 'counternya', 'bilangnya', 'gangguan', 'pusatnya', 'balikin', 'uang', 'voucher', 'udah', 'digosok', 'bangkrut', 'bangkrut', 'orang', 'emosi', 'kartu', 'mahal', 'pelayanan', 'kek', 'kartu', 'murahan', 'rb', 'melayang', 'gitu']</t>
  </si>
  <si>
    <t>['semenjak', 'download', 'apk', 'pulsa', 'hilang', 'udah', 'ribu', 'pulsa', 'hilang', 'wifi', 'pulsa', 'ilang', 'menyalakan', 'data', 'hilang', 'mohon', 'ganti', 'rugi']</t>
  </si>
  <si>
    <t>['jelek', 'banget', 'paketannya', 'udah', 'mahal', 'unlimited', 'nipu', 'blm', 'tgl', 'abis', 'udah', 'gabisa', 'beli', 'tgl', 'tgl', 'udah', 'gabisa', 'dongg', '']</t>
  </si>
  <si>
    <t>['telkomsel', 'maling', 'pulsa', 'data', 'beli', 'paket', 'cuman', 'minggu', 'udah', 'abis', 'beli', 'paket', 'cuman', 'minggu', 'telkomsel', 'jelek', 'maling', 'pulsa', '']</t>
  </si>
  <si>
    <t>['buruk', 'jaringan', 'error', 'mulu', 'kesel', 'baterai', 'low', 'kelar', 'jaringan', 'muter', 'bener', 'bintang', 'ubah', 'buruk']</t>
  </si>
  <si>
    <t>['aplikasnya', 'dibuka', 'wifi', 'sinyal', 'kecepatan', 'sinyal', 'diatas', 'mbs', 'keatas', 'perlindungan', 'pulsa', 'provider', 'kaya', 'tri', 'bima', 'kuota', 'abis', 'pulsa', 'pulsa', 'aman', 'ilang', 'udah', 'mytelkomsel', 'pulsa', 'tetep', 'ilang', 'hadiah', 'login', 'pemberitahuan', 'ambil', 'hadiah', 'login', 'dituker', 'pulsa', 'rupiah', 'ilang', 'pulsa', 'semoga', 'dpt', 'diperbaik', '']</t>
  </si>
  <si>
    <t>['make', 'simpati', 'karna', 'orang', 'sinyal', 'bagus', 'paketnya', 'mahal', 'ganti', 'perdana', 'pas', 'sinyal', 'hilang', 'main', 'game', 'buka', 'youtube', 'ngelag', 'parah', 'ngerasa', 'bagusan', 'kartu', 'perdana', 'sebelah', 'kemana', 'tolong', 'diperbaiki', 'min', 'daerah', 'pontianak', 'kuburaya', 'trpaksa', 'ganti', 'perdana']</t>
  </si>
  <si>
    <t>['kuota', 'mahal', 'jaringan', 'jelek', 'kususnya', 'daerah', 'jawa', 'barat', 'sya', 'kecwa', 'dipake', 'main', 'game', 'kecewa', 'menyesal', 'sya', 'mengunakan', 'kartu', 'telkom']</t>
  </si>
  <si>
    <t>['astaghfirullah', 'telkomsel', 'tolong', 'perkuat', 'sinyal', 'internet', 'daerah', 'pandeglang', 'banten', 'pasar', 'picung', 'daerah', 'lemah', 'internet', 'telkomsel', 'nonton', 'youtube', 'muter', 'trs', 'kaya', 'kaset', 'kusut', 'boro', 'hiburan', 'beli', 'paket', 'mytelkomsel', 'emosi', 'mulu', 'pas', 'main', 'mobile', 'legends', 'sinyal', 'kuning', 'merah', 'hijau', 'mohon', 'perbaiki', 'terima', 'kasih', 'udh', 'bagus', 'ksh', 'bintang', '']</t>
  </si>
  <si>
    <t>['provider', 'boros', 'sedunia', 'pemakaian', 'standart', 'gb', 'kurasnya', 'beralih', 'kartu', 'halo', 'gb', 'pemakaian', 'rutin', 'bertahan', 'minggu', '']</t>
  </si>
  <si>
    <t>['sinyal', 'daerah', 'sukoharjo', 'mengalami', 'lag', 'hati', 'tetangga', 'alasan', 'berganti', 'provider', 'sabar', 'bye', 'bye', '']</t>
  </si>
  <si>
    <t>['yth', 'telkomsel', 'terhormat', 'signal', 'siang', 'ilang', 'malam', 'daerah', 'perumahan', 'pesona', 'kahuripan', 'klpa', 'nunggal', 'cari', 'signal', 'dprumhn', 'langsung', 'ddrah', 'klapa', 'nunggal', 'tolong', 'begito', 'kaya', 'curi', 'signal']</t>
  </si>
  <si>
    <t>['telkomsel', 'tolong', 'perbaiko', 'sinyal', 'daerah', 'air', 'hitam', 'kec', 'kendawang', 'kab', 'ketapang', 'kal', 'bar', 'mengalami', 'gangguan', 'hilang', 'susah', 'sinyal']</t>
  </si>
  <si>
    <t>['provider', 'jelek', 'mengatasi', 'tetep', 'kek', 'pengguna', 'disalahin', 'suka', 'diperhalus', 'ngomong', 'gila', 'sumpah', 'pindah', 'provider', 'baca', 'sarankan', 'auto', 'pindah', 'provider', 'provider', 'ngelunjak', 'gila', '']</t>
  </si>
  <si>
    <t>['terburuk', 'pelayanan', 'buruk', 'alih', 'alih', 'bantu', 'tetep', 'buntu', 'provider', 'telkomsel', 'kudeta', 'merugikan', '']</t>
  </si>
  <si>
    <t>['turunkan', 'bintang', 'telkomsel', 'lelet', 'banggeeettt', 'hadiah', 'check', 'ehh', 'nambah', 'komplain', 'veronica', 'ribet', 'banget', 'tgl', 'april', 'wib', 'terklaim', 'notifikasi', 'sms', 'dibawah', 'kuota', 'nambah', 'kuota', 'all', 'network', 'program', 'daily', 'check', 'pulsa', 'rp', 'poin', 'dipotong', 'bentuk', 'klaim', 'hadiah', 'perbaiki', 'yaa', 'jaringan', 'pelayanan', '']</t>
  </si>
  <si>
    <t>['udh', 'login', 'ulang', 'koneksinya', 'berat', 'internet', 'bagus', 'buka', 'youtube', 'gogle', 'dll', 'kendala', 'giliran', 'buka', 'aplikasi', 'gagal', 'koneksi', '']</t>
  </si>
  <si>
    <t>['maaf', 'telkomsel', 'simpati', 'gangguan', 'iya', 'tolong', 'diperbaiki', 'kerja', 'online', 'terimakasih', '']</t>
  </si>
  <si>
    <t>['tolong', 'perbaiki', 'jaringan', 'kerja', 'bidang', 'jasa', 'melayani', 'orang', 'marahin', 'orang', 'gara', 'susah', 'masuk', 'aplikasi', 'karna', 'paket', 'swadaya', 'disconnya', 'jaringan', 'jelek', 'gmna', 'jaringanya', 'jelek', 'aplikasi', 'telkomsel', 'kali', 'bener', 'bener', 'kecewa', 'kecewa', 'parah', '']</t>
  </si>
  <si>
    <t>['sinyalnya', 'lemot', 'mutar', 'udh', 'mahal', 'lemot', 'nggak', 'dipakai', 'paketnya', 'parahhhhhhhhhhhh', 'abis', 'bagus', 'pakai', 'lancar']</t>
  </si>
  <si>
    <t>['mohon', 'penjelasan', 'bonus', 'moneteri', 'mis', 'bonus', 'berlaku', 'nomor', 'belanja', 'super', 'market', 'berguna', 'sayang', 'kali', 'isi', 'bonus', 'hilang', 'mohon', 'pelanggan', 'ajari', 'memamfaatkan', 'bonus', 'moneteri', 'ramadhan', 'bermanfaat', 'umat', 'muslim', 'indonesia', 'sia', 'sia', '']</t>
  </si>
  <si>
    <t>['event', 'login', 'harian', 'aneh', 'bngt', 'login', 'pulsa', 'isi', 'hilang', 'gimana', 'parah', 'tolong', 'dibaca', '']</t>
  </si>
  <si>
    <t>['pagi', 'wib', 'jumat', 'april', 'telkomsel', 'eror', 'kerjaan', 'hilang', 'eror', 'dikasih', 'napa', 'pelangganya', 'diem', 'pindah', 'provider', '']</t>
  </si>
  <si>
    <t>['lost', 'signal', 'minggu', 'dri', 'tanggal', 'april', 'internet', 'telkomsel', 'kerja', 'dihitung', 'kerugian', 'beli', 'tower', 'telkomsel', '']</t>
  </si>
  <si>
    <t>['pas', 'beli', 'kuota', 'dana', 'conect', 'banget', 'beli', 'kesusahan', 'doang', 'tolong', 'diperbaiki', '']</t>
  </si>
  <si>
    <t>['gembelll', 'check', 'harian', 'veronika', 'lokasi', 'dmn', 'capture', 'nomor', 'terdaftar', 'ribet', 'klik', 'tombol', 'niat', 'kasih', 'bonusan', 'php', 'donk', '']</t>
  </si>
  <si>
    <t>['telkomsel', 'tolong', 'mahal', 'paketnya', 'sinyalnya', 'bagus', 'paket', 'mahal', 'sinya', 'jelek', 'dosa', 'hak', 'org', 'makai', 'kasih', 'hak', 'kasih', 'sinyal']</t>
  </si>
  <si>
    <t>['nek', 'lihat', 'telkomsel', 'pakai', 'bahasa', 'asing', 'bahasa', 'indonesia', 'bumn', 'ngajarin', 'nggak', 'cinta', 'tanah', 'air', 'bahasa', 'belanda', 'jajah', 'indonesia', 'belanda', 'inggris']</t>
  </si>
  <si>
    <t>['aplikasi', 'raja', 'error', 'dikit', 'refresh', 'masuk', 'berkali', 'masuk', 'terlaku', 'error', 'masuk', 'menu', 'loading', 'muat', 'ulang', 'gini', 'cek', 'paket', 'maaf', 'kesalahan', 'sistem', 'update', 'jng', 'lupa', 'serimg', 'update', 'aplikasi', 'bertambah', 'error', 'update', 'juelllek', '']</t>
  </si>
  <si>
    <t>['tolong', 'min', 'harga', 'paket', 'internet', 'kurangin', 'mahal', 'mahal', 'min', 'paket', 'keluarga', 'aduhhh', 'mahal', 'min', 'tolong', 'min', 'kurangin', 'harga', 'paketan', 'orng', 'serba', 'kecukupan', 'beli', 'harga', 'mahal', 'gitu', '']</t>
  </si>
  <si>
    <t>['daftar', 'paket', 'sms', 'telkomsel', 'terdaftar', 'langganan', 'nonton', 'disney', 'hotstar', 'nonton', 'film', 'berkurang', 'kuota', 'kirain', 'kuota', 'utama', 'ngak', 'kurangi', 'boros', 'kuota', 'pinter', 'loe', 'ngakalin', 'pelanggan', 'buang', 'duit', 'pakai', 'sms', 'kuota', 'irit', 'berlangganan', 'menganggu', 'kuota', 'utama', 'triknya', 'pelanggan', 'pelanggan', 'kejebak']</t>
  </si>
  <si>
    <t>['aplikasi', 'lemot', 'jijik', 'kali', 'beli', 'paket', 'klik', 'pulsa', 'mencukupin', 'habis', 'paket', 'masuk', 'pulsa', 'sedot', 'emang', 'dasar', 'aplikasih', 'jelek', 'dasar', 'penipu', 'telkomsel', 'kecewa', 'apkikasih', 'izin', 'sekli', 'pulsa', 'disedot', 'dasar', 'aplikasi', 'lemot', '']</t>
  </si>
  <si>
    <t>['paketan', 'lumayan', 'keluhkan', 'signal', 'daerah', 'menguntungkan', 'hancur', 'tinggal', 'jalan', 'poros', 'utama', 'hancur', 'masyarakat', 'puas', 'jaringan', '']</t>
  </si>
  <si>
    <t>['turunkan', 'harga', 'paket', 'internet', 'gratis', 'indonesia', 'merdeka', 'th', 'stop', 'menjajah', 'bangsa', 'hahhahahha']</t>
  </si>
  <si>
    <t>['telkomsel', 'jaringanya', 'engga', 'bagus', 'jamkot', 'terussss', 'taik', 'pokoknya', 'telkomsel', 'sampek', 'lemot', 'jaringanya', 'sampek', 'jaringan', 'telkomsel', 'buruk', 'banget', 'parah', 'banget', 'lag', 'gatau', 'pengen', 'pindah', 'kartu', 'gaenak', 'telkom', 'sejancok', 'jancoknya', 'kartu', 'telkomsel', 'jancox', 'sinyal', 'gapernah', 'bagus', 'taik', 'andai', 'sistem', 'report', 'report', 'kartu', 'telkomsel', '']</t>
  </si>
  <si>
    <t>['apl', 'telkomsel', 'buka', 'beli', 'paket', 'susah', 'tolong', 'perbaiki', 'udah', 'kuota', 'mahal', 'ngulah', 'telkomsel']</t>
  </si>
  <si>
    <t>['perbaikan', 'jaringan', 'telkomsel', 'jaringannya', 'jelek', 'nge', 'game', 'nyaman', 'internet', 'lancar', 'aneh', '']</t>
  </si>
  <si>
    <t>['pakai', 'kartu', 'halo', 'jaringan', 'payah', 'brp', 'detik', 'lebh', 'jaringan', 'masuk', 'kelobby', 'game', 'area', 'banjarmasi', 'utara', 'kuin', 'utara', 'kuin', 'terapung', 'berhenti', 'berlangganan', 'kartu', 'halo', '']</t>
  </si>
  <si>
    <t>['kalok', 'memperbaiki', 'sinyal', 'mendingan', 'perusahaan', 'tutup', 'orang', 'emosi', 'main', 'gara', 'gara', 'sinyal', 'bagus', 'sumpah', 'pakek', 'telkomsel']</t>
  </si>
  <si>
    <t>['developer', 'terhormat', 'telkomsel', 'mohon', 'lakukan', 'perbaikan', 'aplikasi', 'update', 'aplikasi', 'komentar', 'teks', 'peringatan', 'something', 'went', 'wrong', 'please', 'try', 'again', 'after', 'sometime', 'perbaiki', 'memperbaiki', 'reputasi', 'pelayanan', 'publik', 'pelanggannya', 'terima', 'kasih', 'sunting', 'komentar', 'aplikasi', 'setalah', 'uninstal', 'versi', 'instal', 'versi', 'terbarunya', 'alhamdulillah', '']</t>
  </si>
  <si>
    <t>['memburuk', 'konektifitasnya', 'byk', 'produk', 'blm', 'wktnya', 'diluncurkan', 'mengorbankan', 'produk', 'terbengkalai', 'operator', 'hny', 'alasan', 'baku', 'perbaikan', 'jaringan', 'harapan', 'pelanggan', 'mengerti', 'produk', 'msh', 'byk', 'org', 'menggunakannya', 'korbankan', 'produk', 'mendpt', 'profit', 'bljr', 'pengalaman', 'bkn', 'belajar', 'produk', '']</t>
  </si>
  <si>
    <t>['telkomsel', 'tolong', 'perbaiki', 'sinyal', 'daerah', 'kadang', 'enak', 'kadang', 'sya', 'bermain', 'game', 'terganggu', 'mematikan', 'menghidupkan', 'mode', 'pesawat', 'sinyal', 'hilang', 'sinyal', 'bagus', 'enak', 'beneran', 'sya', 'kasar', '']</t>
  </si>
  <si>
    <t>['bayar', 'link', 'apknya', 'langsung', 'kebuka', 'browser', 'dlu', 'playstore', 'pas', 'link', 'kebuka', 'tagihannya', 'muncul', 'apk', 'udah', 'update', 'bayarnya', 'gimana']</t>
  </si>
  <si>
    <t>['jadiin', 'evaluasi', 'telkomsel', 'bisanya', 'balesin', 'complaint', 'doang', 'tolong', 'kecewain', 'pelanggan', 'orang', 'beli', 'paket', 'internet', 'harga', 'signal', 'sebanding', 'mahal', 'doang', 'signal', 'harga', 'kalah', 'branding', 'mulu', 'signalnya', 'kaga', '']</t>
  </si>
  <si>
    <t>['aneh', 'membeli', 'paket', 'data', 'pulsanya', 'berkurang', 'paket', 'datanya', 'teraktivasi', 'error', 'gimana', 'mohon', 'penjelasannya', 'menghubungi', 'disuruh', 'link', 'karna', 'gabisa', 'kirim', 'whatsapp', 'tetep', 'linknya', '']</t>
  </si>
  <si>
    <t>['', 'telkomsel', 'ngga', 'buka', 'tulisannya', 'koneksi', 'stabil', 'coba', 'tuk', 'aplikasi', 'koneksi', 'internet', 'stabil', '']</t>
  </si>
  <si>
    <t>['jaringan', 'telkomsel', 'lelet', 'knapa', 'gitu', 'plis', 'gua', 'kasih', 'bintang', 'komentar', 'gua', 'respon', 'telkomsel', 'tolong', 'telkomsel', 'perkuat', 'jaringan', 'penjuru', 'termaksud', 'wilayah', 'sumatra', 'utara']</t>
  </si>
  <si>
    <t>['aplikasi', 'ayo', 'donwload']</t>
  </si>
  <si>
    <t>['udah', 'langganan', 'jaringan', 'bagus', 'buruk', 'nomer', 'cek', 'pulsa', 'kecewa']</t>
  </si>
  <si>
    <t>['semoga', 'provider', 'berjaya', 'berani', 'jual', 'ikutan', 'sesuai', 'rakyat', 'sinyal', 'kencang', 'ayo', 'tri', 'maju', 'memilih', 'tri', 'provider', 'handal', 'bkn', 'sprt', 'operator', 'lokal', 'mahal', 'jaringannya', 'lemot', 'hny', 'kuras', 'uang', 'pelanggan']</t>
  </si>
  <si>
    <t>['kecewa', 'telkom', 'main', 'ping', 'turun', 'mati', 'lampu', 'jrgn', 'ilang', 'gmn', 'kartu', 'telkom', 'bagus', 'harga', 'mahal', 'jaringan', 'gitu', 'gitu', 'mls', 'main', 'gara', 'jaringan', 'turun', 'putus', 'asa', '']</t>
  </si>
  <si>
    <t>['telkomsel', 'ngen', 'gua', 'beli', 'pulsa', 'sampe', 'masuk', 'dicek', 'kode', 'mmi', 'valid', 'buka', 'apk', 'ngebug', 'mulu', 'refresh', 'berkali', 'ngga', 'ngaruh', 'rugi', 'bget', 'anju', 'gua', 'isi', 'pulsa', 'tolol', 'kali', '']</t>
  </si>
  <si>
    <t>['tolonglah', 'developer', 'mohon', 'jaringan', 'diperbaiki', 'sampah', 'banget', 'becus', 'kerjanya', 'telkomsel', 'lemot', 'banget', 'dlu', 'pas', 'lancar', 'banget', 'tpi', 'skrng', 'lemot', 'bat', 'asli', 'mahal', 'hadeh', 'sumpah', 'kesel', 'banting', 'gegara', 'lemot']</t>
  </si>
  <si>
    <t>['udah', 'telkomsel', 'ramadhan', 'biaya', 'transfer', 'pulsa', 'mahal', 'parah', 'ngasih', 'diskon', 'ramadhan', 'nyari', 'tambahan']</t>
  </si>
  <si>
    <t>['semoga', 'telkomsel', 'paketnya', 'pandemi', 'dimana', 'orang', 'sensitif', 'uang', 'telkomsel', 'mengambil', 'keuntungan', 'kuota', 'habis', 'menghabiskan', 'pulsa', 'rugi', 'call', 'center', 'ganti', 'rugi', 'pulsa', 'paket', 'peringatan', 'oke', 'mohon', 'diperjelas', 'kuota', 'kemendikbud', 'notifikasi', 'kuota', 'habis', 'menguras', 'habis', 'pulsa', '']</t>
  </si>
  <si>
    <t>['jaringan', 'telkomsel', 'manado', 'kartuku', 'kartu', 'jaringan', 'stabil', 'malam', 'enakan', 'tolong', 'perbaiki', '']</t>
  </si>
  <si>
    <t>['mohon', 'maaf', 'kasih', 'bintang', 'sinyal', 'telkomsel', 'nge', 'lag', 'pakai', 'main', 'game', 'pakai', 'telkomsel', 'nge', 'lag', 'lag', 'mohon', 'perbaiki', 'sinyalnya', 'pakai', 'main', 'game', 'nge', 'lag', 'udah', 'enak', 'janji', 'kasih', 'bintang', 'bintang', 'makasih', '']</t>
  </si>
  <si>
    <t>['harga', 'paket', 'datanya', 'mahal', 'jaringan', 'lemot', 'harganya', 'mahal', 'jaringannya', 'jelek']</t>
  </si>
  <si>
    <t>['jenis', 'penipuan', 'harga', 'paket', 'tertera', 'harga', 'aslinya', 'beli', 'paket', 'ceria', 'harga', 'knp', 'pulsa', 'tinggal', 'sekian']</t>
  </si>
  <si>
    <t>['siang', 'signal', 'telkomsel', 'mahal', 'adu', 'dng', 'kartu', 'tri', 'murah', 'meria', 'hp', 'versi', 'merk', 'singkat', 'cerita', 'lakukan', 'tujuan', 'lokasi', 'via', 'google', 'maps', 'kota', 'mojokerto', 'desa', 'tarik', 'kabutaen', 'sidoarjo', 'pantau', 'maps', 'petunjuk', 'arah', 'perjalan', 'signal', 'telkomsel', 'down', 'kartu', 'tri', 'tetep', 'stabil', 'titik', 'tujuan', 'terima', 'kasih', 'curhatan', 'pelanggang', 'telkomse', 'ruangan', 'untung', 'kartu', 'provider', '']</t>
  </si>
  <si>
    <t>['untukmu', 'download', 'mytelkomsel', 'dptkan', 'pulsa', 'telkomsel', 'rb', 'berlaku', 'hr', 'sms', 'telp', 'telkomsel', 'klik', 'tsel', 'download', 'promo', 'apr', 'skbl', 'bener', 'dpt', 'pulsa', '']</t>
  </si>
  <si>
    <t>['membuka', 'aplikasi', 'telkomsel', 'terkoneksi', 'jaringan', 'internet', 'sinyal', 'mohon', 'developer', 'memperbaikinya', 'terimakasih']</t>
  </si>
  <si>
    <t>['telkomsel', 'kartu', 'sultan', 'jaringan', 'setan', 'main', 'game', 'sinyal', 'kalah', 'kart', 'murahan', 'benahi', 'jaringan', 'jngan', 'promo', 'paketan', 'telkom', 'bnyak', 'peminat', 'jaringan', 'respon', 'youtube', 'sosmed', 'kartu', 'tolong', 'benahi', 'koneksi', 'gaming', 'thanks', 'for', '']</t>
  </si>
  <si>
    <t>['telkomsel', 'jaringannya', 'jjjuuuuuueeellllleeeeeeeeeeeee', 'ekkkkkkk', 'kaya', 'eeee', 'eeee', 'kkk', 'tembellleeeeek', 'beeebbbbeeeeek', 'telkomsel', 'sok', 'bijaksana', 'saran', 'saran', 'sampah', 'ces', 'udah', 'dicoba', 'cuk', 'dasarnya', 'jaringannya', 'emang', 'perhatian', 'telkomsel', 'sempak', 'mbrodol', 'paket', 'mahal', 'jaringan', 'kaya', 'taik']</t>
  </si>
  <si>
    <t>['harganya', 'doang', 'mahal', 'kualitas', 'nol', 'ngelag', 'ngegame', 'aman', 'ngegame', 'jam', 'sepi', 'malam', 'tolong', 'tingkatkan', 'kualitas', 'harga', 'doang', 'mahalin']</t>
  </si>
  <si>
    <t>['telomsel', 'mesti', 'perbaiki', 'gimana', 'mutu', 'terbaik', 'konsumen', 'kasi', 'notifikasi', 'promo', 'mending', 'perbaiki', 'jaringan', 'lelet', 'kena', 'jhujan', 'angin']</t>
  </si>
  <si>
    <t>['gua', 'kuota', 'packet', 'gua', 'aktif', 'pulsa', 'gua', 'disedot', 'alasannya', 'packet', 'and', 'non', 'aktif', 'padhl', 'aktif', 'sebulan', 'telkomsel', 'konsumen', 'bangkrut']</t>
  </si>
  <si>
    <t>['pengguna', 'setia', 'telkomsel', 'telkomsel', 'dibuka', 'harur', 'refres', 'login', 'mohon', 'developer', 'memperhatikan', 'keluhan', 'penggunanya']</t>
  </si>
  <si>
    <t>['iplakasi', 'cari', 'paket', 'murah', 'bangat', '']</t>
  </si>
  <si>
    <t>['maaf', 'daerah', 'timur', 'nggk', 'log', 'kejadian', 'minggu', 'mohon', 'petunjuknya']</t>
  </si>
  <si>
    <t>['paket', 'game', 'max', 'nga', 'tolong', 'tangapin', 'komen', 'develover', 'tolong', 'paket', 'game', 'max', 'dihilangin', 'gitu', 'ganti', 'rugi', 'udah', 'beli', 'mahal', 'mahal', 'nga', 'pakai']</t>
  </si>
  <si>
    <t>['parah', 'sinyal', 'telkomsel', 'kuota', 'bantuan', 'lelet', 'ngak', 'kasih', 'bantuan', 'kalu', 'lelet', 'uda', 'mahal', 'lelet', '']</t>
  </si>
  <si>
    <t>['mulu', 'harga', 'unlimited', 'internet', 'simpati', 'signal', 'jelek', 'paket', 'unlimited', 'teruss', 'terkadang', 'habis', 'isi', 'pelanggan', 'setia', 'kasih', 'bonus', 'reward', 'minimal', 'paket', 'murahin', '']</t>
  </si>
  <si>
    <t>['akun', 'telkomsel', 'menyambung', 'akun', 'dana', 'menukar', 'poin', 'telkomsel', 'kupon', 'mohon', 'perbaiki', 'alami', 'paket', 'mahal', 'kualitas', 'pelayanan']</t>
  </si>
  <si>
    <t>['semoga', 'melayani', 'pelanggan', 'semaki', 'maju', 'terdepan', 'telkomsel', 'semenjak', 'henfon', 'pakai', 'kartu', 'telkomsel', 'kadang', 'ganti', 'nomor', 'karna', 'hilang', 'dll']</t>
  </si>
  <si>
    <t>['paket', 'tersedia', 'beli', 'wkwkwk', 'dibeli', 'nggak', 'disediakan', 'udah', 'isi', 'pulsa', 'paket', 'kagak', 'kebeli', 'jdinya', 'rugi', 'tolong', 'mimin', 'perbaiki', 'bnyak', 'komentar', 'negatif', 'msuk']</t>
  </si>
  <si>
    <t>['telkomsel', 'kali', 'masuk', 'lalap', 'ngirim', 'link', 'klik', 'link', 'banget', 'hello', 'update', 'ulang', 'lelet', 'and', 'eror', 'mbak', 'pliss', 'baguskan', 'apknya', 'cek', 'paket', 'dll']</t>
  </si>
  <si>
    <t>['pengguna', 'aktif', 'telkomsel', 'jarang', 'harga', 'paket', 'promo', 'bulanan', 'menguntungkan', 'pengguna', 'aktif', 'mahal', 'non', 'aktif']</t>
  </si>
  <si>
    <t>['pengguna', 'telkomsel', 'pengguna', 'kartu', 'sakti', 'paket', 'kartu', 'sakti', 'beli', 'teman', 'beli', '']</t>
  </si>
  <si>
    <t>['semoga', 'menara', 'telkomsel', 'daerah', 'tanjung', 'perak', 'tepatnya', 'masjid', 'muhajirin', 'jalan', 'teluk', 'bone', 'karenakan', 'kadang', 'jaringan', 'daerah', 'putus', 'putus', 'lemot', 'menara', 'telkomsel', 'daerah', 'terima', 'kasih', 'telkomsel', '']</t>
  </si>
  <si>
    <t>['harga', 'paket', 'mahal', 'pelayanan', 'kelas', 'tempe', 'salahkan', 'orang', 'pindah', 'operator', 'layanan', 'sesuai', 'emosi', 'telkomsel', 'orang', 'puasa', 'dosa', '']</t>
  </si>
  <si>
    <t>['sorry', 'developer', 'pulsa', 'terpotong', 'paket', 'data', 'paket', 'telpon', 'pas', 'internet', 'nelpon', 'pulsa', 'terpotong', 'bahaya', 'telkomsel', 'kali', 'ambil', 'untung', 'terusan', 'ganti', 'jaringan', 'nggak', 'telkomsel', '']</t>
  </si>
  <si>
    <t>['koneksi', 'internet', 'paket', 'data', 'utama', 'pulsa', 'berkurang', 'tersisa', 'rupiah', 'merugikan', 'koneksi', 'internet', 'tsel', 'ngadat', '']</t>
  </si>
  <si>
    <t>['nilai', 'untung', 'bintang', 'sinyal', 'parah', 'harag', 'melambung', 'sesuai', 'degan', 'harga', 'perbaiki', 'sinnyal', 'main', 'games', 'leg', 'legan', 'udh', '']</t>
  </si>
  <si>
    <t>['pelayanan', 'buruk', 'via', 'apk', 'telkomsel', 'mengecewakan', 'pelayanannya', 'solusi', 'mengada', 'penjelasannya', 'telkomsel', 'merugikan', 'mengecewakan', 'pelayanannya', 'maaf', 'aplikasinya', 'telkomsel', 'non', 'aktifkan', 'gunanya', 'nomor']</t>
  </si>
  <si>
    <t>['coba', 'paket', 'hemat', 'provider', 'laennya', 'telkomsel', 'mahal', 'jaringan', 'skrng', 'lemot', 'kalah', 'skrng', 'kasih', 'bintang', 'karna', 'telkomsel', 'udah', 'belasan', 'taun', 'besok', 'kasih', 'rating', 'tergantung']</t>
  </si>
  <si>
    <t>['telkomsel', 'off', 'sehari', 'urus', 'grapari', 'ganti', 'udah', 'mati', 'diterbitkan', 'pengguna', '']</t>
  </si>
  <si>
    <t>['update', 'login', 'ulang', 'parah', 'aplikasi', 'berat', 'dibuka', 'wifi', 'super', 'cepat', 'telkomsel', 'sinyal', 'nenek', 'buka']</t>
  </si>
  <si>
    <t>['app', 'membantu', 'kemudahan', 'mendaftarkan', 'paketan', 'tingkatkan', 'kualitas', 'app', 'berharap', 'paketan', 'murah', 'jaringan', 'thank', 'telkomsel']</t>
  </si>
  <si>
    <t>['koneksi', 'jaringan', 'internetnya', 'sebagus', 'sinyal', 'penuh', 'tpi', 'terkoneksi', 'wilayah', 'cibitung', 'sampe', 'beli', 'kartu', 'internetan', 'sinyal', 'menipu', '']</t>
  </si>
  <si>
    <t>['kemaren', 'gua', 'dapet', 'pemberitahuan', 'kuota', 'murah', 'dibeli', 'tanggal', 'april', 'pas', 'tgl', 'april', 'gua', 'beli', 'kuotata', 'murahnya', 'kayak', 'nge', 'ghosting', 'gitu', 'trus', 'pas', 'gua', 'beli', 'apk', 'telkomsel', 'apk', 'ngelag', 'gitu', 'pas', 'apknya', 'gua', 'buka', 'kayak', 'jaringannya', 'ilang', 'pokoknya', 'gua', 'kecewa', 'banget', 'telkomsel', '']</t>
  </si>
  <si>
    <t>['hai', 'telkomsel', 'sebenernya', 'bagus', 'cuman', 'sinyalnya', 'susah', 'banget', 'kadang', 'balas', 'masi', 'susah', 'mohon', 'dibenahi', 'kekurangannya', '']</t>
  </si>
  <si>
    <t>['bagus', 'semoga', 'dipertahankan', 'harga', 'harga', 'paket', 'terjangkau', 'pelajar', 'rumah', 'tangga', 'dll', 'terimakasih', 'sukses', 'kinerja', 'aplikasinya', 'yaa', 'thanks']</t>
  </si>
  <si>
    <t>['udah', 'telkomsel', 'kesini', 'ancur', 'dapet', 'notif', 'kuota', 'habis', 'puluhan', 'ribu', 'pulsa', 'lenyap', 'gara', 'gara', 'kuota', 'habis']</t>
  </si>
  <si>
    <t>['maaf', 'membeli', 'paket', 'internet', 'malam', 'saldo', 'dana', 'dipemberitahuannya', 'pembayaran', 'berhasil', 'saldo', 'dana', 'ditarik', 'tolong', 'dikembalikan']</t>
  </si>
  <si>
    <t>['telkomsel', 'ulah', 'daerah', 'pematang', 'siantar', 'sinyal', 'hilang', 'push', 'rank', 'putus', 'jaringan', 'sekitaran', 'menit', 'tolonglah', 'kawan', 'push', 'rank', 'mabar', 'kawan', 'kawan', 'enaklah', 'kawan', 'disalahin', 'gara', 'gara', 'jaringan', 'apain', 'paket', 'kena', 'putus', 'jaringan', 'udah', 'dikecewain', 'telkomsel', 'udah', 'makasi', 'telkomsel', '']</t>
  </si>
  <si>
    <t>['gue', 'pengguna', 'kesini', 'jaringan', 'lemot', 'telat', 'matiin', 'data', 'sedetik', 'kepotong', 'beli', 'paket', 'kuota', 'malam', 'gb', 'gabisa', 'pulsa', 'gue', 'gue', 'beli', 'paket', 'pas', 'pulsa', 'gue', 'knpa', 'skrng', 'kaya', 'gini', 'kecewa', 'gue', 'telkomsel']</t>
  </si>
  <si>
    <t>['jaringan', 'tekomsel', 'ngaco', 'manteng', 'ehh', 'jaringan', 'internet', 'samasekali', 'kesal', 'perbaiki']</t>
  </si>
  <si>
    <t>['tolong', 'sinyal', 'telkomsel', 'daerah', 'jakarta', 'benarkan', 'sinyal', 'jaringan', 'gimana', 'kecewa', 'pengguna', 'telkomsel', '']</t>
  </si>
  <si>
    <t>['aplikasinya', 'buruk', 'lelet', 'pas', 'ambil', 'paket', 'sms', 'pilihan', 'telfon', 'sms', 'aket', 'telfon', 'paket', 'smsnya', 'udah', 'refresh', 'kalipun', 'kecewa', 'aplikasinya', 'gini', 'buruk', '']</t>
  </si>
  <si>
    <t>['uuh', 'minggu', 'nomor', 'berusia', 'minggu', 'slalu', 'rutin', 'undian', 'awas', 'karma', 'nipu', '']</t>
  </si>
  <si>
    <t>['sinyalnya', 'benerbener', 'parah', 'banget', 'sesuai', 'harga', 'paketannya', 'mahal', 'aktif', 'paketannya', 'karna', 'kartu', 'kerja', 'ganti', 'kartu', 'ngirim', 'laporan', 'pending', 'terkirim', 'tolong', 'diperbaiki', '']</t>
  </si>
  <si>
    <t>['pelanggan', 'paket', 'grab', 'tahunan', 'paket', 'dikenakan', 'pulsa', 'darurat', 'mengaktifkan', 'paket', 'grab', 'gratis', 'nelp', 'operator', 'kouta', 'gb', 'notif', 'sms', 'dikenakan', 'pulsa', 'darurat', 'rb', 'penambahan', 'kouta', 'gb', 'kouta', 'dipaketanku', 'gb', 'kecewa', 'langsung', 'kepotong', 'isi', 'pulsa']</t>
  </si>
  <si>
    <t>['kesini', 'sinyal', 'telkomsel', 'parah', 'lokasi', 'jakarta', 'internet', 'sinyal', 'mateng', 'full', 'pakai', 'internet', 'ngadat', 'banget', 'kecewa', 'udah', 'beli', 'kuota', 'sinyal', 'ngadat', 'gini', 'iyah', 'aktif', 'kuota', 'mengikuti', 'aktif', 'kartu', 'mah', 'rugi', 'aktif', 'kuota', 'sayang', 'sayang', 'aktif', 'kuota', 'habis', 'kuota', '']</t>
  </si>
  <si>
    <t>['jaringan', 'telkomsel', 'buruk', 'koneksi', 'menerima', 'tlp', 'terputus', 'putus', 'main', 'gem', 'parah', 'parah', 'buang', 'duit', 'beli', 'koata', 'tolong', 'perbaiki', '']</t>
  </si>
  <si>
    <t>['sinyal', 'jelek', 'banget', 'udah', 'beli', 'mahal', 'sinyal', 'memuaskan', 'senyalnya', 'enak', 'down', 'banget', 'kayak', 'jam', 'sinyal', 'down', 'gajelas', 'telkom', 'gua', 'saranin', 'beli', 'telkom', 'fix']</t>
  </si>
  <si>
    <t>['pelanggan', 'telkomsel', 'koneksi', 'internet', 'lemot', 'kbps', 'isi', 'ulang', 'kuota', 'unlimited', 'sosmed', 'sinyal', 'hape', 'bagus', 'full', 'bar', 'slogan', 'jaringan', 'terluas', 'terstabil', 'gimmick', 'belaka', 'mohon', 'bantuannya', '']</t>
  </si>
  <si>
    <t>['sinyal', 'kawasan', 'perum', 'ksb', 'cibarusah', 'sefang', 'cikarang', 'selatan', 'bekasi', 'ngak', 'stabil', 'sinyal', 'rumah', 'susah']</t>
  </si>
  <si>
    <t>['hadeuuuhhh', 'beli', 'paketnya', 'mahal', 'ehhh', 'dipakainya', 'lemot', 'buka', 'aplikasi', 'telkomsel', 'dikasi', 'pemberitahuan', 'jaringan', 'internet', 'stabil', 'gitu', '']</t>
  </si>
  <si>
    <t>['tolong', 'kebijakannya', 'bis', 'ganti', 'rugi', 'beli', 'kouta', 'duit', 'daun', 'kemaren', 'beli', 'dipaketin', 'lancar', 'pas', 'pagi', 'sampe', 'jam', 'segini', 'gabisa', 'dipake', 'kouta', 'gb', 'kebuang', 'sia', 'sia', 'tolong', 'ganti', 'rugi']</t>
  </si>
  <si>
    <t>['tolong', 'telkomsel', 'diper', 'baiki', 'jaringan', 'masak', 'sinyal', 'game', 'youtob', 'jga', 'gakbisa', 'gimana', 'sulusinya', 'sumpah', 'kec', 'banget', '']</t>
  </si>
  <si>
    <t>['harga', 'paketan', 'internet', 'mahal', 'berlangganan', 'banget', 'kasih', 'bintang', 'dikasih', 'paket', 'murah', 'promo', 'kasih', 'bintang', '']</t>
  </si>
  <si>
    <t>['parah', 'telkomsel', 'liat', 'pulsa', 'nganggur', 'main', 'sedot', 'aje', 'habis', 'pulsa', 'gue', 'paket', 'data', 'nyesel', 'beli', 'pulsa', 'mending', 'paketan', 'murah', 'sinyal', 'bagus', 'telkomsel', 'penjilat', 'pulsa', '']</t>
  </si>
  <si>
    <t>['hlo', 'min', 'jaringannya', 'lelet', 'min', 'jaringan', 'kenceng', 'jamnya', 'buka', 'youtube', 'lelet', 'download', 'game', 'lelet', 'main', 'game', 'lelet', 'jga', 'jaringan', 'berasa', 'kek', 'tolong', 'min', 'cepet', 'muak', 'min', 'jaringan', 'telkomsel', '']</t>
  </si>
  <si>
    <t>['telkomsel', 'multitasking', 'download', 'main', 'game', 'sinyal', 'hilang', 'dab', 'langsung', 'disconnect', 'mahal', 'doang', 'sinyal', 'kek', 'gitu', '']</t>
  </si>
  <si>
    <t>['kecewa', 'penguna', 'telkomsel', 'lancar', 'jaringannya', 'parah', 'beli', 'kuota', 'harga', 'mahal', 'jaringan', 'lemot', '']</t>
  </si>
  <si>
    <t>['telkomsel', 'mohon', 'kebijakan', 'kali', 'beli', 'pulsa', 'pulsa', 'cepat', 'habis', 'terpakai', 'udah', 'kali']</t>
  </si>
  <si>
    <t>['telkomsel', 'sinyal', 'sadis', 'ambil', 'paketan', 'internet', 'beli', 'pulsa', 'kecepatan', 'mbs', 'leg', 'niat', 'orang', 'senang', 'pengguna', 'telkomsel', 'aktif', 'sinyal', 'sadis', 'sungguh', 'mengecewakan', '']</t>
  </si>
  <si>
    <t>['tolong', 'perbaiki', 'jaringan', 'kab', 'ketapang', 'kalimantan', 'barat', 'tepatnya', 'kec', 'manismata', 'area', 'kedipi', 'estate', 'khusus', 'jaringan', 'kuat', 'bos', 'tolong', 'perhatikan', 'tindaklanjuti', '']</t>
  </si>
  <si>
    <t>['pengguna', 'telkomsel', 'kecewa', 'layanan', 'telkomsel', 'jaringan', 'koneksi', 'internet', 'buruk', 'berkali', 'restart', 'menonaktifkan', 'kartu', 'mengaktifkan', 'mohon', 'diperbaiki', 'kenyamanan', 'pengguna', 'harga', 'mahal', 'kualitas', 'sepadan', 'harga', 'dibayarkan', 'terimakasih', '']</t>
  </si>
  <si>
    <t>['bagus', 'informatif', 'pilihan', 'paketnya', 'emang', 'pricey', 'sebulan', 'rb', 'udah', 'dapet', 'kuota', 'jaringan', 'bagus', 'mantap', 'telkomsel']</t>
  </si>
  <si>
    <t>['woiiii', 'telkomsel', 'kau', 'korup', 'masyarakat', 'paketan', 'data', 'kau', 'mahal', 'daerah', 'jawa', 'jaringan', 'kau', 'perbaiki', 'jaringan', 'stabil', 'tolong', 'perhatikan', 'wilayah', 'indonesia', 'indonesia', 'timur', 'kepulauan', 'jangkaulah', 'iklanmu', 'kau', 'menjangkau', 'uang', '']</t>
  </si>
  <si>
    <t>['sumpah', 'bengkulu', 'selatan', 'kec', 'sukaraja', 'kab', 'seluma', 'telkomsel', 'udah', 'kecewa', 'super', 'ngelag', 'kusuhnya', 'main', 'game', 'beli', 'kouta', 'udah', 'mahal', 'ngelag', 'tolong', 'perbaiki', 'thanks']</t>
  </si>
  <si>
    <t>['telkomsel', 'pas', 'cek', 'beli', 'paketan', 'kuota', 'kirim', 'hadiah', 'jam', 'berubah', 'ubah', 'bingung', 'tauk', 'tolong', 'diperbaiki', 'ditetapkan', 'berubah', 'ubah', 'kasih', 'berlaku', 'beli', 'kuota', 'jam', 'munculnya']</t>
  </si>
  <si>
    <t>['asli', 'instal', 'uninstall', 'berkali', 'kali', 'gara', 'lemot', 'aplikasinya', 'efektif', 'kek', 'jaringan', 'telkomsel', 'suka', 'stabil', 'kuota', 'tenggang', 'jaringannya', 'jelek', 'naudzubillah', 'tolong', 'benerin', 'kek', 'kuota', 'telkomsel', 'murah', 'gada', 'murah', 'mahal', 'kuota', 'harganya', 'mahal', 'kualitasnya', 'jelek', 'provider', 'terkenal', 'profesional', 'payah', '']</t>
  </si>
  <si>
    <t>['aplikasi', 'buruk', 'boong', 'hayuk']</t>
  </si>
  <si>
    <t>['udah', 'ambil', 'paket', 'mahal', 'sinyal', 'jelek', 'stabil', 'ngeselin', 'game', 'sinyal', 'drooppp', 'mohon', 'kirim', 'spam', 'notifikasi', 'berulang', 'ulang', 'mengganggu']</t>
  </si>
  <si>
    <t>['membaca', 'comen', 'telkomsel', 'memiliki', 'akses', 'jaringan', 'internet', 'saking', 'penasaran', 'coba', 'bener', 'telkomsel', 'susah', 'conecsi', 'terkenal', 'jaringan', 'terluas', 'conecsi', 'kalah', 'jaringan', 'telkomsel', 'lelet', 'conecsi', 'payah', 'coba', 'ngadu', 'operator', 'suruh', 'cek', 'setingan', 'matikan', 'ngikutin', 'arah', 'operator', 'sma', 'conec']</t>
  </si>
  <si>
    <t>['', 'telkomsel', 'mempermudah', 'bertransaksi', 'memudahkan', 'cek', 'kuota', 'berlaku', 'kartu', 'intinya', 'telkomsel', 'mempermudah', 'urusan', '']</t>
  </si>
  <si>
    <t>['disaat', 'data', 'habis', 'aplikasi', 'error', 'stamp', 'reset', 'nol', 'nomor', 'paket', 'data', 'murah', 'berubah', 'harga', 'mahal', 'paket', 'murah', 'update', 'hilang']</t>
  </si>
  <si>
    <t>['telkomsel', 'basa', 'basi', 'isi', 'paket', 'giga', 'nama', 'akun', 'pengisian', 'kali', 'itupun', 'menit', 'paket', 'habis', 'nol', 'maksud', 'kinerja', 'orang', 'berdosalah', 'dibulan', 'puasa', 'perbaiki', 'system', 'koment', 'ditanggapi', 'pura', 'dibaca', 'dilaknat', 'allah', 'swt', 'telkomsel', 'diseluruh', 'dunia', 'kecewa', 'kecewa', 'kecewa', '']</t>
  </si>
  <si>
    <t>['sihhh', 'tpi', 'kjadian', 'top', 'pulsa', 'bca', 'virtual', 'account', 'tpi', 'masuk', 'sdangkan', 'laporannya', 'berhasil', 'dirugikan', 'kecewa', 'harap', 'telkomsel', 'menindaklanjuti', 'bertanggung', 'provider', 'sekelas', 'telkomsel', 'profesional', '']</t>
  </si>
  <si>
    <t>['gunanya', 'aplikasi', 'masuk', 'aplikasi', 'registrasi', 'berulangkali', 'menunggu', 'dikirim', 'link', 'sms', 'buka', 'ditunggu', 'berkali', 'terima', 'linknya', 'susah', 'kehabisan', 'paket', 'beli', 'susah', '']</t>
  </si>
  <si>
    <t>['alhamdulillah', 'puas', 'telkomsel', 'jaringan', 'luas', 'terjangkau', 'harga', 'relatif', 'terjangkau', 'terima', 'kasih', 'tingkatkan', 'pelayanannya', 'pokoknya', 'terima', 'kasih', 'telkomsel']</t>
  </si>
  <si>
    <t>['sinyal', 'lemott', 'bnyak', 'promo', 'penipuan', 'telkomsel', 'tolong', 'ngasih', 'gausah', 'pke', 'sistem', 'market', 'membohongi', 'pelanggan', 'menarik', 'customer', 'tks']</t>
  </si>
  <si>
    <t>['tolong', 'perbaiki', 'sinyalnya', 'bosan', 'bermain', 'game', 'sinyalnya', 'ngelag', 'tolong', 'perbaiki', '']</t>
  </si>
  <si>
    <t>['perbaiki', 'jaringan', 'wilayah', 'wilayah', 'operator', 'telkomsel', 'jaringan', 'seindah', 'orok', 'udah', 'nyaman', 'telkomsel', 'berubah']</t>
  </si>
  <si>
    <t>['kualitas', 'jaringan', 'telkomsel', 'menurun', 'jaringan', 'nonton', 'youtube', 'kualitas', 'buffering', 'lapor', 'fitur', 'veronika', 'perbaikan', 'memalukan', 'perusahaan', 'telkomsel', 'provider', 'berusaha', 'telkomsel', 'jelek']</t>
  </si>
  <si>
    <t>['bener', 'ajalah', 'gua', 'udh', 'beli', 'paket', 'unlimited', 'notif', 'masuk', 'udh', 'coba', 'restart', 'matiin', 'data', 'nyalain', 'ttp', 'masuk', 'coba', 'paketin', 'unlimited', 'ttp', 'gaada', 'notif', 'udh', 'cek', 'emg', 'kuota', 'unlimitednya', 'blm', 'masuk', 'trus', 'gua', 'coba', 'xnya', 'masuk', 'langsung', 'paketan', 'buset', 'tekor', 'pulsa', 'gua', 'benerin', 'servernya', 'maketin', 'suka', 'lag', 'gitu', 'sinyal', 'bagus', 'makasih', 'pulsanya', 'gua', 'ikhlasin']</t>
  </si>
  <si>
    <t>['puas', 'aplikasinya', 'loading', 'dibuka', 'mohon', 'diperbaiki', 'user', 'telkomsel', 'bintang', 'terima', 'kasih']</t>
  </si>
  <si>
    <t>['berguna', 'bermanfaat', 'promo', 'paket', 'telkomsel', 'senang', 'memakai', 'aplikasi', 'telkomsel', 'krna', 'mudah', 'membeli', 'paket', 'data', 'telkomsel', 'ribet', 'kluar', 'rumah', 'registrasi', 'ulang', 'mantap', 'deh', 'pokoknya', '']</t>
  </si>
  <si>
    <t>['rampok', 'pulsa', 'udh', 'isi', 'pulsa', 'dipake', 'beli', 'paketan', 'buka', 'aplikasi', 'buka', 'aplikasi', 'bebas', 'pemakaian', 'internet', 'khusus', 'pengguna', 'telkomsel', 'potong', 'pulsa', 'beli', 'paketan', '']</t>
  </si>
  <si>
    <t>['memuaskan', 'telkomsel', 'terkadang', 'kendala', 'lelet', 'mengggunakannya', 'apalgi', 'kmpng', 'dipelosot', 'mngkin', 'daerah', '']</t>
  </si>
  <si>
    <t>['telkomsel', 'puluhan', 'kali', 'buka', 'telkomsel', 'kaltim', 'almarhum', 'kiko', 'memasarkan', 'menganjurkan', 'memakai', 'telkomsel', 'perusahaan', 'bts', 'blum', 'sayangkan', 'nomor', 'pelanggan', 'telkomsel', 'sifatnya', 'pribadi', 'smoga', 'menghecker', 'pelanggan', 'trims', '']</t>
  </si>
  <si>
    <t>['maaf', 'min', 'nyaman', 'layanan', 'paket', 'internet', 'bayar', 'beli', 'transaksi', 'berhasil', 'respon', 'pulsa', 'normal', 'paket', 'pilih', 'terbeli', 'berkali', 'kali', 'hasil', 'tolong', 'reaponsibnya', 'mempermainkan', 'pelanggang', 'trimah', 'kasih', '']</t>
  </si>
  <si>
    <t>['', 'babi', 'udh', 'paket', 'mahal', 'sinyal', 'jelek', 'jelek', 'dimahalin', 'tolol', 'jelek', 'paket', 'murahin', 'gua', 'miskin', 'gue', 'beli', 'mahal', 'gue', 'sinyalnya', 'bagus', 'kayak', 'kartu', 'smartfriend', 'tolollllllllllllllllllllllllllllllllllllllllll']</t>
  </si>
  <si>
    <t>['telkomsel', 'babi', 'gue', 'beli', 'paket', 'unlimited', 'youtube', 'anjirr', 'jaringan', 'gue', 'beli', 'paket', 'pakai', 'pulsa', 'beli', 'pulsa', 'pakai', 'daun', 'tolol', 'gini', 'mending', 'pakai', 'kartu', 'sebelah', 'ajalah']</t>
  </si>
  <si>
    <t>['apikasi', 'komennya', 'buruk', 'pas', 'nyoba', 'emang', 'beneran', 'apknya', 'buka', 'nyuruh', 'ngechat', 'alamat', 'email', 'balas', 'mendingan', 'fokus', 'memperbaiki', 'aplikasi', 'kekurangan', 'kendalanya']</t>
  </si>
  <si>
    <t>['sinyal', 'telkomsel', 'buruk', 'kadang', 'hilang', 'nggak', 'hujan', 'beli', 'kuota', 'mengirim', 'tugas', 'karna', 'sinyalnya', 'ilang', 'main', 'game', 'online', 'lag', 'parah', 'kecewa', 'sinyal', 'telkomsel', 'sinyal', 'hilang']</t>
  </si>
  <si>
    <t>['bangun', 'tower', 'pelosok', 'bodo', 'plosok', 'sinyal', 'telkomsel', 'udah', 'paket', 'mahal', 'sinyal', 'susah', 'kota', 'kau', 'urus', 'liat', 'pelosok', 'adai', 'sinyal', 'kartu', 'gua', 'make', 'telkomsel', 'gua', '']</t>
  </si>
  <si>
    <t>['tolong', 'penjelasannya', 'paket', 'unlimited', 'youtube', 'harian', 'kouta', 'ketengan', 'kali', 'membeli', 'pakai', 'mengecewakan']</t>
  </si>
  <si>
    <t>['pengguna', 'telkomsel', 'udah', 'jaringannya', 'kayak', 'gini', 'super', 'lemot', 'super', 'lelet', 'telkomsel', 'ngutamain', 'jaringan', '']</t>
  </si>
  <si>
    <t>['aplikasi', 'telkomsel', 'susah', 'buka', 'kadang', 'kadang', 'terbuka', 'membeli', 'paket', 'update', 'aplikasi']</t>
  </si>
  <si>
    <t>['jelek', 'banget', 'beli', 'paket', 'internet', 'bulanan', 'harian', 'aplikasi', 'tersedia', 'paket', 'doang', 'paket', 'conference', 'pendidikan', 'paket', 'internet', 'malam', 'tersedia', 'paket', 'bulananan', 'hariannya', '']</t>
  </si>
  <si>
    <t>['kecewa', 'jaringan', 'telkomsel', 'pakai', 'telkomsel', 'aman', 'jaringan', 'parah', 'nggak', 'isi', 'paketnya', 'nggak', '']</t>
  </si>
  <si>
    <t>['update', 'perbaharui', 'ribet', 'login', 'login', 'link', 'mending', 'kode', 'ajah', 'soale', 'kartu', 'modem', 'bongkar', 'modem', 'login', '']</t>
  </si>
  <si>
    <t>['tolonglah', 'telkomsel', 'kemarin', 'ngisi', 'pulsa', 'beli', 'paket', 'kuota', 'kemdikbud', 'udah', 'aktif', 'beli', 'kuota', 'kemdikbud', 'dipake', 'pulsa', 'trus', 'sayang', 'pulsa', 'tertarik', 'beliin', 'mid', 'night', 'udah', 'streaming', 'jam', 'mlm', 'jam', 'abis', 'cek', 'kuota', 'streaming', 'selamam', 'ternya', 'kuota', 'kemdikbud', 'udah', 'jam', 'tolong', 'lahhhh']</t>
  </si>
  <si>
    <t>['tanggal', 'april', 'logout', 'update', 'aplikasi', 'nggak', 'login', 'menerima', 'link', 'login', 'sms', 'berulang', 'kali', 'tap', 'dikirim', 'link', 'sms', '']</t>
  </si>
  <si>
    <t>['paket', 'murah', 'harga', 'ribu', 'senang', 'kali', 'beli', 'moga', 'sukses', 'telkomsel', 'emang', 'paket', 'harga', 'beli', 'harga', 'paket', 'malu', 'beli', 'sultan', 'pingin', 'paket', 'gb', 'asik']</t>
  </si>
  <si>
    <t>['beli', 'paket', 'data', 'gangguan', 'gmn', 'karna', 'tolonglah', 'perbaiki', 'telkomnya', 'nguras', 'duit', 'rakyat', 'doang', 'parahh', '']</t>
  </si>
  <si>
    <t>['unt', 'send', 'gift', 'keterangan', 'tertulis', 'min', 'klik', 'paketan', 'tertulis', 'voice', 'unt', 'tsel', 'mntan', 'pakai', 'telp', 'tsel', 'pulsa', 'kepotong', '']</t>
  </si>
  <si>
    <t>['jaringan', 'taik', 'jualan', 'online', 'gara', 'jaringan', 'telkomsel', 'jualan', 'buka', 'shopee', 'ganti', 'kartu', 'sinyal', 'telkomsel', '']</t>
  </si>
  <si>
    <t>['alhamdulillah', 'aplikasi', 'membantu', 'proses', 'data', 'internet', 'pkt', 'nelpon', 'insyaallah', 'mengecewakan', 'paket', 'spesial', 'promo', 'promo', 'dibanyakin', 'murah', 'terjangkau', 'the', 'best']</t>
  </si>
  <si>
    <t>['daily', 'check', 'reward', 'tinggal', 'rewardnya', 'claim', 'gara', 'gara', 'update', 'iya', 'gratisan', 'hak', 'pengguna', 'telkomsel', 'mohon', 'diperbaiki', 'direvisi', '']</t>
  </si>
  <si>
    <t>['sebulan', 'login', 'klik', 'login', 'disuruh', 'cek', 'sms', 'tuk', 'verifikasi', 'klik', 'link', 'link', 'dikirim', 'diklik', 'cuman', 'dicopy', 'share', 'login', 'via', 'google', 'facebook', 'terdaftar', 'coba', 'diuninsntall', 'trus', 'install', 'tetep', 'login', '']</t>
  </si>
  <si>
    <t>['mohon', 'telkomsel', 'fitur', 'lock', 'pulsa', 'provider', 'sebelah', 'berguna', 'menguntungkan', 'pelanggan', 'pelanggan', 'khawatir', 'pulsanya', 'hilang', 'please', 'tambahkan', 'fitur', 'lock', 'pulsa', 'please', '']</t>
  </si>
  <si>
    <t>['gajelas', 'sinyal', 'buruk', 'jawa', 'maen', 'game', 'online', 'ngelag', 'gajelas', 'dihutan', 'kuota', 'mahal', 'zonkkk', 'gimana', 'admin', 'tolong', 'perbaiki', 'sinyal', '']</t>
  </si>
  <si>
    <t>['telkomsel', 'payah', 'lemot', 'paket', 'mahal', 'mahal', 'benerin', 'min', 'jaringan', 'kalah', 'provider', 'abal', 'googling', 'nyesel', 'gua', 'pindah', 'telkomsel', 'atasi', 'balasan', 'butuh', 'balasan', 'butuh', 'tindakannya', 'fast', 'respon', 'pengguna', 'telkomsel', 'pindah', 'provider', 'telkom', 'kek', 'siput', 'lambat', 'kesini', 'jelek', 'payah', 'sinyal', 'jelek', 'payah', '']</t>
  </si>
  <si>
    <t>['ganti', 'kartu', 'halo', 'sinyal', 'buruk', 'internet', 'lemot', 'sesuai', 'dijanjikan', 'tlp', 'menawarkan', 'upgrade', 'kartu', 'halo', 'restat', 'bekali', 'kali', 'off', 'mode', 'pesawat', 'berkali', 'kali', 'lemot', 'pusat', 'kota', 'pas', 'tugas', 'daerah', 'data', 'internet', 'terpakai', 'sinyal', 'jaringan', 'telkomsel', 'buruk', 'mohon', 'diperbaiki', 'telkomsel']</t>
  </si>
  <si>
    <t>['kuota', 'pakai', 'kuota', 'habis', 'pulsa', 'kepotong', 'notifikasi', 'kuota', 'habis', 'kuota', 'pakai', '']</t>
  </si>
  <si>
    <t>['jaringan', 'tekomsel', 'error', 'gini', 'udah', 'puluhan', 'pakai', 'trus', 'pulsa', 'berkurang', 'pakai', 'hedewh', 'tolong']</t>
  </si>
  <si>
    <t>['tolong', 'hadiah', 'chek', 'perpanjang', 'bos', 'roly', 'bos', 'dikit', 'berlaku', 'sebulan', 'mantab', 'bosque', 'klw', 'ane', 'kasih', 'bintang', 'bos']</t>
  </si>
  <si>
    <t>['jaringan', 'tercepat', 'indonesia', 'daerah', 'jaringan', 'internet', 'jaringan', 'lelet', 'tiang', 'pemancar', 'daerah', 'stabil', 'stabil', 'memaksa', 'menggonta', 'ganti', 'apn', '']</t>
  </si>
  <si>
    <t>['aplikasinya', 'baguss', 'kedepanya', 'tolong', 'tambahkan', 'fitur', 'ubah', 'prioritas', 'penggunaan', 'kuota', 'customer', 'memilih', 'kuota', 'dipakai', '']</t>
  </si>
  <si>
    <t>['update', 'kendala', 'panik', 'susah', 'login', 'muncul', 'kalimat', 'something', 'went', 'wrong', 'trus', 'twitter', 'bantuan', 'alhamdulillah', 'respon', 'berlin', 'cepat', 'banget', 'ditambah', 'ramah', 'salut', 'telkomsel', 'solusinya', 'mudah', 'nomor', 'aktif', 'jaringan', 'wilayah', 'gangguan', 'update', 'silahkan', 'restart', 'masuk', 'pengaturan', 'aplikasi', 'menghapus', 'chace', 'restart']</t>
  </si>
  <si>
    <t>['apk', 'warga', 'daerah', 'jaringannya', 'tolong', 'tingkatkan', 'jaringan', 'daerah', 'lili', 'camplong', 'kab', 'kupang', 'daerah', 'ibukota', 'kabupaten', 'pengguna', 'tsel', 'jaringan', 'lelet', 'disaat', 'pandemi', 'sistem', 'daring', 'pelajar', 'pekerja', 'terhambat', 'jaringan', 'payah', 'tolong', 'diperbaiki', 'inua']</t>
  </si>
  <si>
    <t>['', 'pulsa', 'hilang', 'trus', 'maw', 'maketin', 'pulsa', 'kesedot', 'dikit', 'beli', 'pulsa', 'dimatikan', 'datanya', 'dasar', 'lintah', 'darat', 'gua', 'sumpah', 'aplikasi', 'sengsara', 'ngambil', 'pulsa', '']</t>
  </si>
  <si>
    <t>['maaf', 'min', 'beli', 'paket', 'unlimited', 'sinyl', 'agk', 'sulit', 'pdhl', 'paket', 'utamanya', 'habis', 'jga', 'dket', 'tower', 'sinyl', 'sulit', 'mohon', 'diperhatikan', 'lgi', 'kenyamanan', 'penggunanya', 'terima', 'kasih']</t>
  </si>
  <si>
    <t>['bintang', 'kasih', 'bintang', 'pakai', 'telkomsel', 'akun', 'udah', 'diamond', 'tpi', 'semenjak', 'corona', 'telkomsel', 'jelek', 'parah', 'harga', 'sesuai', 'kualitas', 'rela', 'beli', 'paket', 'games', 'tpi', 'ttp', 'nge', 'lag', 'bermain', 'dengerin', 'keluhan', 'customer', 'pindah', 'provider', 'harga', 'mahal', 'sinyal', 'bagus', 'gapapa', 'harga', 'selangit', 'tpi', 'sinyal', 'kopong']</t>
  </si>
  <si>
    <t>['pelanggan', 'yth', 'terima', 'kasih', 'menghubungi', 'mengunjungi', 'permintaan', 'keluhan', 'terima', 'diproses', 'nomor', 'tiket', 'cunl', 'status', 'tiket', 'silahkan', 'hubungi', 'call', 'center', 'menampung', 'keluhan', 'peebaikan', 'iya', 'seerti', 'beralih', 'operator', 'seluler', 'berkirim', 'kabar', 'orang', 'dirumah', 'cikarang', 'pelosok', 'jaringan', 'buruk', '']</t>
  </si>
  <si>
    <t>['jaringannya', 'buruk', 'kuat', 'lemot', 'lgi', 'pakai', 'kartu', 'byu', 'paket', 'unlimited', 'jaringan', 'telkomsel', 'sia', 'sia', 'paket', '']</t>
  </si>
  <si>
    <t>['bagus', 'parahhhh', 'mahal', 'doang', 'sebanding', 'kualitas', 'paket', 'gua', 'isi', 'langsung', 'angus', 'lapor', 'berkali', 'nyelesaiin', 'gunanya', 'balesnya', 'lamaaa', 'ampe', 'jamuran', 'nunggunya', '']</t>
  </si>
  <si>
    <t>['tampilkan', 'kota', 'kritik', 'saran', 'aplikasi', 'pengguna', 'saran', 'refrensi', 'telkomsel', 'sinyal', 'lambat', 'memuaskan', '']</t>
  </si>
  <si>
    <t>['kecewa', 'kuota', 'unlimited', 'whatsapp', 'whatsapp', 'chat', 'panggilan', 'telpon', 'panggilan', 'video', 'keambil', 'kuota', 'utamanya', '']</t>
  </si>
  <si>
    <t>['apk', 'mengganti', 'jaringan', 'jaringan', 'tolong', 'informasi', 'luwes', 'semoga', 'membaca', 'terimakasih', '']</t>
  </si>
  <si>
    <t>['pelanggan', 'setia', 'telkomsel', 'telkomsel', 'sebagus', 'listrik', 'padam', 'signal', 'tselpun', 'padam', 'parahnya', 'diwilayah', 'pemadaman', 'listrik', '']</t>
  </si>
  <si>
    <t>['maaf', 'kak', 'turun', 'bintang', 'jaringan', 'telkomsel', 'lelet', 'jaringan', 'hilang', 'gitu', 'kak', 'gitu', 'kak', 'parah', 'malam', 'kak', 'jaringan', 'kadang', 'hilang', 'gitu', 'tolong', 'kak', 'perbaiki', 'malam', 'ngerjakan', 'tugas', 'kuliah', 'emosi', 'karna', 'jaringan', 'malam', 'lelet', 'suka', 'hilang', 'jaringan', '']</t>
  </si>
  <si>
    <t>['paket', 'gb', 'beli', 'nunggu', 'verifikasi', 'pulsa', 'promonya', 'tolong', 'diverifikasi', 'udh', 'clear', 'aplikasi', 'clear', 'data', 'hapus', 'download', 'aplikasi', 'tetep', 'gabisa', 'diupdate', 'gajelas', 'telkomsel']</t>
  </si>
  <si>
    <t>['layanan', 'dibuka', 'terima', 'kasih', 'banget', 'pilihan', 'kuota', 'main', 'game', 'unlimited', 'kuota', 'medsos', 'murah', 'unfaedah', 'maaf', 'kuota', 'manfaat', 'mending', 'dihilangkan', 'salam', 'pengguna', 'setia', '']</t>
  </si>
  <si>
    <t>['', 'kartu', 'telkomsel', 'gimana', 'ngisi', 'pulsa', 'cuman', 'malam', 'habis', 'data', 'seluler', 'mati', 'kartu', 'pas', 'masukin', 'mala', 'pulsa', 'gila', 'emang']</t>
  </si>
  <si>
    <t>['paketan', 'bosster', 'kemarin', 'tinggal', 'beli', 'pulsa', 'paketin', 'bosster', 'paketan', 'boster', 'habis', 'beli', 'pulsa', 'gunanya', 'tanggung', 'rakyat', 'miskin']</t>
  </si>
  <si>
    <t>['pulsa', 'beli', 'kemarin', 'pakek', 'udah', 'berkurang', 'duluan', 'kejadian', 'udah', 'kejadian', 'pakek', 'lho', 'wahh', 'bener', 'fix', 'ganti', 'perdana', 'kayak', 'gini', 'mengecewakan', '']</t>
  </si>
  <si>
    <t>['laporan', 'tolong', 'perbaiki', 'sinyalnya', 'jelek', 'banget', 'akses', 'udah', 'laporan', 'ttp', 'respon', 'nyuruh', 'mode', 'pesawat', 'pdhl', 'doang', 'mengalami', 'tetangga', 'kaya']</t>
  </si>
  <si>
    <t>['diakses', 'sulit', 'loading', 'lambat', 'saldo', 'pulsa', 'paket', 'bali', 'notif', 'muncul', 'pulsa', 'mencukupi', 'aneh', 'mohon', 'bantuannya']</t>
  </si>
  <si>
    <t>['dikenai', 'paket', 'darurat', 'udah', 'paket', 'combo', 'telpon', 'kuota', 'pas', 'isi', 'pulsa', 'disedot', 'bayar', 'ngeri', 'telkomsel', 'udah', 'lelet', 'lintah', 'darat', 'mesti', 'bayar', 'paket', 'darurat', 'ucapkan', 'selamat', 'tinggal', 'telkomsel', 'ngeri', 'telkomsel', 'pantasan', 'maju', 'indonesia', 'usaha', 'milik', 'negara', 'menghisap', 'darah', 'rakyat', 'miris']</t>
  </si>
  <si>
    <t>['telkomsel', 'sinyalnya', 'jelek', 'main', 'game', 'susah', 'buka', 'udh', 'bangkrut', 'sinyalnya', 'jelek', 'upss', 'canda', 'bangkrut', '']</t>
  </si>
  <si>
    <t>['tolong', 'perbaiki', 'tower', 'jarigan', 'sinyal', 'prov', 'jambi', 'kab', 'tebo', 'kec', 'tebo', 'ulu', 'desa', 'tanjung', 'aur', 'telago', 'mudo', 'meresahkan', 'masyarakat', 'berkomunikasi', 'tolong', 'tanggapi']</t>
  </si>
  <si>
    <t>['aplikasi', 'buruk', 'stamp', 'daily', 'check', 'hadiah', 'diklaim', 'ujung', 'stamp', 'hangus', 'bsa', 'sia', 'buang', 'paket', '']</t>
  </si>
  <si>
    <t>['seriusan', 'sumpah', 'twingg', 'koneksi', 'epep', 'say', 'burik', 'gila', 'parah', 'ngirim', 'pesan', 'kek', 'abat', 'kekirim', 'nyesek', 'banget', '']</t>
  </si>
  <si>
    <t>['kak', 'telkomsel', 'wilayah', 'minggu', 'signal', 'didekat', 'rumah', 'berdiri', 'tower', 'operator', 'aktifkan', 'signal', 'telkomsel', 'hilang', 'signal', 'tolong', 'solusinya', 'kak', 'mksh']</t>
  </si>
  <si>
    <t>['ppk', 'dak', 'nyesal', 'beli', 'kartu', 'telkomsel', 'jaringan', 'turun', 'sumpah', 'beli', 'kartu', 'jlk', 'kali', 'aplikasi', 'burik', 'gue', 'saranin', 'pakek', 'kartu', 'you', 'bagus', 'thu', '']</t>
  </si>
  <si>
    <t>['pengguna', 'telkomsel', 'ganti', 'kartu', 'kartu', 'indosat', 'tri', 'smartfren', 'telkomsel', 'mengecewakan', 'pakai', 'telkomsel', 'normal', 'banget', 'jaringannya', 'semenjak', 'libur', 'corona', 'covid', 'ancur', 'banget', 'jaringan', 'tugas', 'butuh', 'internet', 'ngerjain', 'pengguna', 'telkomsel', 'ganti', 'mengganggu', 'keseruan', 'nonton', 'main', 'game', 'dll']</t>
  </si>
  <si>
    <t>['telkomsel', 'iya', 'mahal', 'jaringan', 'oke', 'kebalikannya', 'bayar', 'mahal', 'jaringan', 'lemot', 'membuka', 'telkomsel', 'nunggu', 'bolak', 'muter', 'mulu', 'promonya', 'seambrek', 'zonk', '']</t>
  </si>
  <si>
    <t>['beli', 'paket', 'kuota', 'unlimited', 'masuk', 'pulsa', 'berkurang', 'paket', 'masuk', 'tolong', 'rugi', 'kuota', 'belajar', 'pulsa', 'kesedot', 'kuota', 'masuk', 'tega', 'semoga', 'allah', 'membalas', 'setimpal']</t>
  </si>
  <si>
    <t>['telkomsel', 'wilayah', 'bumiayu', 'kab', 'brebes', 'sinyal', 'lemot', 'banget', 'pas', 'ajibarang', 'kab', 'banyumas', 'sinyal', 'lancar', 'tolong', 'hubungi', 'kerja', 'telkomsel', 'bumiayu', 'sinyal', 'lemot', 'banget', 'tidur', 'ngga', 'kerja', 'gaji', 'tolong', 'sinyal', 'daerah', 'bumiayu', 'lemot', 'banget', 'tolong', 'diperbaiki', 'ganti', 'operator', 'beli', 'paketan', 'mahal', 'mahal', 'sinyal']</t>
  </si>
  <si>
    <t>['tolong', 'direspon', 'telkomsel', 'terhormat', 'selesai', 'berhasil', 'pengisian', 'paket', 'telpon', 'perhari', 'tanggal', 'april', 'aplikasi', 'linkaja', 'terpotong', 'saldo', 'paket', 'telpon', 'berhasil', '']</t>
  </si>
  <si>
    <t>['beli', 'paket', 'promo', 'gunanya', 'dipajang', 'dibeli', 'pulsa', 'isi', 'silahkan', 'mbak', 'mas', 'admin', '']</t>
  </si>
  <si>
    <t>['gimana', 'jaringannya', 'aneh', 'buka', 'sosmed', 'normal', 'dipakai', 'ngegame', 'jaringan', 'ilang', 'ilang', 'udah', 'mode', 'pesawat', 'dll', 'aneh', 'jaringan', 'telkomsel', 'udah', 'mahal', 'jaringan', 'ilang', 'ilangan', 'rugi', 'beli', 'telkomsel', 'tolong', 'diperbaiki', 'jaringannya']</t>
  </si>
  <si>
    <t>['jelek', 'eror', 'paket', 'beli', 'muncul', 'pindah', 'tolong', 'butuh', 'banget', 'paket', 'unlimited', 'max', 'hilangkan', 'oke', 'pahamkan', '']</t>
  </si>
  <si>
    <t>['celeng', 'kontol', 'tempek', 'kontol', 'kuota', 'mahal', 'sinyal', 'nggk', 'dukung', 'hapus', 'perdana', 'nyusain', 'orang', 'doang', 'ngrusak', 'hapus', 'perdana', '']</t>
  </si>
  <si>
    <t>['kendala', 'jaringan', 'bermasalah', 'jam', 'harganya', 'provider', 'kualitasnya', 'mengecewakan', '']</t>
  </si>
  <si>
    <t>['tolong', 'aplikasinya', 'diperbaiki', 'kaga', 'log', 'gimanaaaaa', 'iniiii', 'susaah', 'beli', 'paket', 'tolong', 'dikondisikan', '']</t>
  </si>
  <si>
    <t>['bar', 'sinyal', 'penuh', 'internetnya', 'ngak', 'pakai', 'veronika', 'bego', 'banget', 'pakai', 'kartu', 'halo', 'borossssssss', 'gila']</t>
  </si>
  <si>
    <t>['udah', 'unistal', 'ajha', 'nie', 'aplikasi', 'mytelkom', 'bngt', 'mlh', 'kacawa', 'pas', 'buka', 'mental', 'mulu', 'suruh', 'buka', 'masuk', 'via', 'sms', 'trus', 'klik', 'masuk', 'crom', 'bngt', 'meningan', 'ketik', 'beres', 'aman']</t>
  </si>
  <si>
    <t>['kak', 'main', 'game', 'kadang', 'pindah', 'sinyal', 'dri', 'ngelag', 'kak', '']</t>
  </si>
  <si>
    <t>['aplikasi', 'telkomsel', 'perbaikan', 'kah', 'kemarin', 'kemarin', 'sulit', 'banget', 'masuk', 'penanganan', 'lakukan', 'kasih', 'bintang', 'nol', 'kasih', 'aplikasi', 'telkomsel', 'service', 'pemakai']</t>
  </si>
  <si>
    <t>['kesini', 'simpati', 'sinyal', 'jelek', 'banget', 'maen', 'game', 'muter', 'kesel', 'paketan', 'mhal', 'seharus', 'sinyal', 'bagusin', 'tpi', 'kesini', 'bnget', 'telkomsel', 'ganguan', 'kecewa']</t>
  </si>
  <si>
    <t>['tolong', 'telkomsel', 'sigap', 'komplain', 'apk', 'dibuka', 'jng', 'hannya', 'mengejar', 'keuntungan', 'masyarakat', 'penguna', 'kartu', 'telkomsel', 'kecewa', 'beli', 'paket', 'tolong', 'tingkatkan', 'layanannya', 'hannya', 'mengembangkan', 'aplikasi', 'update', 'dll', 'berguna', '']</t>
  </si>
  <si>
    <t>['maaf', 'mimin', 'nanya', 'knpa', 'skrng', 'masuk', 'telkomsel', 'kirain', 'kendala', 'udah', 'bnyak', 'orang', 'menggalami', 'kendala', 'tolong', 'perbaiki', 'terimakasih']</t>
  </si>
  <si>
    <t>['developer', 'telkomsel', 'terhormat', 'maaf', 'kasih', 'bintang', 'paket', 'aktifnya', 'paketnya', 'bantuan', 'internet', 'kemendikbud', 'paket', 'streaming', 'video', 'ceritanya', 'paket', 'bantuan', 'internet', 'pemerintah', 'kepake', 'paket', 'aktif', 'tinggal', 'utuh', 'tolong', 'diperbaiki', 'merugikan']</t>
  </si>
  <si>
    <t>['habis', 'download', 'login', 'bisaa', 'udh', 'masukin', 'nomer', 'bener', 'sampe', 'cari', 'youtube', 'gmna', 'login', 'telkomsel', 'tampilan', 'login', 'berbeda', 'youtube', '']</t>
  </si>
  <si>
    <t>['semenjak', 'ganti', 'versi', 'susah', 'login', 'jaringan', 'bagus', 'pakai', 'wifi', 'susah', 'dibuka', 'clear', 'chace', 'clear', 'all', 'data', 'froce', 'close', 'susah', 'login', 'transaksi', 'harap', 'perbaikan', 'thanks', '']</t>
  </si>
  <si>
    <t>['', 'ngab', 'nama', 'telkomsel', 'ganti', 'telkontol', 'telkomnyet', 'telkommemek', 'telkasu', 'pilih', 'salah', 'main', 'deket', 'tower', 'ngeleg', 'gimana', 'ngajak', 'berantem', 'daya', 'keluhkan', 'knp', 'pulsa', 'hilang', 'paket', 'data', 'idupin', 'data', 'seluler', 'pas', 'malem', 'malem', 'beli', 'paket', 'malem', 'pulsa', 'gimana', 'ngab']</t>
  </si>
  <si>
    <t>['gmn', 'sinyal', 'mulu', 'ngerjain', 'tugas', 'lol', 'main', 'game', 'ngelag', 'ngelag', 'pas', 'daily', 'check', 'masuk', 'kuota', 'pulsa', 'poin', 'klaim', 'masuk', 'udah', 'klaim', 'hadiah', 'rendemnya', 'masuk', 'sia', 'sia', 'nunggu', 'minggu', 'dapet']</t>
  </si>
  <si>
    <t>['diupdate', 'buka', 'gimana', 'berpotensi', 'merugikan', 'hak', 'konsumen', 'mohon', 'kerjasama', '']</t>
  </si>
  <si>
    <t>['yth', 'telkomsel', 'tolong', 'tower', 'telkomsel', 'area', 'ponggok', 'klaten', 'diperbaiki', 'apalah', 'sinyalnya', 'bagus', 'dikit', 'astaga', 'sinyalnya', 'jelek', 'banget', 'kartu', 'udah', 'udah', 'fiture', 'experience', 'program', 'tetep', 'sinyal', 'jelek', 'perasaan', 'rumahku', 'plosok', 'plosok', 'berharap', 'diperbaiki', 'terimakasih', '']</t>
  </si>
  <si>
    <t>['kecewa', 'disaat', 'butuh', 'paket', 'masuk', 'aplikasi', 'mytelkomsel', 'sampek', 'uninstall', 'aplikasi', 'install']</t>
  </si>
  <si>
    <t>['telkomsel', 'skrng', 'bosok', 'banget', 'sinyalnya', 'kuat', 'nusantara', 'tpi', 'kenyataanya', 'letoi', 'klh', 'smartfrend', 'pdhal', 'dlu', 'kek', 'gini', 'loo', 'masak', 'bka', 'sosmed', 'muter', 'trus', 'mainan', 'auto', 'kalah', 'trus', 'lemot', 'kek', 'bekicot', 'kota', 'sbagai', 'pengguna', 'puluhan', 'kecewa', 'perbaikin', '']</t>
  </si>
  <si>
    <t>['kecewa', 'system', 'iya', 'habis', 'ludes', 'hitungan', 'detik', 'kehabisan', 'quota', 'telkomsel', 'ribu', 'rupiah', 'gila', 'telkomsel', 'pemerasan', 'kartu', 'perdana', 'sumpah', 'sungguh', 'kecewa']</t>
  </si>
  <si>
    <t>['adain', 'save', 'pulsa', 'pemberitahuan', 'kuota', 'abis', 'telat', 'pulsa', 'udah', 'abis', 'gaampe', 'detik', 'rb', 'langsung', 'abis', 'gila', 'gua', 'udah', 'make', 'telkom', 'kygt', 'males', '']</t>
  </si>
  <si>
    <t>['update', 'log', 'out', 'nomor', 'log', 'udah', 'restart', 'app', 'clear', 'cache', 'log', '']</t>
  </si>
  <si>
    <t>['udah', 'nyaman', 'sam', 'fitur', 'fiturnya', 'paket', 'ceria', 'kali', 'emang', 'kesannya', 'bersyukur', 'pesan', 'menjanjikan', 'kedepan', 'minggu', 'paketannya', 'php', 'bener', 'gacha', 'moment']</t>
  </si>
  <si>
    <t>['pengguna', 'setia', 'telkomsel', 'sinyal', 'dimana', 'lemot', 'kaya', 'beli', 'paket', 'uang', 'gb', 'sinyalnya', 'lemot', 'ampun', 'kayak', 'sisa', 'tinggal', 'gb', 'ajah', 'sinyal', 'kadang', 'ilang', 'kaya', 'mode', 'pesawat', 'pdhl', 'data', 'nyala', 'banget', 'sinyal', 'doang', 'tinggal', 'kota', 'sekian', 'mohon', 'bantuannya', 'telkomsel', 'diperbaiki', 'jaringannya', 'pelanggan', 'setia', 'kabur', 'pindah', 'hati', '']</t>
  </si>
  <si>
    <t>['mantap', 'bug', 'eventnya', 'mantap', 'udah', 'redeem', 'event', 'daily', 'check', 'kiraen', 'udh', 'terima', 'pas', 'buka', 'whats', 'app', 'ngibul', 'ngirim', 'pesan', 'mantap']</t>
  </si>
  <si>
    <t>['telkomsel', 'kecamatan', 'gemuh', 'kabupaten', 'kendal', 'jawa', 'jaringan', 'internet', 'lemooot', 'secepat', 'nyesel', 'beli', 'paketnya', 'merubah', 'bintang', 'jaringan', 'ditempat', 'bagus', 'laporkan', 'suruh', 'menunggu']</t>
  </si>
  <si>
    <t>['paketannya', 'aneh', 'kaya', 'paket', 'hilang', 'udh', 'enak', 'kartu', 'telkomsel', 'gini', 'terpaksa', 'pindah', '']</t>
  </si>
  <si>
    <t>['aplikasinya', 'membantu', 'manfaat', 'point', 'reward', 'disaat', 'uwang', 'pas', 'pasan', 'beli', 'makanan', 'kebantu', 'diskon']</t>
  </si>
  <si>
    <t>['masuk', 'apk', 'uninstall', 'trus', 'suruh', 'download', 'ulang', 'stlah', 'download', 'gag', 'dibuka', 'knp', 'kao', 'tel', 'jengkel', 'bah']</t>
  </si>
  <si>
    <t>['promo', 'beli', 'apasih', 'tolong', 'diproses', 'pembelian', 'paket', 'ralat', 'penilaian', '']</t>
  </si>
  <si>
    <t>['sya', 'beli', 'paket', 'combo', 'sakti', 'gb', 'kuota', 'data', 'internet', 'semoga', 'mengecewakan', 'jabodetabek', 'sja', 'mengecewakan', 'ahkir', 'hayat', 'pakai', 'aplikasi', '']</t>
  </si>
  <si>
    <t>['ancur', 'simpati', 'males', 'pakem', 'gua', 'rugi', 'parah', 'benerin', 'muter', 'mulu', 'huuuuuuuuuuuuu', 'parah', 'kerja', 'woe']</t>
  </si>
  <si>
    <t>['', 'telkomsel', 'memudahkan', 'cek', 'saldo', 'data', 'sms', 'klik', 'tolong', 'perbaiki', 'klaim', 'bonus', 'harian', 'muncul', 'aplikasi', 'terimakasih']</t>
  </si>
  <si>
    <t>['udah', 'hapus', 'chace', 'udah', 'paksa', 'berhenti', 'app', 'trs', 'udah', 'pakai', 'wifi', 'uninstall', 'download', 'lagii', 'ngga', 'buka', 'gimana', 'temen', 'gua', 'buka', 'udah', 'nggaaa', 'bisaaaaaaaaaa']</t>
  </si>
  <si>
    <t>['kesini', 'bukanya', 'miskin', 'jaringan', 'sel', 'setahun', 'knpa', 'alhir', 'miskin', 'jaringan', '']</t>
  </si>
  <si>
    <t>['abis', 'jam', 'malam', 'udah', 'hilang', 'jaringan', 'jngan', 'data', 'nelpon', 'sja', 'sinyal', 'bkan', 'cuman', 'udah', 'kek', 'bgini', 'lokasi', 'kel', 'bulurokeng', 'kec', 'biringkanaya', 'kota', 'makassar', 'mngkin', 'krna', 'aturan', 'telkomsel', 'berwenang', 'mematikan', 'jaringannya', 'kali', 'peduli', 'kenyamanan', 'pelanggan', '']</t>
  </si>
  <si>
    <t>['jaringan', 'telkomsel', 'buruk', 'banget', 'harga', 'mahal', 'nama', 'ber', 'merk', 'kalah', 'saing', 'perdana', 'jaman', 'maju', 'saingan', 'sepelekan', 'pelangganmu', 'server', 'buruk', 'pindah', 'perdana', 'kecewa', 'server', 'telkomsel']</t>
  </si>
  <si>
    <t>['berkah', 'kau', 'telkomsel', 'makan', 'duitku', 'beli', 'kuota', 'kuota', 'gb', 'chat', 'music', 'games', 'sosmed', 'youtube', 'unlimited', 'nonton', 'youtube', 'makan', 'kuota', 'gb', 'apalah', 'maksudnya', 'telkomsel', '']</t>
  </si>
  <si>
    <t>['nyuri', 'pulsa', 'pelanggan', 'ngisi', 'pulsa', 'dipakai', 'karna', 'paketan', 'kuota', 'internet', 'tinggal', 'kota', 'mumpuni', 'telkomsel', 'udh', 'bayar', 'mahal', 'koneksi', 'stabil', 'game', 'youtube', 'koneksi', 'tidk', 'kuat', '']</t>
  </si>
  <si>
    <t>['telkomsel', 'lemot', 'jaringa', 'sya', 'kartu', 'jaringan', 'serasa', 'super', 'lemot', 'jaringan', 'hilang', 'timbul', 'kartu', 'bgtu', 'teman', 'ngeluh', '']</t>
  </si>
  <si>
    <t>['', 'memiliki', 'hutang', 'pulsa', 'telkomsel', 'kartu', 'memiliki', 'hutang', 'pulsa', 'hilang', 'membayar', 'nomor', 'aktif', 'bayar', 'amal', 'sedekah', 'messenger', 'facebook', 'twitter', 'memuaskan', '']</t>
  </si>
  <si>
    <t>['mohon', 'kuota', 'lokal', 'ditiadakan', 'pakai', 'mengikuti', 'aturan', 'telkomselnya', 'terimakasih', '']</t>
  </si>
  <si>
    <t>['dear', 'telkomsel', 'jaringan', 'telkomsel', 'buruk', 'mati', 'lampu', 'jaringan', 'telkomsel', 'mati', 'telkomsel', 'memperhatikan', 'kualitas', 'jaringannya', 'banyaknya', 'masyarakat', 'disekitar', 'desa', 'beralih', 'pembelian', 'paket', 'internet', 'kartu', 'im', 'indosat', 'jaringan', 'indosat', 'terkendala', 'daerah', 'mati', 'lampu', 'pejabat', 'telkomswl', 'percaya', 'silahkan', 'cek', 'desa', 'trimulya', 'jaya', 'kec', 'ukui', 'kabupaten', 'pelalawan', 'riau']</t>
  </si>
  <si>
    <t>['kecewa', 'apk', 'telkomsel', 'saldo', 'beli', 'paket', 'saldo', 'berkurang', 'pas', 'beli', 'paket', 'ehh', 'muncul', 'someting', 'wrong', 'nipu', 'tolong', 'perbaiki', 'telkomsel', 'terbaik', 'penggunanya', 'paket', 'mahal', 'murahin', 'dikit', 'napa', 'operator', 'sayang', 'senang', 'memakai', 'telkomsel', 'paket', 'mahal', 'beli']</t>
  </si>
  <si>
    <t>['mohon', 'maaf', 'tolong', 'customer', 'servis', 'perbanyak', 'menu', 'pengaduan', 'singal', 'masak', 'isinya', 'pembayaran', 'muluk', 'ngadu', 'singal', 'kaya', 'sebelah', 'ngadu', 'singal', 'terimakasih']</t>
  </si>
  <si>
    <t>['tolong', 'telkomsel', 'kouta', 'aktif', 'kouta', 'aktifnya', 'tinggal', 'terpakai', 'aktif', 'telkomsel', 'tolonglah', 'terpakai', 'sisa', 'aktifnya', 'udah', 'habis', 'sisa', 'terpakai', 'nonaktifkan', 'kouta', 'internet', '']</t>
  </si>
  <si>
    <t>['harga', 'kuota', 'internetnya', 'mahaalll', 'bangeetttt', 'boong', 'matamu', 'emg', 'mahal', 'jncok', '']</t>
  </si>
  <si>
    <t>['tolong', 'signalnya', 'diperbaiki', 'stabil', 'signalnya', 'bagus', 'signal', 'internet', 'telkomsel', 'suka', 'stabil', 'lemot', 'tolong', 'perbaiki']</t>
  </si>
  <si>
    <t>['apk', 'telkomsel', 'membantu', 'berguna', 'voucher', 'beli', 'paket', 'ketengan', 'sampe', 'wlwpun', 'harganya', 'kadang', 'nain', 'turun', 'udah', 'curiga', 'voucher', 'telkomsel', 'real', 'iya', 'beli', 'voucher', 'udh', 'ludes', 'udah', 'kontrol', 'pemakaian', 'tpi', 'paket', 'meluncur', 'deras', 'kemana', 'lucu']</t>
  </si>
  <si>
    <t>['maaf', 'kasih', 'bintang', 'dlu', 'bingung', 'apl', 'membeli', 'program', 'daily', 'check', 'pulsa', 'kepotong', 'banget', 'aneh', 'pulsa', 'potong', 'banget', 'tolong', 'min', 'kembalikan', 'pulsa', 'perbaiki', 'daya', 'kasih', 'bintang', 'sekian', '']</t>
  </si>
  <si>
    <t>['bnyak', 'org', 'apk', 'mytelkomsel', 'dibuka', 'disuruh', 'login', 'pas', 'login', 'disuruh', 'masukkan', 'link', 'pdahal', 'cuman', 'sepele', 'doang', 'pengguna', 'telkomsel', 'paket', 'murah', 'belinya', 'mytelkomsel', 'apk', 'mytelkomsel', 'kegunaannya', 'beli', 'paket', 'diatas', 'dibawa', 'serius', 'kasih', 'bintang', 'sgala', 'paket', 'mahal', 'ngomel', 'dasar', 'warga', '']</t>
  </si>
  <si>
    <t>['ganti', 'kartu', 'nomor', 'kartu', 'rusak', 'mahal', 'banget', 'iya', 'dapet', 'kuota', 'namanya', 'pemaksaan', 'beli', 'produk', 'kuotanya', '']</t>
  </si>
  <si>
    <t>['say', 'kasih', 'bintang', 'kecewa', 'isi', 'pulsa', 'ribu', 'beli', 'paket', 'ribu', 'telkomsel', 'klik', 'pembelian', 'gagal', 'pulsa', 'berkurang', 'mengakses', 'telkomsel', 'tolonglah', 'provider', 'mengakses', 'layanan', 'gratis', 'telkomsel', 'nyedot', 'pulsa', 'pliss', 'kuno', 'perbaiki', 'pulsa', 'berkurang', 'ribu', 'mengakses', 'telkomsel', '']</t>
  </si>
  <si>
    <t>['beli', 'paket', 'data', 'ulang', 'berskala', 'trus', 'udah', 'hapus', 'data', 'pas', 'login', 'kirim', 'link', 'coba', 'pencet', 'gabisa', 'linknya', 'warna', 'biru', 'tolong', 'sarannya', 'butuh', 'banget', 'paket', 'data', 'thks']</t>
  </si>
  <si>
    <t>['mahalnya', 'doang', 'paketnya', 'sinyal', 'jelek', 'ujan', 'gede', 'sampe', 'langsung', 'jelek', 'parah', 'sinyalnya', 'mahal', 'sinyal', 'bagus', 'sesuai', 'pembeli', 'puas', 'coba', '']</t>
  </si>
  <si>
    <t>['apknya', 'jelek', 'tpi', 'boong']</t>
  </si>
  <si>
    <t>['', 'promo', 'paket', 'internet', 'dibanyakkin', 'mahal', 'paket', 'internet', 'dibagi', 'pelanggan', 'berpindah', 'operator', 'minggu', 'jaringan', 'area', 'sumbar', 'lubuk', 'buaya', 'duku', 'bagus', 'tolong', 'diperbaiki', 'pinda', 'operator']</t>
  </si>
  <si>
    <t>['mendingan', 'pindah', 'axis', 'promo', 'dapet', 'bonus', 'gb', 'minggu', 'udah', 'pakai', 'axis', 'kuota', 'sos', 'gratis', 'promosi', 'pengalaman', 'kuota', 'gratis', 'perminggu', 'dowload', 'aplikasi', 'axisnet']</t>
  </si>
  <si>
    <t>['aplikasinya', 'berat', 'masukya', 'susah', 'butuh', 'sinyal', 'kuat', 'instal', 'cobak', 'masuk', 'hapus', 'instal', 'ulang', 'cobak', 'masuk', '']</t>
  </si>
  <si>
    <t>['min', 'poin', 'trlkomsel', 'tuker', 'voucer', 'game', 'kayak', 'dlu', 'bintang', 'kasih', 'tuker', 'full', 'bintang', 'edit', 'knp', 'sinyal', 'down', 'mulu', 'prcuma', 'beli', 'kuota', 'mahal', 'sinyal', 'down', 'blum', 'beli', 'paket', 'gabisa', 'kepake', '']</t>
  </si>
  <si>
    <t>['beli', 'paket', 'spesial', 'beli', 'pembayaran', 'sukses', 'pulsa', 'paket', 'data', 'masuk', 'promo', 'harap', 'hapus', 'dri', 'dibeli', '']</t>
  </si>
  <si>
    <t>['kecewa', 'karna', 'beli', 'pulsa', 'trus', 'beli', 'tawaran', 'telkom', 'beli', 'tawaran', 'kouta', 'extrem', 'gb', 'ditipu', 'telkom', 'kouta', 'pulsa', 'disedot', 'payah']</t>
  </si>
  <si>
    <t>['aplikasi', 'dibuka', 'akses', 'izin', 'klik', 'bmdi', 'install', 'uninstall', 'berkali', 'izin', 'akses', 'pas', 'kasi', 'klik', 'izinkan', 'sampe', 'jengkel', 'ulang', 'berkali', 'aplikasi', 'disentuh', 'pas', 'masuk', 'app', 'layar', 'touch', 'apapun', 'tolong', 'perbaiki', '']</t>
  </si>
  <si>
    <t>['terima', 'kasih', 'improve', 'checkin', 'otomatis', 'masuk', 'mytelkomsel', 'wifi', 'berangsur', 'pulsa', 'terkurangi', 'koq', 'pulsa', 'dikurangi', 'data', 'diaktifkan', 'paket', 'data', 'aktifkan', 'pulsa', 'paket', 'data', 'maw', 'habis', 'semestinya', 'tercover', 'paket', 'data', 'satunya', 'pulsanya', 'terkuras', 'duluan', 'nol', 'mohon', 'perbaikan', 'bugsny', 'sgra']</t>
  </si>
  <si>
    <t>['sungguh', 'mengecewakan', 'aplikasinya', 'dibuka', 'udah', 'dri', 'minggu', 'nyoba', 'udah', 'uninstal', 'aplikasinya', 'kali', 'nyoba', 'clear', 'cache', 'jga', 'kebuka', 'jga', 'udah', 'kirim', 'email', 'gada', 'balasan', 'kecewa', 'banget', 'aplikasi', '']</t>
  </si>
  <si>
    <t>['app', 'jelek', 'nguras', 'plsa', 'pdahal', 'nggak', 'pke', 'data', 'hidup', 'sim', 'plsa', 'sim', 'kuras', 'trus', 'suruh', 'aduin', 'telegram', 'udah', 'aduain', 'tawarin', 'promo', 'males', '']</t>
  </si>
  <si>
    <t>['kecewa', 'sinyal', 'susah', 'bar', 'sinyalnya', 'full', 'tetep', 'lag', 'ping', 'turun', 'network', 'eror', 'knp', 'telkomsel', 'males', 'gunain', 'telkomsel']</t>
  </si>
  <si>
    <t>['paket', 'data', 'berkurang', 'harga', 'harga', 'diatas', 'rp', 'kuota', 'gb', 'mahal', 'promo', 'nmr', 'jarang', 'mohon', 'dikurangi', 'harga', 'paket', 'data', 'mahal', 'kurangi', 'bintang', 'promo', 'kuota', 'harga', 'terjangkau', 'kuota', 'mahal', 'emang', 'duit', 'gampang', 'dicarinya', 'mohon', 'perhatikan', 'orang', 'tani', 'berat', 'paket', 'harga', '']</t>
  </si>
  <si>
    <t>['pulsanya', 'auto', 'kepotong', 'kuota', 'nelpon', 'sms', 'internetnya', 'nyoba', 'ganti', 'pengaturan', 'sim', 'tetep', 'pulsanya', 'kesedot', 'internetan', 'kartu', 'tsel', 'riwayat', 'nelpon', 'sms', 'udah', 'nyoba', 'hubungin', 'via', 'telegram', 'csnya', 'riwayat', 'transaksi', 'sistem', 'update', 'max', 'jam', 'karna', 'datanya', 'udah', 'ditungguin', 'gada', 'follow', 'bingung', 'udah', 'tsel', 'gini', 'yaudah', 'pindah', 'operator']</t>
  </si>
  <si>
    <t>['aplikasi', 'daftar', 'paket', 'nggak', 'aktivasi', 'peket', 'habisnya', 'tgl', 'tgl', 'pemberitahuan', 'aktif', 'paket', 'kerakhir', 'habis', 'donk', 'pulsaku', 'kayak', 'gini', 'kesini', 'error', 'hufth', 'nggak', 'puassssss', '']</t>
  </si>
  <si>
    <t>['hay', 'dev', 'masukan', 'tolong', 'usahakan', 'fitur', 'namanya', 'lock', 'pulsa', 'kesedot', 'pas', 'kuota', 'abis', 'kejadian', 'ngisi', 'pulsa', 'beli', 'paket', 'trus', 'ketiduran', 'pas', 'dibuka', 'hilang', 'deh', 'rb', 'beli', 'paket', 'deh', 'terima', 'kasih']</t>
  </si>
  <si>
    <t>['kecewa', 'berubah', 'telkomsel', 'lemot', 'aplikasi', 'telkomsel', 'suka', 'mulu', 'buka', 'aplikasi', 'ngerti', 'telkomsel', 'knpa', 'jdi', 'gini']</t>
  </si>
  <si>
    <t>['pengurus', 'telkomsel', 'gua', 'urus', 'jaringan', 'manding', 'deh', 'gua', 'kartu', 'oke', 'bagus', 'sampah', 'kartu', 'apus', 'kartu', 'indo', 'kartu', 'sampah']</t>
  </si>
  <si>
    <t>['nyesel', 'kartu', 'telkom', 'kuota', 'gb', 'tulisan', 'mengakses', 'internet', 'non', 'tarif', 'pulsa', 'ribu', 'habis', 'nyesel', 'sumpah', 'beli', 'ajig', 'malas', 'pakai', 'telkom']</t>
  </si>
  <si>
    <t>['sinyal', 'ditempat', 'tinggal', 'buruk', 'bicara', 'aplikasi', 'susah', 'kendala', 'sekelas', 'telkomsel', 'care', 'terkait', 'jaringan', 'internet', '']</t>
  </si>
  <si>
    <t>['kualitas', 'sinyal', 'telkomsel', 'buruk', 'dikabupaten', 'kapuas', 'hulu', 'kalbar', 'perusahaan', 'infonya', 'peduli', 'gimana', 'kompeten', 'ganti', 'pekerjanya', '']</t>
  </si>
  <si>
    <t>['benerin', 'sinyal', 'update', 'sinyal', 'nge', 'lag', 'tolong', 'woy', 'sinyal', 'benerin', 'gua', 'udh', 'kesel', 'sampe', 'gua', 'rusak', 'tolong', 'woiiiiiiiiiiii', 'bangkeeeeeeee', '']</t>
  </si>
  <si>
    <t>['udah', 'sebulan', 'internet', 'sinyal', 'kadang', 'kadang', 'susah', 'internet', 'payah', 'udah', 'mahal', 'mengecewakan', 'tolong', 'diperbaiki', 'lemooootttttt', 'merugikan', 'konsumen', '']</t>
  </si>
  <si>
    <t>['coba', 'cek', 'jaringan', 'telkomsel', 'daerah', 'sumsel', 'stabil', 'kecewa', 'harga', 'sesuai', 'kualitas', 'kota', 'pelosok', 'rekondasi', 'kartu', 'ambil', 'paket', 'merdeka', 'gb', 'sinyal', 'dikota', '']</t>
  </si>
  <si>
    <t>['jaringan', 'internet', 'telkomsel', 'daerah', 'koto', 'laweh', 'kec', 'koto', 'kabupaten', 'tanah', 'datar', 'nggak', 'stabil', 'pakai', 'paket', 'internet', 'murahan', 'udah', 'capek', 'refres', 'hasilnya']</t>
  </si>
  <si>
    <t>['telkomsel', 'emang', 'niat', 'ngasih', 'unlimited', 'game', 'bener', 'main', 'game', 'ngelag', 'ngga', 'login', 'telkomsel', 'mentang', 'mentang', 'udah', 'kayak', 'gitu', '']</t>
  </si>
  <si>
    <t>['telkomsel', 'kuota', 'unlimited', 'sosmed', 'knp', 'lemot', 'lancar', 'perbaikan', 'kah', '']</t>
  </si>
  <si>
    <t>['jaringan', 'terkuat', 'indonesia', 'preeeet', 'daerah', 'sinyal', 'gitu', 'pemerintah', 'berambisi', 'hahaha', 'menang', 'gengsi', 'doang', 'dri', 'negara', 'merata', 'orang', 'kota', 'menikmati', 'layanan', 'sinyal', 'baguss']</t>
  </si>
  <si>
    <t>['gimana', 'tolong', 'donk', 'beli', 'paket', 'unlimitid', 'youtube', 'harga', 'dipake', 'buffering', 'mlulu', 'telkomsel', 'sampe', 'quotanya', 'dipake']</t>
  </si>
  <si>
    <t>['ntah', 'knpa', 'kpincut', 'beralih', 'lngganan', 'indosat', 'ketelkomsel', 'krna', 'dibohongi', 'jaringannya', 'merusak', 'sangkin', 'peenah', 'stabilnya', 'sinyal', 'indosat', '']</t>
  </si>
  <si>
    <t>['telkomsel', 'lelet', 'kaya', 'super', 'cepat', 'tolong', 'min', 'perbaiki', 'tinggal', 'kota', 'perkampungan']</t>
  </si>
  <si>
    <t>['banget', 'buka', 'samsung', 'tulisan', 'tutup', 'aplikasi', 'ngapa', 'ngapain', 'udah', 'bln', 'ganti', 'nomor', 'perubahan', 'minggu', '']</t>
  </si>
  <si>
    <t>['dear', 'telkom', 'paket', 'unlimitednya', 'rada', 'eror', 'untk', 'msikmaxnya', 'ama', 'chatnya', 'gkbisa', 'akses', 'lemot', 'banget', 'cuman', 'sosmednya', 'beli', 'paket', 'unlimited', 'rb', 'kali', 'beli', 'paket', 'seneng', 'ruginya', 'beli', 'gini', 'cuman', 'eror', 'doang', 'udah', 'kali', 'beli', 'gini', 'mulu', 'koreksi', 'salah', 'emang', 'alamin', '']</t>
  </si>
  <si>
    <t>['buka', 'app', 'telkomsel', 'pas', 'buka', 'app', 'gamau', 'masuk', 'menu', 'utama', 'slalu', 'yaa', 'app', 'udh', 'update', 'kuota', 'buka', 'app', 'tetep', 'gabisa', 'halaman', 'utama', 'app']</t>
  </si>
  <si>
    <t>['aneh', 'temen', 'apk', 'telkomsel', 'promo', 'harga', 'enak', 'banget', 'apk', 'promo', 'harga', 'seratus', 'ribuan', 'payah', 'adil', 'ganti', 'provider', 'telkomsel', 'mahal', 'doang', 'kualitas', 'dibawah', 'standar', '']</t>
  </si>
  <si>
    <t>['aktivasi', 'ulang', 'kartu', 'halo', 'cso', 'dtg', 'langsung', 'grapari', 'cso', 'mudah', 'cpt', 'disayangkan', 'mudah', 'ngapain', 'dibikin', 'ribet', '']</t>
  </si>
  <si>
    <t>['nama', 'alexander', 'kecewa', 'telkomsel', 'pelanggan', 'setia', 'telkomsel', 'giliran', 'paket', 'ceria', 'bermasalah', 'solusinya', 'suruh', 'tunggu', 'paket', 'karna', 'paket', 'aktivasi', 'kali', 'karenakan', 'pulsa', 'jalau', 'menawarkan', 'paket', 'ceria', 'akses', 'april', 'sistem', 'telkomsel', 'mengecewakan', 'sanga', 'mengecewakan']</t>
  </si>
  <si>
    <t>['sinyal', 'jelek', 'susah', 'pol', 'provider', 'kemaren', 'isi', 'saldo', 'link', 'masuk', 'menyesal', 'provider', '']</t>
  </si>
  <si>
    <t>['knp', 'stlah', 'upgrade', 'aplikasi', 'mytelkomselnya', 'menu', 'belanja', 'dpt', 'dgunakan', 'dbuka', 'coba', 'tgl', 'ttulis', 'akses', 'akses', 'halaman', 'pdhal', 'menu', 'belanja', 'blnnya', 'dpt', 'mbelikan', 'paket', 'data', 'org', 'keluarga', 'tgl', 'pelanggan', 'kartu', 'halo', 'ngirim', 'hadiah', 'nomor', 'simpati', 'beban', 'tagihan', 'bulanan', 'hrs', 'beli', 'metode', 'pembayaran', 'bln', 'dpn', 'tutup', 'kartu', 'ganti', '']</t>
  </si>
  <si>
    <t>['telkomsel', 'becus', 'pelayanan', 'terbaik', 'jaringan', 'telkomsel', 'turun', 'ganti', 'kartu', 'becus', 'huuuuuuuuuuu']</t>
  </si>
  <si>
    <t>['tolong', 'perbaiki', 'jaringan', 'internet', 'desa', 'kabupaten', 'nagan', 'raya', 'kecamatan', 'seunagan', 'desa', 'alue', 'tho', 'jaringan', 'internetnya', 'jelek', 'beli', 'paket', 'mahal', 'tapu', 'karna', 'jaringannya', 'jelekk', 'tolong', 'diperbaiki']</t>
  </si>
  <si>
    <t>['harga', 'trs', 'gb', 'padhaal', 'drastis', 'sinyal', 'stabil', '']</t>
  </si>
  <si>
    <t>['', 'kenpa', 'paket', 'orang', 'beda', 'tman', 'kendala', 'jaringan', 'suka', 'ngepreng', 'paket', 'telk', 'knpa', 'mahal', 'paket', 'cuman', 'jual', 'sampe', 'embel', 'unlimited', 'tolong', 'kartu', 'kau', 'orang', 'kaya', 'jdi', 'ksih', 'kringanan', 'theks', '']</t>
  </si>
  <si>
    <t>['loggin', 'disuruh', 'masuk', 'loggin', 'karema', 'udah', 'pindah', 'opertor', 'sekedar', 'sharing']</t>
  </si>
  <si>
    <t>['emang', 'telkomsel', 'anjng', 'klen', 'emng', 'niat', 'kartu', 'ush', 'buatttt', 'ancur', 'jaringan', 'telkomnyett', 'udah', 'ganti', 'kartu', 'mampus', 'klen', 'udh', 'mke', 'kartu', 'telkomnyett', '']</t>
  </si>
  <si>
    <t>['kecewa', 'puas', 'selanjut', 'tolong', 'perhatikan', 'nmr', 'wilayah', 'undian', 'jawa', '']</t>
  </si>
  <si>
    <t>['sisa', 'pulsa', 'berkurang', 'kuota', 'internet', 'habis', 'rugi', 'banget', 'min', 'claim', 'kecuali', 'kuota', 'udh', 'habis', 'gpp', 'kuota', 'msih', 'pulsa', 'ambil', 'minjem', 'kuota', 'darurat', 'tolong', 'kembalikan', 'pulsa', 'beli', 'pakai', 'uang', 'daun', 'segitu', 'nilainya', 'berharga', 'belajar', 'online', 'min', '']</t>
  </si>
  <si>
    <t>['gua', 'beli', 'pulsa', 'yng', 'kali', 'tpi', 'ilang', 'mulu', 'pas', 'donlod', 'apk', 'jelek', '']</t>
  </si>
  <si>
    <t>['knapa', 'aplikasi', 'log', 'repot', 'mauboake', 'verif', 'mending', 'otp', 'klik', 'link', 'jaringan', 'bagus', 'repot', 'aplikasi', 'lemot', 'what', 'poor', 'aplication', 'please', 'tolong', 'tingkatin']</t>
  </si>
  <si>
    <t>['internet', 'lemot', 'kb', 'paket', 'internet', 'omg', 'isi', 'menghubungi', 'telkomsel', 'via', 'email', 'lakukan']</t>
  </si>
  <si>
    <t>['jaringannya', 'lemot', 'jelek', 'kaya', 'bagus', 'jaringannya', 'gimana', 'main', 'game', 'online', 'ngelag', 'parah', 'tolong', 'perbaiki', 'jaringannya', '']</t>
  </si>
  <si>
    <t>['gimana', 'telkom', 'lag', 'sya', 'beli', 'paket', 'data', 'tolong', 'perbaiki', 'harga', 'data', 'sesuai', 'kualitasnya', 'beda', 'provider']</t>
  </si>
  <si>
    <t>['bug', 'truss', 'hey', 'gabisa', 'reedem', 'tolong', 'diperbaiki', 'bug', 'merugikan', 'udh', 'pelanggan', 'telkom', 'nyesel', 'update', 'gini', 'bug', 'harap', 'cepat', 'diperbaiki', 'bug']</t>
  </si>
  <si>
    <t>['redeem', 'poin', 'daily', 'chekin', 'pulsa', 'bnyak', 'chekinnya', 'terklaim', 'bonusnya', 'masuk', 'jelek', 'aplikasi']</t>
  </si>
  <si>
    <t>['beli', 'paket', 'telkomsel', 'udh', 'klik', 'payment', 'udh', 'sukses', 'muncul', 'paket', 'pulsanya', 'kali', 'coba', 'tetep', 'clear', 'hapus', 'data', 'tetep', 'restart', 'kali', '']</t>
  </si>
  <si>
    <t>['dasar', 'app', 'sampah', 'harga', 'paket', 'minggu', 'beli', 'vocer', 'minggu', 'cuman', 'beli', 'paket', 'app', 'kios', 'kios', 'cuman', 'ribu', 'doang', 'dasar', 'app', 'pemeras', 'masyarakat', 'langsung', 'coba', 'perusahaan', 'swasta', 'izin', 'daerah', 'kalah', 'telkomsel']</t>
  </si>
  <si>
    <t>['telkomsel', 'tolong', 'min', 'daftar', 'kuota', 'belajar', 'teams', 'pas', 'dipakai', 'pulsa', 'ketarik', 'akses', 'internet', 'matikan', 'pulsa', 'ketarik', 'puluhan', 'ribu', 'ganti', 'kartu', 'tindak', 'dri', 'telkomsel']</t>
  </si>
  <si>
    <t>['telkomsel', 'pulsa', 'berkurang', 'ngak', 'pengurangan', 'ngak', 'pemberitahuannya', 'udah', 'kali', 'kayak', 'gitu']</t>
  </si>
  <si>
    <t>['menunggu', 'sabar', 'program', 'daily', 'check', 'reedem', 'kuota', 'poin', 'pulsa', 'ayolah', 'telkomsel', 'dimohon', 'kerjasamanya']</t>
  </si>
  <si>
    <t>['dear', 'telkomsel', 'harga', 'kuotanya', 'pindah', 'provider', 'udah', 'sinyal', 'ngadat', 'harga', 'kuota', 'mahal', 'maunya', 'woi', 'tolong', 'perbaiki', 'mahal', 'maaf', 'stay', '']</t>
  </si>
  <si>
    <t>['aplikasi', 'update', 'kacau', 'klaim', 'reward', 'cek', 'gb', 'pulsa', 'poin', 'parah', '']</t>
  </si>
  <si>
    <t>['diperbarui', 'bayar', 'link', 'muter', 'ujungnya', 'transaksi', 'berhasil', 'gini', 'promonya', 'pembayaran', 'sesuai', 'pembelian', 'susah', 'beli', 'pulsa', 'link', 'intinya', 'pembayaran', 'klik', 'link', 'gabisa', 'dipake', '']</t>
  </si>
  <si>
    <t>['aplikasi', 'terburuk', 'provider', 'telekomunikasi', 'logout', 'sndiri', 'login', 'susah', 'uda', 'gitu', 'bangga', 'pulak', 'sok', 'bagus', '']</t>
  </si>
  <si>
    <t>['error', 'error', 'telkom', 'telkom', 'harga', 'paket', 'jaringan', 'udah', 'error', 'apl', 'error', 'kelar', 'update', 'update', 'bagus', 'kagak', 'error', 'kendala', 'alasannya', 'peningkatan', 'sistem', 'peningkatan', 'kendala', 'jwb', 'peningkatan', 'sistem', 'suruh', 'nunggu', 'jam', 'jam', 'kadang', 'ngeles', 'ranting', 'males', 'kendala', 'bulanya']</t>
  </si>
  <si>
    <t>['susah', 'login', 'promonya', 'promo', 'gb', 'rb', 'langganan', 'langganan', 'operator', 'sebelah', 'forced', 'stop', 'clear', 'data', 'cache', 'reset', 'ulang', 'ttp', 'login']</t>
  </si>
  <si>
    <t>['', 'telkomsel', 'internetan', 'lancar', 'parah', 'brand', 'sebelah', 'sumpah', 'req', 'banget', 'telkomsel', 'lancar', 'jaringan', 'thre', 'asw', 'sampahhhh', 'buang', 'duit', '']</t>
  </si>
  <si>
    <t>['telkomsel', 'kesini', 'login', 'ribet', 'loadingnya', 'kesel', 'orang', 'intinya', 'jelek', 'kaya', 'telkomsel', 'kekurangan', 'kebanyakan', 'telkomsel']</t>
  </si>
  <si>
    <t>['beli', 'pulsa', 'pulsa', 'adik', 'teman', 'telkomsel', 'rb', 'poin', 'beli', 'nggak', 'poin', 'poin', 'jadikan', 'promosi', 'kemana', 'udah', 'galeri', 'tunggu', 'hub', 'phone', 'nggak', 'kabar', 'poin', 'hak', 'dimakan', 'pegawai', 'telkomsel', 'lumayan', 'poin', 'tukar', 'fanta', 'sprite', 'indomaret', 'kewajiban', 'poin', 'hak', 'customer', 'ora', 'urus', '']</t>
  </si>
  <si>
    <t>['telkomsel', 'lemot', 'aplg', 'pas', 'abis', 'ujan', 'sebanding', 'dibayar', 'tolong', 'nihh', 'daerah', 'kelurahan', 'pondok', 'ranggon', 'cipayung', 'jaktim', 'diperbaiki', 'signalnya', 'merugikan', 'terkendala', 'signal', 'pelaku', 'bisnis', 'kyk']</t>
  </si>
  <si>
    <t>['sinyal', 'telkomsel', 'parah', 'yaa', 'lemooooot', 'banget', 'cepat', 'provider', 'harganya', 'mahal', 'ampun', 'kirain', 'telkomsel', 'kencang', 'ternyataaa', 'amponn']</t>
  </si>
  <si>
    <t>['sisain', 'plsa', 'suka', 'ilang', 'mulu', 'pdhal', 'paket', 'internet', 'msih', 'kesedot', 'krna', 'aktifin', 'data', 'gerah', 'jga', 'rebu', 'ilang', 'bgtu', '']</t>
  </si>
  <si>
    <t>['bug', 'beli', 'paket', 'pulsa', 'udah', 'potong', 'paket', 'notif', 'gagal', 'sukses', 'sampe', 'skrang', 'paket', 'masuk', 'pagi', 'tolong', 'kondisikan', 'sampe', 'merugikan', 'konsumen', '']</t>
  </si>
  <si>
    <t>['jaringan', 'parah', 'mahal', 'bagusan', 'provider', 'murah', 'kenceng', 'jaringanya', 'udah', 'terlanjur', 'gedeg', 'next', 'kaga', 'isi', 'data', 'provider', 'kemaren', 'customernya', 'maksa', 'migrasi', 'kartu', 'sorry', 'bngt', 'gedeg']</t>
  </si>
  <si>
    <t>['telkonsel', 'nanya', 'limited', 'gamenya', 'nggk', 'login', 'game', 'mobile', 'legends', 'sya', 'sneng', 'banget', 'krna', 'login', 'bermain', 'mobile', 'legend', 'nggk']</t>
  </si>
  <si>
    <t>['tolong', 'donk', 'developer', 'info', 'promo', 'gtu', 'kasih', 'tanggal', 'expired', 'list', 'udh', 'berlaku', 'dihilangkan', 'user', 'klik', 'udh', 'nunggu', 'loading', 'pas', 'selesai', 'lngsung', 'zonkkk', 'kyak', 'kasih', 'harapan', 'palsu', '']</t>
  </si>
  <si>
    <t>['', 'koordinat', 'jaringan', 'telkomsel', 'sungguh', 'buruk', 'harapkan', 'perusahaan', 'telkomsel', 'naikan', 'kualitas', 'signal', 'terima', 'kasih']</t>
  </si>
  <si>
    <t>['kecewa', 'kuota', 'belajar', 'rupiahnya', 'dihapus', 'pilihan', 'kuota', 'zoom', 'max', 'pakai', 'zoom', 'telkomsel', 'kasih', 'diskon', 'moga', 'berkah', 'membantu', 'pelajar', 'mahasiswa']</t>
  </si>
  <si>
    <t>['telkomsel', 'jaringannya', 'gangguan', 'yerus', 'bertahun', 'pakai', 'operator', 'bener', 'mengecewakan', 'kaya', 'gini', 'mending', 'ganti', 'operator', 'mahal', 'jaringan', 'emosi', '']</t>
  </si>
  <si>
    <t>['telkomsel', 'hancur', 'jaringanya', 'stabil', 'turun', 'ping', 'turun', 'aneh', 'telkom', 'bagus', 'stabil', 'ditambah', 'aplikasinya', 'suka', 'bug', 'susah', 'dibuka', 'kadang', 'loading', 'mulu', 'buka', 'cuman', 'berharap', 'telkom', 'lancar', 'stabil', 'jaringanya', 'hancur', 'mending', 'ganti', 'provider', '']</t>
  </si>
  <si>
    <t>['assalammualaikum', 'telkomsel', 'menulis', 'ulasan', 'atw', 'keluh', 'kesah', 'jaringan', 'telkomsel', 'knp', 'malam', 'banget', 'jaringan', 'bagus', 'lemot', 'siang', 'melaporkan', 'rusah', 'jaringan', 'mahl', 'paket', 'tolong', 'perbaiki', '']</t>
  </si>
  <si>
    <t>['telkomsel', 'diakses', 'diupdate', 'bersihkan', 'cache', 'bersihkan', 'data', 'muncul', 'something', 'went', 'wrong', 'please', 'try', 'again', 'after', 'something', 'sampe', 'capee']</t>
  </si>
  <si>
    <t>['saran', 'paket', 'unlimited', 'pakek', 'kecepatan', 'jaringan', 'kayak', 'mbps', 'seminggu', 'gitu', 'nggak', 'kesusahan', 'mengakses', 'aplikasi', 'terima', 'kasih']</t>
  </si>
  <si>
    <t>['jaringan', 'telkomsel', 'kec', 'selesai', 'kab', 'langkat', 'buruk', 'buruk', 'kali', 'jaringan', 'telkomsel', 'cacat', 'udh', 'kyak', 'kartu', 'murahan', 'perbaikin', 'jaringan', 'woy', '']</t>
  </si>
  <si>
    <t>['tolong', 'telkomsel', 'gimana', 'apknya', 'kaga', 'buka', 'masuk', 'link', 'kaya', 'gitu', 'linknya', 'kaga', 'isi', 'pulsa', 'kaga', 'telkomselnya', 'datanya', 'datanya', 'beli', 'gima', 'nihh', 'pengen', 'ganti', 'kartu', 'berkendala', 'gini']</t>
  </si>
  <si>
    <t>['pakai', 'kartu', 'telkomsel', 'harganya', 'mahal', 'jaringan', 'perkotaan', 'buruk', 'sungguh', 'menjengkelkan', 'beli', 'paket', 'mahal', 'jaringan', 'buruk']</t>
  </si>
  <si>
    <t>['tolong', 'perbaiki', 'pulsa', 'rp', 'membeli', 'kuota', 'ketengan', 'utama', 'mb', 'seharga', 'rp', 'pulsa', 'mencukupi', '']</t>
  </si>
  <si>
    <t>['telkomsel', 'cerdik', 'orang', 'timika', 'butuh', 'dorang', 'tpi', 'app', 'bgini', 'update', 'masuk', 'update', 'mantap', 'lanjutkan', 'kawan', '']</t>
  </si>
  <si>
    <t>['hallo', 'admin', 'habis', 'update', 'log', 'susah', 'link', 'verifikasi', 'kagak', 'masuk', 'sms', 'udah', 'belasan', 'kali', 'coba', 'tetep', 'gmn', '']</t>
  </si>
  <si>
    <t>['telkomsel', 'nga', 'beres', 'jaringan', 'nga', 'udah', 'harga', 'paketnya', 'mahal', 'jaringannya', 'nga', 'sesuai', 'kemahalan', 'paket', 'dijual', 'kecewa', 'banget', 'telkomsel', 'perbaiki', 'jaringan', 'dll', 'kasihan', 'sekolah', 'sekolah', 'online', 'kuliah', 'kesusahan', 'mengumpulkan', 'tugas', 'dosen', '']</t>
  </si>
  <si>
    <t>['beli', 'paket', 'internet', 'mahal', 'banget', 'dikasih', 'parah', 'banget', 'banget', 'temen', 'temen', 'paket', 'internet', 'alasan', 'males', 'telkomsel']</t>
  </si>
  <si>
    <t>['telkomsel', 'sampe', 'paket', 'gamesmax', 'kuota', 'games', 'gb', 'aplikasinya', 'kuota', 'reguler', 'berkurang', 'telkomsel', 'mahal', 'wajar', 'jaringanya', 'terluas', 'jujur', 'jualn', 'kuota', 'taunya', 'jualan', 'diamon', 'lol', 'beli', 'kartu', 'jaringanya', 'stabil', 'tegal', 'wakakak']</t>
  </si>
  <si>
    <t>['tolong', 'telkomsel', 'perbaiki', 'sinya', 'udah', 'telkomsel', 'giliran', 'main', 'game', 'sinyal', 'full', 'giliran', 'main', 'sinyal', 'down', 'suuu', 'besok', 'gini', 'bakar', 'telkomsel', 'ganti', 'udah', 'kuota', 'mahal', 'sinyal', 'jelek', 'telek', 'burik']</t>
  </si>
  <si>
    <t>['beli', 'paket', 'internet', 'masuk', 'saldo', 'berkurang', 'respon', 'tindakan', 'aplikasi', 'sosial', 'media', 'mohon', 'perbaiki', 'csnya', 'merugikan', 'pelanggan', '']</t>
  </si>
  <si>
    <t>['kecewa', 'bat', 'paket', 'ketengan', 'youtube', 'lag', 'wajarin', 'karna', 'emng', 'harganya', 'low', 'parah', 'bli', 'paket', 'harian', 'jam', 'duabelas', 'malem', 'paket', 'abis', 'jam', 'kebayang', 'paket', 'kepake', 'gaada', 'sumpah', 'tolong', 'perbaikin', 'deh', 'merugikan', 'banget', 'sumpah', '']</t>
  </si>
  <si>
    <t>['gua', 'bahas', 'aplikasi', 'bahas', 'jaringan', 'telkomsel', 'dimana', 'daerah', 'sumut', 'tepatnya', 'medan', 'marelan', 'kuota', 'omg', 'kuota', 'gerak', 'gerak', 'tapinya', 'jaringan', 'stabil', 'youtube', 'video', 'facebook', 'kecewa', 'telkomsel', 'dimana', 'membangga', 'bangga', 'jaringan', 'kuat', 'udah', 'terjamak', 'fasilitas', 'sinyal', 'kuat', '']</t>
  </si>
  <si>
    <t>['jaringan', 'telkomsel', 'kartu', 'halo', 'wilayah', 'rumah', 'wilayah', 'jalan', 'caringin', 'kota', 'depok', 'kbps', 'terkadang', 'diperbaiki', 'jaringannya', 'terima', 'kasih', '']</t>
  </si>
  <si>
    <t>['', 'telkomsek', 'kesini', 'tolol', 'percis', 'admin', 'tolol', 'bego', 'paketan', 'mahal', 'tolol', 'telkomsel', 'kartu', 'card', 'tergoblok', '']</t>
  </si>
  <si>
    <t>['update', 'apk', 'dibuka', 'menunggu', 'verifikasi', 'ganti', 'nomor', 'email', 'pelanggan', 'nomor', 'apk', 'telkomsel', 'halus', 'permudah', 'penggunaannya', 'dipersulit', 'seperni', '']</t>
  </si>
  <si>
    <t>['jaringan', 'terburuk', 'serasa', 'leletnya', 'ampun', 'kayak', 'siput', 'beli', 'paket', 'mahal', 'jaringan', 'kayak', 'siput', 'kota', 'jaringannya', 'lelet', 'mending', 'kartu', 'mantap', 'jaringannya']</t>
  </si>
  <si>
    <t>['operator', 'parah', 'paket', 'mahal', 'lelet', 'mending', 'operator', 'udh', 'thn', 'telkomsel', 'bagus', 'parah', 'anjim', 'ancur']</t>
  </si>
  <si>
    <t>['woi', 'telkomsel', 'emosi', 'telkomsel', 'begooo', 'kartu', 'sultann', 'mahalnya', 'ampun', 'jaringan', 'kaya', 'taiiii', 'bego', 'anjimm', 'pengen', 'banting', 'aji', '']</t>
  </si>
  <si>
    <t>['minggu', 'login', 'telkomsel', 'gagal', 'muncul', 'harap', 'tunggu', 'nomor', 'diverivikasi', 'mohon', 'penjelasannya', '']</t>
  </si>
  <si>
    <t>['gue', 'aneh', 'deh', 'paket', 'malam', 'gue', 'pakainya', 'malam', 'paket', 'omg', 'berkurang', 'harusnyakan', 'paket', 'malamnya', 'berkurang', 'mohon', 'diperbaiki', 'telkomsel', 'enak', 'jaringan', 'lambat', 'pakai', 'paket', 'malam', 'penipuan', 'sayang', 'kuota', '']</t>
  </si>
  <si>
    <t>['saaya', 'nnya', 'kuota', 'internet', 'lokal', 'gabisa', 'kepake', 'yaa', 'pdahal', 'aktifasi', 'paket', 'rumah', 'memakai', 'internet', 'jga', 'rmh', 'twitter', 'facebook', 'gmna', 'sayang', 'internet', 'lokal', 'gabisa', 'kepake', '']</t>
  </si>
  <si>
    <t>['mohon', 'daerah', 'tinggal', 'kasih', 'jaringan', 'normal', 'jujur', 'kesulitan', 'jaringam', 'sulit', 'kejangkau', 'pelanggan', 'setia', 'telkomsel', 'mohon', 'tindaklanjuti', 'lokasi', 'desa', 'cisalam', 'kecamatan', 'baros', 'kabupaten', 'serang', 'provinsi', 'banten', 'ket', 'jaringan', 'lemot']</t>
  </si>
  <si>
    <t>['bantuan', 'telkomsel', 'aplikasi', 'telkomsel', 'paket', 'belajar', 'anak', 'sekolah', 'semoga', 'trimakasih', 'telkomsel', '']</t>
  </si>
  <si>
    <t>['kecewa', 'telkomsel', 'paket', 'internet', 'max', 'hilang', 'shop', 'telkomsel', 'paket', 'favorite', 'tolong', 'munculkan', 'paket', 'kecewa']</t>
  </si>
  <si>
    <t>['kesini', 'sinyal', 'telkomsel', 'buruk', 'posisi', 'rumah', 'kota', 'kecewa', 'pengguna', 'jaringan', 'buruk', '']</t>
  </si>
  <si>
    <t>['kuotaku', 'internetnya', 'beli', 'kuota', 'dipake', 'download', 'main', 'game', 'kuota', 'utama', 'ketengan', 'telkomsel', 'woe', 'gini', 'telkomsel', 'diyoutube', 'failed', 'fake', '']</t>
  </si>
  <si>
    <t>['alhamdulillah', 'aplikasi', 'lancar', 'jaya', 'suka', 'cek', 'kuota', 'mudah', 'tinggal', 'klik', 'aplikasi', 'langsung', 'muncul', 'detail', 'ribet', '']</t>
  </si>
  <si>
    <t>['udah', 'beli', 'vocer', 'pulak', 'maaf', 'sibuk', 'mohon', 'coba', 'mohon', 'diperbaiki', 'udah', 'langganan', 'tsel', 'kayak', 'gini', 'kelen', 'mikir', 'otak', 'siket']</t>
  </si>
  <si>
    <t>['telkomsel', 'emang', 'kartu', 'gada', 'ngotak', 'gakk', 'bayangkan', 'sinyal', 'burik', 'hujan', 'gada', 'angin', 'gada', 'petir', 'mati', 'lampu', 'sinyalnya', 'jelek', 'pekerjaan', 'berbasis', 'online', 'tertunda', 'taik', 'telkomsel', 'kuota', 'mahal', 'sinyal', 'murahan', 'gedeg', 'banget', 'murahin', 'kuota', 'cocok', 'pelayanan', 'burikkkk']</t>
  </si>
  <si>
    <t>['dijakarta', 'dirumah', 'sinyal', 'internetnya', 'lemot', 'banget', 'gitu', 'harga', 'kuotanya', 'lumayan', 'mahal', 'beralih', 'kesebelah', 'sinyal', 'internetnya', 'bagus', '']</t>
  </si>
  <si>
    <t>['kurangin', 'bintangnya', 'beli', 'paket', 'beli', 'manual', 'telkomsel', 'doang', 'lancar', 'udah', 'bye', 'bye', 'lelet']</t>
  </si>
  <si>
    <t>['simpati', 'sinyalnya', 'kaya', 'didalam', 'rumah', 'lemot', 'didalam', 'kamar', 'haduuhh', 'full', 'rumah', 'hadeeehh', 'tolong', 'perbaiki', 'kembalikan', 'sinyalnya', '']</t>
  </si>
  <si>
    <t>['telkomsel', 'gangguan', 'main', 'mobile', 'legend', 'pubg', 'main', 'login', 'gagal', 'terhubung', 'jaringan', 'mohon', 'perbaiki', 'terimakasih']</t>
  </si>
  <si>
    <t>['pilihan', 'paket', 'paket', 'nelepon', 'sms', 'sebernarnya', 'butuh', 'zaman', 'kuota', 'tolong', 'adakan', 'paket', 'kuota', 'harganya', 'turunkan', 'mahal']</t>
  </si>
  <si>
    <t>['update', 'aneh', 'update', 'menghilangkan', 'bug', 'menghadirkan', 'bug', 'update', 'diam', 'mencuri', 'pulsa', 'pelanggan', 'ratus', 'rupiah', 'beli', 'paket', 'isi', 'kerja', 'kali', 'please', 'telkomsel', 'aneh', 'kaya', 'jaringan', 'bagus', 'lemot', 'kaya']</t>
  </si>
  <si>
    <t>['mimin', 'aplikasi', 'login', 'munculnya', 'something', 'went', 'wrong', 'please', 'try', 'again', 'after', 'sometime', 'hapus', 'cache', 'install', 'ulang', 'udah', 'dicoba', 'pagi', 'sampe', 'sore', 'berhasil']</t>
  </si>
  <si>
    <t>['parah', 'emang', 'parah', 'banget', 'bugnya', 'merugikan', 'bet', 'beli', 'paket', 'kaga', 'beli', 'pulsa', 'via', 'shopee', 'pay', 'lambat', 'mohon', 'diperhatikan']</t>
  </si>
  <si>
    <t>['paket', 'unlimited', 'sehari', 'lgsung', 'lemot', 'pas', 'kuota', 'habis', 'kuota', 'lokal', 'jalan', 'trus', 'fungsinya', 'apaa', 'unlimited', 'gunanya', 'beli', 'paket', 'namanyaa', 'menang', 'nama', 'doang']</t>
  </si>
  <si>
    <t>['udah', 'beli', 'paket', 'ceria', 'gb', 'ribu', 'belom', 'masuk', 'merugikan', 'pelanggan', 'tolong', 'perbaiki', 'sistem']</t>
  </si>
  <si>
    <t>['tolong', 'diperbaiki', 'aplikasi', 'udah', 'install', 'log', 'coba', 'aplikasi', 'buruk', '']</t>
  </si>
  <si>
    <t>['telkomsel', 'rajin', 'promo', 'prnh', 'upy', 'perbaiki', 'elayanan', 'jaringan', 'ditempat', 'hancur', 'jaringannya', 'semetara', 'paket', 'pket', 'mrlambung', 'didaerah', 'terpencil', 'indosat', 'dll', 'telkomsel', 'monopoli', 'pengguna', 'kapasitas', 'layanan', 'ttp', 'jaman', 'masyarakat', 'sengsara', 'gara', 'pelayanan', 'telkomsel', 'coba', 'berbisni', 'profesional', 'biarpun', 'mahal', 'baguslah']</t>
  </si>
  <si>
    <t>['update', 'ngk', 'beli', 'paket', 'promo', 'pengisian', 'pulsa', 'aplikasi', 'shopee', 'pay', 'kali', 'sampe', 'ngisi', 'ulang', 'krna', 'ngk', 'masuk', 'double', 'deh', 'isi', 'pulsanya', 'mohon', 'perbaiki', 'min', 'beli', 'paket', 'internet', '']</t>
  </si>
  <si>
    <t>['iming', 'iming', 'pulsa', 'ribu', 'tipu', 'tipu', 'instal', 'aplikasi', 'telkomsel', 'pulsa', 'ribu', 'pas', 'instal', 'zonk', 'memalukan', 'auto', 'uninstal', 'aplikasi', 'ngk', 'berfaedah', '']</t>
  </si>
  <si>
    <t>['telkomsel', 'masuk', 'pengguna', 'perdana', 'udah', 'berkali', 'kali', 'masukin', 'nomer', 'tetep', 'nggak', 'suruh', 'sms', 'trus', 'klik', 'link', 'smsnya', 'nggak', 'masuk', 'masuk', 'mohon', 'bantuannya']</t>
  </si>
  <si>
    <t>['pelayanan', 'kualitas', 'buruk', 'perusahaan', 'byk', 'konsumen', 'melemah', 'kualitas', 'sinyal', 'internet', 'telanjur', 'kartu', 'hallo', 'dpt', 'terbaik', 'dpt', 'terburuk', 'non', 'prabayar', 'balikin', 'non', 'prabayar', 'pikir', 'ganti', 'prabayar', 'kartu', 'hallo', 'mohon', 'perbaiki', 'pegangan', 'masyarakat', 'karna', 'saigan', 'kartu', 'thenks']</t>
  </si>
  <si>
    <t>['muncul', 'jaringan', 'setabil', 'paket', 'berfungsi', 'aplikasi', 'bug', 'tolong', 'developer', 'memperbarui', 'menghasilkan', 'buruk']</t>
  </si>
  <si>
    <t>['jelek', 'kualitas', 'jaringan', 'telkomsel', 'kuota', 'tetep', 'lemot', 'cepet', 'banget', 'jaringannya', 'mohon', 'perbaiki', 'kualitas', 'jaringannya', 'konsumen', 'telkomsel', 'kabur']</t>
  </si>
  <si>
    <t>['aplikasi', 'rusak', 'masukk', 'udh', 'ush', 'dwonload', 'telkomsel', 'aplikasi', 'rusakkkkk', '']</t>
  </si>
  <si>
    <t>['reward', 'kuota', 'internetnya', 'program', 'daily', 'checkin', 'berlakunya', 'promo', 'paket', 'kuota', 'internetnya', 'sesering', 'mgkn', 'hrganya', 'murahin', 'paket', 'data', 'internetnya', 'kuota', 'internet', 'lbh', 'bnyk', 'alasan', 'knp', 'msh', 'ksh', 'bintang', 'far', 'good', 'trims', '']</t>
  </si>
  <si>
    <t>['link', 'sms', 'klik', 'payah', 'gimana', 'copy', 'link', 'google', 'chrome', 'masuk', 'update', 'terbaru', 'menit', 'kendala']</t>
  </si>
  <si>
    <t>['', 'aplikasi', 'mytelkomsel', 'upgrade', 'bug', 'masuk', 'lalod', 'upgrade', 'versi', 'terbaru', 'hapus', 'cache', 'hapus', 'data', 'paksa', 'berhenti', 'logout', 'login', 'aplikasi', 'restart', 'tinggal', 'bantin', 'coba', 'susah', 'masuk', '']</t>
  </si>
  <si>
    <t>['dihilangkan', 'saldo', 'link', 'lansung', 'terbaca', 'lansung', 'bayar', 'pulsa', 'pintar', '']</t>
  </si>
  <si>
    <t>['aplikasinya', 'udah', 'download', 'versi', 'terbaru', 'udah', 'hapus', 'cache', 'hapus', 'data', 'paksa', 'berhenti', 'udah', 'restart', 'tinggal', 'hpnya', 'banting', 'nge', 'bug', 'masuknya', 'aplikasi', '']</t>
  </si>
  <si>
    <t>['logo', 'doang', 'sinyal', 'stabil', 'perbaikan', 'diam', 'hasil', 'asisten', 'realy', 'belajar', 'ttg', 'ilmu', 'belajar', 'jaringan', 'maaf', 'kak', 'kendala', 'sinyal', 'stabil', 'mohon', 'hubungi', 'alamat', 'sekian', 'nomor', 'sekian', 'rugi', 'perbaikan', 'lulus', 'karna', 'uang', 'ilmu', 'telkomsel', 'cap', 'pembodohan', 'publik', 'indonesia', 'kendala', 'sinyal', 'stabil']</t>
  </si>
  <si>
    <t>['bagus', 'sinyal', 'mantep', 'sayang', 'banget', 'kuota', 'trus', 'data', 'nyala', 'pulsa', 'kesedot', 'udh', 'abis', 'rb', 'kesedot', '']</t>
  </si>
  <si>
    <t>['klik', 'star', 'diresapi', 'saran', 'kritik', 'aplikasi', 'berat', 'hidup', 'menang', 'poin', 'berhadiah', 'mobil', 'dkk', 'setia', 'tulus', 'telkomsel', 'saran', 'pengembangan', 'telkomsel', 'butuh', 'karyawan', 'cerdas', 'pintar', 'telkomsel', 'butuh', 'kreatifitas', 'ketulusan', 'kesetiaan', 'semoga', 'telkomsel', 'sekian', 'terimakasih', '']</t>
  </si>
  <si>
    <t>['kecewa', 'pelayanan', 'telkomsel', 'krna', 'kemarin', 'pas', 'membeli', 'paket', 'gb', 'harga', 'rb', 'paket', 'datanya', 'blm', 'masuk', 'uang', 'terpotong', 'kecewa', 'skali', 'aplikasi', 'telkomsel']</t>
  </si>
  <si>
    <t>['jaringan', 'bermain', 'game', 'search', 'sungguh', 'mengecewakan', 'menganggu', 'mohon', 'diperhatikan', 'kualitas', 'jaringan', 'mohon', 'diperbaiki', '']</t>
  </si>
  <si>
    <t>['pindahkan', 'mode', 'otomatis', 'manual', 'jaringan', 'cman', 'sumatra', 'utara', 'jaringan', 'telkomsel', 'jaringan', 'stabil', 'mohon', 'bantuannya', 'sumatra', 'utara', 'plosok', 'kadang', 'jaringan', 'internet', 'harinya', 'belajar', 'mohon', 'bantuannya', '']</t>
  </si>
  <si>
    <t>['sumpah', 'buruk', 'banget', 'koneksi', 'rekomend', 'main', 'game', 'kartu', 'udah', 'chat', 'dilive', 'chat', 'tetep', 'troble', 'ngerasain', 'pengguna', 'telkomsel', 'dilingkungan', 'merasakan', 'kecewa', 'jaringan', 'sesuai', 'harga', '']</t>
  </si>
  <si>
    <t>['telkomsel', 'kualitas', 'jaringan', 'buruk', 'stabil', 'mengecewakan', 'pelanggan', 'bener', 'kecewa', 'pengen', 'beralih', '']</t>
  </si>
  <si>
    <t>['suka', 'jaringan', 'telkomsel', 'paket', 'data', 'mahal', 'jaringan', 'enak', 'masak', 'kalah', 'sebelah', 'dlu', 'enak', 'sekrng', 'enak', 'mohon', 'kwalitas', 'perbaiki', 'sesuai', 'biarg', 'kecewa', '']</t>
  </si>
  <si>
    <t>['internet', 'lemot', 'lelet', 'sialan', 'tegal', 'alur', 'kalideres', 'jakarta', 'barat', 'tolong', 'perbaiki', 'ajar', 'leletnya', 'lelet', 'lemot', 'keong', '']</t>
  </si>
  <si>
    <t>['bintang', 'bagus', 'mudah', 'apk', 'harap', 'bonus', 'donk', 'pelanggan', 'setia', 'telkomsel', 'jrang', 'bonus', 'harapan', 'kedepanya', 'sakin', 'bgus', 'mudah', 'bnyak', 'bonus']</t>
  </si>
  <si>
    <t>['mantap', 'bnyak', 'promo', 'jaringan', 'udah', 'stabil', 'kadang', 'hilang', 'kedepannya', 'harga', 'peketnya', 'turunin', 'karna', 'masyarakat', 'kayak', 'gua', 'lumayan', 'berat', '']</t>
  </si>
  <si>
    <t>['buruuk', 'kesini', 'aplikasi', 'bermutu', 'tuker', 'paket', 'ceria', 'pagi', 'sampe', 'proses', 'proses', 'tolong', 'perbaiki', 'sistem', 'apanya', '']</t>
  </si>
  <si>
    <t>['selamat', 'malam', 'mohon', 'penjualan', 'konter', 'eceran', 'menjual', 'pulsa', 'voucher', 'mingguan', 'voucher', 'tsel', 'stop', 'pasar', 'wilayah', 'palembang', 'voucher', 'tsel', 'langkah', 'mohon', 'tinjau', 'oknum', 'pegawai', 'bermain', 'pemasaran', 'voucher', 'mohon', 'maaf', 'terima', 'kasih']</t>
  </si>
  <si>
    <t>['ehh', 'kamvret', 'nyadar', 'naikin', 'harga', 'segitu', 'trus', 'sinyal', 'lemot', 'masak', 'sinyal', 'kayak', 'gini', 'lemot', 'banget', 'beli', 'kouta', 'mahal', 'mahal', 'make', 'kartu', 'telkomsel', 'ngelag', 'ngelag', 'lancar', 'lemot', 'banget', 'beli', 'mahal', 'lemot', 'gini', '']</t>
  </si>
  <si>
    <t>['perbaikan', 'cuman', 'wacana', 'doang', 'kunjung', 'diperbaiki', 'paket', 'leletnya', 'ampunnn', 'pindah', 'jaringan', 'males', 'kartu', '']</t>
  </si>
  <si>
    <t>['kecewa', 'bngt', 'telkomsel', 'paketan', 'mahal', 'sinyal', 'buruk', 'sungguh', 'sangattttttttttttttttttttt', 'kecewaaaaaaaaaaaaaaaaaaaa', '']</t>
  </si>
  <si>
    <t>['telkomsel', 'prabayar', 'lelet', 'jaringan', 'masak', 'pindah', 'kartu', 'halo', 'pasca', 'bayar', 'lelet', 'lancar', 'kartu', 'halo', 'prioritas', 'kyk', 'pindah', 'provider', 'laen', '']</t>
  </si>
  <si>
    <t>['memkominfo', 'menindak', 'lanjuti', 'telkomsel', 'kebohongan', 'pembelian', 'paket', 'merugikan', 'masyarakat', 'masyarakat', 'merasakan', 'rasakan', '']</t>
  </si>
  <si>
    <t>['udah', 'susah', 'akses', 'harga', 'paket', 'mahal', 'ditambah', 'sinyal', 'gacha', 'bandwidth', 'sempit', 'iklannya', 'sinyal', 'sampe', 'pelosok', 'negri', 'pinggir', 'kota', 'susah', 'banget', 'sinyalnya', 'pas', 'hujan', 'tolong', 'bandwidth', 'sesuai', 'harga', 'paket', '']</t>
  </si>
  <si>
    <t>['tolong', 'diperbaiki', 'promonya', 'cek', 'traksaksi', 'hilang', 'orang', 'kecewa', 'min', 'udah', 'blih', 'pulsa', 'butuh', 'kouta', 'darurat']</t>
  </si>
  <si>
    <t>['aplikasi', 'ginian', 'banget', 'beli', 'paket', 'data', 'aplikasi', 'tampilin', 'paket', 'data', 'dibeli']</t>
  </si>
  <si>
    <t>['sinyal', 'kaya', 'gini', 'telkomsel', 'kesini', 'sinyal', 'busuk', 'benerin', 'napa', 'sinyl', 'perbaikan', 'sampe', 'tetep', 'busuk', '']</t>
  </si>
  <si>
    <t>['', 'paket', 'telkomsel', 'internet', 'malam', 'ntah', 'curi', 'orang', 'saudara', 'paket', 'omg', 'harian', 'mingguan', 'bulanan', 'dll', 'milikku', 'internet', 'malam', 'pulsa', 'beli', 'ratusan', 'ribu', 'nyari', 'paket', 'pulsa', 'hilang', 'ntah', 'nyuri', 'kau', 'udah', 'beli', 'paket', 'kali', 'nenek', 'kau', 'beli', 'paket', 'orang', 'beli', 'pulsa', 'belom', 'kepake', 'hilang', 'hubungi', 'admin', 'gada', 'respon', '']</t>
  </si>
  <si>
    <t>['kecewa', 'bnget', 'telkomsel', 'jaringannya', 'suka', 'ilang', 'maen', 'game', 'udh', 'kaya', 'taiii', 'telkomsel', 'skrng', 'beli', 'paket', 'mahal', 'doang', 'jaringan', 'suka', 'lemot', 'kaya', 'keong', 'mah', 'tinggal', 'kota', 'dipelosok', '']</t>
  </si>
  <si>
    <t>['merugikan', 'aplikasi', 'buka', 'apknya', 'tpi', 'bug', 'freze', 'pdhal', 'dri', 'mslh', 'ram', 'semacamnya', 'karna', 'blm', 'update', 'apknya', 'update', 'coba', 'hapus', 'data', 'cache', 'paksa', 'berhenti', 'buka', 'bug', 'freze', 'tolong', 'perbaiki', '']</t>
  </si>
  <si>
    <t>['lahh', 'rate', 'kawan', 'dikasih', 'rate', 'jelek', 'pelayanan', 'paket', 'doang', 'dinaikin', 'pelayanan', 'kaga', 'naikin', 'jaringan', 'lambat', 'stabil', 'sinyal', 'ilang', 'daring', 'sinyal', 'ilang', 'sampe', 'dapet', 'absen', 'main', 'game', 'ngilangin', 'stress', 'stress', 'ping', 'kuning', 'merah', 'doang', 'awas', 'silahkan', 'telkomsel', 'kak', 'hubungi', 'bla', 'bla', 'bla', 'udah', 'gaada', 'solusi', 'mending', 'rate', 'jaringan', 'gabakal', 'berubah', 'ratenya', 'terimakasih']</t>
  </si>
  <si>
    <t>['tolong', 'kasih', 'registrasi', 'kartu', 'telkomsel', 'coba', 'sllu', 'gagal', 'cba', 'sruh', 'ngulang', 'bsok', 'udah', 'coba', 'sll', 'susah', 'daftar', 'kartu', 'bli', 'udah', 'expired', '']</t>
  </si>
  <si>
    <t>['kali', 'buka', 'apl', 'beli', 'paket', 'login', 'something', 'worng', 'telkomsel', 'beli', 'paket', 'internet', 'apl', 'kahh', '']</t>
  </si>
  <si>
    <t>['dear', 'telkomsel', 'harga', 'mahal', 'kualitas', 'buruk', 'perbaiki', 'kualitas', 'jaringannya', 'pasang', 'harga', 'mahal', 'kualitas', 'payah', 'saran', 'pengguna', 'telkomsel', 'beli', 'paket', 'combo', 'sakti', 'emang', 'kuota', 'mengecewakan', 'mending', 'beli', 'paket', 'omg']</t>
  </si>
  <si>
    <t>['beli', 'kuota', 'mahal', 'kualitas', 'internet', 'lemot', 'kaya', 'siput', 'pakai', 'telkomsel', 'kuota', 'berasa', 'kuota', 'internet', 'jaringan', 'berasa', 'kartu', 'penipu', 'bebas', 'akses', 'tik', 'tok', 'line', 'dll', 'memakan', 'kuota', 'internet', 'pengen', 'kaya', 'gitu', 'kali', '']</t>
  </si>
  <si>
    <t>['skrng', 'respect', 'telkomsel', 'karna', 'udah', 'harga', 'kuota', 'mahal', 'mahal', 'tpi', 'kualitas', 'bagus', 'bagus', 'banget', 'drop', 'jaringanya', 'koneksinya', 'takut', 'pas', 'bljr', 'daring', 'jaringan', 'koneksi', 'buruk', 'menghambat', 'bljr', 'daringnya', '']</t>
  </si>
  <si>
    <t>['kecewa', 'kuota', 'internet', 'tb', 'mendadak', 'habis', 'pulsa', 'tb', 'mendadal', 'habis', 'jarang', 'dipakai', 'kuota', 'semahal', 'telkomsel', 'pelayanan', 'spt', 'layak', 'konsumen', 'udh', 'mahal', 'pelayanam', 'buruk', 'smg', 'kedepannya', 'lgi', 'trm', 'kasih', '']</t>
  </si>
  <si>
    <t>['berhenti', 'paket', 'langganan', 'telkomsel', 'udah', 'dial', 'menghubungi', 'customer', 'service', 'hasilnya', '']</t>
  </si>
  <si>
    <t>['pengguna', 'simpati', 'tgl', 'april', 'beli', 'pulsa', 'telkomsel', 'pembayaran', 'via', 'shopee', 'pay', 'pulsa', 'masuk', 'shopee', 'pay', 'terpotong', 'status', 'pembayaran', 'berhasil', 'tolong', 'bantuannya', 'telkomsel', 'terima', 'kasih', '']</t>
  </si>
  <si>
    <t>['kasih', 'jaringan', 'bagus', 'nambah', 'jelek', 'kaya', 'gini', 'buang', 'kartu', 'simcard', 'tpi', 'jelek', 'jaringan', 'mode', 'pesawat', 'boot', 'ulang', 'tpi', 'tetep', 'jelek', 'telkomsel', 'tpi', 'kaya', 'jdi', 'jelek', 'tolong', 'perhatikan', 'min', 'terima', 'kasih', '']</t>
  </si>
  <si>
    <t>['nggak', 'uda', 'jalan', 'signal', 'telkomsel', 'buruk', 'pagi', 'sore', 'malam', 'pagi', 'signal', 'bagus', 'lancar', 'jaya', 'signal', 'jelek', 'trus', 'sore', 'menjelang', 'malam', 'hilang', 'troooosss', 'sibnal', 'kemana', 'coba', 'maen', 'game', 'afk', 'sial', 'afk', '']</t>
  </si>
  <si>
    <t>['halo', 'telkomsel', 'minggu', 'sinyal', 'buruk', 'mohon', 'dibenahi', 'unggulkan', 'proveder', 'mencari', 'rejeki', 'ojol', 'lokasi', 'yogya', 'sinyal', 'susah', 'terimakasih']</t>
  </si>
  <si>
    <t>['sinyal', 'kenceng', 'down', 'kalimat', 'sinyal', 'kuat', 'berlaku', 'telkomsel', '']</t>
  </si>
  <si>
    <t>['beli', 'unlimited', 'youtube', 'masuk', 'udah', 'coba', 'masuk', 'pas', 'beli', 'langsung', 'masuk', 'mnt', 'masuk', 'akumulasi', 'gapapa', 'numpuk', 'gimana', 'telkomsel', '']</t>
  </si>
  <si>
    <t>['aplikasinya', 'parah', 'lemot', 'lelet', 'lemot', 'pembelian', 'paket', 'kuota', 'dll', 'direview', 'tks']</t>
  </si>
  <si>
    <t>['poin', 'ndak', 'nampak', 'aplikasi', 'telkonsel', 'menu', 'poin', 'ndak', 'dibuka', 'msg', 'akses', 'menu', 'syaratnya', 'biss', 'akses', 'menu', 'tsb', 'dll', 'terimakasih', '']</t>
  </si>
  <si>
    <t>['telkomsel', 'lemot', 'banget', 'banding', 'paket', 'kuotanya', 'mahal', 'ttep', 'lemot', 'google', 'lemot', 'tsel', 'lemot', 'loading', 'sangaaat']</t>
  </si>
  <si>
    <t>['min', 'tolong', 'percepat', 'perbaikan', 'jaringan', 'riau', 'kendalanya', 'cuman', 'jaringan', 'lelet', 'buka', 'min', 'min', 'semenjak', 'kebakaran', 'pekanbaru', 'tolong', 'perbaikannya', 'cepat', '']</t>
  </si>
  <si>
    <t>['', 'kecewa', 'pelayanan', 'telkomsel', 'udah', 'beli', 'pulsa', 'beli', 'paket', 'internet', 'respon', 'telkomsel', 'sekaran', 'pulsa', 'habis', 'paket', 'data', 'internet', 'masuk', 'aplikasi', 'tolong', 'paket', 'promo', 'habis', 'hapus', 'ajh', 'tipuh', 'telkomsel', 'mao', 'tanggung', 'telkomsel', 'pulsa', 'beli', 'hasil', 'kerja', 'merampok', 'mencuri', 'tanggung', 'bego', 'telkomsel']</t>
  </si>
  <si>
    <t>['telkomsel', 'susah', 'buka', 'jaringan', 'susah', 'harga', 'paketan', 'mahal', 'sebanding', 'layanan', 'jaringan', 'buruk', 'alamat', 'rumah', 'ganti', 'kartu', '']</t>
  </si>
  <si>
    <t>['tolonglah', 'sistemnya', 'gimana', 'beli', 'paket', 'pakai', 'pulsa', 'pas', 'dicek', 'pulsa', 'blm', 'terpotong', 'pas', 'ngulangin', 'kepotong', 'sejam', 'dpt', 'notif', 'paket', 'terkirim', 'sms', 'terpotong', 'deh', 'rugi', 'deh', 'apesss', 'jaringan', 'telkom', '']</t>
  </si>
  <si>
    <t>['kak', 'paket', 'unlimited', 'max', 'telkomsel', 'kartu', 'blm', 'umur', 'tolong', 'ngasih', 'promo']</t>
  </si>
  <si>
    <t>['halo', 'telkomsel', 'pelanggan', 'platinum', 'mengajukan', 'keluhan', 'lemotnya', 'telkomsel', 'operator', 'mengalami', 'nasib', 'telkomsel', 'lancar', 'skr', 'parah', 'berlangganan', 'paketan', 'data', 'telkomsel', 'terima', 'kasih', '']</t>
  </si>
  <si>
    <t>['updete', 'bener', 'beli', 'paketan', 'tolong', 'lahhh', 'kmi', 'pelqnggan', 'layani', 'kayak', 'gini', 'trus', 'gmna', 'kerja', 'jdi', 'hub', 'orang', 'pantes', 'kasih', 'bintang', '']</t>
  </si>
  <si>
    <t>['gila', 'gila', 'aplikasi', 'terawat', 'gila', 'gila', 'data', 'udah', 'mahal', 'pengguna', 'aplikasi', 'puas', 'aplikasi', 'penyebabnya', 'gila', 'aplikasi', 'udah', 'emosi', 'aplikasi', 'eror', 'buka', 'update', 'udah', 'syarat', 'memasang', 'udah', 'enak', 'kebutuhan', 'masuk', 'karna', 'pelanggan', 'pas', 'pelanggan', 'butuh', 'eror', 'gila', 'emang', 'gila', 'gila', 'gila']</t>
  </si>
  <si>
    <t>['tolong', 'diperbaiki', 'pelayanannya', 'membeli', 'paket', 'combo', 'unlimited', 'gopay', 'pemebelian', 'masuk', 'tercantum', 'pembelian', 'berhasil', 'saldo', 'gopay', 'berkurang', 'mohon', 'dibantu', 'diperbaiki', 'terimakasih']</t>
  </si>
  <si>
    <t>['beli', 'ceria', 'gb', 'sms', 'tpi', 'skrg', 'tpi', 'apk', 'cerianya', 'coba', 'beli', 'pulsa', 'emang', 'ckup', 'pulsa', 'beli', 'pulsa', 'berharap', 'beli', 'paket', 'pulsa', 'udah', 'internet', 'oke', 'wifi', 'pencet', 'beli', 'muncul', 'coba', 'maaf', 'kesalahan', 'silahkan', 'cek', 'internet', 'tunggu', 'menit', 'bela', 'belain', 'beli', 'pulsa', 'beli', 'paket', 'pas', 'udh', 'beli', 'error', 'pikir', 'beli', 'pulsa', 'daun', 'jlek', 'sistemny', '']</t>
  </si>
  <si>
    <t>['tolong', 'udh', 'komplain', 'nuntut', 'gini', 'gitu', 'ngeluarin', 'uang', 'menikmati', 'telkomsel', 'harga', 'kualitas', 'menurun', 'kecewa', 'dapet', 'sinyal', 'max', 'kb', 'detik', 'trus', 'turun', 'presentasi', 'kuliah', 'online', 'suka', 'putus', 'sinyal', 'saran', 'pandemi', 'ringankan', 'harga', 'kuota', 'kualitas', 'menurun', 'dimaklumi', 'terima', 'kasih', '']</t>
  </si>
  <si>
    <t>['beli', 'beli', 'beli', 'pulsa', 'gue', 'kpotong', 'smpai', 'buruk', 'bnget', 'pelayanan', 'telkomsel', 'udah', 'sinyal', 'ilang', 'nyuruh', 'clear', 'cache', 'apalah', 'ngaruh', '']</t>
  </si>
  <si>
    <t>['kali', 'gagal', 'transaksi', 'dana', 'pembayaran', 'berhasil', 'kuota', 'masuk', 'rugi']</t>
  </si>
  <si>
    <t>['pulsa', 'rb', 'trus', 'beli', 'paket', 'gb', 'harga', 'rb', 'pulsa', 'potong', 'tpi', 'proses', 'gagal', 'kuota', 'masuk', 'pulsa', 'lenyap', 'good', 'job', 'telkomsel', '']</t>
  </si>
  <si>
    <t>['bacot', 'apk', 'ngeselin', 'banget', 'masak', 'beli', 'paket', 'ngak', 'saldo', 'banget', 'pulsa', 'ngak', 'kemakan', 'tetep', 'rugi', 'masak', 'udah', 'beli', 'pulsa', 'ngak', 'beli', 'paket', 'pokok', 'semenjak', 'update', 'terbaru', 'telkom', 'berulah', 'malas']</t>
  </si>
  <si>
    <t>['gua', 'pakek', 'paketan', 'pas', 'paketan', 'lgi', 'masuk', 'aplikasi', 'pakek', 'wifi', 'terpaksa', 'gua', 'paketin', 'mahal', 'udh', 'aktif', 'paket', 'aplikasih', 'bukak', 'akir', 'akir', 'koneksi', 'internetnya', 'nyaman', 'sinyal', 'full', 'lemot', 'rugi', 'beli', 'kuota', 'mahal', 'lemot', 'beli', 'kuota', 'dikit', 'lemot', 'new', 'woi', 'telkomsel', 'aktifin', 'paket', 'nelfon', 'pulsa', 'pakek', 'kepotong', '']</t>
  </si>
  <si>
    <t>['terkomsel', 'kartuhalo', 'jaringan', 'lemottt', 'bayar', 'pajak', 'rb', 'pas', 'wkt', 'daftar', 'kartuhalo', 'omongan', 'pajak', 'potongan', 'ribu', 'layanan', 'ngerasa', 'belik', 'kecewa', '']</t>
  </si>
  <si>
    <t>['pas', 'beli', 'kouta', 'youtube', 'ketengan', 'pas', 'nonton', 'youtube', 'muter', 'pulsa', 'terpotong', 'sia', 'deket', 'tower', 'telkom']</t>
  </si>
  <si>
    <t>['aplikasi', 'bagus', 'udah', 'pakai', 'telkomsel', 'jaringan', 'parah', 'gini', 'lelet', 'jaringannya', 'amburadul', 'paket', 'bagus', 'jaringannya', 'lelet', 'tolong', 'perbaiki', 'jaringannya', 'jaringan', 'supr', 'lelet', 'tolong', 'perbaiki', '']</t>
  </si>
  <si>
    <t>['hai', 'telkomsel', 'beli', 'pulsa', 'habis', 'lupa', 'mematikan', 'data', 'seluler', 'pulsa', 'habis', 'nggak', 'beli', 'kouta', 'kombo', 'habis', 'pulsanya', 'tolong', 'donk', 'perbaiki', 'fitur', 'lock', 'pulsa', 'nggak', 'pulsa', 'kasian', 'nggak', 'uang', 'nggak', 'uang', 'udah', 'nabung', 'ilang', 'pulsanya', 'aduuuh']</t>
  </si>
  <si>
    <t>['halo', 'nanya', 'daily', 'check', 'pas', 'claim', 'reward', 'sms', 'sms', 'claim', 'reward', 'berhasil', 'sms', 'sistem', 'sibuk', 'poin', 'rewardnya', 'disa', 'diklaim', 'mohon', 'penjelasannya', 'terima', 'kasih']</t>
  </si>
  <si>
    <t>['kasih', 'enak', 'pemakainnya', 'kendala', 'update', 'versi', 'susah', 'login', 'nomor', 'tlpn', 'tetepi', 'gagal', 'masuk', 'mohon', 'optimalkan', '']</t>
  </si>
  <si>
    <t>['assalamualaikum', 'kaka', 'maaf', 'izin', 'daily', 'check', 'point', 'point', 'udah', 'tinggal', 'dituker', 'doang', 'sengaja', 'menukarkan', 'kuota', 'gratis', 'kuota', 'kartu', 'check', 'point', 'point', 'terkumpulkan', 'kuota', 'gratis', 'mohon', 'direspon', 'mengumpulkan', 'point', '']</t>
  </si>
  <si>
    <t>['halo', 'komentar', 'jaringan', 'developer', 'telkomsel', 'tolong', 'jaringan', 'perbaiki', 'pelanggan', 'simpati', 'kecewa', 'jaringan', 'buruk', 'daerah', 'jaringan', 'lancar', 'tolong', 'perbaiki', 'mencari', 'keuntungan', 'memuaskan', 'hati', 'pelanggan', 'kecewa', 'tolong', 'perbaiki', 'kendala', 'memiliki', 'kendala', 'jaringan', 'orang', '']</t>
  </si>
  <si>
    <t>['parah', 'bener', 'jaringan', 'telkomsel', 'mentang', 'mentang', 'ngejar', 'zaman', 'canggih', 'tega', 'pelanggan', 'setianya', 'ngasih', 'sinyal', 'kayak', 'kentut', 'angin', 'doang', 'hspa', 'ajj', 'gth', 'peningkatan', 'ngasih', 'efek', 'parah', 'banget', 'perangkat', 'android', 'parah', 'semoga', 'ajj', 'banyaknya', 'pengguna', 'sel', 'jaringannya', 'telekomunikasi', 'indonesia', 'tbk', 'buruk', 'perkembangan', '']</t>
  </si>
  <si>
    <t>['kirim', 'hadiah', 'pilihannya', 'udah', 'gitu', 'koneksi', 'stabil', 'lemotttt', 'beli', 'paket', 'mahal', 'lelet', 'ganti', 'jargonnya', '']</t>
  </si>
  <si>
    <t>['jaringan', 'telkom', 'kutai', 'barat', 'gangguan', 'kabel', 'putus', 'kena', 'tebas', 'kena', 'sambar', 'petir', 'dll', 'harga', 'kouta', 'mahal', 'kualitas', 'jaringan', 'maksimal', 'anak', 'sekolah', 'online', 'daring', 'jualan', 'online', 'dll', 'merugikan', '']</t>
  </si>
  <si>
    <t>['jaringan', 'telkomsel', 'jelek', 'buruk', 'keluhan', 'aplikasi', 'berjalan', 'lancar', 'semestinya', 'pengaruh', 'segi', 'penjualan', 'segi', 'costumer', 'menurun', '']</t>
  </si>
  <si>
    <t>['aplikasi', 'siih', 'burik', 'bangettt', 'suruh', 'update', 'udh', 'update', 'masuk', 'gambar', 'putih', 'doang', 'abis', 'abis', 'unistal', 'trs', 'instal', 'fixx', 'udh', 'berguna', 'gaisss', '']</t>
  </si>
  <si>
    <t>['kasih', 'bintang', 'aplikasinya', 'eror', 'pulsa', 'kepotong', 'paket', 'data', 'lapornya', 'sampe', 'skrg', 'udh', 'aktif', 'heran', 'banget', 'pket', 'paket', 'kepepet', 'dipakee', 'beli', 'mahal', 'aktif', 'jugaa', 'gimana', 'dongg', 'males', 'banget', '']</t>
  </si>
  <si>
    <t>['alangkah', 'bagusnya', 'akses', 'aplikasi', 'dikenakan', 'data', 'kuota', 'tersisa', 'unlimited', 'aplikasi', 'membutuhkan', 'memuat', 'konten', 'alhasil', 'belanja', 'telkomsel', 'terkendala', 'enak', 'jga', 'numpang', 'wifi', 'tetangga', 'belanja', 'kuota', 'telkomsel', 'wkwkk']</t>
  </si>
  <si>
    <t>['alangkah', 'buruk', 'singal', 'jaringan', 'telkomsel', 'paket', 'internet', 'mahal', 'dak', 'sesuai', 'kualitasnya', 'ganti', 'kartu', '']</t>
  </si>
  <si>
    <t>['jaringan', 'telkomsel', 'bagus', 'kek', 'gini', 'ganti', 'kartu', 'adik', 'make', 'kartu', 'tri', 'bagus', 'jaringannya', 'telkomsel', 'mohon', 'diperbaiki', '']</t>
  </si>
  <si>
    <t>['tolong', 'donk', 'telkomsel', 'transparan', 'donk', 'pulsa', 'habis', 'data', 'hidupin', 'karna', 'paketan', 'habis', 'pulsa', 'potong', 'lari', 'kemana', '']</t>
  </si>
  <si>
    <t>['mohon', 'telkomsel', 'kontak', 'nomor', 'menguras', 'pulsa', 'miliki', 'pesan', 'kontak', 'masuk', 'memblokir', 'mengalami', 'kerugian', 'lumayan', 'peringatkan', 'kasar', 'orang', '']</t>
  </si>
  <si>
    <t>['berkali', 'kali', 'komplain', 'respon', 'tanggapan', 'dilapangan', 'jaringan', 'internet', 'sinyal', 'ditempat', 'mengalami', 'gangguan', 'telkomsel', 'memperbaikinya']</t>
  </si>
  <si>
    <t>['pakai', 'provider', 'sumpah', 'jelek', 'banget', 'badai', 'hujan', 'kantor', 'telkomsel', 'hancur', 'gimana', 'pemerintah', 'nge', 'down', 'sinyal', 'heeeeeeeee', 'tolil']</t>
  </si>
  <si>
    <t>['bagus', 'game', 'loading', 'request', 'time', 'out', 'kaya', 'provider', 'sebelah', 'loading', 'mulu', 'susah', 'masuknya', 'kalimat', 'ungkapan', 'kebohongan', 'sulit', 'masuk', 'aplikasi', 'game', 'request', 'time', 'out', 'harga', 'mahal', 'melulu', 'mencerminkan', 'kualitas']</t>
  </si>
  <si>
    <t>['app', 'telkomsel', 'apdet', 'hilang', 'tampilan', 'menu', 'app', 'play', 'stor', 'nggak', 'dibuka', 'uninstal', 'tolong', 'bantu', 'terimakasih', '']</t>
  </si>
  <si>
    <t>['telkomsel', 'perbarui', 'lancar', 'leeeeeeeeeeemoooooooooooooooooooooooooooooooooooooooooooootttttttttt', 'buka', 'apk', 'lelet', 'pakai', 'wifi', 'buka', 'apk', 'lelet', 'layanan', 'telkomsel', 'lelet', 'manggil', 'kartu', 'aktif', 'pulsa', 'paketan']</t>
  </si>
  <si>
    <t>['harga', 'mahal', 'sinyal', 'ancur', 'mendung', 'kayak', 'mode', 'pesawat', 'surabaya', 'kota', 'tower', 'sinyal', 'lemot', 'daerah', 'pelosok', 'ajukan', 'aduan', 'perubahan', '']</t>
  </si>
  <si>
    <t>['nutup', 'durasi', 'menitan', 'aplikasi', 'nutup', 'udah', 'update', 'udah', 'android', 'terbaru', 'kesel', 'beli', 'paketan', 'gagal', 'melulu', 'tolong', 'diperbaiki', 'bintang', 'full']</t>
  </si>
  <si>
    <t>['tolong', 'telkomsel', 'jaringan', 'batang', 'daerah', 'bangka', 'kota', 'pangkal', 'pinang', 'hujan', 'oke', 'cuaca', 'normal', 'sehari', 'main', 'game', 'lancar', 'masak', 'ping', 'ngestalk', 'mulu', 'kesel', 'kesel', 'kesel', 'masak', 'bahagia', 'telkomsel']</t>
  </si>
  <si>
    <t>['tolonglah', 'perbaiki', 'aplikasi', 'beli', 'paketan', 'seminggu', 'rb', 'sisa', 'pulsa', 'rb', 'tetep', 'pulsa', 'gua', 'kesedot', 'gua', 'paketan', 'seminggu', '']</t>
  </si>
  <si>
    <t>['sinyal', 'didaerah', 'berkurang', 'sinyal', 'main', 'game', 'online', 'ngelag', 'tolong', 'telkomsel', 'diperbaiki', 'kualitas', 'sinyal', 'sayang', 'kouta', 'dibeli', 'mahal', 'dinikmatin', 'makasih']</t>
  </si>
  <si>
    <t>['maaf', 'turunkan', 'bintangnya', 'mohon', 'layanan', 'kartu', 'halo', 'dilengkapi', 'keterangan', 'rincian', 'pemakaian', 'pembelian', 'dsb', 'tertulis', 'pemakaian', 'domestik', 'paket', 'tolong', 'kirim', 'notifikasi', 'deaktifasi', 'notifikasi', 'aktifasi', 'membingungkan', '']</t>
  </si>
  <si>
    <t>['cobalah', 'tolong', 'perbaiki', 'tower', 'tower', 'mati', 'lampu', 'mati', 'total', 'sinyal', 'jaman', 'udh', 'modern', 'tower', 'daya', 'pln', '']</t>
  </si>
  <si>
    <t>['aplikasi', 'stlah', 'update', 'bug', 'beli', 'paket', 'data', 'nongol', 'produknya', 'biling', 'nongol', 'udah', 'contact', 'sesuai', 'infonya', 'restart', 'update', 'versi', 'terbaru', 'logout', 'clear', 'cache', 'clear', 'data', 'force', 'stop', 'aplikasi', 'udah', 'dilkukan', 'banting', 'nggak', 'instal', 'ulang', 'taunya', 'canggih', 'dongok', 'aplikasinya', 'coba', 'solusinya', 'disuruh', 'clear', 'chace', 'force', 'stop', 'app', 'chat', 'teleg', '']</t>
  </si>
  <si>
    <t>['apk', 'ngen', 'beli', 'paket', 'proses', 'konto']</t>
  </si>
  <si>
    <t>['sungguh', 'mengecewakan', 'pelayanannya', 'menghentikan', 'iklan', 'pop', 'popscreen', 'popads', 'laporan', 'berkurang', 'bertambah', 'kadang', 'sengaja', 'terpencet', 'terkuras', 'pulsa', 'habis', 'sungguh', 'mengecewakan', 'tolong', 'pengacara', 'bantu', 'nuntut']</t>
  </si>
  <si>
    <t>['update', 'telkomsel', 'menu', 'belanja', 'lapor', 'laporan', 'agk', 'ikuti', 'instruksinya', 'tolong', 'telkomsel', 'mengalami', '']</t>
  </si>
  <si>
    <t>['sinyal', 'telkomsel', 'ancur', 'ajaaaaaa', 'heraaaaan', 'kuita', 'paket', 'udah', 'sesuai', 'main', 'pubg', 'dikit', 'rekonek', 'kecewa', 'tlkomsel', 'skarang', 'beda', 'th', 'sinyalnya', 'slalu', 'stabil', 'skarang', 'ancuuuuuuurrrrrrrr', 'kek', 'gini', 'kek', 'pindah', 'propider', 'sebelah', '']</t>
  </si>
  <si>
    <t>['usaha', 'jualan', 'pulsa', 'dirumah', 'belanja', 'voucher', 'data', 'tdc', 'disuruh', 'download', 'digipos', 'top', 'digipos', 'belanja', 'kesanny', 'pemaksaan', 'terpaksa', 'makai', 'aplikasi', 'nambah', 'modal', 'program', 'telkomsel', 'mendukung', 'umkm', 'slogan', 'kayanya', '']</t>
  </si>
  <si>
    <t>['mohon', 'diperhatikan', 'kalu', 'kuota', 'habis', 'stop', 'stop', 'lanjutkan', 'pulsa', 'reguler', 'kepake', 'habis', 'nyesel', 'terimakasih', 'telkomsel', 'jelek', 'susah', 'akses']</t>
  </si>
  <si>
    <t>['oii', 'sinyal', 'nyampe', 'kb', 'gimana', 'sinyall', 'nyaaa', 'lgi', 'gangguan', 'kasih', 'bego', 'jan', 'ngecewain', 'pelanggan', 'udh', 'mahal', 'ksh', 'info', 'dlu', 'kerja', 'bnr', 'donk', 'otakny', 'main', 'game', 'nyaman', 'gni', 'gnti', 'kartu', 'dahhh']</t>
  </si>
  <si>
    <t>['saran', 'kak', 'semoga', 'dengar', 'balas', 'saran', 'tambahin', 'fitur', 'kunci', 'pulsa', 'kuota', 'utama', 'habis', 'pulsa', 'hangus', 'data', 'ajah', 'saranya', 'mubah', 'pulsa', 'keambil', 'data', 'seluler', 'kuota', 'utamanya', 'habis', 'tolong', 'dengarkan', 'keluh', 'kesah', '']</t>
  </si>
  <si>
    <t>['ndak', 'bagus', 'rusak', 'udah', 'tarifnya', 'mahal', 'kualitas', 'bukanya', 'jaga', 'rusak', 'mengecewakan', 'aplikasi', 'dibuka', 'langsung', 'force', 'close', 'jaringan', 'terputus', 'aplikasi', 'system', 'langsung', 'error', 'pkoknya', 'tsel', 'buruk', '']</t>
  </si>
  <si>
    <t>['pelanggan', 'kartu', 'halo', 'kecewe', 'layanan', 'keluhan', 'pelanggan', 'call', 'center', 'tiket', 'pengaduan', 'sdah', 'ditunggu', 'jam', 'solusi', 'disuruh', 'nunggu', 'jam', 'alasan', 'ticket', 'pengaduan', 'close', 'jam', 'disuruh', 'nunggu', 'jam', 'min', 'taon', 'nunggunya', '']</t>
  </si>
  <si>
    <t>['min', 'login', 'gagal', 'tulisan', 'something', 'went', 'wrong', 'please', 'try', 'again', 'after', 'sometime', 'jaringan', 'sya', 'bagus', 'mohon', 'tanggapannya', 'min', '']</t>
  </si>
  <si>
    <t>['sya', 'kecewa', 'sma', 'apk', 'telkomsel', 'pulsa', 'udah', 'promo', 'suprise', 'deal', 'pas', 'sya', 'beli', 'ehh', 'konfirmasi', 'dri', 'telkomsel', 'pas', 'sya', 'beli', 'langsung', 'potong', 'pulsa', 'sya', 'sya', 'beli', 'lgi', 'suprise', 'deal', 'sruh', 'beli', 'pulsa', 'kecewa', 'sya']</t>
  </si>
  <si>
    <t>['', 'kontolll', 'balikin', 'saldo', 'telkomsel', 'gua', 'beli', 'sehari', 'langsung', 'abis', 'saldo', 'hancur', 'aplikasi', 'buatan', 'kontoll', '']</t>
  </si>
  <si>
    <t>['update', 'aplikasi', 'error', 'claim', 'dily', 'check', 'claim', 'error', 'paket', 'spesial', 'pengguna', 'udah', 'sinyal', 'stabil', 'telkomsel', 'nyaman']</t>
  </si>
  <si>
    <t>['telkomsel', 'skrg', 'jelek', 'maaf', 'bintangnya', 'turunin', 'sinyal', 'lemot', 'mendung', 'hujan', 'kartu', 'hallo', 'bayarnya', 'mahal', 'prioritas', '']</t>
  </si>
  <si>
    <t>['halo', 'telkomsel', 'aktivasi', 'paket', 'data', 'hubungi', 'live', 'agent', 'facebook', 'menunggu', 'haru']</t>
  </si>
  <si>
    <t>['gabisa', 'beli', 'kuota', 'promo', 'permintaan', 'diproses', 'beres', 'diaplikasinya', 'emang', 'paket', 'promonya', 'bermasalah', 'telkomsel', 'jaringannya', 'jelek', 'mending', 'gua', 'pindah', 'telkomsel', 'yak', 'apan', 'harga', 'mahal', 'jaringannya', 'kaya', 'gitu']</t>
  </si>
  <si>
    <t>['telkomsel', 'beli', 'pulsa', 'rbu', 'engga', 'masuk', 'udh', 'dapet', 'notif', 'pengisian', 'pulsa', 'pulsa', 'tetep', 'rbu', 'rbu', 'beli', 'rbu', 'rbu', 'beli', 'paket', 'harga', 'rbu', 'pulsa', 'rbu', 'notifnya', 'mencukupi', 'bae', 'telkomsel', 'naikin', 'kualitasnya', 'ayolah', 'kesini', 'turun', 'kualitasnya', 'bagus', 'yaa', 'kualitasnya', 'kali', 'doang', 'dikecewain', 'telkomsel', '']</t>
  </si>
  <si>
    <t>['kali', 'menghidupkan', 'data', 'pulsa', 'langsung', 'terserap', 'habis', 'detik', 'membeli', 'paket', 'special', 'promo', 'gangguan', 'harap', 'tinjak', 'lanjuti', 'telkomsel']</t>
  </si>
  <si>
    <t>['ancor', 'sinyalnya', 'doang', 'ntar', 'sinyalnya', 'ilang', 'sampe', 'minggu', 'tetep', 'ilang', 'niat', 'ngeladenin', 'males', 'ngelayanin', 'kecewa', 'telkomsel', 'beda', 'intinya', 'kecewa', 'telkomsel']</t>
  </si>
  <si>
    <t>['kartu', 'sultan', 'kuota', 'mahal', 'sinyal', 'jaringan', 'susah', 'kecewa', 'banget', 'kalok', 'udah', 'kaya', 'gitu', 'diperjuangin', 'emang', 'merdeka', 'sampah', '']</t>
  </si>
  <si>
    <t>['udah', 'bangkrut', 'gimana', 'masak', 'jaringan', 'memburuk', 'diliat', 'liat', 'kalah', 'jaringan', 'sebelah', 'ampun', 'jaringan', 'telkomsel']</t>
  </si>
  <si>
    <t>['aplikasi', 'buruk', 'membeli', 'kuota', 'berlaku', 'membeli', 'tanggal', 'april', 'tanggal', 'april', 'penipuan', 'namanya', '']</t>
  </si>
  <si>
    <t>['telkomsel', 'parah', 'signal', 'chat', 'ancur', 'bagus', 'kaya', 'dlu', 'udah', 'kirim', 'email', 'telkomsel', 'tindak', 'lanjutan', 'kkecewa', 'sma', 'telkomsel', '']</t>
  </si>
  <si>
    <t>['berhenti', 'kartu', 'halo', 'prabayar', 'udah', 'mahal', 'kuota', 'dikit', 'nyampe', 'sebulan', 'udah', 'abis', 'mending', 'ganti', 'kartu', 'guys', 'kartu', 'telkomsel', 'keuntungan', 'dapati']</t>
  </si>
  <si>
    <t>['telkomsel', 'memilik', 'pilian', 'paket', 'combo', 'sakti', 'teman', 'pilihan', 'paket', 'combo', 'sakti', 'berpengaruh', 'kartu', 'tolong', 'dikondisikan', 'kesannya', 'adil', 'pelanggan', 'fasilitas', 'ditawarkan', 'angan', 'perbedaan', 'pelanggan', 'kartu', 'rusak', 'nyempulung', 'air', 'otomatis', 'ybs', 'ganti', 'kartu', 'mohon', 'program', 'penawaran', 'telkomsel', 'beda', 'bedakan', 'min', 'diperlakukan', 'tolonh']</t>
  </si>
  <si>
    <t>['sumpah', 'kecewa', 'bnget', 'gua', 'beli', 'paket', 'telkomsel', 'udah', 'jaringan', 'muncul', 'ilang', 'kek', 'mntan', 'sumpah', 'parah', 'banget', 'telkomsel', 'pketan', 'mahal', 'tpi', 'jaringan', 'stabil', 'untk', 'internetan']</t>
  </si>
  <si>
    <t>['jaringan', 'burik', 'edit', 'jam', 'malam', 'kirim', 'sms', 'uda', 'tutup', 'kantor', 'telkomsel', 'iya', 'silahkan', 'tutup', 'kantor', 'ditunda', 'karna', 'jaringan', 'burik', 'super', 'banggain', 'telkomnt', '']</t>
  </si>
  <si>
    <t>['udah', 'sms', 'paket', 'ceria', 'pas', 'beli', 'proses', 'kouta', 'pembelian', 'udah', 'hubungin', 'ngak', 'respon', 'parah', 'deh', 'donwload']</t>
  </si>
  <si>
    <t>['telkomsel', 'kesini', 'lemot', 'dijaringan', 'play', 'video', 'loadingnya', 'laaaamaaaaa', 'emosi', 'atuh', 'kuota', '']</t>
  </si>
  <si>
    <t>['pelanggan', 'telkomsel', 'bertahun', 'dibandingkan', 'jaringan', 'lemot', 'sinyal', 'terkadang', 'hilang', 'kuota', 'disayangkan', 'mengecewakan', '']</t>
  </si>
  <si>
    <t>['telkomsel', 'sinyal', 'penuh', 'kuota', 'gabisa', 'ngapa', 'in', 'chat', 'liat', 'tiktok', 'story', 'gabisa', 'nyesel', 'make', 'telkomsel']</t>
  </si>
  <si>
    <t>['woy', 'kuotanya', 'mahal', 'jaringan', 'jelek', 'jelek', 'gini', 'murahin', 'harga', 'harga', 'sesuai', 'jaringan', 'jam', 'bagus', 'jam', 'pagi', 'jelek', 'niat', 'benerin', '']</t>
  </si>
  <si>
    <t>['maaf', 'turunkan', 'bintangnya', 'udah', 'coba', 'ngeluh', 'ngeluh', 'telkomsel', 'tetep', 'perbaikan', 'sinyal', 'sekitaran', 'pembangunan', 'garut', 'sinyal', 'bagus', 'lelet', 'loading', 'kdang', 'pakai', 'chat', 'sosmed', 'trutama', 'telegram', 'loading', 'dibpakai', 'maen', 'game', 'mobile', 'legend', 'emosi', 'tingkat', 'dewa', 'heranya', 'pakai', 'you', 'tube', 'lancar', 'sya', 'coba', 'bbrapa', 'teman', 'daerah', 'menglami', 'yng', 'sma', 'penrunan', 'kualitas', 'sinyal', 'internet']</t>
  </si>
  <si>
    <t>['beli', 'paket', 'internet', 'app', 'telkomsel', 'metode', 'pembayaran', 'linkaja', 'berhasil', 'app', 'hapus', 'cahce', 'hapus', 'data', 'hapus', 'app', 'intal', 'ulang', 'restar', 'ulang', '']</t>
  </si>
  <si>
    <t>['tolong', 'telkomsel', 'beli', 'kuota', 'kendala', 'registrasi', 'berhasil', 'registrasi', 'kartu', 'internet', 'akses', 'apapun', 'kuota', 'full', 'apapun', 'aktifnya', 'sia', 'sia', 'beli', 'gimana', 'tunggu', 'solusinya']</t>
  </si>
  <si>
    <t>['semalam', 'mengambil', 'paket', 'darurat', 'pas', 'bayar', 'pagi', 'dipotong', 'pulsa', 'habis', 'degan', 'bayar', 'paket', 'darurat', 'potong', 'pegisian', 'ulang', 'sagat', 'kecewa', 'degan', 'telkomsel', 'tolong', 'perbaiki', 'bug', 'sagat', 'kecewa', 'temen', 'bernasip', 'top', 'pubg', 'ribu', 'ambil', 'degan', 'apkah', 'heck', 'telkomsel', 'mengambil', 'keuntungan', '']</t>
  </si>
  <si>
    <t>['gimana', 'pembelian', 'paket', 'data', 'ilang', 'akses', 'call', 'oprator', 'jawabannya', 'mpe', 'detik', 'keluhannya', 'nie', 'pelanggan', 'yth', 'terima', 'kasih', 'menghubungi', 'mengunjungi', 'permintaan', 'keluhan', 'terima', 'diproses', 'nomor', 'tiket', 'status', 'tiket', 'silahkan', 'hubungi', 'call', 'center', '']</t>
  </si>
  <si>
    <t>['sinyal', 'terputus', 'kadang', 'sinyal', 'hilang', 'beli', 'kouta', 'pkek', 'link', 'pilihan', 'pembayaran', 'pkel', 'link', '']</t>
  </si>
  <si>
    <t>['unlimited', 'buka', 'aplikasi', 'belanja', 'muncul', 'gambar', 'game', 'mendukung', 'bngt', 'kesini', 'parah', 'jaringan', 'matang', 'pilihan', 'ganti', 'kartu', 'bagus', 'jaringan', '']</t>
  </si>
  <si>
    <t>['parah', 'telkomsel', 'bisanya', 'jaringan', 'data', 'selulernya', 'ilang', 'pas', 'main', 'game', 'tpi', 'sinyal', 'kartu', 'sinyal', 'bagus', 'tinggal', 'ungaran']</t>
  </si>
  <si>
    <t>['aplikasi', 'jelek', 'iya', 'emang', 'jelek']</t>
  </si>
  <si>
    <t>['telkomsel', 'jaringan', 'telkomsel', 'memburuk', 'main', 'mobile', 'legends', 'free', 'fire', 'susah', 'ampun', '']</t>
  </si>
  <si>
    <t>['nomor', 'halo', 'fitur', 'kirim', 'hadiah', 'daily', 'check', 'hilang', 'nomor', 'halo', 'clear', 'cache', 'hapus', 'data', 'force', 'stop', 'restart', 'tetep', 'tampil', 'fiturnya', '']</t>
  </si>
  <si>
    <t>['temen', 'temen', 'suka', 'main', 'game', 'saranin', 'make', 'jaringan', 'asli', 'sinyal', 'ilang', 'harga', 'kuota', 'mahal', 'sesuai', 'kualitas', 'layanannya', 'ujan', 'dikit', 'langsung', 'ilang', 'habis', 'kesel', 'main', 'angin', 'badai', 'ujan', 'ilang', 'sampe', 'afk', 'jam', 'normal', 'udah', 'kayak', 'gini', 'main', 'game', 'saranin', 'sekian', 'terimakasih']</t>
  </si>
  <si>
    <t>['jaringan', 'telkomsel', 'skrg', 'enak', 'udah', 'turun', 'jaringanku', 'pas', 'main', 'game', 'hadeh', 'nyesel', 'gua', 'tolong', 'perbaiki', 'jaringan', 'telkomsel', 'makasih']</t>
  </si>
  <si>
    <t>['tolong', 'jaringan', 'tingkatan', 'kawasan', 'mendalo', 'darat', 'jambi', 'jalan', 'aurduri', 'kesini', 'parah', 'sinyalnya', 'telkomsel', 'tolong', 'diperbaiki', 'terima', 'kasih', 'terhormat', 'telkomsel', 'daerah', 'kawasan', 'kota', 'ditambah', 'towernya', 'rusak', 'perbaikan', 'tolong', 'utamakan', 'mewakili', 'warga', 'suka', 'ngeluh', 'terima', 'kasih']</t>
  </si>
  <si>
    <t>['tolong', 'diperbaiki', 'kemarin', 'beli', 'kuota', 'berhasil', 'bayar', 'aplikasi', 'notifikasi', 'pulsa', 'terpotong', 'butuh', 'kuota', 'aplikasi', 'telkomsel', 'harganya', 'terjangkau', 'terimakasih', '']</t>
  </si>
  <si>
    <t>['sinyalnya', 'tolong', 'diperkuat', 'pas', 'maen', 'game', 'leg', 'leg', 'parah', 'telkomsel', 'sinyalnya', 'parah', 'operator', 'tolong', 'benahi', 'nyaman', '']</t>
  </si>
  <si>
    <t>['bangke', 'udah', 'kali', 'download', 'kirain', 'download', 'gangguan', 'tampilan', 'halaman', 'sinyal', 'full', 'unstable', 'connection', '']</t>
  </si>
  <si>
    <t>['mohon', 'maaf', 'telkomsel', 'perihal', 'sinyal', 'ilang', 'ilangan', 'kecewa', 'banget', 'beralih', 'operator', 'ketimbang', 'telkomsel', 'mahal', 'sinyal', 'sekian', 'semoga', 'baca']</t>
  </si>
  <si>
    <t>['beli', 'paket', 'kode', 'dial', 'bacaanya', 'maaf', 'membeli', 'produk', 'apk', 'telkomsel', 'pendidikan', 'confrenc', 'combo', 'sakti', 'mohon', 'dibantu']</t>
  </si>
  <si>
    <t>['udah', 'kaya', 'ngak', 'peduliin', 'jaringan', 'udah', 'paket', 'mahal', 'jaringan', 'lemah', 'mandingan', 'kartu', 'gitu', 'paket', 'murah', 'jaringan', 'stabil', 'kerja', 'nanggung', 'udah', 'langganan', 'telkomsel', 'kesal', 'kutengok']</t>
  </si>
  <si>
    <t>['inii', 'beli', 'pulsa', 'pulsanya', 'lngsung', 'masuk', 'paket', 'extra', 'pulsa', 'tapii', 'fungsi', 'amatt']</t>
  </si>
  <si>
    <t>['menu', 'daily', 'check', 'ditiadakan', 'tinggal', 'mengklaim', 'hadiah', 'kuota', 'gb', 'menukar', 'voucher', 'game', 'cashback', 'menukar', 'kuota', 'menukar', 'kali', 'daily', 'checkin', 'dpt', 'hadiah', 'kuota', 'gb', 'capek', 'ngumpulin', 'stamp', 'disetiap', 'harinya', 'ditiadakan', 'gitu', 'sungguh', 'mengecewakan', '']</t>
  </si>
  <si>
    <t>['', 'appl', 'gga', 'buka', 'kmren', 'uda', 'coba', 'gga', 'buka', 'terpaksa', 'uninstal']</t>
  </si>
  <si>
    <t>['oke', 'sinyalnya', 'parahhhhh', 'parahhhh', 'menang', 'nama', 'kualitas', 'turun', 'pke', 'telkomsel', 'rekomendasi', 'keluhan', 'dengerin', 'dibaca', 'perbaikannya', 'jor', 'joran', 'paketan', 'doang', '']</t>
  </si>
  <si>
    <t>['jaringan', 'medan', 'hancur', 'stabil', 'rumah', 'kecewa', 'telkomsel', 'becu', '']</t>
  </si>
  <si>
    <t>['tolong', 'telkomsel', 'sma', 'mentang', 'udah', 'provider', 'niat', 'benerin', 'jaringan', 'tolong', 'denger', 'masukan', 'konsumen', 'denger', 'tanggapi', '']</t>
  </si>
  <si>
    <t>['mohon', 'maaf', 'kak', 'telkomsel', 'kendala', 'beli', 'pulsa', 'top', 'tulisannya', 'pulsa', 'pulsanya', 'kecewa', 'beli', 'pulsa', 'event', 'game', 'giniin', '']</t>
  </si>
  <si>
    <t>['pas', 'beli', 'pulsa', 'pakai', 'kartu', 'kredit', 'kemarin', 'susah', 'isi', 'pulsa', 'langsung', 'app', 'mohon', 'perbaiki']</t>
  </si>
  <si>
    <t>['telkomsel', 'babi', 'isi', 'data', 'ngelag', 'ampun', 'tolong', 'tingkatkan', 'stabilitas', 'jaringan', 'dirugikan', 'bermain', 'game', 'sinyal', 'buruk', 'tolong', 'layanan', 'jaringan', 'sesuaikan', 'harga', 'harga', 'mahal', 'sinyal', 'abal', 'trus', 'mending', 'cari', 'provider', 'kerabat', 'mengalami', 'rumah', 'tower', 'jaringan', 'telkomsel', '']</t>
  </si>
  <si>
    <t>['maaf', 'bintangnya', 'kurangin', 'telkomsel', 'udh', 'skrg', 'kecewa', 'karna', 'isi', 'ulang', 'pulsa', 'jam', 'hilang', 'jls', 'pdhl', 'apapun', 'dipake', 'berlangganan', 'apapun', 'sorry', 'telkomsel', 'kecewa', 'pulsa', 'ilang']</t>
  </si>
  <si>
    <t>['memasang', 'paket', 'unlimited', 'tertulis', 'tersedia', 'maxstream', 'download', 'aplikasi', 'maxstream', 'membukanya', 'buffering', 'kecewa', 'telkomsel', 'memanfaatkan', 'unlimited', 'maxstream', 'mohon', 'penjelasannya']</t>
  </si>
  <si>
    <t>['bintang', 'cocok', 'banget', 'telkomsel', 'kouta', 'mahal', 'mahal', 'sinyal', 'jelek', 'banget', 'ngeluarin', 'kouta', 'unlimited', 'benahin', 'tower', 'jaringan', 'telkomsel', 'pelanggan', 'puas', 'pelanggan', 'kabur', 'ngeluh', 'jaringan', 'pelanggan', 'ngeluh', 'jaringan', 'diperbaiki', '']</t>
  </si>
  <si>
    <t>['telkonsel', 'jayanya', 'hilang', 'udah', 'gua', 'nunggu', 'nonton', 'yurube', 'main', 'game', 'turun', 'rank', 'akibat', 'jaringan', 'merah', 'jaringan', 'jaringan', 'sediain', 'telkomsel', 'gua', 'tolol', 'berharap', 'terlkomsel', 'kendala', 'udah', 'aman', 'kasih', 'bintang', 'deh']</t>
  </si>
  <si>
    <t>['udah', 'seminggu', 'suami', 'kesal', 'pakai', 'sel', 'suami', 'vicon', 'zoom', 'sampe', 'malu', 'rekan', 'kerja', 'jaringannya', 'super', 'lemot', 'berkali', 'out', 'sndri', 'dri', 'zoom', 'sel', 'skrg', 'mutu', 'bagus', 'jaringan', 'kompetitor', 'mahal', 'iya', 'jelek', 'iya', 'sel', 'skrg']</t>
  </si>
  <si>
    <t>['skrg', 'jaringan', 'masaalloh', 'lemot', 'kuota', 'cepat', 'habis', 'tolonglah', 'boros', 'bos', 'udah', 'habis', 'gb', 'alloh', 'unlimited', 'ketengan', 'tolonglah', 'diperbaiki', 'terimakasih', '']</t>
  </si>
  <si>
    <t>['liat', 'pulsa', 'dikit', 'langsung', 'otomatis', 'paketin', 'data', 'internet', 'paket', 'udah', 'kebanyakan', 'paket', 'lokal', 'ketimbang', 'paket', 'nasional', 'sinyal', 'jelek', 'kerjaan', 'udah', 'ganti', 'provider', 'deh', 'share', 'teman', 'kartu', 'kecewa', 'pengguna', 'telkom']</t>
  </si>
  <si>
    <t>['isi', 'pulsa', 'habis', 'disedot', 'pulsa', 'kartu', 'sim', 'aktifkan', 'data', 'seluler', 'ayo', 'dibantu', 'admin', 'rugi', 'isi', 'pulsa', 'habis']</t>
  </si>
  <si>
    <t>['aplikasi', 'lemot', 'lihat', 'tagihan', 'kartu', 'halo', 'perbaiki', 'aplikasinya', 'operator', 'terbesar', 'aplikasinya', 'mengecewakan', '']</t>
  </si>
  <si>
    <t>['monetary', 'telkomsel', 'fungsinya', 'monetary', 'telkomsel', 'aktivitas', 'paket', 'combo', 'seharga', 'didalam', 'paket', 'paket', 'nelpon', 'menit', 'sms', 'nomer', 'telkomsel', 'monetary', 'mohon', 'telkomsel', 'mengganti', 'mengapresiasi', 'loyalitas', 'penggunanya', 'bermanfaat', 'maaf', 'kesalahan', 'terimakasih', '']</t>
  </si>
  <si>
    <t>['hai', 'telkomnyet', 'dengerin', 'sanggup', 'kasih', 'fasilitas', 'sinyal', 'bagus', 'udah', 'cabut', 'tower', 'kek', 'sengaja', 'dimatikan', 'dihidup', 'dimatikan', 'kena', 'maki', 'karna', 'afk', 'terooss', 'php', 'dasar', 'harga', 'mahal', 'kualitas', 'rendah', 'udah', 'mari', 'ganti', 'provider']</t>
  </si>
  <si>
    <t>['hujan', 'dikit', 'jaringan', 'langsung', 'hilang', 'listrik', 'mati', 'jaringan', 'hilang', 'parah', 'pranknya', 'gua', 'beli', 'unli', 'pas', 'cek', 'telkomsel', 'dri', 'tgl', 'skrng', 'pas', 'minggu', 'gua', 'cek', 'tglnya', 'berubah', 'oke', 'pelanggang', 'telkomsel', 'dri', 'pindah', 'operator', 'perusahaan', 'jaringannya', 'perhatikan']</t>
  </si>
  <si>
    <t>['mohon', 'telkomsel', 'coba', 'memperbaiki', 'aplikasinya', 'mengalami', 'bug', 'memperbaiki', 'sinyalnya', 'sesuai', 'harganya', 'mohon', 'perbaiki', 'kendalanya', '']</t>
  </si>
  <si>
    <t>['', 'update', 'buruk', 'tulisannya', 'luas', 'space', 'kosong', 'ketimbang', 'tulisan', 'loading', 'kebanyakan', 'iklan', 'bawa', 'arah', 'aplikasi', 'tujuannya', 'mudah', 'marah']</t>
  </si>
  <si>
    <t>['jujur', 'memakai', 'telkomsel', 'pelayanannya', 'mengecewakan', 'buruk', 'pelayanan', 'paket', 'datanya', 'buruk', 'teman', 'dikalimantan', 'mari', 'pindah', 'operator', 'dibhongi', 'telkomsel', '']</t>
  </si>
  <si>
    <t>['khusus', 'untukmu', 'dptkan', 'kuota', 'gb', 'hr', 'rp', 'mytelkomsel', 'download', 'klaim', 'tsel', 'hotoffers', 'program', 'terbatas', 'apr', 'sms', 'bgm', 'tolong', 'enak', 'bacanya', 'akses', 'ggk']</t>
  </si>
  <si>
    <t>['memakai', 'pulsa', 'telkomsel', 'penggunaan', 'apapun', 'harinya', 'terpotong', 'kecewa', 'isi', 'pulsa', 'niatnya', 'cuman', 'perpanjangan', 'aktif', 'kepotong', 'utuh', 'pulsa', '']</t>
  </si>
  <si>
    <t>['telkomsel', 'knp', 'pakai', 'pdhl', 'rutin', 'isi', 'tlp', 'pnawaran', 'hiraukan', 'pakai', 'hrs', 'bgmana', '']</t>
  </si>
  <si>
    <t>['', 'maaf', 'trs', 'transparan', 'bnyk', 'baca', 'email', 'ngumpet', 'pket', 'youtube', 'unlimited', 'kuota', 'kemakan', 'pls', 'kemakan', 'knp', 'telkomsel', 'penipu', 'gini', 'duit', 'wat', 'byr', 'tuntutan', 'wat', 'bang', 'denny', 'seregar', 'ats', 'gugatan', 'bocornya', 'info', 'pribadi', 'keluarganya', 'mnt', 'sumbangan', 'blng', 'lbh', 'jngn', 'nipu', 'gini', 'donk', 'pelanggan', 'dirugikan', 'pulsa', 'kesedot', 'trs', 'mahal', 'plyanan', 'mkn', 'mlh', 'mkin', 'buruk', 'ganti', 'prlu', 'diisi', 'pket', '']</t>
  </si>
  <si>
    <t>['parah', 'udah', 'enak', 'paketan', 'unlimited', 'one', 'time', 'purchase', 'one', 'time', 'purchase', 'udah', 'seneng', 'paketan', 'gitu', 'taunya', 'beli', 'doang', '']</t>
  </si>
  <si>
    <t>['', 'transaksi', 'transfer', 'pulsa', 'jadul', 'android', 'telkomsel', 'maksa', 'suruh', 'transaksi', 'apk', 'emg', 'jadul', 'download', 'apk', 'mytelkomsel', 'maksa', 'banget', 'layanan', 'apk', 'spec', 'customer', '']</t>
  </si>
  <si>
    <t>['bagus', 'membantu', 'ribet', 'semoga', 'telkomsel', 'maju', 'lupa', 'kasih', 'promo', 'bonus', 'ramadhan', 'ntar']</t>
  </si>
  <si>
    <t>['tolong', 'min', 'paket', 'data', 'telkomsel', 'mahal', 'donk', 'saran', 'ininbukan', 'bintang', '']</t>
  </si>
  <si>
    <t>['telkomsel', 'tower', 'udah', 'deket', 'lag', 'tolong', 'benerin', 'sinyalnya', 'kasih', 'bintang', 'paket', 'gamesnya', '']</t>
  </si>
  <si>
    <t>['kecepatan', 'berkurang', 'coba', 'hubungi', 'link', 'apk', 'messenger', 'emg', 'salahnya', 'menghubungi', 'lite', 'beda', 'emg', 'smartfren', 'diharapkan', 'udah', 'murah', 'kekuatan', 'sinyalnya', 'lumayan', 'beda', 'telkomsel', 'kekuatan', 'sinyal', 'telkomsel', 'kb', 'sednagkan', 'smartfren', 'mencapaii', 'semoga', 'telkomsel', 'maju', 'mahalnya', 'kedepankann']</t>
  </si>
  <si>
    <t>['hallo', 'telkomsel', 'terhormat', 'provider', 'mahal', 'segi', 'pelayanan', 'internet', 'mengecewakan', 'lemot', 'bin', 'matot', 'kalah', 'tetangga', 'sebelah', 'notabennya', 'murah', 'pelanggan', 'auto', 'kaborrrr', '']</t>
  </si>
  <si>
    <t>['gila', 'telkomsel', 'kacau', 'kali', 'pulsa', 'terkuras', 'abis', 'kuota', 'pulsa', 'nol', 'kecewa', '']</t>
  </si>
  <si>
    <t>['aplikasi', 'bagus', 'hnya', 'sinyal', 'providernya', 'nggak', 'oke', 'sinyal', 'telkomsel', 'sngat', 'banggakan', 'bbrp', 'kecewa', 'sinyal', 'nggak', 'stabil', 'hilang', 'tolong', 'perbaiki', '']</t>
  </si>
  <si>
    <t>['notifikasinya', 'dikirim', 'kuota', 'habis', 'notifikasi', 'kuota', 'habis', 'telat', 'dikirimnya', 'makan', 'pulsa', 'habis', 'notifikasi', 'kuota', 'habis', 'tolong', 'diperbaiki', 'ininya', 'nyaman', 'pakai', 'telkomsel', '']</t>
  </si>
  <si>
    <t>['telkomsel', 'belasan', 'kecewa', 'jaringan', 'internet', 'telkomsel', 'mahal', 'lelet']</t>
  </si>
  <si>
    <t>['hai', 'kak', 'maaf', 'kasih', 'rating', 'bintang', 'jujur', 'sinyal', 'telkomsel', 'lambat', 'stabil', 'pikir', 'telkomsel', 'sinyalnya', 'bagus', 'mohon', 'cek', 'diperbaiki', 'kak', 'terimakasih', 'harap', 'admin', 'membantu', 'mengatasi', 'sinyal', 'bagus', '']</t>
  </si>
  <si>
    <t>['halo', 'telkomsel', 'salah', 'pemilik', 'outlet', 'pulsa', 'daerah', 'sumut', 'minggu', 'outlet', 'daerah', 'kesulitan', 'voucher', 'kartu', 'perdana', 'alasan', 'barang', 'kosong', 'stok', 'dibatasi', 'outlet', 'max', 'pcs', 'pengguna', 'telkomsel', 'daerah', 'terhitung', 'pelanggan', 'pindah', 'provider', 'tolong', 'terkait', 'dibenahi', 'sistemnya', 'maaf', 'ulasan', 'sesuai', 'konteks', '']</t>
  </si>
  <si>
    <t>['kecewa', 'jaringan', 'telkomsel', 'sinyal', 'rumah', 'sinyal', 'buruk', 'harga', 'kuota', 'mahal', 'jaringan', 'buruk', 'banget', 'namakan', 'keadilan', '']</t>
  </si>
  <si>
    <t>['kasih', 'bintang', 'ngrasain', 'pelayanannya', 'nyesel', 'kasih', 'bintang', 'cabut', 'ganti', 'bintang', 'mahal', 'pelayanan', '']</t>
  </si>
  <si>
    <t>['aplikasi', 'telkomsel', 'susah', 'banget', 'akses', 'keseringan', 'tampilan', 'muka', 'muncul', 'something', 'went', 'wrong', 'please', 'try', 'again', 'later', 'kartu', 'perdana', 'menunggu', 'isi', 'pulsa', 'beli', 'paket', 'itupun', 'isi', 'pulsa', 'dlu', 'lwt', 'counter', 'pulsa', 'pilihan', 'paket', 'kartu', 'perdana', 'mahal', 'langsung', 'promo', 'perhatian', 'kedepan', 'terima', 'kasih', '']</t>
  </si>
  <si>
    <t>['', 'kasih', 'bintang', 'bagus', 'tambahin', 'keluhan', 'dipusat', 'bantuan', 'operatornya', 'trus', 'nunggu', 'operatornya', 'tidur', 'pket', 'keterangan', 'bahasa', 'pketnya', 'murah', 'pket', 'internetnya', 'kalah', 'tetangga', 'sebelah', 'cape', 'nulisnya', '']</t>
  </si>
  <si>
    <t>['harga', 'lumayan', 'mahal', 'tpi', 'kualitasx', 'tolong', 'jaringan', 'internetnya', 'daerah', 'angasana', 'tanah', 'bumbu', 'kalsel', 'benerin', 'masak', 'udh', 'sebulan', 'jaringan', 'busuk', 'trus', 'katax', 'jaringan', 'terluas', 'tpi', 'hasilnya', 'pindah', 'klu', 'gini', '']</t>
  </si>
  <si>
    <t>['sinyal', 'telkomsel', 'daerah', 'menghilangkan', 'kecewa', 'bermain', 'game', 'online', 'nonton', 'youtube', 'tolong', 'diperbaiki', '']</t>
  </si>
  <si>
    <t>['bayangkan', 'dlm', 'urgent', 'cepet', 'mendownload', 'materi', 'pdf', 'email', 'kota', 'solo', 'notabane', 'kota', 'sore', 'cerah', 'hujan', 'angin', 'mati', 'lampu', 'smartphone', 'mohon', 'maaf', 'kartu', 'telkomsel', 'butuh', 'menit', 'terdownload', 'gedek', 'ndak', 'gua', 'sabar', 'ato', 'gimana', 'niihhh', 'kerja', 'ngapain', 'wooyyy', 'mahal', 'sinya', 'oke', 'sepadan', 'hla', 'kabar', '']</t>
  </si>
  <si>
    <t>['kartu', 'iya', 'mahal', 'jaringan', 'bagus', 'buka', 'login', 'game', 'nunggu', 'kartu', 'mahal', 'jarang', 'murahan', 'tolong', 'telkomsel', 'perbaiki', 'jaringan', 'jaringan', 'beh', 'kayak', 'kartu', 'murahan', 'bingung', 'temen', 'dpt', 'kuota', 'gb', 'dpt', '']</t>
  </si>
  <si>
    <t>['nyesel', 'beli', 'paket', 'gamemax', 'beli', 'claim', 'diamond', 'keterangan', 'kode', 'promosi', 'salah', 'melewati', 'batas', 'pemakaian', 'kalok', 'batas', 'habis', 'aplikasi', 'masi', 'jual', 'kecewaa']</t>
  </si>
  <si>
    <t>['recent', 'transaksinya', 'mohon', 'diperbaiki', 'detail', 'yaa', 'tdi', 'ngisi', 'pulsa', 'rb', 'kali', 'tpi', 'masuk', 'rb', 'pas', 'cek', 'pemakaian', 'gaada', 'catatannya', 'rincian', 'pembelian', 'pulsa', 'itupun', 'terperinci']</t>
  </si>
  <si>
    <t>['check', 'pas', 'ngambil', 'hadiah', 'poin', 'disitu', 'pulsa', 'pulsa', 'aneh']</t>
  </si>
  <si>
    <t>['jaringan', 'buruk', 'trus', 'tolong', 'telkomsel', 'gini', 'trus', 'puas', 'kasih', 'hubungi', 'twitter', 'kirim', 'email', 'udh', 'dihubungi', 'tetep', '']</t>
  </si>
  <si>
    <t>['', 'blak', 'blakan', 'tolong', 'telkomsel', 'kasih', 'system', 'kaya', 'axis', 'net', 'dimana', 'ngelock', 'pulsa', 'kepake', 'isi', 'pulsa', 'gara', 'gara', 'data', 'aktif', 'langsung', 'abis', 'kesedot', 'masuk', 'akal', 'beli', 'paket', 'pulsa', 'habis', '']</t>
  </si>
  <si>
    <t>['pas', 'paket', 'habis', 'langsung', 'dipotong', 'pulsa', 'paket', 'aktif', 'kecewa', 'dech', 'pemakai', 'telkomsel', 'pas', 'aktifin', 'paket', 'data', 'usahain', 'pulsa', 'tinggal', 'terpotong', 'otomatis', 'saran', 'ane', 'sich', 'jdi', 'pengalaman', 'ane', '']</t>
  </si>
  <si>
    <t>['aneh', 'app', 'logout', 'logout', 'jaringan', 'eror', 'pas', 'login', 'verifykasi', 'sms', 'gamasuk', 'masuk', 'smsnya', 'harga', 'doang', 'mahal', 'kualitas', 'benerin', 'kecewa', 'bner', 'heran', '']</t>
  </si>
  <si>
    <t>['plis', 'jaringan', 'sulawesi', 'tenggara', 'kendari', 'baguskan', 'jaringannya', 'upload', 'vidio', 'you', 'tube', 'gagal', 'gara', 'gara', 'jaringan', 'wifi', 'mahal', 'bayarnya', 'mohon', 'operator', 'telkomsel', 'baguskan', 'jaringannya', 'kalah', 'ama', 'operator']</t>
  </si>
  <si>
    <t>['kirim', 'sms', 'link', 'masuk', 'balesan', 'smsnya', 'linknya', 'basi', 'pulsa', 'abis', 'sampe', 'berkali', 'kali', 'kirim', 'sms', 'link', 'provider', 'pilihan', 'nyaman', 'terusin', 'nyaman', 'tinggal', 'cari', 'provider', 'nyaman', 'simple', 'aplikasinya', 'susah', 'jawabannya', 'udah', 'nyusahin', 'dipakenya', 'tinggal', 'uninstall']</t>
  </si>
  <si>
    <t>['bohongi', 'kuota', 'daily', 'check', 'innya', 'habis', 'klaim', 'kuotanya', 'berkurang', 'kuota', 'utamanya', 'nggak', 'kuota', 'utamanya', 'pulsanya', 'berkurang', 'gimana', 'telkomsel', 'tolong', 'perbaiki', '']</t>
  </si>
  <si>
    <t>['', 'pke', 'telkomsel', 'kecewa', 'pdhal', 'jakarta', 'timur', 'pulogadung', 'sinyal', 'internet', 'gangguan', 'pas', 'mati', 'lampu', 'snyal', 'ikutan', 'mati', 'parah', 'tlp', 'bsa', 'darurat', 'sya', 'telkomsel', 'bsa', 'andalkan', 'lgi', 'mnding', 'pindah', 'operator', 'sebelah', 'ajaa']</t>
  </si>
  <si>
    <t>['update', 'terossss', 'jaringan', 'kagak', 'perna', 'update', 'harga', 'mahal', 'sesuai', 'jaringannya', 'bro', 'telkomsel', 'kau', 'balas', 'hai', 'kak', 'maaf', 'kakak', 'nyaman', 'keluhan', 'informasi', 'aplikasi', 'telkomsel', 'akun', 'blablabla', 'kau', 'benerin', 'jaringan', 'senang', 'masala', 'aplikasimu', 'nyusul', 'ntar', 'jaringannya', '']</t>
  </si>
  <si>
    <t>['force', 'closed', 'emosi', 'butuh', 'banget', 'kuota', 'pas', 'ujian', 'something', 'went', 'wrong', 'mulu', 'diperbaiki', '']</t>
  </si>
  <si>
    <t>['isi', 'pulsa', 'berkali', 'kali', 'akses', 'paket', 'data', 'masuk', 'saldo', 'pulsa', 'berkurang', 'mengalami', 'kendala', 'mohon', 'diperbaiki', 'pelanggan', 'kecewa', 'terimakasih']</t>
  </si>
  <si>
    <t>['beli', 'paket', 'permintaan', 'proses', 'mulu', 'udah', 'berkali', 'kali', 'tetep', 'kaya', 'gitu', 'pas', 'beli', 'langsung', 'sms', 'masuk', 'tetep', 'permintaan', 'proses', 'mulu', 'takut', 'hilang', 'pulsanya', 'duluan']</t>
  </si>
  <si>
    <t>['aplikasi', 'payah', 'bukanya', 'jalannya', 'lemot', 'jaringan', 'telkomsel', 'ajir', 'parah', 'buka', 'munculnya', 'gratis', 'kuota', 'gb', 'kerja', 'wfh', 'sinyal', 'payah', 'iya', 'gini', 'telkomsel', 'males']</t>
  </si>
  <si>
    <t>['kka', 'abg', 'nanyak', 'knp', 'jaringan', 'telkomsel', 'eror', 'tolong', 'konfirmasi', 'eror']</t>
  </si>
  <si>
    <t>['kog', 'susah', 'daftar', 'paketan', 'pilihanya', 'tolong', 'lahh', 'puasin', 'pelanggan', 'promonya', 'beli', 'paketan', 'internet', 'susah', '']</t>
  </si>
  <si>
    <t>['selamat', 'siang', 'telkomsel', 'aplikasi', 'telkomsel', 'paket', 'combo', 'sakti', 'unlimtednya', 'harga', 'unlimited', 'harga', 'tolong', 'dimunculkan', 'gimana', 'respect', 'telkomsel', 'klu', 'pilih', 'kasih', 'orang', 'costumer', 'pakai', 'kartu', 'nomor', 'terima', 'kasih', 'tolong', 'dimunculkan', '']</t>
  </si>
  <si>
    <t>['nomor', 'apk', 'telkomsel', 'pas', 'login', 'nomer', 'login', 'ulang', 'suruh', 'klik', 'link', 'sms', 'link', 'dikirim', 'kadaluarsa', 'mohon', 'perbaiki', 'bug', 'edit', 'hadeh', 'parah', 'nggk', 'masuk', 'jaringan', 'bagus']</t>
  </si>
  <si>
    <t>['ribet', 'suka', 'masuk', 'berkali', 'kali', 'aplikasi', 'mantau', 'kuota', 'modem', 'verifikasi', 'nomor', 'ribet', 'copot', 'pasang', 'kartu', 'pindahin', 'modem', 'modem']</t>
  </si>
  <si>
    <t>['halo', 'telkomsel', 'kuota', 'paket', 'jaringan', 'pulsa', 'rb', 'terpotong', 'pulsanya', 'rb', 'lebihitu', 'uda', 'tlp', 'telkomsel', 'telkomsel', 'solusi', 'buk', 'tolong', 'kasi', 'solusinya', 'paket', 'kena', 'potong', 'pulsa', 'pas', 'buka', 'internet', '']</t>
  </si>
  <si>
    <t>['apk', 'telkomsel', 'bank', 'biaya', 'admin', 'pulsa', 'berkurang', 'cek', 'pulsa', 'berkurang', 'heran', 'apk', 'tolong', 'diperbaiki', 'apk', '']</t>
  </si>
  <si>
    <t>['yth', 'petinggi', 'telkomsel', 'perbaiki', 'kualitas', 'sinyal', 'internet', 'telkomsel', 'parah', 'serasa', 'jaringan', 'lag', 'parah', 'cuman', 'kejar', 'sales', 'perbaiki', 'kualitas', 'paket', 'internet', 'tsel', 'murah', 'pakai', 'lancarrr', 'laporan', 'veronica', 'membantu', 'bantu', 'mencatat', 'kecacatan', 'tsel', 'bintang', 'play', 'store', 'kasih', 'tsel']</t>
  </si>
  <si>
    <t>['harga', 'mahal', 'jaringan', 'lag', 'kembalikan', 'uang', 'rugi', 'harga', 'mahal', 'paket', 'data', 'internet', 'jaringan', 'hilang', 'jaringan', 'pelanggan', 'setia', 'telkomsel', 'kecewa', 'dengam', 'perkembangan', 'rugi']</t>
  </si>
  <si>
    <t>['gangguan', 'jaringan', 'pelayanan', 'biaya', 'keluarkan', 'aktif', 'memakai', 'telkomsel', 'merugikan', 'materil', 'non', 'materil', 'jaringan', 'rusak', 'kecewaaaaaa', 'lanyanan', 'call', 'centre', 'kasih', 'menyenangkan', 'keluhan', 'jaringan', '']</t>
  </si>
  <si>
    <t>['assalamualaikum', 'tolong', 'simpati', 'isi', 'kuota', 'malam', 'sampe', 'pagi', 'jam', 'tolong', 'percepat', 'perbaikan', 'nyaman', 'masuk', 'simpati', 'muter', 'losing', 'masuk', 'virtual', 'whatsapp', '']</t>
  </si>
  <si>
    <t>['aplikasinya', 'payah', 'beli', 'paket', 'data', 'disuruh', 'top', 'pulsanya', 'karna', 'nggak', 'stelah', 'top', 'nggak', 'beli', 'paketnya', 'mending', 'uninstal', 'ajah', 'aplikasinya', '']</t>
  </si>
  <si>
    <t>['', 'telkomsel', 'sya', 'terbuka', 'kali', 'uninstall', 'instal', 'ttap', 'sja', 'tdak', 'terbuka', 'gambar', 'putih', 'kosong', 'app', 'sampah', 'ngabisin', 'data']</t>
  </si>
  <si>
    <t>['keluhan', 'paket', 'internet', 'lokalnya', 'kuota', 'multimedianya', 'game', 'kuota', 'unlimitednya', 'gimana', 'developernya', 'edit', 'udh', 'coba', 'saran', 'developer', 'saranin', 'telkomsel', 'mikir', 'kali', 'sinyalnya', 'bagus', 'layanannya', 'bagus', '']</t>
  </si>
  <si>
    <t>['kaga', 'membeli', 'paket', 'yng', 'promo', 'promo', 'smpai', 'april', 'dibeli', 'tulisan', 'aktivasi', 'paket', 'diproses', 'nunggu', 'masuk', '']</t>
  </si>
  <si>
    <t>['gajelas', 'telkomsel', 'paket', 'mahal', 'sinyal', 'buruk', 'nyesal', 'beli', 'sim', 'lemot', 'bagus', 'main', 'game', 'susah', 'lambat', 'hilang', 'jaringan', 'nonton', 'kuat', 'jaringan', 'nonton', 'film', 'lambat', 'tolong', 'dev', 'diperbaiki', 'simku', 'telkomsel', 'sim', 'thn', 'sim', 'minggu', 'tekomsel', 'jaringan', 'pas', 'main', 'game', '']</t>
  </si>
  <si>
    <t>['kasi', 'bintang', 'karna', 'udah', 'make', 'telkomsel', 'nomor', 'telkomsel', 'dipercaya', 'udah', 'jarinhan', 'internetnya', 'jalan', 'pagi', 'jalan', 'hilang', 'timbul', 'kejelasan', 'bar', 'sinyal', 'bar', 'tolong', 'donk', 'diperbaiki', 'secepatnya', 'isi', 'paket', 'ampe', 'ribu', 'perbulan', 'layar', 'ponsel', 'ngapa', 'udah', 'bisnis', 'berjalan', 'lancar', 'kec', 'lubuk', 'sikaping', 'kab', 'pasaman']</t>
  </si>
  <si>
    <t>['slalu', 'beli', 'kartu', 'telkomsel', 'sinyalnya', 'bagus', 'lancar', 'buka', 'aplikasi', 'apapun', 'beli', 'kartu', 'telkomsel', 'gb', 'unlimited', 'kuota', 'utama', 'habis', 'giliran', 'gb', 'gabisa', 'lemot', 'banget', 'kek', 'gada', 'kuotanya', 'pdahal', 'gmna', 'solusinya', 'tolong', 'bantuan', 'sayang', 'banget', 'beli', 'mahal', '']</t>
  </si>
  <si>
    <t>['beli', 'paket', 'unlimited', 'youtube', 'pesan', 'klw', 'besok', 'pembelian', 'beli', 'sehari', 'pulsa', 'udh', 'kepotong', 'sesuai', 'harga', 'sehat', 'kah', 'telk', 'msel', 'maaf', 'klw', 'kasar', 'emng', 'dasarnya', 'ngelunjak', '']</t>
  </si>
  <si>
    <t>['admin', 'beli', 'paket', 'combo', 'sakit', 'gratisan', 'sms', 'nelpon', 'paket', 'sms', 'gratisan', 'nelpon', 'sihh']</t>
  </si>
  <si>
    <t>['bug', 'fix', 'perbaharuan', 'kali', 'bisanya', 'program', 'daily', 'chekin', 'aman', '']</t>
  </si>
  <si>
    <t>['terbaik', 'busuk', 'jaringannya', 'tolong', 'jaringan', 'diperbaiki', 'pelanggan', 'mengeluh', 'daerah', 'badau', 'kapuas', 'hulu', 'kalimantan', 'barat', 'seminggu', 'sampe', 'jaringan', 'hilang', 'tower', 'cuman', 'kilo', 'meter', 'hilang', 'sinyal', 'sampe', 'seharian', 'brand', 'sebelah', 'aman', 'lajunya', 'kalah', 'paketan', 'masi', 'mati', 'aktiv', 'udh', 'habis', 'rugi', 'bandar', '']</t>
  </si>
  <si>
    <t>['assalamualaikum', 'jawa', 'telkomsel', 'jaringan', 'ngelek', 'ngelek', 'tolong', 'perbaiki', 'kantor', 'telkomsel']</t>
  </si>
  <si>
    <t>['paket', 'halo', 'unlimited', 'gimmick', 'kuota', 'utama', 'habis', 'akses', 'apapun', 'aplikasi', 'akses', 'unlimited', '']</t>
  </si>
  <si>
    <t>['percaya', 'telkomsel', 'harga', 'mahal', 'nama', 'doang', 'sinyal', 'pas', 'bagus', 'axix', 'telkomsel', 'dlu', 'bgus', 'skrg', 'korupsi', 'towernya', 'kurangi']</t>
  </si>
  <si>
    <t>['poin', 'ditukar', 'boro', 'boro', 'dapet', 'mobil', 'dapet', 'samsung', 'note', 'kagak', 'alangkah', 'bahagianya', 'hadiah', 'nyata', 'telkomsel', 'semoga', 'disemogakan', 'cepat', 'semoga', 'aamiin']</t>
  </si>
  <si>
    <t>['pelanggan', 'pasca', 'bayar', 'masuk', 'pelanggan', 'loyal', 'kartu', 'halo', 'paketnya', 'merugikan', 'sinyal', 'lelet', 'kuota', 'dikit', 'add', 'paket', 'halo', 'mending', 'dihapus', 'niat', 'paket', 'bener', 'bener', 'idiot', 'bos', 'halo', 'pascabayar', 'hina', 'kek', 'gini']</t>
  </si>
  <si>
    <t>['telkomsel', 'lelet', 'kali', 'main', 'game', 'lelet', 'dapet', 'jaringan', 'bagus', 'udah', 'mahal', 'lelet', 'maleslah', 'telkomsel', 'ganti']</t>
  </si>
  <si>
    <t>['pengguna', 'telkomsel', 'setia', 'knapa', 'suka', 'lemot', 'kali', 'beli', 'paket', 'unlimited', 'paket', 'kuota', 'utamanya', 'habis', 'akses', 'aplikasi', 'contoh', 'sperti', 'game', 'musik', 'tiktok', 'dsb', 'susah', 'masuk', 'masuk', 'lemot', 'kuota', 'utamanya', 'akses', 'lancar', 'masukan', 'teman', 'trims']</t>
  </si>
  <si>
    <t>['woiii', 'telkomsel', 'listrik', 'padam', 'jaringan', 'marabahan', 'kalsel', 'gangguan', 'tower', 'pemancar', 'cadangan', 'listrik', 'bayar', 'paketan', 'mahal', 'telkomsel', 'pokok', 'listrik', 'mati', 'telkomsel', 'ikutan', 'gangguan', '']</t>
  </si>
  <si>
    <t>['promosi', 'berat', 'lelet', 'bagus', 'sederhana', 'kaya', 'iklan', 'kusus', 'layanan', 'kartu', 'sim', 'jual', 'iklan']</t>
  </si>
  <si>
    <t>['baca', 'ulasan', 'kerjakan', 'konsumen', 'kayak', 'puas', 'beli', 'kouta', 'udah', 'mahal', 'lelet', 'tower', 'dimna', 'tetep', 'lelet', 'renungkan', 'ulasan', 'konsumen', 'harga', 'jaringan', 'super', 'lelet', 'kouta', 'lelet', 'maklumin', 'kouta', 'gb', 'lelet', 'kenceng', 'pas', 'beli', 'doang']</t>
  </si>
  <si>
    <t>['sangatttttttt', 'kecewa', 'make', 'telkomsel', 'thn', 'nyesel', 'migrasi', 'hallo', 'paketannya', 'mahal', 'jaringan', 'klemet', 'klemet', 'nomer', 'bwt', 'pekerjaan', 'ganti', 'tolonglah', 'telkomsel', 'perbaiki', 'keluh', 'kesah', 'pelangganmu', 'komentar', 'kecewa', 'sepua', 'isinya', 'hadehhhh', 'hufftt', 'banget', '']</t>
  </si>
  <si>
    <t>['keluarga', 'slalu', 'setia', 'mengunakan', 'telkomsel', 'jaringan', 'kemana', 'mudah', 'slalu', 'kemudahan', 'jaringan', 'slalu', 'sukses', 'telkomsel', 'love', 'you']</t>
  </si>
  <si>
    <t>['sinyal', 'buruk', 'kartu', 'sampah', 'sinyal', 'internet', 'putus', 'mulu', 'pengguna', 'telkomsel', 'zaman', 'telkomsel', 'hnya', 'isi', 'ulang', 'rb', 'sekarng', 'udh', 'isi', 'ulang', 'sekrng', 'trasa', 'lamban', 'telkomsel', 'udah', 'deh', 'oake', 'kartu', 'telkomsel', 'internet', 'mending', 'ganti', 'tuk', 'nlfon', 'kdng', 'bner', 'mngecewakan', 'telkomsel', '']</t>
  </si>
  <si>
    <t>['', 'lokasi', 'mengeluhkan', 'telkomsel', 'lemot', 'coba', 'sinyal', 'pakai', 'nonton', 'striming', 'muter', 'doang', 'aplikasi', 'update', 'restart', 'hasilnya', 'nihil', 'ayolah', 'telkomsel', 'pendapatmu', 'bertahun', 'pakai', 'telkomsel', 'pendapatmu', '']</t>
  </si>
  <si>
    <t>['telkomsel', 'menyediakan', 'paket', 'murah', 'pakai', 'lemot', 'banget', 'beda', 'banget', 'sibiru', 'ungu', 'telkomsel', 'uda', 'kecewa', 'banget', '']</t>
  </si>
  <si>
    <t>['tolong', 'abis', 'update', 'paket', 'beli', 'hilang', 'cuman', 'paket', 'combo', 'sakti', 'doang', 'mahal', 'tolong', 'paket', 'net', 'max', 'berlanjut', 'pindah', 'provider', 'pelanggan', 'harga', 'paket', 'mengila', '']</t>
  </si>
  <si>
    <t>['parah', 'banget', 'download', 'file', 'gb', 'ilang', 'udh', 'mb', 'ilang', 'jaringannya', 'ulang', 'downloadnya', 'irit', 'pengeluaran', 'hadeh', 'kesel', 'berharap', 'diperbaiki']</t>
  </si>
  <si>
    <t>['beli', 'kuota', 'apk', 'nggak', 'respon', 'kuota', 'beli', 'muncul', 'diproses', 'halah', 'nunggu', 'jam', 'kagk', 'keaktivasi', 'tolong', 'respon', '']</t>
  </si>
  <si>
    <t>['aplikasi', 'buruk', 'membuka', 'aplikasi', 'mytelkomsel', 'force', 'close', 'kentang', 'memiliki', 'spek', 'rendah', 'sungguh', 'kecewa', 'aplikasi', 'mohon', 'perbaiki', 'aplikasi', 'secepatny', '']</t>
  </si>
  <si>
    <t>['apk', 'menyebalkan', 'apk', 'masuk', 'layar', 'putih', 'doang', 'udah', 'uninstall', 'layar', 'putih', 'kecewa', 'sinyalnya', 'jelek', 'tolong', 'perbaiki', 'pengguna', 'puas', 'apk', 'tolong']</t>
  </si>
  <si>
    <t>['beli', 'kuota', 'ketengan', 'unlimitide', 'tpi', 'dipake', 'ngeloading', 'truuuuss', 'nyoba', 'paketan', 'ketengan', 'youtube', 'tetep', 'bsa', 'dipake', 'payah', 'telkomsel', 'mahal', 'doang', '']</t>
  </si>
  <si>
    <t>['tolong', 'telkomsel', 'terhormat', 'harganya', 'ngak', 'masuk', 'akal', 'masak', 'kouta', 'youtube', 'mahal', 'banget', 'kayak', 'kalok', 'mending', 'ganti', 'kartu', 'harga', 'sesuai', 'saku', 'pelajar', 'terimakasih']</t>
  </si>
  <si>
    <t>['menyimpan', 'pulsa', 'telkomsel', 'sinyal', 'jelek', 'mengklaim', 'sbg', 'provider', 'terbaik', 'mengambil', 'pulsa', 'data', 'internet', 'pakai', 'msh', 'paket', 'data', 'sdg', 'berjalan', '']</t>
  </si>
  <si>
    <t>['apl', 'bagus', 'memudah', 'membeli', 'paket', 'apapun', 'sesusai', 'kebutuhan', 'pilihan', 'palet', 'dark', 'paket', 'nelp', 'sosmed', 'internet', 'puas']</t>
  </si>
  <si>
    <t>['wee', 'jing', 'coba', 'kuota', 'main', 'lag', 'buka', 'status', 'ajg', 'benerian', 'jaringan', 'siang', 'sore', 'malam', 'dih', 'beli', 'kuota', 'internet', 'mahal', 'ujung', 'pakek', 'malam', 'ajg']</t>
  </si>
  <si>
    <t>['tolonglah', 'telkomsel', 'wilayah', 'riau', 'tepatnya', 'kota', 'duri', 'kabupaten', 'bengkalis', 'jaringannya', 'hilang', 'timbul', 'beli', 'kuota', 'mahal', 'pelayanannya', 'buruk', 'kecewa', 'kartu', 'daerah', 'pakai', 'telkomsel', 'sudi', 'mahal', 'doang', 'pelayanan', 'buruk', '']</t>
  </si>
  <si>
    <t>['tinggal', 'jatim', 'knp', 'jaringanya', 'stabil', 'iklan', 'telkomsel', 'jaringan', 'tercepat', 'indoneaia', 'mohon', 'harap', 'hapus', 'sesuai', 'ralita', 'jaringa', 'stabil', 'alias', 'putus', 'teruntuk', 'developer', 'mohon', 'kasih', 'keluhan', 'jaringan', 'logis', 'manusia', 'suruh', 'ngeluh', 'bot', 'komputer', 'cuman', 'pengen', 'telkomsel', 'penuh', 'kedzoliman', 'telkomsel', 'mending', 'kuotanya', 'mahal', 'jaringanya', 'error']</t>
  </si>
  <si>
    <t>['dlm', 'kebelakang', 'aplikasi', 'telkomsel', 'susah', 'masuk', 'yaa', 'kmren', 'lancar', 'terooosssssssssss', 'kaya', 'gini', 'tebilang', 'bagus', 'knpa', 'skrng', 'macet', '']</t>
  </si>
  <si>
    <t>['kasih', 'paket', 'spesial', 'dibeli', 'nggak', 'beli', 'kasih', 'spesial', 'spesial', 'takut', 'rugi', 'telkomsel', '']</t>
  </si>
  <si>
    <t>['mengisi', 'kode', 'vocer', 'kuota', 'minggu', 'maap', 'sistem', 'sibuk', 'mohon', 'tunggu', 'udah', 'rstat', 'udah', 'mode', 'pasawat', 'bsa', 'jual', 'vocer', '']</t>
  </si>
  <si>
    <t>['telkomsel', 'udah', 'paketan', 'ribu', 'daerah', 'banjarmasin', 'jaringan', 'super', 'super', 'lemott', 'tolong', 'diperbaiki', 'gini', 'ngabisin', 'uang', 'udah', 'gede', 'paketan', 'lemot', 'ampun', 'tolong', 'dibaca', 'telkomsel', 'kecewa', 'telkomsel']</t>
  </si>
  <si>
    <t>['lokasi', 'banjarmasin', 'kota', 'sinyal', 'jaringan', 'turun', 'kadang', 'kadang', 'kota', 'plosok', 'desa', 'sinyal', 'full', 'jaringan', 'lemot', 'tolong', 'telkomsel', 'memperbaiki', 'kepuasan', 'customer', 'pengguna', 'telkomsel', 'terima', 'kasih']</t>
  </si>
  <si>
    <t>['mohon', 'maaf', 'telkomsel', 'aplikasi', 'tercantum', 'tombol', 'beli', 'beli', 'paket', 'via', 'app', '']</t>
  </si>
  <si>
    <t>['telkomsel', 'mohon', 'maaf', 'daerah', 'sekitaran', 'nunyai', 'rajabasa', 'sinyalnya', 'lemot', 'tolong', 'segerakan', 'diperbaiki', 'dikuatkan', 'sinyalnya', 'kota', 'iya', 'lemot', 'gitu', 'malu', 'telkomsel', 'kota', 'sinyalnya', 'lemot', 'makasih', 'telkomsel']</t>
  </si>
  <si>
    <t>['langganan', 'bertahun', 'semenjak', 'pegang', 'sinyal', 'hancur', 'konek', 'telfon', 'maintance', 'beli', 'paketan', 'mahal', 'koneksinya', 'buruk', '']</t>
  </si>
  <si>
    <t>['sya', 'kurangi', 'bintang', 'bintang', 'bintang', 'nol', 'sya', 'kasih', 'bintang', 'karna', 'kecewanya', 'kualitas', 'jaringan', 'telkomsel', 'buruk', 'buruk', 'buruk', 'sekalih']</t>
  </si>
  <si>
    <t>['telkomsel', 'ancur', 'pulsa', 'kendala', 'sistem', 'sibuk', 'nunggu', 'sampe', 'tolong', 'perbaiki', 'ganti', 'kartu', 'udah', 'berkendala']</t>
  </si>
  <si>
    <t>['utj', 'pengguna', 'telkomsel', 'beralih', 'kartu', 'beli', 'telkomsel', 'beli', 'telkomsel', 'tulisannya', 'unlimited', 'pas', 'periksa', 'tulisan', 'unlimited', 'penipuan', 'pengguna', 'telkomsel', 'kartu', 'telkomsel', 'harap', 'ganti', 'kartu', 'secepatnya', 'uninstall', 'aplikasinya', 'telkomsel', 'luncurkan', 'satelit', 'tpi', 'jaringan', 'kayak', 'murah', 'kartu', '']</t>
  </si>
  <si>
    <t>['tolong', 'tingkatkan', 'kualitas', 'signalnya', 'karna', 'signalnya', 'lemah', 'gangguan', 'susah', 'menerima', 'orderan', 'terimakasih', '']</t>
  </si>
  <si>
    <t>['dibilang', 'bagus', 'tolong', 'isi', 'pulsa', 'pulsa', 'kesedot', 'sisa', 'kuota', 'gb', 'notif', 'telkom', 'pemakaian', 'data', 'kenakan', 'tarif', 'normal', 'paket', 'pemerintah']</t>
  </si>
  <si>
    <t>['dimohon', 'petugas', 'tsel', 'notifikasi', 'via', 'sms', 'ntah', 'sisa', 'kuota', 'promo', 'diskon', 'menjengkelkan', 'pengguna', 'tsel', 'sisa', 'kuota', 'sungguh', 'lantas', 'apk', 'mytelkomsel', 'notif', 'via', 'sms', 'mohon', 'pengertian']</t>
  </si>
  <si>
    <t>['semenjak', 'update', 'aplikasinya', 'fitur', 'daily', 'check', 'check', 'check', 'udah', 'konfirmasi', 'veronika', 'disuruh', 'hapus', 'cache', 'restart', 'check', 'harian', '']</t>
  </si>
  <si>
    <t>['masuk', 'app', 'telkomsel', 'perbarui', 'tolong', 'bantuannya', 'admin', 'cek', 'pengaturan', '']</t>
  </si>
  <si>
    <t>['paket', 'unlimited', 'terbaru', 'bagus', 'multi', 'tasking', 'lelet', 'contoh', 'download', 'buka', 'aplikasi', 'downloadnya', 'delay']</t>
  </si>
  <si>
    <t>['telkomsel', 'jaringan', 'parah', 'buruk', 'tolong', 'diperbaiki', 'sinyal', 'ilang', 'apalgi', 'main', 'game', 'enak', 'banget', 'selancar', '']</t>
  </si>
  <si>
    <t>['jaringan', 'jelek', 'sinyal', 'muncul', 'nangkap', 'jaringan', 'sms', 'susah', 'ampun', 'internetan', 'emosi', 'mulu']</t>
  </si>
  <si>
    <t>['sms', 'verifikasi', 'link', 'verifikasi', 'nomor', 'masuk', 'aplikasi', 'telkomsel', 'tolong', 'perbaiki', 'menerima', 'sms', 'link', 'verifikasi', 'dimengerti', '']</t>
  </si>
  <si>
    <t>['parah', 'menu', 'daily', 'check', 'nambah', 'ribet', 'habisin', 'kouta', 'tolong', 'sengaja', 'bingun', 'pelanggan', 'hasilnya', 'dinikmati', 'orang', 'layanan', 'memuaskan', '']</t>
  </si>
  <si>
    <t>['sinyal', 'kesini', 'jelek', 'pilihan', 'penukaran', 'point', 'useless', 'saran', 'poin', 'ditukar', 'pulsa', 'lokasi', 'bitung', 'tangerang']</t>
  </si>
  <si>
    <t>['tolong', 'telkomsel', 'jaringan', 'perbaiki', 'beli', 'paket', 'data', 'mahal', 'sinyal', 'lelet', 'gunain', 'main', 'game', 'nonton', 'youtube', 'super', 'parah', 'jaringan', 'mahal', 'doank', 'jaringan', 'lelet', 'klw', 'kayak', 'gini', 'mending', 'beralih', 'kartu', 'kecewa', 'malam', 'sampe', 'pagi', 'parah', 'sinyal', 'akses', 'super', 'lemot', 'kyk', 'siput', 'siput', 'siput', '']</t>
  </si>
  <si>
    <t>['nomor', 'masuk', 'aplikasi', 'perbarui', 'gerai', 'telkomsel', 'mohon', 'bantuannya']</t>
  </si>
  <si>
    <t>['paketnya', 'mahal', 'pakai', 'telkomsel', 'pakai', 'axis', 'paket', 'bulanannya', 'murah', 'gb', 'pengguna', 'setia', 'telkomsel', 'sayangnya', 'telkomsel', 'dak', 'bersaing', 'parah', 'jaringan', 'lemot', 'pengguna', 'telkomsel']</t>
  </si>
  <si>
    <t>['apk', 'perkecil', 'mbps', 'ramnya', 'teman', 'mengeluh', 'mbps', 'terimakasih']</t>
  </si>
  <si>
    <t>['memahami', 'positif', 'aplikasi', 'mytelkomsel', 'memotivasi', 'sistim', 'jaringan', 'bisnis', 'undian', 'berhadia', 'mytelkomsel', 'membbuat', 'cerita', 'novel', 'bisnis', 'kuliner', 'promosi', 'wisata', 'bisnis', 'online', 'banhak', 'keuntungan', 'pribadi', 'mempelajarinya', 'aplikasi', 'mytelkomsel', '']</t>
  </si>
  <si>
    <t>['aplikasinya', 'susah', 'dibuka', 'cek', 'kuota', 'emosi', 'udah', 'upgrade', 'smpek', 'uninstal', 'trus', 'instal', 'ttep', 'buruk', 'mohon', 'diperbaiki']</t>
  </si>
  <si>
    <t>['download', 'aplikasi', 'rapi', 'boong', 'hyu', 'download', 'aplikasi', 'bagus', 'banget']</t>
  </si>
  <si>
    <t>['sinyal', 'telkomsel', 'parah', 'banget', 'emang', 'udah', 'ganti', 'provider', 'kayanya', 'paketan', 'doang', 'mahal', 'sinyal', 'jelek', 'lok', 'tegelgede', 'cikarang', 'selatan', 'kota', 'sinyal', 'jelek', '']</t>
  </si>
  <si>
    <t>['mengecewakan', 'akses', 'menu', 'shop', 'poin', 'telkomsel', 'aplikasi', 'shop', 'berbelanja', 'paket', 'hadiah', 'internet', 'keluarga', 'april', 'hubungi', 'telkomsel', 'perubahan', 'hapus', 'instal', 'ulang']</t>
  </si>
  <si>
    <t>['telkomsel', 'pilih', 'kasih', 'gue', 'isi', 'pulsa', 'bagus', 'menu', 'layanan', 'internet', 'pilihan', 'ehhh', 'jarang', 'isi', 'pulsa', 'menu', 'layanan', 'paket', 'internetnya', 'muahalllllllllllllllllllll']</t>
  </si>
  <si>
    <t>['isi', 'pulsa', 'matikan', 'stlh', 'pulsa', 'masuk', 'mgu', 'aktifkan', 'pulsa', 'habis', 'kemana', 'gila', 'kali', 'emang', 'tuyul', 'nyolong', 'pulsa', 'gitu', '']</t>
  </si>
  <si>
    <t>['telkomsel', 'ter', 'homrat', 'terhormat', 'jaringan', 'telkomsel', 'busuk', 'layak', 'pakai', 'harap', 'otak', '']</t>
  </si>
  <si>
    <t>['min', 'gimana', 'solusinya', 'pulsa', 'kepotong', 'beli', 'paket', 'mytelkomsel', 'fitur', 'pulsa', 'kesedot', 'internet', 'aktif', 'paket', 'rp', 'gb', 'ditemukan', 'hilang', '']</t>
  </si>
  <si>
    <t>['jaringan', 'menghilang', 'internet', 'telpon', 'signal', 'tolong', 'diperbaiki', '']</t>
  </si>
  <si>
    <t>['', 'jaringannya', 'luas', 'merata', 'internet', 'stabil', 'jam', 'sibuk', 'stabilnya', 'harga', 'quota', 'paketannya', 'mahal', 'dst', 'tambahin', 'provider', 'indonesia', 'kompetitor', 'nama', 'berkualitas', 'kritik', 'saran', 'diabaikan']</t>
  </si>
  <si>
    <t>['saranin', 'jngn', 'beli', 'pulsa', 'mending', 'beli', 'voucher', 'kuotanya', 'isi', 'ulang', 'kuota', 'langsung', 'beli', 'pulsa', 'udah', 'abis', 'dipake', '']</t>
  </si>
  <si>
    <t>['simpati', 'jng', 'mahal', 'internet', 'lolaaa', 'dri', 'tdi', 'tolong', 'servisnya', 'utamakan', 'klu', 'bgni', 'kerja', 'susah', 'isi', 'kouta', 'data', 'ajaa', 'eror', 'jaringan', '']</t>
  </si>
  <si>
    <t>['gumana', 'kuota', 'lokal', 'nggak', 'beli', 'tinggal', 'kuota', 'lokal', 'ngatifin', 'paketnya', 'rumah', 'makek', 'rumah', 'tetep', 'nggak', 'nggak', 'jalan', 'kuota', 'lokalnya']</t>
  </si>
  <si>
    <t>['woi', 'ngapa', 'sinyal', 'jelek', 'kali', 'main', 'merah', 'mulu', 'ping', 'sinyal', 'nyesel', 'kali', 'beli', 'kuota', 'telkomsel', 'kayak', 'gini', 'sinyalnya', 'beli', 'sinyal', 'jelek', 'mending', 'beli', 'wifi', 'nyesel', 'pokok', 'puas', 'kali', 'dahlah', 'sinyal', 'telkom', 'nyesel', '']</t>
  </si>
  <si>
    <t>['telkomsel', 'lemot', 'jaringan', 'jelek', 'isi', 'data', 'mahal', 'korupsi', 'pengguna', 'jaringan', 'lemot', 'data', 'internet', 'jalan', 'pelayanan', 'jaringan', 'internet', 'indonesia', 'banding', 'negara', 'tetangga', 'memuaskan', 'kesal', 'telkomsel', 'cuaca', 'cerah', 'hujan', 'mendung', 'lelet', 'lemot']</t>
  </si>
  <si>
    <t>['aplikasinya', 'bagus', 'sinyal', 'ngak', 'bagus', 'pas', 'menjelang', 'sore', 'malam', 'jaringan', 'ngak', 'bagus', 'ngak', 'kouta', 'internet', 'susah', 'bener', 'signalnya', 'nonton', 'youtube', 'buka', 'instagram', 'main', 'mobile', 'legend', 'ngeleg', 'kecewa', 'telkomsel', 'jaringannya', 'lambat', 'tinggal', 'salah', 'kota', 'indonesia', 'ngak', 'paham', 'jaringannya', 'tolong', 'perbaiki']</t>
  </si>
  <si>
    <t>['min', 'sinyal', 'buruk', 'turun', 'email', 'tolong', 'min']</t>
  </si>
  <si>
    <t>['paket', 'internet', 'simpati', 'streamer', 'karna', 'game', 'sinyal', 'kecewa', 'pengguna', 'telkomsel', '']</t>
  </si>
  <si>
    <t>['tolong', 'telkomsel', 'terhormat', 'jaringan', 'perbaiki', 'jaringan', 'penuh', 'tpi', 'dpake', 'mmang', 'jaringan', 'bermasalah', 'tolong', 'penuh', 'php', 'pengguna', '']</t>
  </si>
  <si>
    <t>['min', 'kuota', 'zona', 'flash', 'sale', 'shopee', 'harga', 'zona', 'gb', 'gtu', 'pantesan', 'komplaint', 'informatif', 'telkomsel', 'langsung', 'kaya', 'tutup', 'komunikasi', 'customer', 'nyari', 'google', 'zona', 'zona', 'pengen', 'harha', 'bandung', 'dapetnya', 'gtu', '']</t>
  </si>
  <si>
    <t>['telkomsel', 'ngga', 'jelasss', 'sinya', 'ilang', 'teruuuussss', 'sampe', 'rumah', 'sinyal', 'ilang', 'parah', 'sms', 'notif', 'sinyal', 'jelek', 'kesini', 'buruk', 'bagus', 'kecewaaaaa', 'udh', 'telkomsel', 'skrg', 'kecewa', 'paraaaaahhhh']</t>
  </si>
  <si>
    <t>['berguna', 'pas', 'butuh', 'isi', 'kuota', 'pas', 'butuh', 'sengaja', 'diisi', 'emang', 'pakai', 'telkomsel', 'punyak', 'kuota', 'yak', '']</t>
  </si>
  <si>
    <t>['parah', 'bngt', 'jnck', 'jringan', 'telkom', 'massa', 'ngedownload', 'aplikasi', 'mentok', 'kb', 'doang', 'parah', 'ngegame', 'ping', 'ms', 'ngotak', 'perbaiki', 'ngapa', 'jaringan', 'lokasi', 'kalsel', 'daerah', 'amuntai', 'jaringan', 'bagus', 'mulu', 'teman', 'gua', 'woy', 'perbaiki', 'ngapa', 'jaringan', 'udah', 'gua', 'tarik', 'ulasan', 'perbaiki', 'hadeh', 'jaringan', 'massa', 'perbaiki', 'jaringan', 'hancur', 'ngegame', 'merah', 'parah']</t>
  </si>
  <si>
    <t>['tolong', 'diperbaiki', 'aplikasinya', 'beli', 'kuota', 'crash', 'aplikasinya', 'samsung', 'mati', 'hang', 'sebentar', 'habis', 'dipakai', '']</t>
  </si>
  <si>
    <t>['dear', 'telkomsel', 'niat', 'paket', 'unlimited', 'koq', 'ngelag', 'jaringan', 'masak', 'garis', 'melulu', 'daerah', 'kota', 'pelosok', 'masak', 'kalah', 'operator', 'tolong', 'kerja', 'udah', 'harga', 'mahal', 'lelet', 'ampun', 'sumatera', 'utara', 'berastagi', 'kab', 'karo', 'sabtu', 'april', '']</t>
  </si>
  <si>
    <t>['beda', 'nomor', 'beda', 'harga', 'peringkat', 'disering', 'bonus', 'harga', 'kuota', 'hri', 'ribu', 'memakai', 'jaringan', 'internenya', 'merosot', 'game', 'hilang', '']</t>
  </si>
  <si>
    <t>['mantap', 'beli', 'kuota', 'praktis', 'bayar', 'pakai', 'wallet', 'pakai', 'pulsa', 'pemakaian', 'memuaskan', 'harap', 'ditingkatkan', '']</t>
  </si>
  <si>
    <t>['beli', 'kuota', 'maxstream', 'gb', 'aplikasi', 'tertulis', 'masuk', 'gb', 'pulsa', 'berkurang', 'dpt', 'sms', 'ktnya', 'permintaan', 'teruskan', 'cek', 'kesedot', 'kuota', 'utama', 'kuota', 'maxstream', 'pakai', 'rugi', '']</t>
  </si>
  <si>
    <t>['telkomsel', 'dlu', 'kenal', 'lola', 'min', 'harga', 'kouta', 'telkom', 'mahal', 'bandingkan', 'sinyal', 'ambruk', 'bagusan', 'maen', 'dlu', 'mohon', 'perbaiki', 'segi', 'kecepatan', 'internet', '']</t>
  </si>
  <si>
    <t>['lemot', 'banget', 'aplikasinya', 'kebanyakan', 'fitur', 'aneh', 'aplikasi', 'bagus', 'mending', 'fitur', 'simple', '']</t>
  </si>
  <si>
    <t>['kali', 'beli', 'kuota', 'nyedot', 'pulsa', 'diluar', 'pulsa', 'kuota', 'contoh', 'beli', 'kuota', 'gb', 'harga', 'pulsa', 'udah', 'kepotong', 'kuota', 'kesedot', 'gimana', 'woy', '']</t>
  </si>
  <si>
    <t>['selamat', 'sore', 'telkomsel', 'maap', 'jaringan', 'wilayah', 'dukuh', 'dalem', 'kecamatan', 'japara', 'jaringan', 'lemot', 'buka', 'aplikasi', 'buka', 'tolong', 'perbaiki', 'jaringan', 'pelanggan', 'puas', 'pelayanan', 'telkomsel', 'pelanggan', 'telkomsel', 'pindah', 'jaringan', 'sebelah', '']</t>
  </si>
  <si>
    <t>['jaringan', 'jelek', 'banget', 'harga', 'paket', 'udah', 'mahal', 'pakai', 'maksimal', 'gara', 'gara', 'jaringan', 'mendukung', 'tolong', 'perbaiki', '']</t>
  </si>
  <si>
    <t>['tarif', 'sultan', 'jaringan', 'missquenn', 'pass', 'telkomsel', 'seandainya', 'relasi', 'bisnis', 'kartu', 'lempar', 'selokan', 'usia', 'kartu', 'telkomsel', '']</t>
  </si>
  <si>
    <t>['kecewa', 'berat', 'program', 'telkomsel', 'paket', 'swadaya', 'gb', 'tahan', 'minggu', 'paket', 'swadaya', 'gb', 'seminggu', 'habis', 'jarang', 'buka', 'youtube', 'cepat', 'habis', 'paketnya', 'pengaruh', 'kebakaran', 'telkomsel', 'kemarin', 'pengguna', 'telkomsel', 'korbannya', 'kecewaaaaaaa', 'beraaaattttt', '']</t>
  </si>
  <si>
    <t>['internet', 'lemot', 'sms', 'error', 'gagal', 'terkirim', 'harga', 'paket', 'mahal', 'harga', 'merakyat', 'promo', 'tipuan', 'paket', 'kombo', 'sms', 'dipakai', 'semoga', 'jokowi', 'baca', 'komen', '']</t>
  </si>
  <si>
    <t>['maaf', 'min', 'telkomsel', 'lemot', 'lancar', 'dipake', 'min', 'kuota', 'tolong', 'lemot', 'kecewa', 'udah', 'lemot']</t>
  </si>
  <si>
    <t>['tolong', 'telkomsel', 'memperbaiki', 'kuota', 'dimana', 'menonton', 'youtube', 'kuota', 'unlimited', 'ketengannya', 'membuka', 'beranda', 'menonton', 'video', 'beranda', '']</t>
  </si>
  <si>
    <t>['pelayanan', 'telkomsel', 'jelek', 'jaringan', 'lelet', 'hilang', 'makan', 'pulsa', 'kemana', 'perginya', 'paket', 'internet', 'telpon', 'pulsa', 'dihabiskan', 'bintang', 'minus', 'kasih', 'minus', 'layanannya']</t>
  </si>
  <si>
    <t>['jaringannya', 'kualitasnya', 'buruk', 'jelek', 'bobrok', 'telkomsel', 'contoh', 'download', 'mb', 'menit', 'dirugikan', 'driver', 'ojol', 'susah', 'orderan', 'jaringan', 'buruk', 'jelek', 'boborok', 'kuningan', 'kecamatan', 'cilimus', 'jawa', 'barat', '']</t>
  </si>
  <si>
    <t>['sedih', 'pulsa', 'kesedot', 'rb', 'habis', 'beli', 'kuota', 'pulsa', 'habis', 'kesal', 'sedih', 'serba', 'sedot', 'pulsa', 'merugikan', 'kah', 'kesal', 'beli', 'menerus', 'telkomsel', 'pikiran', '']</t>
  </si>
  <si>
    <t>['login', 'notifikasi', 'sms', 'kiriman', 'sms', 'mohon', 'bantuannya', 'terimakasih']</t>
  </si>
  <si>
    <t>['', 'ngerti', 'telkomsel', 'udah', 'kali', 'pembelian', 'macem', 'macem', 'pulsa', 'kesedot', 'beli', 'kuota', 'jawabannya', 'memuaskan', 'banget']</t>
  </si>
  <si>
    <t>['konekin', 'akun', 'linkaja', 'akun', 'mytelkomsel', 'masalahny', 'beli', 'paket', 'bayr', 'saldo', 'linkaj', 'karna', 'konek', 'tolong', 'perbaiki', 'bug', 'bug', 'akun', 'semu', 'data', 'apk', 'update', 'trus', 'terbaru', '']</t>
  </si>
  <si>
    <t>['enak', 'telkomsel', 'burik', 'banget', 'main', 'game', 'lag', 'karuan', 'kaya', 'telkomsel', 'merasukinya', 'beli', 'kuota', 'mahal', 'aignalnya', 'jelek', 'boros', 'signal', 'los', 'karuan', 'perbaiki', 'telkomsel']</t>
  </si>
  <si>
    <t>['', 'mohon', 'konfirmasinya', 'gimna', 'kirim', 'pulsa', 'telkom', 'system', 'sibuk', 'kemarin', 'mohon', 'informasinya', '']</t>
  </si>
  <si>
    <t>['telkomsel', 'kayak', 'burik', 'paket', 'mahal', 'jaringan', 'mahaal', 'ooooooiii', 'pecinta', 'sel', 'kecewa', 'tolong', 'perhatikan', 'development', '']</t>
  </si>
  <si>
    <t>['sinyal', 'internet', 'lemot', 'pengguna', 'telkomsel', 'mengalami', 'kedepannya', 'lemot', 'sinyal', 'internetnya', 'mending', 'ganti', 'provider', '']</t>
  </si>
  <si>
    <t>['buka', 'menu', 'dunia', 'game', 'alangkah', 'lemotnya', 'banting', 'milik', 'pembuat', 'aplikasi', 'mytelkomsel', 'hancurkan']</t>
  </si>
  <si>
    <t>['orang', 'orang', 'nggak', 'pakek', 'telkomsel', 'sinyalnya', 'susah', 'nggak', 'kayak', 'udah', 'kuotanya', 'mahal', 'nggak', 'masuk', 'otak', 'sumpah', 'turunin', 'dikit', 'kasihan', 'pelajar', 'musim', 'pandemi', 'keuntungan', 'masak', 'nggak', 'ngasih', 'keringanan', 'pelajar', 'itung', 'amal', 'jariyah', 'kann']</t>
  </si>
  <si>
    <t>['gua', 'kecewa', 'banget', 'jaringan', 'jelek', 'banding', 'kartu', 'maen', 'game', 'sinyal', 'jelek', 'udah', 'game', 'bagus', 'pokonya', 'gua', 'nyesel', 'penikmat', 'telkomsel', 'indosat', 'jaringan', 'stabil', 'banding', 'telkomsel']</t>
  </si>
  <si>
    <t>['aduh', 'gimana', 'banget', 'isi', 'pulsa', 'aktifkan', 'paket', 'blum', 'nyalakan', 'data', 'tersedot', 'pulsa', 'udh', 'gitu', 'pas', 'aktifkan', 'paket', 'ngga', 'pulsa', 'tolong', 'gmn']</t>
  </si>
  <si>
    <t>['mytelkomsel', 'kacau', 'aplikasi', 'diupdate', 'bug', 'force', 'closed', 'login', 'mentok', 'logo', 'kadang', 'aplikasi', 'error', 'menanggapi', 'dibuka', 'muncul', 'notifikasi', 'koneksi', 'internet', 'notifikasi', 'jaringan', 'full', 'bar', 'payah', 'bilamana', 'bintang', 'minus', 'rating', '']</t>
  </si>
  <si>
    <t>['tolong', 'ubah', 'kartunya', 'sdot', 'pulsa', 'pulsa', 'ilang', 'gara', 'gara', 'lupa', 'matiin', 'data', 'dibeli', 'kuota', 'belajar', 'jaringan', 'perbaikilah', 'musim', 'hujam', 'jaringanya', 'suka', 'lemot', 'angin', 'suka', 'ilang', 'mohon', 'mimin', 'membaca', 'perbaiki', 'desa', 'pengguna', 'telkomsel', 'kartu', 'terbaik', 'perbaikilah', 'sedot', 'pulsa', 'jaringanya', 'tolong', 'mengerti', 'kak']</t>
  </si>
  <si>
    <t>['tolong', 'telkomsel', 'beli', 'paket', 'mahal', 'karna', 'kartu', 'paketan', 'murah', 'papalah', 'harga', 'sesuaikan', 'jaringan', 'lemot', 'banget', 'ampun', 'ampun']</t>
  </si>
  <si>
    <t>['', 'telkomsel', 'terhormat', 'pulsa', 'tersedot', 'paket', 'datanya', 'lho', 'kesedot', 'pulsa', 'mohon', 'fitur', 'kunci', 'pulsa', 'terima', 'kasih', '']</t>
  </si>
  <si>
    <t>['kasih', 'bintang', 'perbaiki', 'kasih', 'bintang', 'tolong', 'paket', 'unlimited', 'jaringan', 'perbagus', 'perbaiki', 'kouta', 'utama', 'unlimited', 'lemot', 'tolong', 'perbaiki', 'nama', 'telkom', 'terima', 'kasih', '']</t>
  </si>
  <si>
    <t>['keterangannya', 'berlangganan', 'berlaku', 'internet', 'habis', 'pulsa', 'sesuai', 'harga', 'internet', 'kedebet', 'internet', 'lagsg', 'kesedot', 'pulsanya', 'gimana', 'jiah', 'kecurangan', 'klasik', 'beli', 'pulsa', 'beli', 'paket', 'internet', 'manual', 'curang', '']</t>
  </si>
  <si>
    <t>['jujut', 'gua', 'telkomsel', 'sinyal', 'kuat', 'zonkkkk', 'kecepatan', 'internetnya', 'payahhh', 'conected', 'gitu', 'masak', 'kalah', 'tri', 'kecepatan', 'tri', 'stabil', 'telkomsel', 'telkomsel', 'paketnya', 'mahal', 'gua', 'paketnya', 'mahal', 'kecepatan', 'internetnya', 'bagus', 'gua', 'baca', 'rating', 'emang', 'gua', 'doang', 'sebel', 'kecepatan', 'internet', 'gua', 'udah', 'komplain', 'hasilnya', 'jujur', 'kecewa', 'banget', 'gua', 'mending', 'tri']</t>
  </si>
  <si>
    <t>['mohon', 'maaf', 'keluhan', 'jaringan', 'telkomsel', 'bermain', 'game', 'online', 'jaringan', 'ms', 'tolong', 'perbaiki', 'harap', 'telkomsel', 'memperbaikinya', '']</t>
  </si>
  <si>
    <t>['kekuatan', 'jaringan', 'telkomsel', 'areanya', 'apanya', 'ayo', 'telkomsel', 'bangga', 'padamu', 'kekuatan', 'kesetabilan', 'jaringan', 'indonesia']</t>
  </si>
  <si>
    <t>['kasih', 'bintang', 'kuota', 'unlimitid', 'blm', 'aktif', 'udah', 'internetan', 'email', 'tanggapan', 'telkomsel', 'tanggung', 'udah', 'harga', 'kuotannya', 'mahal', 'rugikan', 'tolong', 'telkomsel', 'respon', 'sok', 'pakai', 'proggram', 'unlimitid', 'kek', 'gini', 'zonk']</t>
  </si>
  <si>
    <t>['sorry', 'bintang', 'pengguna', 'kecewa', 'banget', 'sisa', 'kuota', 'gb', 'internet', 'lokal', 'unlimitid', 'aktif', 'internetan', 'tolong', 'kaya', 'gitu', 'gimana', 'gimana', 'diem', 'udah', 'email', 'kagak', 'tanggapan']</t>
  </si>
  <si>
    <t>['kendala', 'maaf', 'sistem', 'sibuk', 'silakan', 'tunggu', 'isi', 'voucher', 'data', 'komplin', 'gimana', 'hadeh', 'telkomsel', 'telkomsel', 'harga', 'naikin', 'orang', 'beli', 'karna', 'harganya', 'pas', 'naikin', '']</t>
  </si>
  <si>
    <t>['telkomsel', 'jaringannya', 'lemot', 'daerah', 'jaringan', 'lancar', 'menyesal', 'paket', 'mahal', 'ditambah', 'jaringan', 'lemot', '']</t>
  </si>
  <si>
    <t>['maaf', 'karna', 'bintang', 'bangga', 'komunitas', 'jaringan', 'telkomsel', 'maju', 'kecewa', 'minggu', 'jaringan', 'telkomsel', 'wilayah', 'tempah', 'buruk', 'tidah', '']</t>
  </si>
  <si>
    <t>['mengecewakan', 'penggunaan', 'data', 'sesuai', 'keluarkan', 'menyedot', 'pulsa', 'kendala', 'jaringan', 'perkotaan', 'mengakses', 'web', 'buferring', 'streaming', 'mengecewakan', 'layanan', 'telkomsel']</t>
  </si>
  <si>
    <t>['kec', 'cikelet', 'kab', 'garut', 'tower', 'tower', 'tower', 'telkomsel', 'tower', 'tower', 'telkomsel', 'udah', 'kuota', 'mahal', 'tower', 'jaringan', 'internet', 'kalah', 'indosat', 'nebeng', 'tower', 'ampun', 'ganti', 'kartu', 'udah', 'tanggung', 'beli', 'kuota', 'mahalnya', 'segede', 'gaban', 'haduuh', 'nyesel', 'penyesalan', 'segede', 'gunung', 'ganti', 'beban', 'susah', 'musim', 'gini', 'nyari', 'duit', 'pandai', 'ngatur', 'pngeluaran', 'ketambah', 'bisnis', 'online', 'tersendat', 'gara', 'jaringan', 'ampun']</t>
  </si>
  <si>
    <t>['pulsa', 'tinggal', 'kemana', 'maling', 'pulsa', 'telkomsel', 'perbaiki', 'bug', 'bacot', 'doank', 'kritik']</t>
  </si>
  <si>
    <t>['kecewa', 'sinyal', 'internet', 'lelet', 'gangguan', 'sesuai', 'harga', 'paket', 'mahal', 'memuaskan', 'kecewa']</t>
  </si>
  <si>
    <t>['beli', 'kuota', 'ketengan', 'facebook', 'facebookan', 'berkurang', 'pulsa', 'mikir', 'keras', 'deh', 'harganya', 'mahal', 'beli', 'ketengan', 'gb', 'dipakai', 'kuotanya', 'utuh', 'pulsa', 'kesedot', 'ngunci', 'pulsa', 'kesedot', 'pemakaian', 'internet', 'pengguna', 'telkomsel', 'dikecewakan', 'mohon', 'diperbaiki', 'terimakasih']</t>
  </si>
  <si>
    <t>['jaringan', 'internet', 'jelek', 'masuk', 'kerumah', 'langsung', 'sinyal', 'payah', 'bintang', 'tar', 'udah', 'bagus', 'kasih', 'bintang']</t>
  </si>
  <si>
    <t>['jelek', 'jaringan', 'telkomsel', 'make', 'telkomsel', 'udah', 'belasan', 'paket', 'mahal', 'sinyal', 'lelet', 'parah', 'bagusan', 'im', 'kawasan', 'ciriung', 'cibinong', 'bogor', 'kayak', 'gini', 'jaringan', 'stop', 'telkomsel']</t>
  </si>
  <si>
    <t>['memasukkan', 'facebook', 'log', 'pas', 'nomor', 'terdaftar', 'udah', 'layanan', '']</t>
  </si>
  <si>
    <t>['koneksi', 'gimana', 'koneksi', 'sinyal', 'lemotnya', 'paket', 'mahal', 'gaada', 'feedbacknya', 'email', 'lambat', 'penanganannya', 'sumpah', 'menghambat', 'pekerjaan', '']</t>
  </si>
  <si>
    <t>['paket', 'kemahalan', 'jaringan', 'lemot', 'sungguh', 'rugikan', 'adminnya', 'bertabya', 'daerah', 'mna', 'lemot', 'cba', 'liat', 'komen', 'wilayah', 'lemooooooooootttttt', 'semoga', 'kehancuran', 'mata', 'telkomsel', '']</t>
  </si>
  <si>
    <t>['udah', 'ngeluh', 'ngasih', 'bintang', 'informasi', 'email', 'udah', 'kendala', 'jaringan', 'toba', 'samosir', 'lumban', 'julu', 'tpi', 'tanggapannya', 'jaringan', 'stabil', 'kuota', 'internet', 'tersedia', 'iya', 'kuota', 'emang', 'tpi', 'jaringan', 'stabil', 'malas', 'sbenarnya', 'kerja', 'duit', 'jalan', 'fitur', 'bintang', 'minus', 'sejuta', 'jamin', 'ngasih']</t>
  </si>
  <si>
    <t>['harga', 'paketanya', 'mahal', 'dapet', 'dikit', 'kecepatan', 'secepet', 'indosat', 'kalah', 'bukanya', 'suka', 'karna', 'ngasih', 'bintang', 'penghargaan', 'telkomsel', 'heeuh', 'dasar', 'bodoh', '']</t>
  </si>
  <si>
    <t>['apk', 'kek', 'anjg', 'emng', 'ngak', 'niat', 'update', 'aneh', 'cuman', 'beli', 'paket', 'internet', 'malam', 'ngak', 'beli', 'paket', 'internet', 'anjg', 'update', 'ngak', 'sms', 'notif', 'pulsanya', 'terpotong', 'telkomsel', 'gini', 'anjg']</t>
  </si>
  <si>
    <t>['harga', 'paketnya', 'murahin', 'terjangkau', 'terima', 'kasih', 'telkomsel', 'telkomsel', 'sinyal', 'lancar', 'sarannya', 'turunin', 'harga', 'paketnya', 'udah', 'harga', 'paketan', 'mahal', 'sinyal', 'lemot', 'payah']</t>
  </si>
  <si>
    <t>['pas', 'daftar', 'paket', 'internet', 'mb', 'jam', 'malam', 'habis', 'jam', 'malam', 'blm', 'smpe', 'blm', 'menghabiskannya', 'cek', 'kuota', 'jam', 'malam', 'sisa', 'mb', 'pas', 'jam', 'malam', 'udh', 'habis', 'sisain', 'mb', 'besok', 'huh', '']</t>
  </si>
  <si>
    <t>['hallo', 'min', 'apk', 'telkomsel', 'suka', 'nge', 'bug', 'dibagian', 'tanggal', 'batas', 'penggunaan', 'kuota', 'batas', 'suka', 'berubah', 'ubah', 'kemarin', 'batas', 'internet', 'habis', 'isi', 'cek', 'kuota', 'kuota', 'gb', 'pas', 'cek', 'kuota', 'gb', 'internet', 'gb', 'multimedia', 'mohon', 'saran', 'bantuan', 'min', '']</t>
  </si>
  <si>
    <t>['apk', 'jelek', 'bangett', 'sinyalnya', 'jelek', 'kecewa', 'telkomsel', 'udah', 'ganti', 'kartu', 'telkomsel', 'paswordnya', 'mahal', 'harganya', 'jelek', 'sinyalnya', '']</t>
  </si>
  <si>
    <t>['app', 'kadang', 'susah', 'masuk', 'jaringan', 'susah', 'area', 'ttp', 'stabil', 'pandemi', 'daring', 'pengguna', 'thn', 'pandemi', 'parah', 'ngk', 'stabil', 'sinyal', 'thn', 'lebh', 'pengoptimalan', 'jaringan', 'pengguna', '']</t>
  </si>
  <si>
    <t>['jaringannya', 'anjirt', 'jaringan', 'serasa', 'ngelek', 'banget', 'udah', 'hadeh', 'tolong', 'diperbaikii', 'kepuasan', 'konsumen', 'berdampak', 'penyedia', '']</t>
  </si>
  <si>
    <t>['tolong', 'kasih', 'promo', 'bener', 'udah', 'beli', 'pulsa', 'paket', 'promonya', 'gabisa', 'kebeli', 'niat', 'kasih', 'promo', 'gausah', 'gua', 'cari', 'perdana', 'bagus', 'udah', 'kali', 'beli', 'pulsa', 'promonya', 'erorr', 'all', 'hasil', 'pulsa', 'ilang']</t>
  </si>
  <si>
    <t>['telkomsel', 'lemmontnya', 'ampun', 'kalah', 'ama', 'ganti', 'sungguh', 'megcewakan', 'pelat', 'merah', '']</t>
  </si>
  <si>
    <t>['sebulan', 'jaringan', 'telkomsel', 'stabil', 'main', 'game', 'udah', 'turun', 'streaming', 'media', 'sosial', 'lancar', '']</t>
  </si>
  <si>
    <t>['selamat', 'malam', 'admin', 'lapor', 'internet', 'telkomsel', 'stabil', 'kadang', 'kadang', 'frekuensi', 'ilang', 'tolong', 'bantuan', 'min', 'alamat', 'sungai', 'durian', 'kec', 'banua', 'lawas', 'kab', 'tabalong', 'terimakasih', '']</t>
  </si>
  <si>
    <t>['kecewa', 'udah', 'isi', 'pulsa', 'ribu', 'aplikasi', 'telkomsel', 'keterangannya', 'nambah', 'aktif', 'pas', 'beli', 'transaksinya', 'udah', 'berhasil', 'aktif', 'nambah']</t>
  </si>
  <si>
    <t>['kecewa', 'telkomsel', 'udah', 'keseringan', 'telat', 'matiin', 'data', 'sebentar', 'pulsa', 'hilang', 'harga', 'mahal', 'telat', 'pemberitahuan', 'data', 'habis', 'pulsa', 'hilang', 'langsung', 'matiin', 'data', 'pindah', 'kartu', 'harga', 'paketan', 'bulannya', 'berbeda', 'bitang', 'bintang']</t>
  </si>
  <si>
    <t>['', 'kartu', 'halo', 'lemot', 'bayar', 'mahal', 'bagus', 'lemooot', 'pakai', 'porji', 'kesi', 'kepake', 'gereget', 'lemotnya', 'ampun', 'telkomsel', '']</t>
  </si>
  <si>
    <t>['jaringan', 'ampun', 'dahh', 'leletnya', 'daerah', 'tepatnya', 'desa', 'kanci', 'kulon', 'kec', 'astanajapura', 'kab', 'cirebon', 'pantesan', 'berkomentar', 'telkomsel', '']</t>
  </si>
  <si>
    <t>['jaringan', 'terburuk', 'disumatra', 'paket', 'mahal', 'nge', 'game', 'pingnya', 'merah', 'normalya', 'diatas', 'mending', 'operator', 'jak', 'kebakaran', 'kemaren', 'jaringan', 'parah', 'ngak', 'perbaikan']</t>
  </si>
  <si>
    <t>['kartunya', 'parah', 'banget', 'bug', 'bacaan', 'permintaan', 'proses', 'pesan', 'udh', 'masuk', 'pemberitahuannya', 'pulsa', 'abis', 'kuota', 'masuk', 'event', 'daily', 'check', 'samanya', 'poin', 'pulsa', 'udh', 'kepotong', 'hadiahnya', 'mah', 'cuman', 'pemberitahuan', 'pesan', 'doang', 'kejadian', 'kaya', 'kali', 'intinya', 'parah', 'mending', 'kartu', 'laen', 'ketahuan', 'sinyal', 'jelek', 'harganya', 'murah', 'bug', 'bug', 'kaya', 'gni', 'rugi', 'sempakk']</t>
  </si>
  <si>
    <t>['daerah', 'telkomsel', 'ganguan', 'yaa', 'perubahan', 'pln', 'mati', 'lampu', 'mati', 'thn', 'bagus', 'buruk']</t>
  </si>
  <si>
    <t>['pulsaku', 'rb', 'kesedot', 'gimana', 'pakai', 'wifi', 'kuota', 'tsel', 'gb', 'dibalikin', 'stock', 'nokos', 'kerja', 'gabisa', '']</t>
  </si>
  <si>
    <t>['jaringan', 'tolong', 'diperbaiki', 'beli', 'kuota', 'mahal', 'layanan', 'tower', 'dpn', 'mata', 'jaringan', 'luwar', 'lemot', 'tersambung', 'jaringan', '']</t>
  </si>
  <si>
    <t>['jaringan', 'telkomse', 'jaringannya', 'terhenti', 'telkomsel', 'kartu', 'maju', 'jaringan', 'lemot', 'banget', 'byk', 'makai', 'jaringan', 'kaya', 'gini', 'tingkat', 'sedunia', 'jaringannya', '']</t>
  </si>
  <si>
    <t>['telkomsel', 'mohon', 'maaf', 'skrng', 'akses', 'internet', 'telkomsel', 'sistem', 'jaringan', 'sangan', 'luas', 'mengaktifkan', 'internet', 'nyala', 'mati', '']</t>
  </si>
  <si>
    <t>['serius', 'pengguna', 'telkomsel', 'jaringan', 'menurun', 'harga', 'mahal', 'pulsa', 'tersedot', 'tolong', 'pengguna', 'setia', 'disia', 'sia', 'langsung', 'telegram', 'twitter', '']</t>
  </si>
  <si>
    <t>['jaringan', 'lte', 'lemot', 'banget', 'banget', 'harga', 'paket', 'uda', 'mahal', 'perbaikin', 'sinyal', '']</t>
  </si>
  <si>
    <t>['sinyal', 'buruk', 'kadang', 'nunggu', 'ber', 'jam', 'jam', 'sinyal', 'stabil', 'sinyal', 'batang', 'kecepatan', 'internet', 'jaringan', 'hilang', '']</t>
  </si>
  <si>
    <t>['lokasi', 'tangerang', 'kota', 'gangguan', 'terooss', 'maintenance', 'teroosss', 'paket', 'mahal', 'egois', 'emang', 'kartu', 'hallo', 'performa', 'buruk', 'telpon', 'suruh', 'restart', 'suruh', 'update', 'disuruh', 'hapus', 'data', 'suruh', 'uninstall', 'disuruh', 'matiin', 'beres', 'ujung', 'ujungnya', 'suruh', 'nunggu', 'sampe', 'orang', 'telkomselnya', 'ngga', 'mending', 'ganti', 'kartu', 'gini', 'ceritanya']</t>
  </si>
  <si>
    <t>['kesini', 'sinyal', 'parah', 'jabodetabek', 'tangsel', 'pakai', 'kartu', 'pascabayar', 'cuaca', 'bagus', 'sinyal', 'jarang', 'banget', 'full', 'jam', 'suka', 'gangguan', '']</t>
  </si>
  <si>
    <t>['min', 'main', 'suka', 'lemot', 'harga', 'mahal', 'kadang', 'kadang', 'paket', 'unlimited', 'lemot', 'min', 'suka', 'marah', 'marah', 'gara', 'gara', 'sinyal', 'tolong', 'perbaguskan', 'sinya', 'min', 'saran', 'terimakasih']</t>
  </si>
  <si>
    <t>['saran', 'min', 'dapet', 'pesan', 'nikmati', 'paket', 'internetmax', 'gb', 'harga', 'rb', 'beli', 'bln', 'dpn', 'beli', 'cek', 'harga', 'paketnya', 'sesuai', 'terteran', 'pesan', '']</t>
  </si>
  <si>
    <t>['', 'update', 'klaim', 'hadiah', 'check', 'isi', 'pulsa', 'pemakai', 'kartu', 'hallo', 'pembayaran', 'periode', 'tolong', 'diperbaiki', 'disengaja', 'meningkatkan', 'income', 'telkomsel', 'fair', 'pengguna', 'kartu', 'hallo', 'disuruh', 'isi', 'pulsa', '']</t>
  </si>
  <si>
    <t>['maaf', 'bertahun', 'telkomsel', 'jaringan', 'stabil', 'beralih', 'operator', 'terimakasih']</t>
  </si>
  <si>
    <t>['lumayan', 'kecewa', 'paket', 'internet', 'omg', 'boros', 'iya', 'gb', 'blm', 'minggu', 'udah', 'habis', 'noton', 'youtube', 'film', 'download', 'lagu', 'jarang', 'kouta', 'sampe', 'minggu', 'udah', 'habis', '']</t>
  </si>
  <si>
    <t>['bener', 'parah', 'telkomsel', 'buka', 'apk', 'kepengen', 'banting', 'saking', 'leletnya', 'beli', 'kuota', 'telkomsel', 'mahal', 'pelayanannya', 'kayak', 'recehan', 'payah', '']</t>
  </si>
  <si>
    <t>['kadang', 'bingung', 'paket', 'aktif', 'telp', 'telkomsel', 'operator', 'nelp', 'telkomsel', 'sms', 'pulsa', 'nelp', 'sisa', 'pulsa', '']</t>
  </si>
  <si>
    <t>['customer', 'keluhan', 'promosi', 'paket', 'internet', 'pulsa', 'tersedot', 'menyesal', 'membeli', 'kartu', 'mengisi', 'pulsa', 'kartu', 'telkom']</t>
  </si>
  <si>
    <t>['min', 'kartu', 'sinyal', 'solusinya', 'gimana', 'kartu', 'pakai', 'kartu', 'data', 'pakai', 'tbtb', '']</t>
  </si>
  <si>
    <t>['sinyal', 'jaringan', 'putus', 'putus', 'performa', 'kerja', 'berantakan', 'harga', 'berani', 'mahal', 'tpi', 'kualitas', 'kaya', 'perdana', 'murah', 'gini', 'pindah', 'jalur']</t>
  </si>
  <si>
    <t>['', 'kau', 'telk', 'ngisi', 'pulsa', 'langsung', 'kau', 'sedot', 'laknat', 'udh', 'complain', 'respon', 'langganan', 'paket', 'apapun', 'ttp', 'kau', 'sedot', 'woyy', 'balikkin', 'pulsa', 'woyy', 'nyesel', 'banget', 'kartu', 'sedot', 'mah', 'gpp', 'kau', 'pikir', 'gua', 'susah', 'gitu', 'nyari', 'uang', 'rela', 'gua', 'kau', 'ambil', 'uang', 'asw', 'sedot', 'sampe', 'habis', 'pulsa', 'bentar', 'ganti', 'kartu', 'penyedot', 'pulsa', '']</t>
  </si>
  <si>
    <t>['', 'buka', 'ribet', 'ngeselin', 'paket', 'mahal', 'jaringan', 'buruk', 'sesuai', 'harga', 'pelayanannya', 'beralih', 'jaringan', 'bagus', 'paket', 'murah', 'meriah', 'males', 'telkomsel', 'mengecewakan', '']</t>
  </si>
  <si>
    <t>['masuk', 'aplikasi', 'telkomsel', 'tulisannya', 'verifikasi', 'nomor', 'sms', 'trus', 'klik', 'masuk', 'masuk', 'verifikasi', 'gmn', '']</t>
  </si>
  <si>
    <t>['tolong', 'donk', 'jaringannya', 'perbaiki', 'udah', 'harga', 'paketnya', 'melunjak', 'jaringannya', 'buruk', 'lemot', 'parah', 'jalannya', 'siput', 'parah', 'parah', 'parah', 'udah', 'niat', 'memikat', 'pelanggan', 'ungsir', 'pelanggan', 'pelanggan', 'beralih', 'niat', 'telkomsel', 'emang', '']</t>
  </si>
  <si>
    <t>['beli', 'paket', 'telepon', 'data', 'internet', 'bersamaan', 'dihari', 'menelepon', 'paket', 'data', 'internet', 'pulsa', 'utama', 'ikutan', 'tersedot', 'mohon', 'telkomsel', 'menyikapinya', '']</t>
  </si>
  <si>
    <t>['parah', 'aplilasi', 'update', 'akun', 'link', 'tersambung', 'masuk', 'app', 'susah']</t>
  </si>
  <si>
    <t>['telkomsel', 'bts', 'desa', 'pantau', 'karna', 'oknum', 'nakal', 'jaringan', 'parah', 'rugi', 'perusahaan', 'rumah', 'depannya', 'bts', 'tower', 'tolong', 'kasi', 'lampu', 'penerang', 'lampu', 'kode', '']</t>
  </si>
  <si>
    <t>['', 'telkomsel', 'gack', 'udah', 'gack', 'support', 'cuman', 'aplikasi', 'kayak', 'gini', 'game', 'udah', 'gack', 'support', 'parah', 'rip', 'kentang', 'kyak', 'gini']</t>
  </si>
  <si>
    <t>['telkomsel', 'jaringan', 'lemot', 'ilang', 'mati', 'lampu', 'langsung', 'hilang', 'stan', 'perbaiki', 'kemana', 'komplen', 'keterangan', 'jaringan', 'daerah', 'stabil', '']</t>
  </si>
  <si>
    <t>['oke', 'telkomsel', 'kasih', 'bintang', 'full', 'suruh', 'update', 'skrng', 'tgl', 'april', 'malam', 'jumat', 'semoga', 'mengecewakan', 'pelanggan', 'setia', 'telkomsel', 'indonesia', 'semoga', 'update', 'trbaru', 'irit', 'kuota', 'gesit', 'akses', 'internetnya', 'utamakan', 'lbh', 'irit', 'indo', 'semangkin', 'bertahan', 'untk', 'telkomsel', 'trimksh', '']</t>
  </si>
  <si>
    <t>['abis', 'update', 'pilihan', 'paketnya', 'dikit', 'prasaan', 'kmaren', 'sblom', 'update', 'pilihannya', 'kaya', 'kuota', 'letengan', 'skarang', 'pilihannya', 'udah', 'ngga', 'tlong', 'penjelasannya']</t>
  </si>
  <si>
    <t>['aplikasi', 'bodoh', 'aplikasi', 'beli', 'paket', 'masuk', 'paket', 'orang', 'beli', 'paket', 'paket', 'kecewa']</t>
  </si>
  <si>
    <t>['mantap', 'telkomsel', 'mengecewakan', 'promo', 'sukses', 'telkomsel', 'jga', 'beruba', '']</t>
  </si>
  <si>
    <t>['pengguna', 'telkomsel', 'trus', 'kmaren', 'ganti', 'perdana', 'telkomsel', 'gb', 'unlimited', 'sehari', 'kuota', 'lenyap', 'komplen', 'gangguan', 'pusat', 'balikin', 'gb', 'gini', 'rugi', 'woy', 'balikin', 'kuota', '']</t>
  </si>
  <si>
    <t>['tampilan', 'aplikasi', 'komunikatif', 'pembelian', 'paket', 'rupiah', 'detail', 'sms', 'kolom', 'monetary', 'tertera', 'sekian', 'fungsinya', 'tambahan', 'komplain', 'terkait', 'sinyal', 'jujur', 'sinyal', 'telkomsel', 'pakai', 'performanya', 'hilang', 'sinyal', 'area', 'kuota', 'kecewa', 'performanya', '']</t>
  </si>
  <si>
    <t>['memakai', 'telkomsel', 'kesal', 'karna', 'provider', 'jaringan', 'jelek', 'memakai', 'telkomsel', 'alhamdulillah', 'kesalnya', 'terimakasih', 'telkomsel', 'kualitas', 'serasa', '']</t>
  </si>
  <si>
    <t>['apk', 'kentut', 'ngasih', 'pulsa', 'berguna', 'mending', 'ngak', 'pajangan', 'doank', 'sinyal', 'lemot', 'males']</t>
  </si>
  <si>
    <t>['aneh', 'udah', 'beli', 'kartunya', 'bertahun', 'isi', 'paket', 'ratusan', 'ribu', 'kagak', 'promo', 'teman', 'teman', 'beli', 'kartu', 'langsung', 'promo', 'murah', 'murah', 'ngk', 'gimana', 'tolong', 'bantu', 'permasalahan']</t>
  </si>
  <si>
    <t>['perbaiki', 'sinyal', 'lubuk', 'pakam', 'kelurahan', 'sekip', 'malam', 'udah', 'internet', 'lambat', 'cepat', 'jalan', 'keong', 'harga', 'paket', 'mahal', 'kualitas', 'kek', 'eek', 'emosi', 'sesuaikan', 'kualitas', 'harga', 'isss', 'cabut', 'tiang', 'tower', 'kelen', 'iya', 'kunyah', 'sampe', 'abis', '']</t>
  </si>
  <si>
    <t>['', 'jaringan', 'bermasalah', 'jaringan', 'bermasalah', 'jaringan', 'bermasalah', 'tampilan', 'layar', 'nyesal', 'beli', 'paket', 'data', 'merugikan']</t>
  </si>
  <si>
    <t>['kecewa', 'telkomsel', 'tukar', 'point', 'persulit', 'tukar', 'point', 'minuman', 'frestea', 'indomaret', 'tukar', 'sms', 'login', 'link', 'ikutin', 'link', 'eror', 'poin', 'terbuang', 'sia', 'bnyak', 'poin', 'tolong', 'perbaikin', 'pelanggan', 'kecewa', 'usahakan', 'kartu', 'promo', 'paket', 'weekend', 'orang', 'habis', 'paket', '']</t>
  </si>
  <si>
    <t>['telkomsel', 'kartu', 'beli', 'paket', 'internet', 'murah', 'paket', 'naikkin', 'harganya', 'nggak', 'paket', 'dihilang', 'ganti', 'paket', 'mahal', 'kecewa', 'banget', 'pokoknya', 'sepuluh', 'menit', 'harga', 'paket', 'turunkan', 'sebarin', 'kartu', 'telkomsel', 'curang', '']</t>
  </si>
  <si>
    <t>['kartu', 'asuuu', 'babi', 'perusahaan', 'telkomsel', 'anak', 'babi', 'masaa', 'beli', 'kuota', 'unlimited', 'aplikasi', 'ehtiba', 'kesedot', 'make', 'beli', 'cek', 'kuota', 'hilang', 'gada', 'kuota', 'langsung', 'habis', 'kesedot', 'telkomsel', 'asuuuuu', 'perusahaan', 'telkomsel', 'anak', 'haram', 'babi', 'asuu']</t>
  </si>
  <si>
    <t>['mohon', 'maaf', 'kartu', 'telkom', 'knp', 'banget', 'tolong', 'benerin', 'unlimited', 'gamemax', 'game', 'max', 'duh', 'udh', 'mah', 'tolong', 'perbaiki', 'kartu', 'telkom', 'kasih', 'bintang', 'perbaiki', '']</t>
  </si>
  <si>
    <t>['kemaren', 'beli', 'kuota', 'gb', 'unlimited', 'pakai', 'gb', 'pas', 'cek', 'kuota', 'hilang', 'beli', 'kali']</t>
  </si>
  <si>
    <t>['update', 'update', 'harga', 'ditingkatkan', 'kualitas', 'sampah', 'beli', 'paket', 'sinyal', 'lelet', 'parah', 'gila', '']</t>
  </si>
  <si>
    <t>['fix', 'ganti', 'kartu', 'udah', 'sabar', 'berminggu', 'jaringan', 'lelet', 'dilanjut', 'paket', 'mahal', 'nilai', 'plus', 'mengecawakan', '']</t>
  </si>
  <si>
    <t>['kak', 'beli', 'paket', 'internet', 'habis', 'menghilang', 'trus', 'gimana', 'kak', 'beli', 'paket', 'gb', 'unlimitid', 'trus', 'hilang', 'paket', 'knp', 'kak', 'penjelasanya', '']</t>
  </si>
  <si>
    <t>['tolong', 'kartu', 'promo', 'murah', 'kartu', 'sudaj', 'hambir', 'promo', 'jaringan', 'suka', 'lelet', 'kecewa', 'telkmsl', '']</t>
  </si>
  <si>
    <t>['mimin', 'knapa', 'yaa', 'simpati', 'loop', 'update', 'ntuk', 'paket', 'udh', 'laen', 'udh', 'paket', 'tpi', 'sampe', 'skg', 'blum', '']</t>
  </si>
  <si>
    <t>['halo', 'pengguna', 'telkomsel', 'memiliki', 'terhasap', 'sinyal', 'bermain', 'game', 'jelek', 'memakai', 'aplikasi', 'youtube', 'lancar', 'membeli', 'paket', 'data', 'khusus', 'game', 'lag', 'sinyal', 'hilang', 'bermain', 'game', 'alasan', 'bintang']</t>
  </si>
  <si>
    <t>['hai', 'telkomsel', 'ditingkatkan', 'jaringannya', 'harganya', 'udah', 'daerahku', 'sinyal', 'parah', 'banget', 'malem', 'buruk', 'kualitas', 'provider', 'harganya', 'murah', 'ganti', 'provider', 'gimana', 'butuh', 'komunikasi', 'misua', 'kerjanya', 'parah', 'banget', 'asli', 'tolong', 'diperbaiki', '']</t>
  </si>
  <si>
    <t>['beli', 'kuota', 'unlimited', 'hilang', 'kuotanya', 'pemberitahuan', 'kecewaaaaaaaa', 'mohon', 'telkomsel', 'tolong']</t>
  </si>
  <si>
    <t>['halo', 'telkomsel', 'pulsa', 'terpotong', 'kuota', 'internet', 'paket', 'nelpon', 'nelpon', 'gimana', 'telkomsel', '']</t>
  </si>
  <si>
    <t>['tolong', 'telkomsel', 'kembalilah', 'jaya', 'kartu', 'jaringannya', 'sebagus', 'buruk', 'main', 'game', 'online', 'sinyal', 'hilang', 'berhenti', 'main', 'jaringan', 'langsung', 'berubah', 'dmana', 'jaringan', 'tercepat', 'lingkungan', 'tolong', 'dimana', 'sinyal', 'terbaik', 'lag', 'loading', 'online', 'kecepatan', 'memukau', 'jeda', 'jaringan', 'tolong', '']</t>
  </si>
  <si>
    <t>['aplikasi', 'sbnrnya', 'bgus', 'bgus', 'banget', 'jaringannya', 'lancar', 'lelet', 'alias', 'lemot', 'tapinya', 'biaya', 'beli', 'paket', 'mahal', 'udh', 'cpt', 'abis', 'liat', 'sbntar', 'tolong', 'telkomsel', 'promo', 'dng', 'pelanggan', 'ttp', 'betah', 'pakai', 'kartu', 'terimaksih', '']</t>
  </si>
  <si>
    <t>['pelanggan', 'telkomsel', 'kartu', 'pakai', 'jaman', 'kartu', 'tawaran', 'kuota', 'murah', '']</t>
  </si>
  <si>
    <t>['kalah', 'cepet', 'ama', 'provider', 'sebelah', 'value', 'mabal', 'bagus', 'njeerrr', 'gaada', 'perubahan', 'buruk', 'provider', 'sebelah']</t>
  </si>
  <si>
    <t>['pas', 'paket', 'unlimitednya', 'aktif', 'jelek', 'jaringannya', 'ketimbang', 'data', 'paket', 'gue', 'nge', 'paket', 'data', 'unlimited', 'lancarnya', 'kayak', 'wifi', 'kota', 'tpi', 'pas', 'gbnya', 'aktif', 'pas', 'diganti', 'unlimited', 'lemot', 'banget', 'jaringannya', 'kota']</t>
  </si>
  <si>
    <t>['hadiah', 'daily', 'check', 'ter', 'klaim', 'update', 'klaim', 'hadiah', 'liat', 'history', 'gimana', 'doang', 'ngumpulin', 'hadeh', 'bener']</t>
  </si>
  <si>
    <t>['menyesal', 'dirubah', 'halo', 'memakai', 'telkomsel', 'aktivasi', 'paket', 'unlimited', 'telp', 'berkomunikasi', 'lancar', 'strategi', 'telkomsel', 'limit', 'habis', 'menaikkan', 'limit', 'bayar', 'telp', 'call', 'center', 'telkomsel', 'berkali', 'kali', 'solusi', 'payah', 'kecewa']</t>
  </si>
  <si>
    <t>['busuk', 'mahal', 'promo', 'dibeli', 'angkuh', 'merespon', 'customer', 'telkomsel', 'diatas', 'kerena', 'penguna', 'inget', 'nokia', 'kecewa', 'banget', 'gue', 'anyingg']</t>
  </si>
  <si>
    <t>['telkomsel', 'jaya', 'jawa', 'daerah', 'beli', 'paket', 'telkomsel', 'maen', 'game', 'lancar', 'meleset', 'boro', 'lancar', 'jalan', 'gabisa', 'merah', 'merona', 'paketan', 'telkomsel', 'mahal', 'performa', 'besok', 'ganti', '']</t>
  </si>
  <si>
    <t>['memuaskan', 'terbaik', 'best', 'menggunakannya', 'berlangganan', 'paket', 'cek', 'promo', 'informasi', 'pilihan', 'puas', 'mohon', 'kurangi', 'biaya', 'pilihan', 'datanya', 'ehhehe', 'pandemi', 'uang', 'susah', 'data', 'beraktifitas', 'telkomsel', 'harga', 'murah', 'data', 'paketnya', 'orang', 'telkomsel', 'kartu', 'harga', 'terbaik', 'pas', 'didompet']</t>
  </si>
  <si>
    <t>['kasi', 'bintang', 'nggak', 'suka', 'aplikasi', 'kali', 'masuk', 'masuk', 'nomer', 'tlp', 'trs', 'masuk', 'udah', 'daftar', 'lhoh', 'mohon', 'perbaiki', 'perbaiki', 'insyaallah', 'kasi', 'bintang', '']</t>
  </si>
  <si>
    <t>['bagus', 'banget', 'apk', 'murah', 'murah', 'paketan', 'harga', 'rb', 'pulsa', 'download', 'download', 'rugi', 'kasih', 'bintang', 'apk', 'bagus', 'banget']</t>
  </si>
  <si>
    <t>['kecewa', 'telkomsel', 'bulak', 'balek', 'pulsa', 'tersedot', 'akibat', 'isi', 'kouta', 'pulsa', 'kegagalan', 'masuk', 'sms', 'pulsa', 'isi', 'mencukupi', 'isi', 'rb', 'cuba', 'berkali', 'kali', 'pulsa', 'isi', 'rb', 'tinggal', 'rb', 'aneh', 'kouta', 'rugi', 'udah', 'jaringan', 'telkomsel', 'suka', 'lelet', 'banget', 'buka', 'browsing', 'terbuka', 'kcewa']</t>
  </si>
  <si>
    <t>['aplikasi', 'bagus', 'membantu', 'tolong', 'telkomsel', 'sinyalnya', 'lambat', 'banget', 'buka', 'youtube', 'aplikaai', 'belajar', 'game', 'banget', 'tolong', 'kesusahan', 'terima', 'kasih']</t>
  </si>
  <si>
    <t>['woy', 'pemilik', 'telkomsel', 'tolong', 'perbaiki', 'donk', 'pembelian', 'paket', 'internet', 'perbaiki', 'tutup', 'apk', 'seharia', 'daftar', 'daftar', 'gimana', '']</t>
  </si>
  <si>
    <t>['tolong', 'perbaiki', 'kebijakan', 'kuota', 'habis', 'jangn', 'otomatis', 'sedot', 'pulsa', 'internet', 'pulsa', 'registrasi', 'paket', 'internet', 'masuk', 'kepotong', 'gajadi', 'pakrtin', 'internet', 'make', 'telkomsel', 'bkn', 'orang', 'kaya', 'mengecewakan', '']</t>
  </si>
  <si>
    <t>['tolong', 'telkomsel', 'bnyak', 'ngeluh', 'perbaikan', 'ganguan', 'tolong', 'kasi', 'pke', 'telkomsel', 'nge', 'game', 'beli', 'paket', 'mahal', 'jaringan', 'ilang', 'kek', 'gini']</t>
  </si>
  <si>
    <t>['beli', 'paket', 'kuota', 'nunggu', 'kagak', 'balasan', 'sms', 'lamaaa', 'diproses', 'jaman', 'canggih', 'gitu', 'kuota', 'habis', 'pemberitahuan', 'beli', 'kuota', 'via', 'apl', 'diproses', '']</t>
  </si>
  <si>
    <t>['pembelian', 'paket', 'data', 'membeli', 'paket', 'data', 'internet', 'bulanan', 'terbaca', 'tulisan', 'paket', 'temukan', 'coba', 'cek']</t>
  </si>
  <si>
    <t>['niat', 'ngasih', 'kuota', 'adain', 'even', 'even', 'anjng', 'daily', 'cek', 'udah', 'rajin', 'rajin', 'buka', 'telkomsel', 'pas', 'udah', 'bsa', 'klaim', 'suruh', 'bayar', 'tpi', 'mikir', 'anjng', 'jan', 'lupa', 'ngopi', 'otaknya', 'semriwingggg']</t>
  </si>
  <si>
    <t>['pulsa', 'rb', 'beli', 'kuota', 'game', 'max', 'rb', 'sisa', 'pulsa', 'rb', 'berlangganan', 'nsp', 'ataupum', 'sejenisnya', 'mohon', 'tindakannya', 'kompensasinya']</t>
  </si>
  <si>
    <t>['tolong', 'telkomsel', 'paket', 'murah', 'pas', 'lihat', 'nipu', 'kah', 'abis', 'paketnya', 'mahal', 'mahal', 'kagak', 'murah', 'isi', 'pulsa', 'tersedot', 'kagak', 'ngapa', 'ngapa', 'habis', 'kecewa', 'pakai', 'telkomsel', '']</t>
  </si>
  <si>
    <t>['kecewa', 'kuota', 'kemdikbud', 'mahasiswa', 'pulsa', 'terpotong', 'habis', 'kuota', 'kemdikbud', 'mendapatkannya', 'tolong', 'perbaiki', 'kuoto', 'kemdikbud', 'menguras', 'pulsa', 'thanks', '']</t>
  </si>
  <si>
    <t>['ikutan', 'telkomsel', 'poin', 'kecewa', 'bner', 'super', 'kecewa', 'situ', 'tertera', 'ujung', 'xxx', 'bner', 'tlp', 'cek', 'grapari', 'grapari', 'stempat', 'laa', 'undian', 'periode', 'marer', 'tgl', 'cek', 'cek', 'brtanya', 'bkn', 'nomor', 'info', 'disinj', 'nomor', 'digit', 'gampang', 'cek', 'parahhhh', 'trkesan', 'pembodohan', '']</t>
  </si>
  <si>
    <t>['plis', 'kembalikan', 'pulsa', 'msalah', 'sinyal', 'oke', 'tpi', 'potong', 'pulsa', 'untung', 'kerja', 'cari', 'nafkah', 'membutuh', 'tpi', 'plis', 'pulsa', 'ambil', 'udah', 'beli', 'kuota', 'udah', 'kuota', 'mahal', 'pulsa', 'potong', 'ayo', 'perbaiki']</t>
  </si>
  <si>
    <t>['paket', 'data', 'gb', 'paket', 'gb', 'jam', 'berlaku', 'aktiv', 'paket', 'data', 'aktiv', 'nomor', 'sms', 'mnggunakan', 'internet', 'tarif', 'non', 'paket', 'alhasil', 'pulsa', 'hilang', 'niat', 'promo', 'ganiat', 'gausah', 'kaya', 'gitu', 'kecewa', 'tindakan', 'menyenangkan', 'memakan', 'hasil', 'haknya', 'haram', 'akhirat', 'kecewa']</t>
  </si>
  <si>
    <t>['marketingnya', 'kali', 'ditraining', 'syarat', 'penyampaian', 'benefit', 'berlaku', 'contoh', 'masuk', 'kartu', 'halo', 'berhenti', 'marketingnya', 'kasih', 'info', 'kartunya', 'hangus', 'ganti', 'nomer', 'kasian', 'pengguna', 'nomer', 'ganti', 'nomer', 'berhenti', 'kartu', 'halo', 'pengguna', 'dkasih', 'benefit', 'dijerat', 'marketing', 'kotor']</t>
  </si>
  <si>
    <t>['operator', 'indonesia', 'apanya', 'harga', 'kuota', 'segini', 'jaringan', 'kek', 'gini', 'beli', 'paketan', 'mahal', 'setimpal', 'ama', 'jaringan', 'pantes', 'org', 'komplen', 'ngasih', 'bintang', '']</t>
  </si>
  <si>
    <t>['', 'tercepat', 'terluas', 'kentut', 'preettt', 'sinyal', 'odong', 'leletnya', 'ampun', 'banget', 'complain', 'jaringan', 'lelet', 'cuman', 'mohon', 'maaf', 'akam', 'cek', 'bla', 'bla', 'bla', 'gaji', 'bos', 'telkomsel', 'dana', 'infrastruktur', 'pemeliharaan', 'pemerintah', 'tpi', 'jaringan', 'jelek', 'sdm', 'telkomsel', 'tolol', 'bego', 'bnyak', 'org', 'titipan', 'jaringan', 'lelet', 'infrastrukturnya', 'ampas', 'jadul', 'udh', 'belumut', '']</t>
  </si>
  <si>
    <t>['rumah', 'wifi', 'pergi', 'beli', 'paket', 'mb', 'harga', 'skrng', 'udh', 'kayaknya', 'harganya', 'udh', 'paket', 'beli', 'yaa', 'beli', 'harga', 'segitu', 'karna', 'kabar', 'rumah']</t>
  </si>
  <si>
    <t>['kecewa', 'pelayanan', 'telkomsel', 'pulsa', 'disedot', 'isi', 'pulsa', 'berlangganan', 'apapun', 'intinya', 'kesal', 'biarpun', 'disedot', 'hak', 'peminatnya', 'beralih', 'sebelah', 'fitur', 'pembayaran', 'lengkap', 'indomaret', 'alfamart']</t>
  </si>
  <si>
    <t>['tolong', 'paketan', 'game', 'pubg', 'lag', 'parah', 'gerak', 'tolong', 'perbaiki', 'paketan', 'nyaa', 'lancar', 'jaringan', '']</t>
  </si>
  <si>
    <t>['telkomsel', 'terhormat', 'makasih', 'mengadakan', 'kuota', 'anlimitid', 'mohon', 'maaf', 'loding', 'maenn', 'skalii', 'smoga', 'bsa', 'tngkatkan', '']</t>
  </si>
  <si>
    <t>['kartu', 'kode', 'aktif', 'sesuai', 'slogan', 'launchingnya', 'notif', 'pemberitahuan', 'sms', 'masuk', 'diantisipasi', 'kartu', 'pakai', 'tanda', 'silang', 'mengecewakan', '']</t>
  </si>
  <si>
    <t>['telkomsel', 'drop', 'internetnya', 'sinyal', 'full', 'gini', 'harga', 'kuota', 'lbh', 'mahal', 'propider', 'kualitasnya', 'mlh', 'turun', 'drastis', 'sumpah', 'why', '']</t>
  </si>
  <si>
    <t>['sinyal', 'hilang', 'hilang', 'kak', 'harga', 'segi', 'kenyamanan', 'pengguanya', 'pakai', 'telkomsel', 'sampe', 'nurun', 'mantaplah', 'pokoknya', 'wkwkwkwkw', '']</t>
  </si>
  <si>
    <t>['telkomsel', 'parah', 'sumpah', 'sesuai', 'pelayanan', 'kuotanya', 'mahal', 'jaringannya', 'murahan', 'hujan', 'mati', 'lampu', 'gada', 'harapan', 'langsung', 'hilang', 'sinyalnya', 'meresahkan', 'pelajaran', 'pas', 'suruh', 'ngumpulin', 'tugas', 'gara', 'sinyalnya', 'ilang', 'terlambat', 'darah', 'kesal', 'kesal', 'kesal', 'seengaknya', 'pelayanan', 'bagus', 'costumer', 'gausah', 'mahal', 'kuotanya', 'seimbang', 'kek', 'pembodohan', 'dahlah', 'males', 'telkomsel', 'ibab']</t>
  </si>
  <si>
    <t>['pakek', 'telkomsel', 'paket', 'nakin', 'mahal', 'udah', 'gituk', 'jaringan', 'gangguan', 'sinyal', 'penuh', 'full', 'buka', 'youtube', 'antena', 'tower', 'bnyak', 'mah', 'parah', 'lgi', 'coba', 'tower', 'telkom', 'desa', 'pengguna', 'telkom', '']</t>
  </si>
  <si>
    <t>['hay', 'make', 'telkomsel', 'promo', 'kaya', 'orang', 'promo', 'gb', 'seminggu', 'bgitu', 'gb', 'bln', '']</t>
  </si>
  <si>
    <t>['telkomsel', 'seneng', 'paketan', 'gb', 'harga', 'rb', 'bln', 'beli', 'jatah', 'pulsa', 'beli', 'paket', 'kepotong', 'trus', 'tolong', 'tingkatkan', 'kak']</t>
  </si>
  <si>
    <t>['daily', 'cek', 'stempel', 'tukar', 'poin', 'pulsa', 'pulsa', 'sedot', 'sampe', 'nol', 'terima', 'kasih', 'telkomsel', 'semoga', 'cepat', 'bangkrut', '']</t>
  </si>
  <si>
    <t>['maaf', 'min', 'kemaren', 'kasih', 'bintang', 'kasih', 'bintang', 'senang', 'telkomsel', 'keluarga', 'telkomsel', 'fitur', 'telkomsel', 'memasukkan', 'nomer', 'telkomsel', 'masuk', 'nomor', 'satunya', 'nomer', 'nomer', 'satunya', 'tolong', 'bantuannya', 'min', '']</t>
  </si>
  <si>
    <t>['maaf', 'nyet', 'enak', 'bener', 'nyet', 'ngasih', 'ganti', 'rugi', 'pulsa', 'pelanggan', 'hilang', 'seandai', 'pencuri', 'ketangkep', 'polisi', 'pencuri', 'maaf', 'polisi', 'ketidak', 'nyamanan', 'polisi', 'melepas', 'membebaskan', 'pencuri', 'profesional', 'telkomsel', 'hadeh', 'ngambil', 'hadiah', 'pengumpulan', 'stamp', 'bayar', 'kah', 'telkomsel', 'acara', 'bayar', 'hadehhhhh', 'capek', 'deh', '']</t>
  </si>
  <si>
    <t>['jaringan', 'udah', 'berlangganan', 'kesini', 'mengecewakan', 'ngegame', 'lage', 'parah', 'jaringan', 'stabil', 'pindah', 'provider', 'woy', 'jaringan', 'woy', 'leg', 'trus', 'nyesel', 'gua', 'berlanganan', 'emosi', '']</t>
  </si>
  <si>
    <t>['yukkk', 'mayoritas', 'pengguna', 'setia', 'telkomsel', 'bergegas', 'profider', 'jaringan', 'telkomsel', 'seindah', 'mahal', 'doang', 'profider', 'murah', 'sinyal', 'stabil', 'ayo', 'bergegas', 'pindah', 'indosat', 'axis', 'murah', 'sinyal', 'stabil', 'setia', 'pengguna', 'telkomsel', 'dirugikan', 'think', 'smart', 'guys', 'rugii', 'mahal', 'gasesuai', 'segeralah', 'dimanfaatkan', 'sadar', 'sadar', 'sabar', '']</t>
  </si>
  <si>
    <t>['', 'rubah', 'dipake', 'login', 'website', 'langsung', 'maen', 'mobile', 'legend', 'ijo', 'langsung', 'drastis', 'merah', 'akibat', 'ganti', 'melulu', '']</t>
  </si>
  <si>
    <t>['kasih', 'promo', 'sms', 'paket', 'hore', 'ketik', 'akses', 'giliran', 'paket', 'cepet', 'beneran', 'suruh', 'bls', 'smsnya', 'bales']</t>
  </si>
  <si>
    <t>['ahahahahahahha', 'komplain', 'jaringan', 'telkomnyet', 'mahal', 'buset', 'jaringan', 'fluktuatif', 'geser', 'pinggul', 'dikit', 'udah', 'putus', 'sinyal', 'adek', 'stabil', 'ganti', 'baca', 'ganti', 'jaringannya', 'halah', 'perubahan', 'komplain', 'kek', 'gini', 'udah']</t>
  </si>
  <si>
    <t>['beli', 'paket', 'datanya', 'cash', 'kayak', 'ngutang', 'pakai', 'telkomsel', 'paaaaraaaaaahhh',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</si>
</sst>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color theme="1"/>
      <name val="Calibri"/>
    </font>
    <font>
      <b/>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5.57"/>
    <col customWidth="1" min="4" max="27" width="8.71"/>
  </cols>
  <sheetData>
    <row r="1">
      <c r="B1" s="1" t="s">
        <v>0</v>
      </c>
      <c r="C1" s="2" t="s">
        <v>1</v>
      </c>
      <c r="D1" s="1" t="s">
        <v>2</v>
      </c>
    </row>
    <row r="2">
      <c r="A2" s="1">
        <v>0.0</v>
      </c>
      <c r="B2" s="3" t="s">
        <v>3</v>
      </c>
      <c r="C2" s="3" t="str">
        <f>IFERROR(__xludf.DUMMYFUNCTION("GOOGLETRANSLATE(B2,""id"",""en"")"),"['Please', 'service', 'Telkomsel', 'relieve', 'customer', 'loyal', 'give', 'award', 'customer', 'loyal', 'bbrpa', 'customer', ' loyal ',' fixed ',' card ',' hello ',' now ',' change ',' package ',' telephone ',' sms', 'grapari', 'pdhl', 'easy', 'process' "&amp;", 'change', 'management', 'easy', 'skrg', 'complicated', 'validation', 'data', 'accurate', 'move', 'process',' base ',' trmksh ',' ']")</f>
        <v>['Please', 'service', 'Telkomsel', 'relieve', 'customer', 'loyal', 'give', 'award', 'customer', 'loyal', 'bbrpa', 'customer', ' loyal ',' fixed ',' card ',' hello ',' now ',' change ',' package ',' telephone ',' sms', 'grapari', 'pdhl', 'easy', 'process' , 'change', 'management', 'easy', 'skrg', 'complicated', 'validation', 'data', 'accurate', 'move', 'process',' base ',' trmksh ',' ']</v>
      </c>
      <c r="D2" s="3">
        <v>4.0</v>
      </c>
    </row>
    <row r="3">
      <c r="A3" s="1">
        <v>1.0</v>
      </c>
      <c r="B3" s="3" t="s">
        <v>4</v>
      </c>
      <c r="C3" s="3" t="str">
        <f>IFERROR(__xludf.DUMMYFUNCTION("GOOGLETRANSLATE(B3,""id"",""en"")"),"['customer', 'loyal', 'Telkomsel', 'Please', 'Telkomsel', 'Please', 'Donk', 'Check', 'Network', 'Region', 'Maluku', 'North', ' Halmahera ']")</f>
        <v>['customer', 'loyal', 'Telkomsel', 'Please', 'Telkomsel', 'Please', 'Donk', 'Check', 'Network', 'Region', 'Maluku', 'North', ' Halmahera ']</v>
      </c>
      <c r="D3" s="3">
        <v>5.0</v>
      </c>
    </row>
    <row r="4">
      <c r="A4" s="1">
        <v>2.0</v>
      </c>
      <c r="B4" s="3" t="s">
        <v>5</v>
      </c>
      <c r="C4" s="3" t="str">
        <f>IFERROR(__xludf.DUMMYFUNCTION("GOOGLETRANSLATE(B4,""id"",""en"")"),"['disappointed', 'price', 'quota', 'as expensive', 'network', 'good', 'film', 'application', 'viu', 'quality', 'playback', 'low', ' Disconnect ',' Way ',' Weather ',' Rain ',' Area ',' Surabaya ',' City ',' Cook ',' Yes', 'Selemot', 'The Network', 'Buy', "&amp;"'Quota' , 'Giga', 'jargannya', 'slow', 'Surabaya', 'city', 'solution', 'admin', '']")</f>
        <v>['disappointed', 'price', 'quota', 'as expensive', 'network', 'good', 'film', 'application', 'viu', 'quality', 'playback', 'low', ' Disconnect ',' Way ',' Weather ',' Rain ',' Area ',' Surabaya ',' City ',' Cook ',' Yes', 'Selemot', 'The Network', 'Buy', 'Quota' , 'Giga', 'jargannya', 'slow', 'Surabaya', 'city', 'solution', 'admin', '']</v>
      </c>
      <c r="D4" s="3">
        <v>1.0</v>
      </c>
    </row>
    <row r="5">
      <c r="A5" s="1">
        <v>3.0</v>
      </c>
      <c r="B5" s="3" t="s">
        <v>6</v>
      </c>
      <c r="C5" s="3" t="str">
        <f>IFERROR(__xludf.DUMMYFUNCTION("GOOGLETRANSLATE(B5,""id"",""en"")"),"['Performance', 'Telkomsel', 'Severe', 'Package', 'Data', 'Browsing', 'Notif', 'Package', 'Data', 'After', 'Browsing', 'Ineday', ' Credit ',' Bener ',' Bad ',' Telkomsel ',' Cotss', ""]")</f>
        <v>['Performance', 'Telkomsel', 'Severe', 'Package', 'Data', 'Browsing', 'Notif', 'Package', 'Data', 'After', 'Browsing', 'Ineday', ' Credit ',' Bener ',' Bad ',' Telkomsel ',' Cotss', "]</v>
      </c>
      <c r="D5" s="3">
        <v>1.0</v>
      </c>
    </row>
    <row r="6">
      <c r="A6" s="1">
        <v>4.0</v>
      </c>
      <c r="B6" s="3" t="s">
        <v>7</v>
      </c>
      <c r="C6" s="3" t="str">
        <f>IFERROR(__xludf.DUMMYFUNCTION("GOOGLETRANSLATE(B6,""id"",""en"")"),"['Credit', 'reduced', 'continuous', 'usage', 'internet', 'telephone', 'mhn', 'help', 'solution']")</f>
        <v>['Credit', 'reduced', 'continuous', 'usage', 'internet', 'telephone', 'mhn', 'help', 'solution']</v>
      </c>
      <c r="D6" s="3">
        <v>2.0</v>
      </c>
    </row>
    <row r="7">
      <c r="A7" s="1">
        <v>5.0</v>
      </c>
      <c r="B7" s="3" t="s">
        <v>8</v>
      </c>
      <c r="C7" s="3" t="str">
        <f>IFERROR(__xludf.DUMMYFUNCTION("GOOGLETRANSLATE(B7,""id"",""en"")"),"['Severe', 'here', 'Telkomsel', 'Change', 'Change', 'Package', 'For example', 'subscription', 'combo', 'Sakti', 'Unlimited', 'Media', ' FUP ',' Dipepein ',' FUP ',' Doang ',' Fupnya ',' Watch ',' Film ',' YouTube ',' Medsosan ',' GB ',' Doang ',' Already "&amp;"',' Mending ' , 'replace', 'provider', 'tsel', 'customer', 'already', 'comfortable', 'just', 'tsel', 'gapeduli', 'customer', 'ngutamain', 'marketing', ' Get ',' Benefit ',' ']")</f>
        <v>['Severe', 'here', 'Telkomsel', 'Change', 'Change', 'Package', 'For example', 'subscription', 'combo', 'Sakti', 'Unlimited', 'Media', ' FUP ',' Dipepein ',' FUP ',' Doang ',' Fupnya ',' Watch ',' Film ',' YouTube ',' Medsosan ',' GB ',' Doang ',' Already ',' Mending ' , 'replace', 'provider', 'tsel', 'customer', 'already', 'comfortable', 'just', 'tsel', 'gapeduli', 'customer', 'ngutamain', 'marketing', ' Get ',' Benefit ',' ']</v>
      </c>
      <c r="D7" s="3">
        <v>1.0</v>
      </c>
    </row>
    <row r="8">
      <c r="A8" s="1">
        <v>6.0</v>
      </c>
      <c r="B8" s="3" t="s">
        <v>9</v>
      </c>
      <c r="C8" s="3" t="str">
        <f>IFERROR(__xludf.DUMMYFUNCTION("GOOGLETRANSLATE(B8,""id"",""en"")"),"['Proud', 'Wear', 'Perdana', 'Telkomsel', 'Family', 'Telkomsel', 'Network', 'Strong', 'DMN', 'Ngeleg', 'Thank', 'Love', ' Telkomsel ',' ']")</f>
        <v>['Proud', 'Wear', 'Perdana', 'Telkomsel', 'Family', 'Telkomsel', 'Network', 'Strong', 'DMN', 'Ngeleg', 'Thank', 'Love', ' Telkomsel ',' ']</v>
      </c>
      <c r="D8" s="3">
        <v>5.0</v>
      </c>
    </row>
    <row r="9">
      <c r="A9" s="1">
        <v>7.0</v>
      </c>
      <c r="B9" s="3" t="s">
        <v>10</v>
      </c>
      <c r="C9" s="3" t="str">
        <f>IFERROR(__xludf.DUMMYFUNCTION("GOOGLETRANSLATE(B9,""id"",""en"")"),"['package', 'expensive', 'signal', 'ugly', 'severe', 'forgiveness',' contents', 'package', 'jakarta', 'north', 'village', 'remote', ' village', '']")</f>
        <v>['package', 'expensive', 'signal', 'ugly', 'severe', 'forgiveness',' contents', 'package', 'jakarta', 'north', 'village', 'remote', ' village', '']</v>
      </c>
      <c r="D9" s="3">
        <v>1.0</v>
      </c>
    </row>
    <row r="10">
      <c r="A10" s="1">
        <v>8.0</v>
      </c>
      <c r="B10" s="3" t="s">
        <v>11</v>
      </c>
      <c r="C10" s="3" t="str">
        <f>IFERROR(__xludf.DUMMYFUNCTION("GOOGLETRANSLATE(B10,""id"",""en"")"),"['Knp', 'Telkomsel', 'really', 'open', 'please', 'promo', 'package', 'cheerful', 'please', 'activate', 'because', 'times',' buy ',' buy ',' times', 'ngak', 'buy', 'times',' ngak ',' knp ',' promo ',' blm ',' run out ',' yesterday ',' Please ' , 'Activate'"&amp;", 'Package', 'Cheerful', 'Sorry', 'Give', 'Star', 'Udh', 'Love', 'Star', ""]")</f>
        <v>['Knp', 'Telkomsel', 'really', 'open', 'please', 'promo', 'package', 'cheerful', 'please', 'activate', 'because', 'times',' buy ',' buy ',' times', 'ngak', 'buy', 'times',' ngak ',' knp ',' promo ',' blm ',' run out ',' yesterday ',' Please ' , 'Activate', 'Package', 'Cheerful', 'Sorry', 'Give', 'Star', 'Udh', 'Love', 'Star', "]</v>
      </c>
      <c r="D10" s="3">
        <v>3.0</v>
      </c>
    </row>
    <row r="11">
      <c r="A11" s="1">
        <v>9.0</v>
      </c>
      <c r="B11" s="3" t="s">
        <v>12</v>
      </c>
      <c r="C11" s="3" t="str">
        <f>IFERROR(__xludf.DUMMYFUNCTION("GOOGLETRANSLATE(B11,""id"",""en"")"),"['promo', 'Telkom', 'NGK', 'Example', 'at the same time', 'balance', 'zero', 'promo', 'special', 'package', 'price', 'do', ' Charging ',' reset ',' fees', 'buy', 'package', 'missing', 'replaced', 'really', 'disappointed', 'Telkom', 'Basic', 'Tipu', ""]")</f>
        <v>['promo', 'Telkom', 'NGK', 'Example', 'at the same time', 'balance', 'zero', 'promo', 'special', 'package', 'price', 'do', ' Charging ',' reset ',' fees', 'buy', 'package', 'missing', 'replaced', 'really', 'disappointed', 'Telkom', 'Basic', 'Tipu', "]</v>
      </c>
      <c r="D11" s="3">
        <v>5.0</v>
      </c>
    </row>
    <row r="12">
      <c r="A12" s="1">
        <v>10.0</v>
      </c>
      <c r="B12" s="3" t="s">
        <v>13</v>
      </c>
      <c r="C12" s="3" t="str">
        <f>IFERROR(__xludf.DUMMYFUNCTION("GOOGLETRANSLATE(B12,""id"",""en"")"),"['Suggestion', 'Telkom', 'Mending', 'Closed', 'AJG', 'UDH', 'Rela', 'Buy', 'Kuta', 'Expensive', 'lag', 'Severe', ' Mending ',' Move ',' Need ',' Need ',' ']")</f>
        <v>['Suggestion', 'Telkom', 'Mending', 'Closed', 'AJG', 'UDH', 'Rela', 'Buy', 'Kuta', 'Expensive', 'lag', 'Severe', ' Mending ',' Move ',' Need ',' Need ',' ']</v>
      </c>
      <c r="D12" s="3">
        <v>1.0</v>
      </c>
    </row>
    <row r="13">
      <c r="A13" s="1">
        <v>11.0</v>
      </c>
      <c r="B13" s="3" t="s">
        <v>14</v>
      </c>
      <c r="C13" s="3" t="str">
        <f>IFERROR(__xludf.DUMMYFUNCTION("GOOGLETRANSLATE(B13,""id"",""en"")"),"['Fix', 'network', 'area', 'Bogor', 'please', 'Telkomsel', 'internet', 'play', 'game', 'satisfying', 'buy', 'quota', ' expensive ',' network ',' jumping ',' ']")</f>
        <v>['Fix', 'network', 'area', 'Bogor', 'please', 'Telkomsel', 'internet', 'play', 'game', 'satisfying', 'buy', 'quota', ' expensive ',' network ',' jumping ',' ']</v>
      </c>
      <c r="D13" s="3">
        <v>1.0</v>
      </c>
    </row>
    <row r="14">
      <c r="A14" s="1">
        <v>12.0</v>
      </c>
      <c r="B14" s="3" t="s">
        <v>15</v>
      </c>
      <c r="C14" s="3" t="str">
        <f>IFERROR(__xludf.DUMMYFUNCTION("GOOGLETRANSLATE(B14,""id"",""en"")"),"['active', 'internet', 'application', 'Telkomsel', 'apply', 'use', 'date', 'active', 'listed', 'pulse', 'interested', 'costs',' Non ',' Package ',' Telkomsel ',' On ',' Internet ',' Mistake ',' About ',' Please ',' Mistake ',' Developer ',' Please ',' Rep"&amp;"aired ',' Thank you ' ]")</f>
        <v>['active', 'internet', 'application', 'Telkomsel', 'apply', 'use', 'date', 'active', 'listed', 'pulse', 'interested', 'costs',' Non ',' Package ',' Telkomsel ',' On ',' Internet ',' Mistake ',' About ',' Please ',' Mistake ',' Developer ',' Please ',' Repaired ',' Thank you ' ]</v>
      </c>
      <c r="D14" s="3">
        <v>2.0</v>
      </c>
    </row>
    <row r="15">
      <c r="A15" s="1">
        <v>13.0</v>
      </c>
      <c r="B15" s="3" t="s">
        <v>16</v>
      </c>
      <c r="C15" s="3" t="str">
        <f>IFERROR(__xludf.DUMMYFUNCTION("GOOGLETRANSLATE(B15,""id"",""en"")"),"['Main', 'Game', 'Signal', 'Telkomsel', 'Butuk', 'Suggest', 'Repaired', 'People', 'Disturbed', 'People', 'Move', 'Provider', ' Play ',' Game ',' Price ',' Package ',' Telkomsel ',' Compare ',' Provider ',' Telkomsel ',' Work ',' bought ', ""]")</f>
        <v>['Main', 'Game', 'Signal', 'Telkomsel', 'Butuk', 'Suggest', 'Repaired', 'People', 'Disturbed', 'People', 'Move', 'Provider', ' Play ',' Game ',' Price ',' Package ',' Telkomsel ',' Compare ',' Provider ',' Telkomsel ',' Work ',' bought ', "]</v>
      </c>
      <c r="D15" s="3">
        <v>1.0</v>
      </c>
    </row>
    <row r="16">
      <c r="A16" s="1">
        <v>14.0</v>
      </c>
      <c r="B16" s="3" t="s">
        <v>17</v>
      </c>
      <c r="C16" s="3" t="str">
        <f>IFERROR(__xludf.DUMMYFUNCTION("GOOGLETRANSLATE(B16,""id"",""en"")"),"['package', 'appears',' number ',' price ',' expensive ',' friend ',' price ',' cheap ',' card ',' purchase ',' squeeze ',' customer ',' Weighing ',' medium ',' how ',' generation ',' advanced ',' price ',' package ',' internet ',' expensive ',' suggestio"&amp;"n ',' package ',' evenly ',' package ' , 'expensive', 'appears', 'price', 'lowest', 'expensive', 'appears', 'menu', 'purchase', 'package']")</f>
        <v>['package', 'appears',' number ',' price ',' expensive ',' friend ',' price ',' cheap ',' card ',' purchase ',' squeeze ',' customer ',' Weighing ',' medium ',' how ',' generation ',' advanced ',' price ',' package ',' internet ',' expensive ',' suggestion ',' package ',' evenly ',' package ' , 'expensive', 'appears', 'price', 'lowest', 'expensive', 'appears', 'menu', 'purchase', 'package']</v>
      </c>
      <c r="D16" s="3">
        <v>1.0</v>
      </c>
    </row>
    <row r="17">
      <c r="A17" s="1">
        <v>15.0</v>
      </c>
      <c r="B17" s="3" t="s">
        <v>18</v>
      </c>
      <c r="C17" s="3" t="str">
        <f>IFERROR(__xludf.DUMMYFUNCTION("GOOGLETRANSLATE(B17,""id"",""en"")"),"['cave', 'hate', 'application', 'week', 'update', 'ngurasin', 'package', 'idea', 'jugak', 'please', 'Telkomsel', 'signal', ' Fix ',' buy ',' package ',' expensive ',' signal ',' ugly ',' fair ',' please ',' fix ',' Please ',' as fast ', ""]")</f>
        <v>['cave', 'hate', 'application', 'week', 'update', 'ngurasin', 'package', 'idea', 'jugak', 'please', 'Telkomsel', 'signal', ' Fix ',' buy ',' package ',' expensive ',' signal ',' ugly ',' fair ',' please ',' fix ',' Please ',' as fast ', "]</v>
      </c>
      <c r="D17" s="3">
        <v>1.0</v>
      </c>
    </row>
    <row r="18">
      <c r="A18" s="1">
        <v>16.0</v>
      </c>
      <c r="B18" s="3" t="s">
        <v>19</v>
      </c>
      <c r="C18" s="3" t="str">
        <f>IFERROR(__xludf.DUMMYFUNCTION("GOOGLETRANSLATE(B18,""id"",""en"")"),"['Hasyeeem', 'expensive', 'peket', 'comball', 'fasting', 'nyenengin', 'customer', 'annoying', 'yesterday', 'palingan', 'rapon', 'sorry', ' Sis', 'blah', 'bla', ""]")</f>
        <v>['Hasyeeem', 'expensive', 'peket', 'comball', 'fasting', 'nyenengin', 'customer', 'annoying', 'yesterday', 'palingan', 'rapon', 'sorry', ' Sis', 'blah', 'bla', "]</v>
      </c>
      <c r="D18" s="3">
        <v>1.0</v>
      </c>
    </row>
    <row r="19">
      <c r="A19" s="1">
        <v>17.0</v>
      </c>
      <c r="B19" s="3" t="s">
        <v>20</v>
      </c>
      <c r="C19" s="3" t="str">
        <f>IFERROR(__xludf.DUMMYFUNCTION("GOOGLETRANSLATE(B19,""id"",""en"")"),"['Please', 'system', 'payment', 'application', 'funds',' Please ',' equalized ',' system ',' number ',' funds', 'listed', 'permanent', ' Change ',' number ',' Fund ',' thank you ']")</f>
        <v>['Please', 'system', 'payment', 'application', 'funds',' Please ',' equalized ',' system ',' number ',' funds', 'listed', 'permanent', ' Change ',' number ',' Fund ',' thank you ']</v>
      </c>
      <c r="D19" s="3">
        <v>5.0</v>
      </c>
    </row>
    <row r="20">
      <c r="A20" s="1">
        <v>18.0</v>
      </c>
      <c r="B20" s="3" t="s">
        <v>21</v>
      </c>
      <c r="C20" s="3" t="str">
        <f>IFERROR(__xludf.DUMMYFUNCTION("GOOGLETRANSLATE(B20,""id"",""en"")"),"['', 'no', 'content', 'reset', 'pulse', 'already', 'counter', 'contents',' pulse ',' tetep ',' no ',' mytelkomsel ',' otw ',' Change ',' card ',' trouble ',' kayak ',' gini ',' then ',' buy ',' pulse ',' mytelkomsel ',' ovo ',' balance ',' already ', 'Cut"&amp;" "",' pulse ',' no ',' entered ',' how ',' responsibility ',' Telkomsel ',' no ',' service ',' no ',' according to ',' price ',' expensive ']")</f>
        <v>['', 'no', 'content', 'reset', 'pulse', 'already', 'counter', 'contents',' pulse ',' tetep ',' no ',' mytelkomsel ',' otw ',' Change ',' card ',' trouble ',' kayak ',' gini ',' then ',' buy ',' pulse ',' mytelkomsel ',' ovo ',' balance ',' already ', 'Cut ",' pulse ',' no ',' entered ',' how ',' responsibility ',' Telkomsel ',' no ',' service ',' no ',' according to ',' price ',' expensive ']</v>
      </c>
      <c r="D20" s="3">
        <v>1.0</v>
      </c>
    </row>
    <row r="21" ht="15.75" customHeight="1">
      <c r="A21" s="1">
        <v>19.0</v>
      </c>
      <c r="B21" s="3" t="s">
        <v>22</v>
      </c>
      <c r="C21" s="3" t="str">
        <f>IFERROR(__xludf.DUMMYFUNCTION("GOOGLETRANSLATE(B21,""id"",""en"")"),"['Assalamualaikum', 'Application', 'Telkomsel', 'Useful', 'Choice', 'Quota', 'Internet', 'Affordable', 'Cheap', 'Terimaksih', 'Developer', 'Telkomsel']")</f>
        <v>['Assalamualaikum', 'Application', 'Telkomsel', 'Useful', 'Choice', 'Quota', 'Internet', 'Affordable', 'Cheap', 'Terimaksih', 'Developer', 'Telkomsel']</v>
      </c>
      <c r="D21" s="3">
        <v>2.0</v>
      </c>
    </row>
    <row r="22" ht="15.75" customHeight="1">
      <c r="A22" s="1">
        <v>20.0</v>
      </c>
      <c r="B22" s="3" t="s">
        <v>23</v>
      </c>
      <c r="C22" s="3" t="str">
        <f>IFERROR(__xludf.DUMMYFUNCTION("GOOGLETRANSLATE(B22,""id"",""en"")"),"['week', 'network', 'area', 'Banyumas',' Purwokerto ',' bad ',' colleague ',' members', 'community', 'entrust', 'Telkomsel', 'support', ' Work ',' complain ',' Action ',' Problems', '']")</f>
        <v>['week', 'network', 'area', 'Banyumas',' Purwokerto ',' bad ',' colleague ',' members', 'community', 'entrust', 'Telkomsel', 'support', ' Work ',' complain ',' Action ',' Problems', '']</v>
      </c>
      <c r="D22" s="3">
        <v>1.0</v>
      </c>
    </row>
    <row r="23" ht="15.75" customHeight="1">
      <c r="A23" s="1">
        <v>21.0</v>
      </c>
      <c r="B23" s="3" t="s">
        <v>24</v>
      </c>
      <c r="C23" s="3" t="str">
        <f>IFERROR(__xludf.DUMMYFUNCTION("GOOGLETRANSLATE(B23,""id"",""en"")"),"['Glad', 'Application', 'Telkomsel', 'Lottery', 'Points', 'Easy', 'Hopefully', 'The Car', 'Telkomsel', 'Amin']")</f>
        <v>['Glad', 'Application', 'Telkomsel', 'Lottery', 'Points', 'Easy', 'Hopefully', 'The Car', 'Telkomsel', 'Amin']</v>
      </c>
      <c r="D23" s="3">
        <v>4.0</v>
      </c>
    </row>
    <row r="24" ht="15.75" customHeight="1">
      <c r="A24" s="1">
        <v>22.0</v>
      </c>
      <c r="B24" s="3" t="s">
        <v>25</v>
      </c>
      <c r="C24" s="3" t="str">
        <f>IFERROR(__xludf.DUMMYFUNCTION("GOOGLETRANSLATE(B24,""id"",""en"")"),"['Subscription', 'Package', 'OMG', 'GB', 'Application', 'Abis',' Ujan ',' Weve ',' Like ',' Ngadat ',' Dipake ',' Download ',' film ',' telegram ',' smooth ',' a week ',' download ',' film ',' abis', 'uninstall', 'trs',' login ',' wifi ',' trs', 'function"&amp;"s' , 'buy', 'quota', 'plisss', 'user', 'Telkomsel', 'cook', 'yes', 'replace', 'provider', ""]")</f>
        <v>['Subscription', 'Package', 'OMG', 'GB', 'Application', 'Abis',' Ujan ',' Weve ',' Like ',' Ngadat ',' Dipake ',' Download ',' film ',' telegram ',' smooth ',' a week ',' download ',' film ',' abis', 'uninstall', 'trs',' login ',' wifi ',' trs', 'functions' , 'buy', 'quota', 'plisss', 'user', 'Telkomsel', 'cook', 'yes', 'replace', 'provider', "]</v>
      </c>
      <c r="D24" s="3">
        <v>2.0</v>
      </c>
    </row>
    <row r="25" ht="15.75" customHeight="1">
      <c r="A25" s="1">
        <v>23.0</v>
      </c>
      <c r="B25" s="3" t="s">
        <v>26</v>
      </c>
      <c r="C25" s="3" t="str">
        <f>IFERROR(__xludf.DUMMYFUNCTION("GOOGLETRANSLATE(B25,""id"",""en"")"),"['Please', 'sorry', 'love', 'star', 'signal', 'weak', 'slow', 'idiot', 'no', 'use', 'work', 'play', ' Game ',' online ',' AFK ',' PEAH ',' Telkomsel ',' UDH ',' expensive ',' good ',' use ',' profider ',' cheap ',' smooth ',' no ' , 'nyensat', 'ngeleg', '"&amp;"UDH', 'a month', 'run', 'users', 'Telkomsel', 'Godby', ""]")</f>
        <v>['Please', 'sorry', 'love', 'star', 'signal', 'weak', 'slow', 'idiot', 'no', 'use', 'work', 'play', ' Game ',' online ',' AFK ',' PEAH ',' Telkomsel ',' UDH ',' expensive ',' good ',' use ',' profider ',' cheap ',' smooth ',' no ' , 'nyensat', 'ngeleg', 'UDH', 'a month', 'run', 'users', 'Telkomsel', 'Godby', "]</v>
      </c>
      <c r="D25" s="3">
        <v>1.0</v>
      </c>
    </row>
    <row r="26" ht="15.75" customHeight="1">
      <c r="A26" s="1">
        <v>24.0</v>
      </c>
      <c r="B26" s="3" t="s">
        <v>27</v>
      </c>
      <c r="C26" s="3" t="str">
        <f>IFERROR(__xludf.DUMMYFUNCTION("GOOGLETRANSLATE(B26,""id"",""en"")"),"['donlod', 'lure', 'gift', 'mending', 'sorry', 'emang', 'customer', 'loyal', 'telkomsel', 'bonus', 'lure', 'lure' Select ',' Select ',' Telkomsel ']")</f>
        <v>['donlod', 'lure', 'gift', 'mending', 'sorry', 'emang', 'customer', 'loyal', 'telkomsel', 'bonus', 'lure', 'lure' Select ',' Select ',' Telkomsel ']</v>
      </c>
      <c r="D26" s="3">
        <v>1.0</v>
      </c>
    </row>
    <row r="27" ht="15.75" customHeight="1">
      <c r="A27" s="1">
        <v>25.0</v>
      </c>
      <c r="B27" s="3" t="s">
        <v>28</v>
      </c>
      <c r="C27" s="3" t="str">
        <f>IFERROR(__xludf.DUMMYFUNCTION("GOOGLETRANSLATE(B27,""id"",""en"")"),"['signal', 'Telkomsel', 'bad', 'play', 'game', 'ping', 'red', 'city', 'village', 'signal', 'please', 'fix', ' The quality is', 'disappointing', 'customers',' loyal ',' use ',' Telkomsel ',' ']")</f>
        <v>['signal', 'Telkomsel', 'bad', 'play', 'game', 'ping', 'red', 'city', 'village', 'signal', 'please', 'fix', ' The quality is', 'disappointing', 'customers',' loyal ',' use ',' Telkomsel ',' ']</v>
      </c>
      <c r="D27" s="3">
        <v>2.0</v>
      </c>
    </row>
    <row r="28" ht="15.75" customHeight="1">
      <c r="A28" s="1">
        <v>26.0</v>
      </c>
      <c r="B28" s="3" t="s">
        <v>29</v>
      </c>
      <c r="C28" s="3" t="str">
        <f>IFERROR(__xludf.DUMMYFUNCTION("GOOGLETRANSLATE(B28,""id"",""en"")"),"['quality', 'taik', 'already', 'upgrade', 'card', 'hello', 'speed', 'kayak', 'different', 'bill', 'expensive', 'quality', ' Providers', 'Klen', 'Buy', 'Money', 'Hargana', 'Money', 'Understand', ""]")</f>
        <v>['quality', 'taik', 'already', 'upgrade', 'card', 'hello', 'speed', 'kayak', 'different', 'bill', 'expensive', 'quality', ' Providers', 'Klen', 'Buy', 'Money', 'Hargana', 'Money', 'Understand', "]</v>
      </c>
      <c r="D28" s="3">
        <v>1.0</v>
      </c>
    </row>
    <row r="29" ht="15.75" customHeight="1">
      <c r="A29" s="1">
        <v>27.0</v>
      </c>
      <c r="B29" s="3" t="s">
        <v>30</v>
      </c>
      <c r="C29" s="3" t="str">
        <f>IFERROR(__xludf.DUMMYFUNCTION("GOOGLETRANSLATE(B29,""id"",""en"")"),"['Service', 'good', 'rating', 'my boss',' network ',' SPRTI ',' signal ',' strong ',' Tlkomsel ',' times', 'enter', 'application', ' koq ',' verification ',' then ',' a day ',' times', 'open', 'app', 'hrs',' verification ',' nmr ',' phone ',' cemana ',' b"&amp;"oss' , '']")</f>
        <v>['Service', 'good', 'rating', 'my boss',' network ',' SPRTI ',' signal ',' strong ',' Tlkomsel ',' times', 'enter', 'application', ' koq ',' verification ',' then ',' a day ',' times', 'open', 'app', 'hrs',' verification ',' nmr ',' phone ',' cemana ',' boss' , '']</v>
      </c>
      <c r="D29" s="3">
        <v>2.0</v>
      </c>
    </row>
    <row r="30" ht="15.75" customHeight="1">
      <c r="A30" s="1">
        <v>28.0</v>
      </c>
      <c r="B30" s="3" t="s">
        <v>31</v>
      </c>
      <c r="C30" s="3" t="str">
        <f>IFERROR(__xludf.DUMMYFUNCTION("GOOGLETRANSLATE(B30,""id"",""en"")"),"['Hello', 'admin', 'FUP', 'Uncomfortable', 'FUP', 'Please', 'repay', 'FUP', 'Jangn', 'Selemot', 'Cook', 'Open', ' Delay ',' Severe ',' quota ',' GB ',' FUP ',' Thank you ',' Over ',' Assalamualaikum ', ""]")</f>
        <v>['Hello', 'admin', 'FUP', 'Uncomfortable', 'FUP', 'Please', 'repay', 'FUP', 'Jangn', 'Selemot', 'Cook', 'Open', ' Delay ',' Severe ',' quota ',' GB ',' FUP ',' Thank you ',' Over ',' Assalamualaikum ', "]</v>
      </c>
      <c r="D30" s="3">
        <v>2.0</v>
      </c>
    </row>
    <row r="31" ht="15.75" customHeight="1">
      <c r="A31" s="1">
        <v>29.0</v>
      </c>
      <c r="B31" s="3" t="s">
        <v>32</v>
      </c>
      <c r="C31" s="3" t="str">
        <f>IFERROR(__xludf.DUMMYFUNCTION("GOOGLETRANSLATE(B31,""id"",""en"")"),"['Disappointed', 'minutes',' network ',' error ',' signal ',' home ',' good ',' please ',' Telkomsel ',' fix ',' already ',' normal ',' Love ',' Bintang ',' ']")</f>
        <v>['Disappointed', 'minutes',' network ',' error ',' signal ',' home ',' good ',' please ',' Telkomsel ',' fix ',' already ',' normal ',' Love ',' Bintang ',' ']</v>
      </c>
      <c r="D31" s="3">
        <v>1.0</v>
      </c>
    </row>
    <row r="32" ht="15.75" customHeight="1">
      <c r="A32" s="1">
        <v>30.0</v>
      </c>
      <c r="B32" s="3" t="s">
        <v>33</v>
      </c>
      <c r="C32" s="3" t="str">
        <f>IFERROR(__xludf.DUMMYFUNCTION("GOOGLETRANSLATE(B32,""id"",""en"")"),"['Signal', 'Telkomsel', 'Port', 'Tanjung', 'Perak', 'Surabaya', 'Zonk', 'Try', 'Survey', 'Workers',' Port ',' there ',' Report ',' results']")</f>
        <v>['Signal', 'Telkomsel', 'Port', 'Tanjung', 'Perak', 'Surabaya', 'Zonk', 'Try', 'Survey', 'Workers',' Port ',' there ',' Report ',' results']</v>
      </c>
      <c r="D32" s="3">
        <v>1.0</v>
      </c>
    </row>
    <row r="33" ht="15.75" customHeight="1">
      <c r="A33" s="1">
        <v>31.0</v>
      </c>
      <c r="B33" s="3" t="s">
        <v>34</v>
      </c>
      <c r="C33" s="3" t="str">
        <f>IFERROR(__xludf.DUMMYFUNCTION("GOOGLETRANSLATE(B33,""id"",""en"")"),"['regret', 'use', 'Telkomsel', 'check', 'quota', 'bought', 'quota', 'extra', 'untilitide', 'combo', 'Sakti', 'quota', ' main ',' untilitide ',' price ',' expensive ',' please ',' extra ',' untilitide ',' Telkomsel ',' ']")</f>
        <v>['regret', 'use', 'Telkomsel', 'check', 'quota', 'bought', 'quota', 'extra', 'untilitide', 'combo', 'Sakti', 'quota', ' main ',' untilitide ',' price ',' expensive ',' please ',' extra ',' untilitide ',' Telkomsel ',' ']</v>
      </c>
      <c r="D33" s="3">
        <v>3.0</v>
      </c>
    </row>
    <row r="34" ht="15.75" customHeight="1">
      <c r="A34" s="1">
        <v>32.0</v>
      </c>
      <c r="B34" s="3" t="s">
        <v>35</v>
      </c>
      <c r="C34" s="3" t="str">
        <f>IFERROR(__xludf.DUMMYFUNCTION("GOOGLETRANSLATE(B34,""id"",""en"")"),"['What', 'Telkomsel', 'package', 'cheerful', 'GB', 'price', 'promo', 'thousand', 'listed', 'buy', 'Wait', 'Wait', ' Process', 'Wait', 'Process',' Promo ',' Buy ',' Cantum ',' Application ',' Telkomsel ',' Click ',' Buy ',' Wait ',' Process', 'Process' , '"&amp;"closed', 'promo', 'hope', 'fake', 'buy', 'regret', 'Telkomsel', 'Mending', 'IM', 'Indosat', 'Ooredoo', 'Jamin', ' Promo ',' can ',' ']")</f>
        <v>['What', 'Telkomsel', 'package', 'cheerful', 'GB', 'price', 'promo', 'thousand', 'listed', 'buy', 'Wait', 'Wait', ' Process', 'Wait', 'Process',' Promo ',' Buy ',' Cantum ',' Application ',' Telkomsel ',' Click ',' Buy ',' Wait ',' Process', 'Process' , 'closed', 'promo', 'hope', 'fake', 'buy', 'regret', 'Telkomsel', 'Mending', 'IM', 'Indosat', 'Ooredoo', 'Jamin', ' Promo ',' can ',' ']</v>
      </c>
      <c r="D34" s="3">
        <v>1.0</v>
      </c>
    </row>
    <row r="35" ht="15.75" customHeight="1">
      <c r="A35" s="1">
        <v>33.0</v>
      </c>
      <c r="B35" s="3" t="s">
        <v>36</v>
      </c>
      <c r="C35" s="3" t="str">
        <f>IFERROR(__xludf.DUMMYFUNCTION("GOOGLETRANSLATE(B35,""id"",""en"")"),"['Disappointed', 'Telkomsel', 'package', 'internet', 'offered', 'provisions',' provisions', 'in fact', 'buy', 'package', 'internet', 'provisions',' Written ',' in fact ',' different ',' example ',' package ',' internet ',' unimited ',' max ',' description"&amp;" ',' past ',' limit ',' reasonable ',' use ' , 'reduced', 'speed', 'kbps', 'reality', 'access', 'internet', 'Telkomsel', 'disappointing']")</f>
        <v>['Disappointed', 'Telkomsel', 'package', 'internet', 'offered', 'provisions',' provisions', 'in fact', 'buy', 'package', 'internet', 'provisions',' Written ',' in fact ',' different ',' example ',' package ',' internet ',' unimited ',' max ',' description ',' past ',' limit ',' reasonable ',' use ' , 'reduced', 'speed', 'kbps', 'reality', 'access', 'internet', 'Telkomsel', 'disappointing']</v>
      </c>
      <c r="D35" s="3">
        <v>1.0</v>
      </c>
    </row>
    <row r="36" ht="15.75" customHeight="1">
      <c r="A36" s="1">
        <v>34.0</v>
      </c>
      <c r="B36" s="3" t="s">
        <v>37</v>
      </c>
      <c r="C36" s="3" t="str">
        <f>IFERROR(__xludf.DUMMYFUNCTION("GOOGLETRANSLATE(B36,""id"",""en"")"),"['Network', 'ugly', 'Price', 'Package', 'Cheap', 'Quality', 'Trash', 'Sayai', 'Price', 'Come', 'Severe', 'Network', ' Tsel ']")</f>
        <v>['Network', 'ugly', 'Price', 'Package', 'Cheap', 'Quality', 'Trash', 'Sayai', 'Price', 'Come', 'Severe', 'Network', ' Tsel ']</v>
      </c>
      <c r="D36" s="3">
        <v>1.0</v>
      </c>
    </row>
    <row r="37" ht="15.75" customHeight="1">
      <c r="A37" s="1">
        <v>35.0</v>
      </c>
      <c r="B37" s="3" t="s">
        <v>38</v>
      </c>
      <c r="C37" s="3" t="str">
        <f>IFERROR(__xludf.DUMMYFUNCTION("GOOGLETRANSLATE(B37,""id"",""en"")"),"['', 'Telkomsel', 'Please', 'repeat', 'times',' buy ',' package ',' data ',' Pay ',' visits', 'entry', 'buy', 'package ',' Data ',' unlimited ',' visits', 'enter', 'until', 'please', 'solution']")</f>
        <v>['', 'Telkomsel', 'Please', 'repeat', 'times',' buy ',' package ',' data ',' Pay ',' visits', 'entry', 'buy', 'package ',' Data ',' unlimited ',' visits', 'enter', 'until', 'please', 'solution']</v>
      </c>
      <c r="D37" s="3">
        <v>3.0</v>
      </c>
    </row>
    <row r="38" ht="15.75" customHeight="1">
      <c r="A38" s="1">
        <v>36.0</v>
      </c>
      <c r="B38" s="3" t="s">
        <v>39</v>
      </c>
      <c r="C38" s="3" t="str">
        <f>IFERROR(__xludf.DUMMYFUNCTION("GOOGLETRANSLATE(B38,""id"",""en"")"),"['Gamau', 'Telkomsel', 'deh', 'expensive', 'internet', 'slow', 'eat', 'quota', 'fast', 'bad', 'dlu', 'buy', ' Intrnet ',' fast ',' expensive ',' advantages', '']")</f>
        <v>['Gamau', 'Telkomsel', 'deh', 'expensive', 'internet', 'slow', 'eat', 'quota', 'fast', 'bad', 'dlu', 'buy', ' Intrnet ',' fast ',' expensive ',' advantages', '']</v>
      </c>
      <c r="D38" s="3">
        <v>1.0</v>
      </c>
    </row>
    <row r="39" ht="15.75" customHeight="1">
      <c r="A39" s="1">
        <v>37.0</v>
      </c>
      <c r="B39" s="3" t="s">
        <v>40</v>
      </c>
      <c r="C39" s="3" t="str">
        <f>IFERROR(__xludf.DUMMYFUNCTION("GOOGLETRANSLATE(B39,""id"",""en"")"),"['cave', 'suggestion', 'Telkom', 'ngilangin', 'usage', 'quota', 'perpb', 'emang', 'quota', 'gabisa', 'access',' internet ',' So ',' play ',' suck ',' pulse ',' person ',' pulse ',' cave ',' curryup ',' ajg ',' gegara ',' package ',' only ',' signal ' , 'D"&amp;"own', 'Sumpot', 'Credit', 'Hopefully', 'Consider', 'Comfort', 'User']")</f>
        <v>['cave', 'suggestion', 'Telkom', 'ngilangin', 'usage', 'quota', 'perpb', 'emang', 'quota', 'gabisa', 'access',' internet ',' So ',' play ',' suck ',' pulse ',' person ',' pulse ',' cave ',' curryup ',' ajg ',' gegara ',' package ',' only ',' signal ' , 'Down', 'Sumpot', 'Credit', 'Hopefully', 'Consider', 'Comfort', 'User']</v>
      </c>
      <c r="D39" s="3">
        <v>1.0</v>
      </c>
    </row>
    <row r="40" ht="15.75" customHeight="1">
      <c r="A40" s="1">
        <v>38.0</v>
      </c>
      <c r="B40" s="3" t="s">
        <v>41</v>
      </c>
      <c r="C40" s="3" t="str">
        <f>IFERROR(__xludf.DUMMYFUNCTION("GOOGLETRANSLATE(B40,""id"",""en"")"),"['Alhmdllah', 'Say', 'KPD', 'Telkomsel', 'Help', 'Dlm', 'Transaction', 'Purchase', 'Credit', 'Quota', 'Etc.', 'Telkomsel', ' pst ',' best ',' custamer ',' pst ',' price ',' lbh ',' cheap ',' signal ',' strong ',' essence ',' spirit ',' advanced ',' trs' ,"&amp;" 'Telkomsel', 'Success', 'Amin']")</f>
        <v>['Alhmdllah', 'Say', 'KPD', 'Telkomsel', 'Help', 'Dlm', 'Transaction', 'Purchase', 'Credit', 'Quota', 'Etc.', 'Telkomsel', ' pst ',' best ',' custamer ',' pst ',' price ',' lbh ',' cheap ',' signal ',' strong ',' essence ',' spirit ',' advanced ',' trs' , 'Telkomsel', 'Success', 'Amin']</v>
      </c>
      <c r="D40" s="3">
        <v>5.0</v>
      </c>
    </row>
    <row r="41" ht="15.75" customHeight="1">
      <c r="A41" s="1">
        <v>39.0</v>
      </c>
      <c r="B41" s="3" t="s">
        <v>42</v>
      </c>
      <c r="C41" s="3" t="str">
        <f>IFERROR(__xludf.DUMMYFUNCTION("GOOGLETRANSLATE(B41,""id"",""en"")"),"['Network', 'ugly', 'Region', 'Village', 'Pucung', 'Lor', 'Road', 'Nakula', 'Kroya', 'Cilacap', 'Centraleng', 'Indonesia', ' Asia ',' southeast ',' answer ',' good ',' yes', 'network', 'good', 'network', 'letoyy', 'stand', 'tower', 'sympathy', 'letoy' ]")</f>
        <v>['Network', 'ugly', 'Region', 'Village', 'Pucung', 'Lor', 'Road', 'Nakula', 'Kroya', 'Cilacap', 'Centraleng', 'Indonesia', ' Asia ',' southeast ',' answer ',' good ',' yes', 'network', 'good', 'network', 'letoyy', 'stand', 'tower', 'sympathy', 'letoy' ]</v>
      </c>
      <c r="D41" s="3">
        <v>2.0</v>
      </c>
    </row>
    <row r="42" ht="15.75" customHeight="1">
      <c r="A42" s="1">
        <v>40.0</v>
      </c>
      <c r="B42" s="3" t="s">
        <v>43</v>
      </c>
      <c r="C42" s="3" t="str">
        <f>IFERROR(__xludf.DUMMYFUNCTION("GOOGLETRANSLATE(B42,""id"",""en"")"),"['Telkomsel', 'please', 'package', 'sosmed', 'sediain', 'package', 'telegram', 'user', 'package', 'Telkomsel', 'quota', 'main', ' run out ',' remaining ',' package ',' sosmed ',' access', 'tele', 'speed', 'KB', 'user', 'tele', 'consumption', 'package', 's"&amp;"treaming' , 'rely on', 'package', 'main', 'regretting', 'Hopefully', 'Telkomsel', 'Consider', 'Thank', ""]")</f>
        <v>['Telkomsel', 'please', 'package', 'sosmed', 'sediain', 'package', 'telegram', 'user', 'package', 'Telkomsel', 'quota', 'main', ' run out ',' remaining ',' package ',' sosmed ',' access', 'tele', 'speed', 'KB', 'user', 'tele', 'consumption', 'package', 'streaming' , 'rely on', 'package', 'main', 'regretting', 'Hopefully', 'Telkomsel', 'Consider', 'Thank', "]</v>
      </c>
      <c r="D42" s="3">
        <v>4.0</v>
      </c>
    </row>
    <row r="43" ht="15.75" customHeight="1">
      <c r="A43" s="1">
        <v>41.0</v>
      </c>
      <c r="B43" s="3" t="s">
        <v>44</v>
      </c>
      <c r="C43" s="3" t="str">
        <f>IFERROR(__xludf.DUMMYFUNCTION("GOOGLETRANSLATE(B43,""id"",""en"")"),"['TELKOM', 'BERES', 'SMS', 'Notification', 'Saying', 'Access',' Cheap ',' Access', 'Trams',' Success', 'Nipu', 'Consumer', ' disappointed', '']")</f>
        <v>['TELKOM', 'BERES', 'SMS', 'Notification', 'Saying', 'Access',' Cheap ',' Access', 'Trams',' Success', 'Nipu', 'Consumer', ' disappointed', '']</v>
      </c>
      <c r="D43" s="3">
        <v>2.0</v>
      </c>
    </row>
    <row r="44" ht="15.75" customHeight="1">
      <c r="A44" s="1">
        <v>42.0</v>
      </c>
      <c r="B44" s="3" t="s">
        <v>45</v>
      </c>
      <c r="C44" s="3" t="str">
        <f>IFERROR(__xludf.DUMMYFUNCTION("GOOGLETRANSLATE(B44,""id"",""en"")"),"['Package', 'cheap', 'connection', 'bad', 'network', 'available', 'price', 'cheap', 'quality', 'network', 'decreases',' try ',' Competing ',' Provider ',' overwhelmed ',' Gonta ',' Change ',' Signal ',' Search ',' Alternative ',' Really ',' Disappointing "&amp;"',' ']")</f>
        <v>['Package', 'cheap', 'connection', 'bad', 'network', 'available', 'price', 'cheap', 'quality', 'network', 'decreases',' try ',' Competing ',' Provider ',' overwhelmed ',' Gonta ',' Change ',' Signal ',' Search ',' Alternative ',' Really ',' Disappointing ',' ']</v>
      </c>
      <c r="D44" s="3">
        <v>1.0</v>
      </c>
    </row>
    <row r="45" ht="15.75" customHeight="1">
      <c r="A45" s="1">
        <v>43.0</v>
      </c>
      <c r="B45" s="3" t="s">
        <v>46</v>
      </c>
      <c r="C45" s="3" t="str">
        <f>IFERROR(__xludf.DUMMYFUNCTION("GOOGLETRANSLATE(B45,""id"",""en"")"),"['Hello', 'Telkomsel', 'in the future', 'Telkomsel', 'expensive', 'contents',' credit ',' bonus', 'quota', 'internet', 'quota', 'pulses',' thousand ',' GB ',' contents', 'get', 'bonus',' then ',' pulse ',' rb ',' rich ',' skrg ',' thousand ',' please ',' "&amp;"Telkomsel ' , 'convenience', 'KPD', 'Customer', 'turn', 'expensive', 'thank you']")</f>
        <v>['Hello', 'Telkomsel', 'in the future', 'Telkomsel', 'expensive', 'contents',' credit ',' bonus', 'quota', 'internet', 'quota', 'pulses',' thousand ',' GB ',' contents', 'get', 'bonus',' then ',' pulse ',' rb ',' rich ',' skrg ',' thousand ',' please ',' Telkomsel ' , 'convenience', 'KPD', 'Customer', 'turn', 'expensive', 'thank you']</v>
      </c>
      <c r="D45" s="3">
        <v>3.0</v>
      </c>
    </row>
    <row r="46" ht="15.75" customHeight="1">
      <c r="A46" s="1">
        <v>44.0</v>
      </c>
      <c r="B46" s="3" t="s">
        <v>47</v>
      </c>
      <c r="C46" s="3" t="str">
        <f>IFERROR(__xludf.DUMMYFUNCTION("GOOGLETRANSLATE(B46,""id"",""en"")"),"['special', 'for you', 'contents',' reset ',' pulse ',' mytelkomsel ',' app ',' tsel ',' pulse ',' rb ',' get ',' extra ',' Quota ',' GB ',' Direct ',' Yuk ',' Hurry ',' Fill ',' Credit ',' Skrg ',' SKB ',' Extra ',' Kuibunun ',' Visit ', ""]")</f>
        <v>['special', 'for you', 'contents',' reset ',' pulse ',' mytelkomsel ',' app ',' tsel ',' pulse ',' rb ',' get ',' extra ',' Quota ',' GB ',' Direct ',' Yuk ',' Hurry ',' Fill ',' Credit ',' Skrg ',' SKB ',' Extra ',' Kuibunun ',' Visit ', "]</v>
      </c>
      <c r="D46" s="3">
        <v>1.0</v>
      </c>
    </row>
    <row r="47" ht="15.75" customHeight="1">
      <c r="A47" s="1">
        <v>45.0</v>
      </c>
      <c r="B47" s="3" t="s">
        <v>48</v>
      </c>
      <c r="C47" s="3" t="str">
        <f>IFERROR(__xludf.DUMMYFUNCTION("GOOGLETRANSLATE(B47,""id"",""en"")"),"['', 'Telkomsel', 'gotapa', 'good', 'signal', 'open', 'application', 'poor', 'open', 'signal', 'special', 'dimedan', 'good ',' Please ',' Dimedan ',' Indentics', 'User', 'Telkomsel', 'Telkomsel', 'Change', 'Trimakasi']")</f>
        <v>['', 'Telkomsel', 'gotapa', 'good', 'signal', 'open', 'application', 'poor', 'open', 'signal', 'special', 'dimedan', 'good ',' Please ',' Dimedan ',' Indentics', 'User', 'Telkomsel', 'Telkomsel', 'Change', 'Trimakasi']</v>
      </c>
      <c r="D47" s="3">
        <v>3.0</v>
      </c>
    </row>
    <row r="48" ht="15.75" customHeight="1">
      <c r="A48" s="1">
        <v>46.0</v>
      </c>
      <c r="B48" s="3" t="s">
        <v>49</v>
      </c>
      <c r="C48" s="3" t="str">
        <f>IFERROR(__xludf.DUMMYFUNCTION("GOOGLETRANSLATE(B48,""id"",""en"")"),"['buy', 'package', 'gapernah', 'can', 'appears',' sorry ',' disorder ',' wait ',' minute ',' already ',' wait ',' all day ',' Gapernah ',' cana ',' please ',' Telkomsel ',' Customer ',' loyal ',' Telkomsel ',' Gini ',' Males', 'Open', 'Telkomsel', ""]")</f>
        <v>['buy', 'package', 'gapernah', 'can', 'appears',' sorry ',' disorder ',' wait ',' minute ',' already ',' wait ',' all day ',' Gapernah ',' cana ',' please ',' Telkomsel ',' Customer ',' loyal ',' Telkomsel ',' Gini ',' Males', 'Open', 'Telkomsel', "]</v>
      </c>
      <c r="D48" s="3">
        <v>1.0</v>
      </c>
    </row>
    <row r="49" ht="15.75" customHeight="1">
      <c r="A49" s="1">
        <v>47.0</v>
      </c>
      <c r="B49" s="3" t="s">
        <v>50</v>
      </c>
      <c r="C49" s="3" t="str">
        <f>IFERROR(__xludf.DUMMYFUNCTION("GOOGLETRANSLATE(B49,""id"",""en"")"),"['Star', 'yaaa', 'disorder', 'signal', 'already', 'down', 'signal', 'hope', 'smooth']")</f>
        <v>['Star', 'yaaa', 'disorder', 'signal', 'already', 'down', 'signal', 'hope', 'smooth']</v>
      </c>
      <c r="D49" s="3">
        <v>4.0</v>
      </c>
    </row>
    <row r="50" ht="15.75" customHeight="1">
      <c r="A50" s="1">
        <v>48.0</v>
      </c>
      <c r="B50" s="3" t="s">
        <v>51</v>
      </c>
      <c r="C50" s="3" t="str">
        <f>IFERROR(__xludf.DUMMYFUNCTION("GOOGLETRANSLATE(B50,""id"",""en"")"),"['open', 'application', 'Telkomsel', 'appears',' commission ',' stable ',' waiting ',' gregetan ',' package ',' data ',' available ',' expensive ',' rather than ',' operator ',' change ',' in the future ',' switch ',' operator ',' deh ',' it seems', 'huuf"&amp;"ft', ""]")</f>
        <v>['open', 'application', 'Telkomsel', 'appears',' commission ',' stable ',' waiting ',' gregetan ',' package ',' data ',' available ',' expensive ',' rather than ',' operator ',' change ',' in the future ',' switch ',' operator ',' deh ',' it seems', 'huufft', "]</v>
      </c>
      <c r="D50" s="3">
        <v>1.0</v>
      </c>
    </row>
    <row r="51" ht="15.75" customHeight="1">
      <c r="A51" s="1">
        <v>49.0</v>
      </c>
      <c r="B51" s="3" t="s">
        <v>52</v>
      </c>
      <c r="C51" s="3" t="str">
        <f>IFERROR(__xludf.DUMMYFUNCTION("GOOGLETRANSLATE(B51,""id"",""en"")"),"['bad', 'network', 'Telkomsel', 'here', 'application', 'MyTelkomsel', 'heavy', 'open', 'update', 'mulu', 'update', 'bad', ' Please, 'Donk', 'Level', 'Telkomsel', 'Min', 'users', 'Telkomsel', 'Disappointed', 'Hope', ""]")</f>
        <v>['bad', 'network', 'Telkomsel', 'here', 'application', 'MyTelkomsel', 'heavy', 'open', 'update', 'mulu', 'update', 'bad', ' Please, 'Donk', 'Level', 'Telkomsel', 'Min', 'users', 'Telkomsel', 'Disappointed', 'Hope', "]</v>
      </c>
      <c r="D51" s="3">
        <v>1.0</v>
      </c>
    </row>
    <row r="52" ht="15.75" customHeight="1">
      <c r="A52" s="1">
        <v>50.0</v>
      </c>
      <c r="B52" s="3" t="s">
        <v>53</v>
      </c>
      <c r="C52" s="3" t="str">
        <f>IFERROR(__xludf.DUMMYFUNCTION("GOOGLETRANSLATE(B52,""id"",""en"")"),"['developer', 'buy', 'package', 'internet', 'notification', 'sorry', 'system', 'busy', 'begged', 'developer', 'apk', 'Telkomsel', ' followed up ',' comfortable ',' easy ',' buy ',' package ',' internet ',' apk ',' Telkomsel ',' ']")</f>
        <v>['developer', 'buy', 'package', 'internet', 'notification', 'sorry', 'system', 'busy', 'begged', 'developer', 'apk', 'Telkomsel', ' followed up ',' comfortable ',' easy ',' buy ',' package ',' internet ',' apk ',' Telkomsel ',' ']</v>
      </c>
      <c r="D52" s="3">
        <v>2.0</v>
      </c>
    </row>
    <row r="53" ht="15.75" customHeight="1">
      <c r="A53" s="1">
        <v>51.0</v>
      </c>
      <c r="B53" s="3" t="s">
        <v>54</v>
      </c>
      <c r="C53" s="3" t="str">
        <f>IFERROR(__xludf.DUMMYFUNCTION("GOOGLETRANSLATE(B53,""id"",""en"")"),"['WOI', 'Telkomsel', 'how', 'right', 'enter', 'Telkomsel', 'Terms',' enter ',' code ',' just ',' enter ',' number ',' Phone ',' Doang ',' Jin ',' ']")</f>
        <v>['WOI', 'Telkomsel', 'how', 'right', 'enter', 'Telkomsel', 'Terms',' enter ',' code ',' just ',' enter ',' number ',' Phone ',' Doang ',' Jin ',' ']</v>
      </c>
      <c r="D53" s="3">
        <v>1.0</v>
      </c>
    </row>
    <row r="54" ht="15.75" customHeight="1">
      <c r="A54" s="1">
        <v>52.0</v>
      </c>
      <c r="B54" s="3" t="s">
        <v>55</v>
      </c>
      <c r="C54" s="3" t="str">
        <f>IFERROR(__xludf.DUMMYFUNCTION("GOOGLETRANSLATE(B54,""id"",""en"")"),"['already', 'Telkomsel', 'Price', 'Package', 'Quality', 'Network', 'Ancur', 'Download', 'File', 'Network', 'Lost', 'NgeT', ' Download ',' waste ',' quota ',' emang ',' already ',' area ',' noon ',' speed ',' translucent ',' Mbps', ""]")</f>
        <v>['already', 'Telkomsel', 'Price', 'Package', 'Quality', 'Network', 'Ancur', 'Download', 'File', 'Network', 'Lost', 'NgeT', ' Download ',' waste ',' quota ',' emang ',' already ',' area ',' noon ',' speed ',' translucent ',' Mbps', "]</v>
      </c>
      <c r="D54" s="3">
        <v>1.0</v>
      </c>
    </row>
    <row r="55" ht="15.75" customHeight="1">
      <c r="A55" s="1">
        <v>53.0</v>
      </c>
      <c r="B55" s="3" t="s">
        <v>56</v>
      </c>
      <c r="C55" s="3" t="str">
        <f>IFERROR(__xludf.DUMMYFUNCTION("GOOGLETRANSLATE(B55,""id"",""en"")"),"['Telkomsel', 'cruel', 'cruel', 'steps',' heart ',' tolerance ',' mistake ',' forgiveness', 'card', 'sim', 'sympathy', 'block', ' Gara ',' Gara ',' Late ',' Fill ',' Disappointed ',' Tel ',' SMS ',' Check ',' Credit ',' Fill ',' Pulse ',' King ',' Tense '"&amp;" , 'mentang', 'mentang', 'rich', 'heart', 'really', 'person', 'poor', ""]")</f>
        <v>['Telkomsel', 'cruel', 'cruel', 'steps',' heart ',' tolerance ',' mistake ',' forgiveness', 'card', 'sim', 'sympathy', 'block', ' Gara ',' Gara ',' Late ',' Fill ',' Disappointed ',' Tel ',' SMS ',' Check ',' Credit ',' Fill ',' Pulse ',' King ',' Tense ' , 'mentang', 'mentang', 'rich', 'heart', 'really', 'person', 'poor', "]</v>
      </c>
      <c r="D55" s="3">
        <v>4.0</v>
      </c>
    </row>
    <row r="56" ht="15.75" customHeight="1">
      <c r="A56" s="1">
        <v>54.0</v>
      </c>
      <c r="B56" s="3" t="s">
        <v>57</v>
      </c>
      <c r="C56" s="3" t="str">
        <f>IFERROR(__xludf.DUMMYFUNCTION("GOOGLETRANSLATE(B56,""id"",""en"")"),"['Please', 'repaired', 'the application', 'light', 'already', 'miss',' heavy ',' slow ',' the application ',' signal ',' no ',' good ',' a little ',' Loading ',' class', 'Telkomsel', 'heavy', 'really', 'application']")</f>
        <v>['Please', 'repaired', 'the application', 'light', 'already', 'miss',' heavy ',' slow ',' the application ',' signal ',' no ',' good ',' a little ',' Loading ',' class', 'Telkomsel', 'heavy', 'really', 'application']</v>
      </c>
      <c r="D56" s="3">
        <v>1.0</v>
      </c>
    </row>
    <row r="57" ht="15.75" customHeight="1">
      <c r="A57" s="1">
        <v>55.0</v>
      </c>
      <c r="B57" s="3" t="s">
        <v>58</v>
      </c>
      <c r="C57" s="3" t="str">
        <f>IFERROR(__xludf.DUMMYFUNCTION("GOOGLETRANSLATE(B57,""id"",""en"")"),"['Sis',' package ',' thousand ',' naked ',' less', 'slow', 'kbps',' kbps', 'inconsequential', 'already', 'kbps',' less', ' ']")</f>
        <v>['Sis',' package ',' thousand ',' naked ',' less', 'slow', 'kbps',' kbps', 'inconsequential', 'already', 'kbps',' less', ' ']</v>
      </c>
      <c r="D57" s="3">
        <v>1.0</v>
      </c>
    </row>
    <row r="58" ht="15.75" customHeight="1">
      <c r="A58" s="1">
        <v>56.0</v>
      </c>
      <c r="B58" s="3" t="s">
        <v>59</v>
      </c>
      <c r="C58" s="3" t="str">
        <f>IFERROR(__xludf.DUMMYFUNCTION("GOOGLETRANSLATE(B58,""id"",""en"")"),"['application', 'gini', 'loss',' download ',' suck ',' pulse ',' pulse ',' download ',' login ',' leftover ',' pulse ',' detrimental ',' people ',' DOVER ',' Download ',' application ']")</f>
        <v>['application', 'gini', 'loss',' download ',' suck ',' pulse ',' pulse ',' download ',' login ',' leftover ',' pulse ',' detrimental ',' people ',' DOVER ',' Download ',' application ']</v>
      </c>
      <c r="D58" s="3">
        <v>1.0</v>
      </c>
    </row>
    <row r="59" ht="15.75" customHeight="1">
      <c r="A59" s="1">
        <v>57.0</v>
      </c>
      <c r="B59" s="3" t="s">
        <v>60</v>
      </c>
      <c r="C59" s="3" t="str">
        <f>IFERROR(__xludf.DUMMYFUNCTION("GOOGLETRANSLATE(B59,""id"",""en"")"),"['Telkomsel', 'application', 'ugly', 'makes it easier', 'add', 'exciting', 'app', 'jarongan', 'good', 'open', 'app', 'read', ' Load, 'reset', 'refresh', 'quota', 'ngelag', 'fix', 'auto', 'dislodged', 'mounting']")</f>
        <v>['Telkomsel', 'application', 'ugly', 'makes it easier', 'add', 'exciting', 'app', 'jarongan', 'good', 'open', 'app', 'read', ' Load, 'reset', 'refresh', 'quota', 'ngelag', 'fix', 'auto', 'dislodged', 'mounting']</v>
      </c>
      <c r="D59" s="3">
        <v>1.0</v>
      </c>
    </row>
    <row r="60" ht="15.75" customHeight="1">
      <c r="A60" s="1">
        <v>58.0</v>
      </c>
      <c r="B60" s="3" t="s">
        <v>61</v>
      </c>
      <c r="C60" s="3" t="str">
        <f>IFERROR(__xludf.DUMMYFUNCTION("GOOGLETRANSLATE(B60,""id"",""en"")"),"['Sousinyal', 'minus',' user ',' area ',' remote ',' signal ',' difficult ',' gini ',' really ',' remote ',' pity ',' open ',' The application ',' click ',' go ',' quota ',' internet ',' full ',' pity ',' right ',' get ',' assistance ',' quota ',' educati"&amp;"on ',' government ' , 'Giga', 'Zonk', 'Dipake', '']")</f>
        <v>['Sousinyal', 'minus',' user ',' area ',' remote ',' signal ',' difficult ',' gini ',' really ',' remote ',' pity ',' open ',' The application ',' click ',' go ',' quota ',' internet ',' full ',' pity ',' right ',' get ',' assistance ',' quota ',' education ',' government ' , 'Giga', 'Zonk', 'Dipake', '']</v>
      </c>
      <c r="D60" s="3">
        <v>2.0</v>
      </c>
    </row>
    <row r="61" ht="15.75" customHeight="1">
      <c r="A61" s="1">
        <v>59.0</v>
      </c>
      <c r="B61" s="3" t="s">
        <v>62</v>
      </c>
      <c r="C61" s="3" t="str">
        <f>IFERROR(__xludf.DUMMYFUNCTION("GOOGLETRANSLATE(B61,""id"",""en"")"),"['already', 'card', 'Belom', 'combo', 'Sakti', 'home', 'signal', 'card', 'cave', 'replace', 'regret', 'cave', ' Get ',' promo ',' package ',' expensive ',' Different ',' friend ',' cave ']")</f>
        <v>['already', 'card', 'Belom', 'combo', 'Sakti', 'home', 'signal', 'card', 'cave', 'replace', 'regret', 'cave', ' Get ',' promo ',' package ',' expensive ',' Different ',' friend ',' cave ']</v>
      </c>
      <c r="D61" s="3">
        <v>1.0</v>
      </c>
    </row>
    <row r="62" ht="15.75" customHeight="1">
      <c r="A62" s="1">
        <v>60.0</v>
      </c>
      <c r="B62" s="3" t="s">
        <v>63</v>
      </c>
      <c r="C62" s="3" t="str">
        <f>IFERROR(__xludf.DUMMYFUNCTION("GOOGLETRANSLATE(B62,""id"",""en"")"),"['heii', 'Telkomsel', 'already', 'expensive', 'package', 'trs',' signal ',' severe ',' trs', 'pulse', 'sucked', 'please', ' Fix ',' Provider ',' Price ',' Quality ',' Price ',' Quality ',' ']")</f>
        <v>['heii', 'Telkomsel', 'already', 'expensive', 'package', 'trs',' signal ',' severe ',' trs', 'pulse', 'sucked', 'please', ' Fix ',' Provider ',' Price ',' Quality ',' Price ',' Quality ',' ']</v>
      </c>
      <c r="D62" s="3">
        <v>1.0</v>
      </c>
    </row>
    <row r="63" ht="15.75" customHeight="1">
      <c r="A63" s="1">
        <v>61.0</v>
      </c>
      <c r="B63" s="3" t="s">
        <v>64</v>
      </c>
      <c r="C63" s="3" t="str">
        <f>IFERROR(__xludf.DUMMYFUNCTION("GOOGLETRANSLATE(B63,""id"",""en"")"),"['Network', 'rotten', 'really', 'severe', 'network', 'please', 'donk', 'repay', 'data', 'multimedia', 'GB', 'really', ' Maen ',' Game ',' already ',' Pay ',' late ',' Ryesel ',' Move ',' Provider ',' Gini ']")</f>
        <v>['Network', 'rotten', 'really', 'severe', 'network', 'please', 'donk', 'repay', 'data', 'multimedia', 'GB', 'really', ' Maen ',' Game ',' already ',' Pay ',' late ',' Ryesel ',' Move ',' Provider ',' Gini ']</v>
      </c>
      <c r="D63" s="3">
        <v>1.0</v>
      </c>
    </row>
    <row r="64" ht="15.75" customHeight="1">
      <c r="A64" s="1">
        <v>62.0</v>
      </c>
      <c r="B64" s="3" t="s">
        <v>65</v>
      </c>
      <c r="C64" s="3" t="str">
        <f>IFERROR(__xludf.DUMMYFUNCTION("GOOGLETRANSLATE(B64,""id"",""en"")"),"['Network', 'good', 'setabilia', 'rain', 'down', 'network', 'how', 'good', 'Telkomsel', 'package', 'combo', 'Sakti', ' Cheap ',' lost ',' Telkomsel ']")</f>
        <v>['Network', 'good', 'setabilia', 'rain', 'down', 'network', 'how', 'good', 'Telkomsel', 'package', 'combo', 'Sakti', ' Cheap ',' lost ',' Telkomsel ']</v>
      </c>
      <c r="D64" s="3">
        <v>4.0</v>
      </c>
    </row>
    <row r="65" ht="15.75" customHeight="1">
      <c r="A65" s="1">
        <v>63.0</v>
      </c>
      <c r="B65" s="3" t="s">
        <v>66</v>
      </c>
      <c r="C65" s="3" t="str">
        <f>IFERROR(__xludf.DUMMYFUNCTION("GOOGLETRANSLATE(B65,""id"",""en"")"),"['Telkomsel', 'Card', 'Telkomsel', 'The network', 'stable', 'City', 'Forest', 'Application', 'Telkomsel', 'Love', 'Rate', 'Poor', ' Signal ',' Region ',' Customer ',' occupy ',' gave ',' Region ',' signal ',' ']")</f>
        <v>['Telkomsel', 'Card', 'Telkomsel', 'The network', 'stable', 'City', 'Forest', 'Application', 'Telkomsel', 'Love', 'Rate', 'Poor', ' Signal ',' Region ',' Customer ',' occupy ',' gave ',' Region ',' signal ',' ']</v>
      </c>
      <c r="D65" s="3">
        <v>2.0</v>
      </c>
    </row>
    <row r="66" ht="15.75" customHeight="1">
      <c r="A66" s="1">
        <v>64.0</v>
      </c>
      <c r="B66" s="3" t="s">
        <v>67</v>
      </c>
      <c r="C66" s="3" t="str">
        <f>IFERROR(__xludf.DUMMYFUNCTION("GOOGLETRANSLATE(B66,""id"",""en"")"),"['Disappointed', 'Network', 'Telkomsel', 'already', 'expensive', 'price', 'wethed', 'connection', 'ugly', 'sad', 'angry', 'confused', ' its performance ',' subscriptions', 'Diphp', 'Sad', 'Severe', 'Update', 'Connection', 'Data', 'On Lossary', 'Download',"&amp;" 'Program', 'Daily', 'Bug' , 'Claim', 'Severe', 'really', 'disappointed']")</f>
        <v>['Disappointed', 'Network', 'Telkomsel', 'already', 'expensive', 'price', 'wethed', 'connection', 'ugly', 'sad', 'angry', 'confused', ' its performance ',' subscriptions', 'Diphp', 'Sad', 'Severe', 'Update', 'Connection', 'Data', 'On Lossary', 'Download', 'Program', 'Daily', 'Bug' , 'Claim', 'Severe', 'really', 'disappointed']</v>
      </c>
      <c r="D66" s="3">
        <v>1.0</v>
      </c>
    </row>
    <row r="67" ht="15.75" customHeight="1">
      <c r="A67" s="1">
        <v>65.0</v>
      </c>
      <c r="B67" s="3" t="s">
        <v>68</v>
      </c>
      <c r="C67" s="3" t="str">
        <f>IFERROR(__xludf.DUMMYFUNCTION("GOOGLETRANSLATE(B67,""id"",""en"")"),"['Disappointed', 'Telkomsel', 'Karna', 'My Complaint', 'Action', 'Continue', 'Send', 'Complaint', 'Via', 'Line', 'Chat', 'Telkomsel', ' Subscriptions', 'Telkomsel', 'UDH', 'Words',' Buy ',' Package ',' Apps', 'Trnata', 'Responsive', '']")</f>
        <v>['Disappointed', 'Telkomsel', 'Karna', 'My Complaint', 'Action', 'Continue', 'Send', 'Complaint', 'Via', 'Line', 'Chat', 'Telkomsel', ' Subscriptions', 'Telkomsel', 'UDH', 'Words',' Buy ',' Package ',' Apps', 'Trnata', 'Responsive', '']</v>
      </c>
      <c r="D67" s="3">
        <v>1.0</v>
      </c>
    </row>
    <row r="68" ht="15.75" customHeight="1">
      <c r="A68" s="1">
        <v>66.0</v>
      </c>
      <c r="B68" s="3" t="s">
        <v>69</v>
      </c>
      <c r="C68" s="3" t="str">
        <f>IFERROR(__xludf.DUMMYFUNCTION("GOOGLETRANSLATE(B68,""id"",""en"")"),"['Telkomsel', 'heart', 'try', 'move', 'car', 'heart', 'reason', 'try', 'good', 'Eeee', 'Terpi', 'Telkomsel', ' Clean ',' Anyway ',' Dech ',' Telkomsel ',' emang ',' number ',' Uno ',' Love ',' You ',' Telkomsel ', ""]")</f>
        <v>['Telkomsel', 'heart', 'try', 'move', 'car', 'heart', 'reason', 'try', 'good', 'Eeee', 'Terpi', 'Telkomsel', ' Clean ',' Anyway ',' Dech ',' Telkomsel ',' emang ',' number ',' Uno ',' Love ',' You ',' Telkomsel ', "]</v>
      </c>
      <c r="D68" s="3">
        <v>5.0</v>
      </c>
    </row>
    <row r="69" ht="15.75" customHeight="1">
      <c r="A69" s="1">
        <v>67.0</v>
      </c>
      <c r="B69" s="3" t="s">
        <v>70</v>
      </c>
      <c r="C69" s="3" t="str">
        <f>IFERROR(__xludf.DUMMYFUNCTION("GOOGLETRANSLATE(B69,""id"",""en"")"),"['Application', 'Telkomsel', 'Help', 'Speed', 'Internet', 'Ngelag', 'Indicator', 'Signal', 'Full', 'Try', 'Restart', 'Help', ' hope ',' quality ',' signal ',' Telkomsel ',' in the future ']")</f>
        <v>['Application', 'Telkomsel', 'Help', 'Speed', 'Internet', 'Ngelag', 'Indicator', 'Signal', 'Full', 'Try', 'Restart', 'Help', ' hope ',' quality ',' signal ',' Telkomsel ',' in the future ']</v>
      </c>
      <c r="D69" s="3">
        <v>5.0</v>
      </c>
    </row>
    <row r="70" ht="15.75" customHeight="1">
      <c r="A70" s="1">
        <v>68.0</v>
      </c>
      <c r="B70" s="3" t="s">
        <v>71</v>
      </c>
      <c r="C70" s="3" t="str">
        <f>IFERROR(__xludf.DUMMYFUNCTION("GOOGLETRANSLATE(B70,""id"",""en"")"),"['pandemic', 'covid', 'activity', 'business',' reduced ',' activity ',' call ',' fad ',' see ',' application ',' telephone ',' ghost ',' ghosts', 'telephone', 'increasingly', 'increasingly', 'increases',' resulted ',' bills', 'card', 'Hello', 'telephone',"&amp;" 'send', 'email', 'screenshot' , 'Log', 'Call', 'Solution', 'Cook', 'Affairs',' Gini ',' Report ',' Minister ',' BUMN ',' Eric ',' Tohir ',' President ',' ']")</f>
        <v>['pandemic', 'covid', 'activity', 'business',' reduced ',' activity ',' call ',' fad ',' see ',' application ',' telephone ',' ghost ',' ghosts', 'telephone', 'increasingly', 'increasingly', 'increases',' resulted ',' bills', 'card', 'Hello', 'telephone', 'send', 'email', 'screenshot' , 'Log', 'Call', 'Solution', 'Cook', 'Affairs',' Gini ',' Report ',' Minister ',' BUMN ',' Eric ',' Tohir ',' President ',' ']</v>
      </c>
      <c r="D70" s="3">
        <v>1.0</v>
      </c>
    </row>
    <row r="71" ht="15.75" customHeight="1">
      <c r="A71" s="1">
        <v>69.0</v>
      </c>
      <c r="B71" s="3" t="s">
        <v>72</v>
      </c>
      <c r="C71" s="3" t="str">
        <f>IFERROR(__xludf.DUMMYFUNCTION("GOOGLETRANSLATE(B71,""id"",""en"")"),"['Disappointed', 'Telkomsel', 'buy', 'Vocer', 'enter', 'description', 'system', 'busy', 'try', 'already', 'try', 'nil', ' ',' Telkomsel ',' loss', 'buy', 'card', 'Telkomsel', 'week', 'package', 'enter', '']")</f>
        <v>['Disappointed', 'Telkomsel', 'buy', 'Vocer', 'enter', 'description', 'system', 'busy', 'try', 'already', 'try', 'nil', ' ',' Telkomsel ',' loss', 'buy', 'card', 'Telkomsel', 'week', 'package', 'enter', '']</v>
      </c>
      <c r="D71" s="3">
        <v>1.0</v>
      </c>
    </row>
    <row r="72" ht="15.75" customHeight="1">
      <c r="A72" s="1">
        <v>70.0</v>
      </c>
      <c r="B72" s="3" t="s">
        <v>73</v>
      </c>
      <c r="C72" s="3" t="str">
        <f>IFERROR(__xludf.DUMMYFUNCTION("GOOGLETRANSLATE(B72,""id"",""en"")"),"['Package', 'wasteful', 'really', 'save', 'a month', 'contents',' a month ',' mid ',' run out ',' how ',' sech ',' Telkomsel ',' Souhah ',' That's', 'pulses',' sucked ',' run out ',' leftover ',' pulse ',' thousand ',' ehhh ',' he knows', 'leftover', 'ann"&amp;"oyed', 'good' , 'That's', 'SECH', '']")</f>
        <v>['Package', 'wasteful', 'really', 'save', 'a month', 'contents',' a month ',' mid ',' run out ',' how ',' sech ',' Telkomsel ',' Souhah ',' That's', 'pulses',' sucked ',' run out ',' leftover ',' pulse ',' thousand ',' ehhh ',' he knows', 'leftover', 'annoyed', 'good' , 'That's', 'SECH', '']</v>
      </c>
      <c r="D72" s="3">
        <v>2.0</v>
      </c>
    </row>
    <row r="73" ht="15.75" customHeight="1">
      <c r="A73" s="1">
        <v>71.0</v>
      </c>
      <c r="B73" s="3" t="s">
        <v>74</v>
      </c>
      <c r="C73" s="3" t="str">
        <f>IFERROR(__xludf.DUMMYFUNCTION("GOOGLETRANSLATE(B73,""id"",""en"")"),"['Please', 'his attention', 'Pihaj', 'Telkomsel', 'company', 'Kayak', 'Telkomsel', 'buy', 'machine', 'Genset', 'Tower', 'Buol', ' Dead ',' Wait ',' Network ',' Gifted ',' Dead ',' Kasian ',' Child ',' Kuta ',' Kuta ',' Udh ',' Buy ',' Credit ',' quota ' ,"&amp;" 'Network', 'dead', 'tower', 'connection', 'electricity', 'beg', 'help', ""]")</f>
        <v>['Please', 'his attention', 'Pihaj', 'Telkomsel', 'company', 'Kayak', 'Telkomsel', 'buy', 'machine', 'Genset', 'Tower', 'Buol', ' Dead ',' Wait ',' Network ',' Gifted ',' Dead ',' Kasian ',' Child ',' Kuta ',' Kuta ',' Udh ',' Buy ',' Credit ',' quota ' , 'Network', 'dead', 'tower', 'connection', 'electricity', 'beg', 'help', "]</v>
      </c>
      <c r="D73" s="3">
        <v>1.0</v>
      </c>
    </row>
    <row r="74" ht="15.75" customHeight="1">
      <c r="A74" s="1">
        <v>72.0</v>
      </c>
      <c r="B74" s="3" t="s">
        <v>75</v>
      </c>
      <c r="C74" s="3" t="str">
        <f>IFERROR(__xludf.DUMMYFUNCTION("GOOGLETRANSLATE(B74,""id"",""en"")"),"['Please', 'use', 'Link', 'that's',' use ',' code ',' number ',' GAA ',' number ',' Telkomsel ',' person ',' android ',' Apple ',' buy ',' package ',' difficult ',' forgiveness', 'login', 'poor', 'forgiveness',' number ',' telkomsel ',' connection ',' int"&amp;"ernet ',' please ' , 'Understand', 'opinions', ""]")</f>
        <v>['Please', 'use', 'Link', 'that's',' use ',' code ',' number ',' GAA ',' number ',' Telkomsel ',' person ',' android ',' Apple ',' buy ',' package ',' difficult ',' forgiveness', 'login', 'poor', 'forgiveness',' number ',' telkomsel ',' connection ',' internet ',' please ' , 'Understand', 'opinions', "]</v>
      </c>
      <c r="D74" s="3">
        <v>1.0</v>
      </c>
    </row>
    <row r="75" ht="15.75" customHeight="1">
      <c r="A75" s="1">
        <v>73.0</v>
      </c>
      <c r="B75" s="3" t="s">
        <v>76</v>
      </c>
      <c r="C75" s="3" t="str">
        <f>IFERROR(__xludf.DUMMYFUNCTION("GOOGLETRANSLATE(B75,""id"",""en"")"),"['Telkomsel', 'please', 'tingakin', 'quality', 'network', 'KRTU', 'SIM', 'KLU', 'PKE', 'Telkomsel', 'Network', 'prah', ' stable ',' klu ',' provider ',' network ',' always', 'normal', 'telkomsel', 'play', 'game', 'moba', 'network', 'ngilan', 'trs' , 'See'"&amp;", 'Utube', 'Most', 'Loading', 'Buy', 'Kouta', 'Telkomsel', 'Quality', 'Network', 'Bad', 'mah', 'smpe', ' Ntar ',' people ',' moved ',' provider ',' repairs', 'klu', 'already', 'comfortable', 'provider', 'mah', 'move', '']")</f>
        <v>['Telkomsel', 'please', 'tingakin', 'quality', 'network', 'KRTU', 'SIM', 'KLU', 'PKE', 'Telkomsel', 'Network', 'prah', ' stable ',' klu ',' provider ',' network ',' always', 'normal', 'telkomsel', 'play', 'game', 'moba', 'network', 'ngilan', 'trs' , 'See', 'Utube', 'Most', 'Loading', 'Buy', 'Kouta', 'Telkomsel', 'Quality', 'Network', 'Bad', 'mah', 'smpe', ' Ntar ',' people ',' moved ',' provider ',' repairs', 'klu', 'already', 'comfortable', 'provider', 'mah', 'move', '']</v>
      </c>
      <c r="D75" s="3">
        <v>1.0</v>
      </c>
    </row>
    <row r="76" ht="15.75" customHeight="1">
      <c r="A76" s="1">
        <v>74.0</v>
      </c>
      <c r="B76" s="3" t="s">
        <v>77</v>
      </c>
      <c r="C76" s="3" t="str">
        <f>IFERROR(__xludf.DUMMYFUNCTION("GOOGLETRANSLATE(B76,""id"",""en"")"),"['MyTelkomsel', 'LEG', 'Network', 'Telkomsel', 'Ancur', 'Package', 'Data', 'Expensive', 'The Network', 'Leet', 'Telkomsel', 'Cople', ' Leader ',' Telkomsel ',' already ',' Corruption ',' Please ']")</f>
        <v>['MyTelkomsel', 'LEG', 'Network', 'Telkomsel', 'Ancur', 'Package', 'Data', 'Expensive', 'The Network', 'Leet', 'Telkomsel', 'Cople', ' Leader ',' Telkomsel ',' already ',' Corruption ',' Please ']</v>
      </c>
      <c r="D76" s="3">
        <v>1.0</v>
      </c>
    </row>
    <row r="77" ht="15.75" customHeight="1">
      <c r="A77" s="1">
        <v>75.0</v>
      </c>
      <c r="B77" s="3" t="s">
        <v>78</v>
      </c>
      <c r="C77" s="3" t="str">
        <f>IFERROR(__xludf.DUMMYFUNCTION("GOOGLETRANSLATE(B77,""id"",""en"")"),"['Update', 'Samsung', 'Bug', 'App', 'Exchange', 'Points',' Application ',' Dead ',' On ',' Application ',' Game ',' Accept ',' love']")</f>
        <v>['Update', 'Samsung', 'Bug', 'App', 'Exchange', 'Points',' Application ',' Dead ',' On ',' Application ',' Game ',' Accept ',' love']</v>
      </c>
      <c r="D77" s="3">
        <v>5.0</v>
      </c>
    </row>
    <row r="78" ht="15.75" customHeight="1">
      <c r="A78" s="1">
        <v>76.0</v>
      </c>
      <c r="B78" s="3" t="s">
        <v>79</v>
      </c>
      <c r="C78" s="3" t="str">
        <f>IFERROR(__xludf.DUMMYFUNCTION("GOOGLETRANSLATE(B78,""id"",""en"")"),"['Please', 'Sorry', 'Package', 'Sakti', 'Unlimited', 'Limit', 'Use', 'Naturally', 'yeah', 'buy', 'Unlock', 'intention', ' ']")</f>
        <v>['Please', 'Sorry', 'Package', 'Sakti', 'Unlimited', 'Limit', 'Use', 'Naturally', 'yeah', 'buy', 'Unlock', 'intention', ' ']</v>
      </c>
      <c r="D78" s="3">
        <v>1.0</v>
      </c>
    </row>
    <row r="79" ht="15.75" customHeight="1">
      <c r="A79" s="1">
        <v>77.0</v>
      </c>
      <c r="B79" s="3" t="s">
        <v>80</v>
      </c>
      <c r="C79" s="3" t="str">
        <f>IFERROR(__xludf.DUMMYFUNCTION("GOOGLETRANSLATE(B79,""id"",""en"")"),"['price', 'unlimitid', 'max', 'GB', 'quality', 'network', 'collapsed', 'quota', 'main', 'GB', 'udh', 'run out', ' open ',' YouTube ',' slow ',' nauzubillah ',' open ',' story ',' really ',' stay ',' eat ',' road ',' road ',' recitation ',' KEPARI ' , 'Wat"&amp;"ch', 'cinema', 'kebagaa', ""]")</f>
        <v>['price', 'unlimitid', 'max', 'GB', 'quality', 'network', 'collapsed', 'quota', 'main', 'GB', 'udh', 'run out', ' open ',' YouTube ',' slow ',' nauzubillah ',' open ',' story ',' really ',' stay ',' eat ',' road ',' road ',' recitation ',' KEPARI ' , 'Watch', 'cinema', 'kebagaa', "]</v>
      </c>
      <c r="D79" s="3">
        <v>1.0</v>
      </c>
    </row>
    <row r="80" ht="15.75" customHeight="1">
      <c r="A80" s="1">
        <v>78.0</v>
      </c>
      <c r="B80" s="3" t="s">
        <v>81</v>
      </c>
      <c r="C80" s="3" t="str">
        <f>IFERROR(__xludf.DUMMYFUNCTION("GOOGLETRANSLATE(B80,""id"",""en"")"),"['promo', 'culuci', 'cheap', 'buy', 'package', 'data', 'rb', 'gb', 'hr', 'reply', 'chr', ' SMS ',' RB ',' RB ',' GB ',' Min ',' HR ',' Reply ',' chr ',' buy ',' Tsel ',' May ',' Congratulations', 'Package' , 'Internet', 'GB', 'telephone', 'Tsel', 'Minutes"&amp;"',' On ',' apply ',' date ',' pkl ',' WIB ',' check ',' status', ' Stop ',' subscribe ',' Telkomsel ',' apps', 'hub', 'info', 'run out', 'package', 'hope', 'your customer']")</f>
        <v>['promo', 'culuci', 'cheap', 'buy', 'package', 'data', 'rb', 'gb', 'hr', 'reply', 'chr', ' SMS ',' RB ',' RB ',' GB ',' Min ',' HR ',' Reply ',' chr ',' buy ',' Tsel ',' May ',' Congratulations', 'Package' , 'Internet', 'GB', 'telephone', 'Tsel', 'Minutes',' On ',' apply ',' date ',' pkl ',' WIB ',' check ',' status', ' Stop ',' subscribe ',' Telkomsel ',' apps', 'hub', 'info', 'run out', 'package', 'hope', 'your customer']</v>
      </c>
      <c r="D80" s="3">
        <v>1.0</v>
      </c>
    </row>
    <row r="81" ht="15.75" customHeight="1">
      <c r="A81" s="1">
        <v>79.0</v>
      </c>
      <c r="B81" s="3" t="s">
        <v>82</v>
      </c>
      <c r="C81" s="3" t="str">
        <f>IFERROR(__xludf.DUMMYFUNCTION("GOOGLETRANSLATE(B81,""id"",""en"")"),"['APK', 'Good', 'APK', 'Useful', 'Fill', 'Data', 'Choice', 'DTA', 'Good', 'Good', 'APK', 'Bonus',' Dri ',' Check ',' Get ',' Data ',' Geratis', 'GB', 'Thank', 'Love']")</f>
        <v>['APK', 'Good', 'APK', 'Useful', 'Fill', 'Data', 'Choice', 'DTA', 'Good', 'Good', 'APK', 'Bonus',' Dri ',' Check ',' Get ',' Data ',' Geratis', 'GB', 'Thank', 'Love']</v>
      </c>
      <c r="D81" s="3">
        <v>5.0</v>
      </c>
    </row>
    <row r="82" ht="15.75" customHeight="1">
      <c r="A82" s="1">
        <v>80.0</v>
      </c>
      <c r="B82" s="3" t="s">
        <v>83</v>
      </c>
      <c r="C82" s="3" t="str">
        <f>IFERROR(__xludf.DUMMYFUNCTION("GOOGLETRANSLATE(B82,""id"",""en"")"),"['UDH', 'Pakek', 'Telkomsel', 'price', 'UDH', 'Ngerni', 'Affairs',' Signal ',' UDH ',' Good ',' Offer ',' Package ',' good ',' mostly ',' price ',' expensive ',' package ',' buy ',' price ',' as', 'kalok', 'pingin', 'run', 'customer', 'strange' , 'strange"&amp;"']")</f>
        <v>['UDH', 'Pakek', 'Telkomsel', 'price', 'UDH', 'Ngerni', 'Affairs',' Signal ',' UDH ',' Good ',' Offer ',' Package ',' good ',' mostly ',' price ',' expensive ',' package ',' buy ',' price ',' as', 'kalok', 'pingin', 'run', 'customer', 'strange' , 'strange']</v>
      </c>
      <c r="D82" s="3">
        <v>3.0</v>
      </c>
    </row>
    <row r="83" ht="15.75" customHeight="1">
      <c r="A83" s="1">
        <v>81.0</v>
      </c>
      <c r="B83" s="3" t="s">
        <v>84</v>
      </c>
      <c r="C83" s="3" t="str">
        <f>IFERROR(__xludf.DUMMYFUNCTION("GOOGLETRANSLATE(B83,""id"",""en"")"),"['Quota', 'Combo', 'Sakti', 'GB', 'Unlimited', 'usage', 'limit', 'Naturally', 'unlimited', 'given', 'access',' free ',' Application ',' quota ',' GB ',' boundary ',' use ',' Naturally ',' GB ',' Disappointed ',' subscription ',' buy ',' quota ']")</f>
        <v>['Quota', 'Combo', 'Sakti', 'GB', 'Unlimited', 'usage', 'limit', 'Naturally', 'unlimited', 'given', 'access',' free ',' Application ',' quota ',' GB ',' boundary ',' use ',' Naturally ',' GB ',' Disappointed ',' subscription ',' buy ',' quota ']</v>
      </c>
      <c r="D83" s="3">
        <v>2.0</v>
      </c>
    </row>
    <row r="84" ht="15.75" customHeight="1">
      <c r="A84" s="1">
        <v>82.0</v>
      </c>
      <c r="B84" s="3" t="s">
        <v>85</v>
      </c>
      <c r="C84" s="3" t="str">
        <f>IFERROR(__xludf.DUMMYFUNCTION("GOOGLETRANSLATE(B84,""id"",""en"")"),"['A ',' Sis ',' signal ',' application ',' Telkomsel ',' slow ',' really ',' entry ',' application ',' difficult ',' buy ',' package ',' The slow ',' forgiveness', 'quality', 'signal', 'good']")</f>
        <v>['A ',' Sis ',' signal ',' application ',' Telkomsel ',' slow ',' really ',' entry ',' application ',' difficult ',' buy ',' package ',' The slow ',' forgiveness', 'quality', 'signal', 'good']</v>
      </c>
      <c r="D84" s="3">
        <v>5.0</v>
      </c>
    </row>
    <row r="85" ht="15.75" customHeight="1">
      <c r="A85" s="1">
        <v>83.0</v>
      </c>
      <c r="B85" s="3" t="s">
        <v>86</v>
      </c>
      <c r="C85" s="3" t="str">
        <f>IFERROR(__xludf.DUMMYFUNCTION("GOOGLETRANSLATE(B85,""id"",""en"")"),"['Stop', 'run out', 'quota', 'then', 'suck', 'pulse', 'entry', 'sense', 'pulse', 'tera', 'instant', ' Suck ',' Haus', 'really', 'Kek', 'Telkomsel', 'Ngabisiin', 'Credit', 'Customer', 'Kasiani', 'Customer', 'Layan', 'Best', 'Network' , 'like', 'leg', 'card"&amp;"', 'jdi', 'edje', '']")</f>
        <v>['Stop', 'run out', 'quota', 'then', 'suck', 'pulse', 'entry', 'sense', 'pulse', 'tera', 'instant', ' Suck ',' Haus', 'really', 'Kek', 'Telkomsel', 'Ngabisiin', 'Credit', 'Customer', 'Kasiani', 'Customer', 'Layan', 'Best', 'Network' , 'like', 'leg', 'card', 'jdi', 'edje', '']</v>
      </c>
      <c r="D85" s="3">
        <v>1.0</v>
      </c>
    </row>
    <row r="86" ht="15.75" customHeight="1">
      <c r="A86" s="1">
        <v>84.0</v>
      </c>
      <c r="B86" s="3" t="s">
        <v>87</v>
      </c>
      <c r="C86" s="3" t="str">
        <f>IFERROR(__xludf.DUMMYFUNCTION("GOOGLETRANSLATE(B86,""id"",""en"")"),"['apk', 'telkom', 'emang', 'fill in', 'kouta', 'pulse', 'see', 'history', 'buy', 'kouta', 'fill', 'kouta', ' entry ',' pulse ',' reduced ',' need ',' please ',' fix ',' pulse ',' missing ', ""]")</f>
        <v>['apk', 'telkom', 'emang', 'fill in', 'kouta', 'pulse', 'see', 'history', 'buy', 'kouta', 'fill', 'kouta', ' entry ',' pulse ',' reduced ',' need ',' please ',' fix ',' pulse ',' missing ', "]</v>
      </c>
      <c r="D86" s="3">
        <v>2.0</v>
      </c>
    </row>
    <row r="87" ht="15.75" customHeight="1">
      <c r="A87" s="1">
        <v>85.0</v>
      </c>
      <c r="B87" s="3" t="s">
        <v>88</v>
      </c>
      <c r="C87" s="3" t="str">
        <f>IFERROR(__xludf.DUMMYFUNCTION("GOOGLETRANSLATE(B87,""id"",""en"")"),"['kayak', 'taik', 'application', 'pulse', 'suck', 'buy', 'package', 'error', 'gini', 'network', 'cellular', 'best', ' Taik ',' cat ']")</f>
        <v>['kayak', 'taik', 'application', 'pulse', 'suck', 'buy', 'package', 'error', 'gini', 'network', 'cellular', 'best', ' Taik ',' cat ']</v>
      </c>
      <c r="D87" s="3">
        <v>1.0</v>
      </c>
    </row>
    <row r="88" ht="15.75" customHeight="1">
      <c r="A88" s="1">
        <v>86.0</v>
      </c>
      <c r="B88" s="3" t="s">
        <v>89</v>
      </c>
      <c r="C88" s="3" t="str">
        <f>IFERROR(__xludf.DUMMYFUNCTION("GOOGLETRANSLATE(B88,""id"",""en"")"),"['Comfortable', 'use', 'Telkomsel', 'UnlimitedMax', 'ehhhhh', 'Policy', 'Different', 'Unlimited', 'Quota', 'Battle', 'Severe', 'Out', ' Limitations', 'Chat', 'Whatsap', 'PDAH', 'Use', 'Package', 'UNLI', 'Gamemax', 'Disappointed', 'Auto', 'Kesmartfren', 'M"&amp;"ost', 'Song' , 'Real', 'unlimited', 'restricted', 'FUP', 'all', 'application', '']")</f>
        <v>['Comfortable', 'use', 'Telkomsel', 'UnlimitedMax', 'ehhhhh', 'Policy', 'Different', 'Unlimited', 'Quota', 'Battle', 'Severe', 'Out', ' Limitations', 'Chat', 'Whatsap', 'PDAH', 'Use', 'Package', 'UNLI', 'Gamemax', 'Disappointed', 'Auto', 'Kesmartfren', 'Most', 'Song' , 'Real', 'unlimited', 'restricted', 'FUP', 'all', 'application', '']</v>
      </c>
      <c r="D88" s="3">
        <v>1.0</v>
      </c>
    </row>
    <row r="89" ht="15.75" customHeight="1">
      <c r="A89" s="1">
        <v>87.0</v>
      </c>
      <c r="B89" s="3" t="s">
        <v>90</v>
      </c>
      <c r="C89" s="3" t="str">
        <f>IFERROR(__xludf.DUMMYFUNCTION("GOOGLETRANSLATE(B89,""id"",""en"")"),"['Disappointed', 'application', 'Telkomsel', 'promo', 'package', 'cheap', 'buy', 'repeat', 'times',' tried ',' notification ',' purchase ',' Process', 'Waiting', 'Success',' Credit ',' Reduced ',' Try ',' Veronica ',' Replied ',' Reply ',' Please ',' Solu"&amp;"tion ',' Min ', ""]")</f>
        <v>['Disappointed', 'application', 'Telkomsel', 'promo', 'package', 'cheap', 'buy', 'repeat', 'times',' tried ',' notification ',' purchase ',' Process', 'Waiting', 'Success',' Credit ',' Reduced ',' Try ',' Veronica ',' Replied ',' Reply ',' Please ',' Solution ',' Min ', "]</v>
      </c>
      <c r="D89" s="3">
        <v>2.0</v>
      </c>
    </row>
    <row r="90" ht="15.75" customHeight="1">
      <c r="A90" s="1">
        <v>88.0</v>
      </c>
      <c r="B90" s="3" t="s">
        <v>91</v>
      </c>
      <c r="C90" s="3" t="str">
        <f>IFERROR(__xludf.DUMMYFUNCTION("GOOGLETRANSLATE(B90,""id"",""en"")"),"['Deleting', 'Applikas',' Network ',' Telkomsel ',' Region ',' Cave ',' Like ',' Macet ',' Maen ',' Game ',' Onilne ',' Sosmed ',' package ',' game ',' uda ',' kantel ',' tidk ',' brave ',' fill ',' pulse ',' because ',' like ',' cheer out ',' pulses', 'u"&amp;"ntil' , 'run out', 'run out', 'service', 'bad', 'kyk', 'yellow', 'pulse', 'save', 'safe', 'fill', 'pulse', 'artisan', ' Steal ',' kyk ',' card ',' cave ',' tmbahin ',' uda ',' cave ',' contact ',' almt ',' email ',' find ',' gaje ',' ']")</f>
        <v>['Deleting', 'Applikas',' Network ',' Telkomsel ',' Region ',' Cave ',' Like ',' Macet ',' Maen ',' Game ',' Onilne ',' Sosmed ',' package ',' game ',' uda ',' kantel ',' tidk ',' brave ',' fill ',' pulse ',' because ',' like ',' cheer out ',' pulses', 'until' , 'run out', 'run out', 'service', 'bad', 'kyk', 'yellow', 'pulse', 'save', 'safe', 'fill', 'pulse', 'artisan', ' Steal ',' kyk ',' card ',' cave ',' tmbahin ',' uda ',' cave ',' contact ',' almt ',' email ',' find ',' gaje ',' ']</v>
      </c>
      <c r="D90" s="3">
        <v>1.0</v>
      </c>
    </row>
    <row r="91" ht="15.75" customHeight="1">
      <c r="A91" s="1">
        <v>89.0</v>
      </c>
      <c r="B91" s="3" t="s">
        <v>92</v>
      </c>
      <c r="C91" s="3" t="str">
        <f>IFERROR(__xludf.DUMMYFUNCTION("GOOGLETRANSLATE(B91,""id"",""en"")"),"['', 'expensive', 'BURIK', 'The network', 'Please', 'Lahh', 'Nihh', 'Pandemic', 'Massa', 'Price', 'Quota', 'Basic', 'User ',' NDK ',' Telkomsel ',' BURIK ',' The network ']")</f>
        <v>['', 'expensive', 'BURIK', 'The network', 'Please', 'Lahh', 'Nihh', 'Pandemic', 'Massa', 'Price', 'Quota', 'Basic', 'User ',' NDK ',' Telkomsel ',' BURIK ',' The network ']</v>
      </c>
      <c r="D91" s="3">
        <v>1.0</v>
      </c>
    </row>
    <row r="92" ht="15.75" customHeight="1">
      <c r="A92" s="1">
        <v>90.0</v>
      </c>
      <c r="B92" s="3" t="s">
        <v>93</v>
      </c>
      <c r="C92" s="3" t="str">
        <f>IFERROR(__xludf.DUMMYFUNCTION("GOOGLETRANSLATE(B92,""id"",""en"")"),"['', 'number', 'my sympathy', 'recommended', 'moved', 'card', 'hello', 'network', 'fast', 'byk', 'profit', 'network', 'slow ',' package ',' package ',' internet ',' expensive ',' huhuhu ']")</f>
        <v>['', 'number', 'my sympathy', 'recommended', 'moved', 'card', 'hello', 'network', 'fast', 'byk', 'profit', 'network', 'slow ',' package ',' package ',' internet ',' expensive ',' huhuhu ']</v>
      </c>
      <c r="D92" s="3">
        <v>3.0</v>
      </c>
    </row>
    <row r="93" ht="15.75" customHeight="1">
      <c r="A93" s="1">
        <v>91.0</v>
      </c>
      <c r="B93" s="3" t="s">
        <v>94</v>
      </c>
      <c r="C93" s="3" t="str">
        <f>IFERROR(__xludf.DUMMYFUNCTION("GOOGLETRANSLATE(B93,""id"",""en"")"),"['Customer', 'loyal', 'Telkomsel', 'Please', 'Network', 'Member', 'Please', 'Network', 'Launch', 'Network', 'Telkomsel', 'Hard', ' Please ',' Note ',' Tide ',' WiFi ',' Gara ',' Network ',' County ',' Card ',' SIM ',' Telkomsel ',' Loss', 'Telkomsel', 'Pl"&amp;"ease' , 'Telkomsel', 'Fix', 'Network', 'Thank', 'Kassih', ""]")</f>
        <v>['Customer', 'loyal', 'Telkomsel', 'Please', 'Network', 'Member', 'Please', 'Network', 'Launch', 'Network', 'Telkomsel', 'Hard', ' Please ',' Note ',' Tide ',' WiFi ',' Gara ',' Network ',' County ',' Card ',' SIM ',' Telkomsel ',' Loss', 'Telkomsel', 'Please' , 'Telkomsel', 'Fix', 'Network', 'Thank', 'Kassih', "]</v>
      </c>
      <c r="D93" s="3">
        <v>3.0</v>
      </c>
    </row>
    <row r="94" ht="15.75" customHeight="1">
      <c r="A94" s="1">
        <v>92.0</v>
      </c>
      <c r="B94" s="3" t="s">
        <v>95</v>
      </c>
      <c r="C94" s="3" t="str">
        <f>IFERROR(__xludf.DUMMYFUNCTION("GOOGLETRANSLATE(B94,""id"",""en"")"),"['Contents',' ULG ',' Credit ',' Slalu ',' Cut ',' Pdhal ',' Suda ',' Paying ',' PKET ',' Emergency ',' Disappointed ',' APKL ',' Telkomsel ',' slow ',' repeat ',' beberrylaki ',' untk ',' mmbeli ',' package ',' violated ',' tlkosel ']")</f>
        <v>['Contents',' ULG ',' Credit ',' Slalu ',' Cut ',' Pdhal ',' Suda ',' Paying ',' PKET ',' Emergency ',' Disappointed ',' APKL ',' Telkomsel ',' slow ',' repeat ',' beberrylaki ',' untk ',' mmbeli ',' package ',' violated ',' tlkosel ']</v>
      </c>
      <c r="D94" s="3">
        <v>1.0</v>
      </c>
    </row>
    <row r="95" ht="15.75" customHeight="1">
      <c r="A95" s="1">
        <v>93.0</v>
      </c>
      <c r="B95" s="3" t="s">
        <v>96</v>
      </c>
      <c r="C95" s="3" t="str">
        <f>IFERROR(__xludf.DUMMYFUNCTION("GOOGLETRANSLATE(B95,""id"",""en"")"),"['Application', 'Help', 'Credit', 'Reduced', 'Pulse', 'Minus',' Deliberate ',' Save ',' Claim ',' Daily ',' Check ',' Please ',' The explanation ',' TOP ',' ']")</f>
        <v>['Application', 'Help', 'Credit', 'Reduced', 'Pulse', 'Minus',' Deliberate ',' Save ',' Claim ',' Daily ',' Check ',' Please ',' The explanation ',' TOP ',' ']</v>
      </c>
      <c r="D95" s="3">
        <v>4.0</v>
      </c>
    </row>
    <row r="96" ht="15.75" customHeight="1">
      <c r="A96" s="1">
        <v>94.0</v>
      </c>
      <c r="B96" s="3" t="s">
        <v>97</v>
      </c>
      <c r="C96" s="3" t="str">
        <f>IFERROR(__xludf.DUMMYFUNCTION("GOOGLETRANSLATE(B96,""id"",""en"")"),"['Assessment', 'minus',' love ',' network ',' Telkomsel ',' Severe ',' ugly ',' naudzubillah ',' customer ',' loyal ',' network ',' stable ',' price ',' package ',' expensive ',' network ',' TLKMSL ',' feasible ',' proud of ',' disappointed ',' inland ','"&amp;" used ',' game ',' friendly ',' waste ' , 'card', '']")</f>
        <v>['Assessment', 'minus',' love ',' network ',' Telkomsel ',' Severe ',' ugly ',' naudzubillah ',' customer ',' loyal ',' network ',' stable ',' price ',' package ',' expensive ',' network ',' TLKMSL ',' feasible ',' proud of ',' disappointed ',' inland ',' used ',' game ',' friendly ',' waste ' , 'card', '']</v>
      </c>
      <c r="D96" s="3">
        <v>1.0</v>
      </c>
    </row>
    <row r="97" ht="15.75" customHeight="1">
      <c r="A97" s="1">
        <v>95.0</v>
      </c>
      <c r="B97" s="3" t="s">
        <v>98</v>
      </c>
      <c r="C97" s="3" t="str">
        <f>IFERROR(__xludf.DUMMYFUNCTION("GOOGLETRANSLATE(B97,""id"",""en"")"),"['knapa', 'limit', 'unlimited', 'card', 'package', 'GB', 'change', 'activate', 'card', 'a week', 'limit', 'active', ' fraud ',' Telkomsel ',' interesting ',' buyer ',' udh ',' so ',' unlimited ',' slow ',' mampus', 'udh', 'quota', 'normal', 'application' "&amp;", 'SMS', 'Telkomsel', '']")</f>
        <v>['knapa', 'limit', 'unlimited', 'card', 'package', 'GB', 'change', 'activate', 'card', 'a week', 'limit', 'active', ' fraud ',' Telkomsel ',' interesting ',' buyer ',' udh ',' so ',' unlimited ',' slow ',' mampus', 'udh', 'quota', 'normal', 'application' , 'SMS', 'Telkomsel', '']</v>
      </c>
      <c r="D97" s="3">
        <v>1.0</v>
      </c>
    </row>
    <row r="98" ht="15.75" customHeight="1">
      <c r="A98" s="1">
        <v>96.0</v>
      </c>
      <c r="B98" s="3" t="s">
        <v>99</v>
      </c>
      <c r="C98" s="3" t="str">
        <f>IFERROR(__xludf.DUMMYFUNCTION("GOOGLETRANSLATE(B98,""id"",""en"")"),"['customer', 'loyal', 'Telkomsel', 'family', 'oath', 'disappointed', 'fed up', 'already', 'network', 'bad', 'error', 'package', ' Data ',' expensive ',' Kombo ',' Sakti ',' already ',' unlimitid ',' sosmed ',' great ',' operator ',' competition ',' race '"&amp;",' best ',' try ' , 'check', 'Oberr', 'package', 'cheap', 'telkom', 'proud of', 'network', 'bad', 'price', 'package', 'data', 'expensive', ' Excellent ',' Thinking ',' Hopefully ',' Stop ',' Brbanggan ', ""]")</f>
        <v>['customer', 'loyal', 'Telkomsel', 'family', 'oath', 'disappointed', 'fed up', 'already', 'network', 'bad', 'error', 'package', ' Data ',' expensive ',' Kombo ',' Sakti ',' already ',' unlimitid ',' sosmed ',' great ',' operator ',' competition ',' race ',' best ',' try ' , 'check', 'Oberr', 'package', 'cheap', 'telkom', 'proud of', 'network', 'bad', 'price', 'package', 'data', 'expensive', ' Excellent ',' Thinking ',' Hopefully ',' Stop ',' Brbanggan ', "]</v>
      </c>
      <c r="D98" s="3">
        <v>1.0</v>
      </c>
    </row>
    <row r="99" ht="15.75" customHeight="1">
      <c r="A99" s="1">
        <v>97.0</v>
      </c>
      <c r="B99" s="3" t="s">
        <v>100</v>
      </c>
      <c r="C99" s="3" t="str">
        <f>IFERROR(__xludf.DUMMYFUNCTION("GOOGLETRANSLATE(B99,""id"",""en"")"),"['quota', 'unlimmed', 'play', 'game', 'situ', 'written', 'quota', 'unlimmed', 'play', 'game', 'max', 'Telkomsel', ' Come ',' ugly ',' signal ',' better ',' moved ',' card ',' signal ',' guarantee ',' quota ',' cheap ',' unlimmed ',' application ',' Telkom"&amp;"sel ' , 'quota', 'unlimmed', 'no', 'watch', 'youtube', 'signal', 'ugly', 'essence', 'disappointed', 'Telkomsel', 'tired', 'cave', ' Move ',' card ']")</f>
        <v>['quota', 'unlimmed', 'play', 'game', 'situ', 'written', 'quota', 'unlimmed', 'play', 'game', 'max', 'Telkomsel', ' Come ',' ugly ',' signal ',' better ',' moved ',' card ',' signal ',' guarantee ',' quota ',' cheap ',' unlimmed ',' application ',' Telkomsel ' , 'quota', 'unlimmed', 'no', 'watch', 'youtube', 'signal', 'ugly', 'essence', 'disappointed', 'Telkomsel', 'tired', 'cave', ' Move ',' card ']</v>
      </c>
      <c r="D99" s="3">
        <v>1.0</v>
      </c>
    </row>
    <row r="100" ht="15.75" customHeight="1">
      <c r="A100" s="1">
        <v>98.0</v>
      </c>
      <c r="B100" s="3" t="s">
        <v>101</v>
      </c>
      <c r="C100" s="3" t="str">
        <f>IFERROR(__xludf.DUMMYFUNCTION("GOOGLETRANSLATE(B100,""id"",""en"")"),"['Sometimes', 'most', 'package', 'buy', 'buy', 'number', 'package', 'application', 'friend', 'package', 'rated', 'evenly']")</f>
        <v>['Sometimes', 'most', 'package', 'buy', 'buy', 'number', 'package', 'application', 'friend', 'package', 'rated', 'evenly']</v>
      </c>
      <c r="D100" s="3">
        <v>4.0</v>
      </c>
    </row>
    <row r="101" ht="15.75" customHeight="1">
      <c r="A101" s="1">
        <v>99.0</v>
      </c>
      <c r="B101" s="3" t="s">
        <v>102</v>
      </c>
      <c r="C101" s="3" t="str">
        <f>IFERROR(__xludf.DUMMYFUNCTION("GOOGLETRANSLATE(B101,""id"",""en"")"),"['', 'Goblog', 'buy', 'unlimited', 'max', 'rb', 'right', 'quota', 'main', 'abis',' quota ',' unlimited ',' youtub ',' Burik ',' Bini ',' Package ',' YouTube ',' Current ',' Satan ',' Baleg ',' Sia ',' Kehed ',' Package ',' Choose ',' Love ', '']")</f>
        <v>['', 'Goblog', 'buy', 'unlimited', 'max', 'rb', 'right', 'quota', 'main', 'abis',' quota ',' unlimited ',' youtub ',' Burik ',' Bini ',' Package ',' YouTube ',' Current ',' Satan ',' Baleg ',' Sia ',' Kehed ',' Package ',' Choose ',' Love ', '']</v>
      </c>
      <c r="D101" s="3">
        <v>1.0</v>
      </c>
    </row>
    <row r="102" ht="15.75" customHeight="1">
      <c r="A102" s="1">
        <v>100.0</v>
      </c>
      <c r="B102" s="3" t="s">
        <v>103</v>
      </c>
      <c r="C102" s="3" t="str">
        <f>IFERROR(__xludf.DUMMYFUNCTION("GOOGLETRANSLATE(B102,""id"",""en"")"),"['Telkomsel', 'signal', 'down', 'need', 'call', 'difficult', 'stay', 'remote', 'switch', 'provider', 'deh']")</f>
        <v>['Telkomsel', 'signal', 'down', 'need', 'call', 'difficult', 'stay', 'remote', 'switch', 'provider', 'deh']</v>
      </c>
      <c r="D102" s="3">
        <v>1.0</v>
      </c>
    </row>
    <row r="103" ht="15.75" customHeight="1">
      <c r="A103" s="1">
        <v>101.0</v>
      </c>
      <c r="B103" s="3" t="s">
        <v>104</v>
      </c>
      <c r="C103" s="3" t="str">
        <f>IFERROR(__xludf.DUMMYFUNCTION("GOOGLETRANSLATE(B103,""id"",""en"")"),"['Use', 'quota', 'took precedence', 'Sya', 'read', 'quota', 'out', 'quota', 'msih', 'tens',' giga ',' together ',' Sya ',' quota ',' education ',' term ',' a month ',' quota ',' education ',' taken ',' Seingt ',' Sya ',' quota ',' for example ',' exceptio"&amp;"n ' , 'quota', 'main', 'education', 'together', 'quota', 'education', 'gmna', 'system', 'sure', ""]")</f>
        <v>['Use', 'quota', 'took precedence', 'Sya', 'read', 'quota', 'out', 'quota', 'msih', 'tens',' giga ',' together ',' Sya ',' quota ',' education ',' term ',' a month ',' quota ',' education ',' taken ',' Seingt ',' Sya ',' quota ',' for example ',' exception ' , 'quota', 'main', 'education', 'together', 'quota', 'education', 'gmna', 'system', 'sure', "]</v>
      </c>
      <c r="D103" s="3">
        <v>2.0</v>
      </c>
    </row>
    <row r="104" ht="15.75" customHeight="1">
      <c r="A104" s="1">
        <v>102.0</v>
      </c>
      <c r="B104" s="3" t="s">
        <v>105</v>
      </c>
      <c r="C104" s="3" t="str">
        <f>IFERROR(__xludf.DUMMYFUNCTION("GOOGLETRANSLATE(B104,""id"",""en"")"),"['slow', 'connection', 'account', 'funds',' screen ',' blank ',' appears', 'version', 'tried', 'version', 'suggestion', 'it's better', ' Gaush ',' made ',' application ',' ginian ',' design ']")</f>
        <v>['slow', 'connection', 'account', 'funds',' screen ',' blank ',' appears', 'version', 'tried', 'version', 'suggestion', 'it's better', ' Gaush ',' made ',' application ',' ginian ',' design ']</v>
      </c>
      <c r="D104" s="3">
        <v>1.0</v>
      </c>
    </row>
    <row r="105" ht="15.75" customHeight="1">
      <c r="A105" s="1">
        <v>103.0</v>
      </c>
      <c r="B105" s="3" t="s">
        <v>106</v>
      </c>
      <c r="C105" s="3" t="str">
        <f>IFERROR(__xludf.DUMMYFUNCTION("GOOGLETRANSLATE(B105,""id"",""en"")"),"['Telkomsel', 'Connect', 'account', 'Dana', 'try', 'Meng', 'Connect', 'stack', 'background', 'white', 'please', 'fix', ' Bug ']")</f>
        <v>['Telkomsel', 'Connect', 'account', 'Dana', 'try', 'Meng', 'Connect', 'stack', 'background', 'white', 'please', 'fix', ' Bug ']</v>
      </c>
      <c r="D105" s="3">
        <v>2.0</v>
      </c>
    </row>
    <row r="106" ht="15.75" customHeight="1">
      <c r="A106" s="1">
        <v>104.0</v>
      </c>
      <c r="B106" s="3" t="s">
        <v>107</v>
      </c>
      <c r="C106" s="3" t="str">
        <f>IFERROR(__xludf.DUMMYFUNCTION("GOOGLETRANSLATE(B106,""id"",""en"")"),"['Card', 'Telkomsel', 'problematic', 'sms',' accept ',' sms', 'call', 'accept', 'call', 'card', 'dalah', 'active', ' signal ',' full ',' grapari ',' distance ',' solution ',' via ',' online ',' note ',' user ',' card ',' Telkomsel ',' card ',' Telkomsel '"&amp;" , 'pnya', 'problematic', 'broken', 'because', 'check', 'pulse', 'active', 'smooth']")</f>
        <v>['Card', 'Telkomsel', 'problematic', 'sms',' accept ',' sms', 'call', 'accept', 'call', 'card', 'dalah', 'active', ' signal ',' full ',' grapari ',' distance ',' solution ',' via ',' online ',' note ',' user ',' card ',' Telkomsel ',' card ',' Telkomsel ' , 'pnya', 'problematic', 'broken', 'because', 'check', 'pulse', 'active', 'smooth']</v>
      </c>
      <c r="D106" s="3">
        <v>3.0</v>
      </c>
    </row>
    <row r="107" ht="15.75" customHeight="1">
      <c r="A107" s="1">
        <v>105.0</v>
      </c>
      <c r="B107" s="3" t="s">
        <v>108</v>
      </c>
      <c r="C107" s="3" t="str">
        <f>IFERROR(__xludf.DUMMYFUNCTION("GOOGLETRANSLATE(B107,""id"",""en"")"),"['Please', 'Telkomsel', 'Budiman', 'Package', 'Education', 'provided', 'per month', 'Know', 'Package', 'Kemdikbud', 'already', 'Try', ' ',' Hold ',' week ',' the rest ',' buy ',' package ',' education ',' package ',' per week ',' which ',' doang ',' remai"&amp;"ning ',' quota ' , 'wasted', 'that's',' package ',' monthly ',' tasty ',' worry ',' know ',' company ',' profit ',' but ',' education ',' accept ',' love', '']")</f>
        <v>['Please', 'Telkomsel', 'Budiman', 'Package', 'Education', 'provided', 'per month', 'Know', 'Package', 'Kemdikbud', 'already', 'Try', ' ',' Hold ',' week ',' the rest ',' buy ',' package ',' education ',' package ',' per week ',' which ',' doang ',' remaining ',' quota ' , 'wasted', 'that's',' package ',' monthly ',' tasty ',' worry ',' know ',' company ',' profit ',' but ',' education ',' accept ',' love', '']</v>
      </c>
      <c r="D107" s="3">
        <v>1.0</v>
      </c>
    </row>
    <row r="108" ht="15.75" customHeight="1">
      <c r="A108" s="1">
        <v>106.0</v>
      </c>
      <c r="B108" s="3" t="s">
        <v>109</v>
      </c>
      <c r="C108" s="3" t="str">
        <f>IFERROR(__xludf.DUMMYFUNCTION("GOOGLETRANSLATE(B108,""id"",""en"")"),"['Hi', 'Telkomsel', 'Taunan', 'Application', 'Telkomsel', 'UDH', 'BYK', 'Disappointed', 'Check', 'Point', 'Not bad', 'Byk', ' discounts', 'can', 'get', 'quota', 'free', 'tapii', 'udh', 'enter', 'check', 'point', 'bonus',' quota ',' tba ' , 'Check', 'Point"&amp;"', 'ilang', 'ajja', 'Description', 'Apikkannya', 'BBR', 'appears',' SNDR ',' check ',' point ',' msk even ',' pls', 'quota', 'gtu', 'nipu', 'bth', 'quota', 'school', 'kid', ""]")</f>
        <v>['Hi', 'Telkomsel', 'Taunan', 'Application', 'Telkomsel', 'UDH', 'BYK', 'Disappointed', 'Check', 'Point', 'Not bad', 'Byk', ' discounts', 'can', 'get', 'quota', 'free', 'tapii', 'udh', 'enter', 'check', 'point', 'bonus',' quota ',' tba ' , 'Check', 'Point', 'ilang', 'ajja', 'Description', 'Apikkannya', 'BBR', 'appears',' SNDR ',' check ',' point ',' msk even ',' pls', 'quota', 'gtu', 'nipu', 'bth', 'quota', 'school', 'kid', "]</v>
      </c>
      <c r="D108" s="3">
        <v>2.0</v>
      </c>
    </row>
    <row r="109" ht="15.75" customHeight="1">
      <c r="A109" s="1">
        <v>107.0</v>
      </c>
      <c r="B109" s="3" t="s">
        <v>110</v>
      </c>
      <c r="C109" s="3" t="str">
        <f>IFERROR(__xludf.DUMMYFUNCTION("GOOGLETRANSLATE(B109,""id"",""en"")"),"['Males',' signal ',' already ',' good ',' pulse ',' thousand ',' take ',' message ',' pay ',' package ',' emergency ',' right ',' Make ',' package ',' emergency ',' times', 'Lunasin', 'take', 'thousand', 'pulse', 'corruption', ""]")</f>
        <v>['Males',' signal ',' already ',' good ',' pulse ',' thousand ',' take ',' message ',' pay ',' package ',' emergency ',' right ',' Make ',' package ',' emergency ',' times', 'Lunasin', 'take', 'thousand', 'pulse', 'corruption', "]</v>
      </c>
      <c r="D109" s="3">
        <v>1.0</v>
      </c>
    </row>
    <row r="110" ht="15.75" customHeight="1">
      <c r="A110" s="1">
        <v>108.0</v>
      </c>
      <c r="B110" s="3" t="s">
        <v>111</v>
      </c>
      <c r="C110" s="3" t="str">
        <f>IFERROR(__xludf.DUMMYFUNCTION("GOOGLETRANSLATE(B110,""id"",""en"")"),"['Anjim', 'quota', 'unlimited', 'FUP', 'buy', 'get', 'limit', 'unlim', 'quota', 'finished', 'FUP', 'speedya', ' Changed ',' kbps', 'watch', 'youtube', 'content', 'minute', 'finished', 'content', 'full', 'boong', 'maahh', 'tired', 'write' , 'Embel', 'Ukel'"&amp;", 'Unlimited', 'Disappointed', 'Poor', 'Customer', 'Kalok', 'Quota', 'Unlimited', 'Mending', 'Kagal']")</f>
        <v>['Anjim', 'quota', 'unlimited', 'FUP', 'buy', 'get', 'limit', 'unlim', 'quota', 'finished', 'FUP', 'speedya', ' Changed ',' kbps', 'watch', 'youtube', 'content', 'minute', 'finished', 'content', 'full', 'boong', 'maahh', 'tired', 'write' , 'Embel', 'Ukel', 'Unlimited', 'Disappointed', 'Poor', 'Customer', 'Kalok', 'Quota', 'Unlimited', 'Mending', 'Kagal']</v>
      </c>
      <c r="D110" s="3">
        <v>1.0</v>
      </c>
    </row>
    <row r="111" ht="15.75" customHeight="1">
      <c r="A111" s="1">
        <v>109.0</v>
      </c>
      <c r="B111" s="3" t="s">
        <v>112</v>
      </c>
      <c r="C111" s="3" t="str">
        <f>IFERROR(__xludf.DUMMYFUNCTION("GOOGLETRANSLATE(B111,""id"",""en"")"),"['yeah', 'lottery', 'car', 'gift', 'like', 'point', 'direct', 'exchange', 'sampe', 'Alhamdulillah', 'none', 'gift', ' Love ',' Star ']")</f>
        <v>['yeah', 'lottery', 'car', 'gift', 'like', 'point', 'direct', 'exchange', 'sampe', 'Alhamdulillah', 'none', 'gift', ' Love ',' Star ']</v>
      </c>
      <c r="D111" s="3">
        <v>3.0</v>
      </c>
    </row>
    <row r="112" ht="15.75" customHeight="1">
      <c r="A112" s="1">
        <v>110.0</v>
      </c>
      <c r="B112" s="3" t="s">
        <v>113</v>
      </c>
      <c r="C112" s="3" t="str">
        <f>IFERROR(__xludf.DUMMYFUNCTION("GOOGLETRANSLATE(B112,""id"",""en"")"),"['application', 'buy', 'Combo', 'Sakti', 'unlimited', 'for', 'already', 'unlimited', 'limited', 'limited', 'unlimited', 'GB']")</f>
        <v>['application', 'buy', 'Combo', 'Sakti', 'unlimited', 'for', 'already', 'unlimited', 'limited', 'limited', 'unlimited', 'GB']</v>
      </c>
      <c r="D112" s="3">
        <v>1.0</v>
      </c>
    </row>
    <row r="113" ht="15.75" customHeight="1">
      <c r="A113" s="1">
        <v>111.0</v>
      </c>
      <c r="B113" s="3" t="s">
        <v>114</v>
      </c>
      <c r="C113" s="3" t="str">
        <f>IFERROR(__xludf.DUMMYFUNCTION("GOOGLETRANSLATE(B113,""id"",""en"")"),"['Disappointed', 'Telkomsel', 'slow', 'really', 'network', 'internet', 'Males',' Gunain ',' already ',' Telkomsel ',' enjoy ',' ngacak ',' Price ',' Mahallll ',' ']")</f>
        <v>['Disappointed', 'Telkomsel', 'slow', 'really', 'network', 'internet', 'Males',' Gunain ',' already ',' Telkomsel ',' enjoy ',' ngacak ',' Price ',' Mahallll ',' ']</v>
      </c>
      <c r="D113" s="3">
        <v>1.0</v>
      </c>
    </row>
    <row r="114" ht="15.75" customHeight="1">
      <c r="A114" s="1">
        <v>112.0</v>
      </c>
      <c r="B114" s="3" t="s">
        <v>115</v>
      </c>
      <c r="C114" s="3" t="str">
        <f>IFERROR(__xludf.DUMMYFUNCTION("GOOGLETRANSLATE(B114,""id"",""en"")"),"['Wonder', 'Service', 'Telkomsel', 'Cook', 'Package', 'Internet', 'Combo', 'Sakti', 'Lost', 'Fill', 'Credit', 'Check', ' package ',' package ',' according to ',' service ',' location ',' package ',' promo ',' many years ',' combo ',' Sakti ',' said ',' pr"&amp;"omo ',' told "" , 'buy', 'package', 'internet', 'omg', 'price', 'expensive', 'think', 'money', 'buy', 'pulse', 'disappointing', 'customer', ' ']")</f>
        <v>['Wonder', 'Service', 'Telkomsel', 'Cook', 'Package', 'Internet', 'Combo', 'Sakti', 'Lost', 'Fill', 'Credit', 'Check', ' package ',' package ',' according to ',' service ',' location ',' package ',' promo ',' many years ',' combo ',' Sakti ',' said ',' promo ',' told " , 'buy', 'package', 'internet', 'omg', 'price', 'expensive', 'think', 'money', 'buy', 'pulse', 'disappointing', 'customer', ' ']</v>
      </c>
      <c r="D114" s="3">
        <v>1.0</v>
      </c>
    </row>
    <row r="115" ht="15.75" customHeight="1">
      <c r="A115" s="1">
        <v>113.0</v>
      </c>
      <c r="B115" s="3" t="s">
        <v>116</v>
      </c>
      <c r="C115" s="3" t="str">
        <f>IFERROR(__xludf.DUMMYFUNCTION("GOOGLETRANSLATE(B115,""id"",""en"")"),"['The network', 'good', 'TPI', 'enter', 'application', 'Refres', 'Unstable', 'Connect', 'Please', 'fix', 'trimakasih']")</f>
        <v>['The network', 'good', 'TPI', 'enter', 'application', 'Refres', 'Unstable', 'Connect', 'Please', 'fix', 'trimakasih']</v>
      </c>
      <c r="D115" s="3">
        <v>2.0</v>
      </c>
    </row>
    <row r="116" ht="15.75" customHeight="1">
      <c r="A116" s="1">
        <v>114.0</v>
      </c>
      <c r="B116" s="3" t="s">
        <v>117</v>
      </c>
      <c r="C116" s="3" t="str">
        <f>IFERROR(__xludf.DUMMYFUNCTION("GOOGLETRANSLATE(B116,""id"",""en"")"),"['here', 'slow', 'network', 'kmren', 'improvement', 'system', 'ugly', 'increase', 'user', 'Telkomsel', 'burdened', 'network', ' Stable ',' Check ',' Paketan ',' Pulse ',' Please ',' Enhanced ']")</f>
        <v>['here', 'slow', 'network', 'kmren', 'improvement', 'system', 'ugly', 'increase', 'user', 'Telkomsel', 'burdened', 'network', ' Stable ',' Check ',' Paketan ',' Pulse ',' Please ',' Enhanced ']</v>
      </c>
      <c r="D116" s="3">
        <v>1.0</v>
      </c>
    </row>
    <row r="117" ht="15.75" customHeight="1">
      <c r="A117" s="1">
        <v>115.0</v>
      </c>
      <c r="B117" s="3" t="s">
        <v>118</v>
      </c>
      <c r="C117" s="3" t="str">
        <f>IFERROR(__xludf.DUMMYFUNCTION("GOOGLETRANSLATE(B117,""id"",""en"")"),"['spent', 'quota', 'main', 'enjoyed', 'bonus',' use ',' quota ',' main ',' active ',' spend ',' quota ',' main ',' Nikmatin ',' bonus', 'access',' bonus', 'no', 'access',' buy ',' package ',' package ',' reduced ',' package ',' bonus', 'intact' , 'hope', "&amp;"'Change', 'System']")</f>
        <v>['spent', 'quota', 'main', 'enjoyed', 'bonus',' use ',' quota ',' main ',' active ',' spend ',' quota ',' main ',' Nikmatin ',' bonus', 'access',' bonus', 'no', 'access',' buy ',' package ',' package ',' reduced ',' package ',' bonus', 'intact' , 'hope', 'Change', 'System']</v>
      </c>
      <c r="D117" s="3">
        <v>3.0</v>
      </c>
    </row>
    <row r="118" ht="15.75" customHeight="1">
      <c r="A118" s="1">
        <v>116.0</v>
      </c>
      <c r="B118" s="3" t="s">
        <v>119</v>
      </c>
      <c r="C118" s="3" t="str">
        <f>IFERROR(__xludf.DUMMYFUNCTION("GOOGLETRANSLATE(B118,""id"",""en"")"),"['Since', 'loyal', 'wear', 'card', 'Telkomsel', 'signal', 'strong', 'satisfying', 'customers',' like ',' Telkomsel ',' signal ',' Weak ',' price ',' expensive ',' ']")</f>
        <v>['Since', 'loyal', 'wear', 'card', 'Telkomsel', 'signal', 'strong', 'satisfying', 'customers',' like ',' Telkomsel ',' signal ',' Weak ',' price ',' expensive ',' ']</v>
      </c>
      <c r="D118" s="3">
        <v>1.0</v>
      </c>
    </row>
    <row r="119" ht="15.75" customHeight="1">
      <c r="A119" s="1">
        <v>117.0</v>
      </c>
      <c r="B119" s="3" t="s">
        <v>120</v>
      </c>
      <c r="C119" s="3" t="str">
        <f>IFERROR(__xludf.DUMMYFUNCTION("GOOGLETRANSLATE(B119,""id"",""en"")"),"['Please', 'Min', 'Restore', 'Package', 'Unlimited', 'Limit', 'Usage', 'Normal', 'Need', 'Really', 'Quota', 'Unlimited', ' Bener ',' unlimited ',' limit ',' ']")</f>
        <v>['Please', 'Min', 'Restore', 'Package', 'Unlimited', 'Limit', 'Usage', 'Normal', 'Need', 'Really', 'Quota', 'Unlimited', ' Bener ',' unlimited ',' limit ',' ']</v>
      </c>
      <c r="D119" s="3">
        <v>5.0</v>
      </c>
    </row>
    <row r="120" ht="15.75" customHeight="1">
      <c r="A120" s="1">
        <v>118.0</v>
      </c>
      <c r="B120" s="3" t="s">
        <v>121</v>
      </c>
      <c r="C120" s="3" t="str">
        <f>IFERROR(__xludf.DUMMYFUNCTION("GOOGLETRANSLATE(B120,""id"",""en"")"),"['cunning', 'package', 'data', 'active', 'run out', 'no', 'coakes',' missing ',' active ',' package ',' active ',' coakes', ' first ',' really ',' like ',' that's', 'corrupt', 'mentally', 'base', 'eat', 'fire', 'hell']")</f>
        <v>['cunning', 'package', 'data', 'active', 'run out', 'no', 'coakes',' missing ',' active ',' package ',' active ',' coakes', ' first ',' really ',' like ',' that's', 'corrupt', 'mentally', 'base', 'eat', 'fire', 'hell']</v>
      </c>
      <c r="D120" s="3">
        <v>1.0</v>
      </c>
    </row>
    <row r="121" ht="15.75" customHeight="1">
      <c r="A121" s="1">
        <v>119.0</v>
      </c>
      <c r="B121" s="3" t="s">
        <v>122</v>
      </c>
      <c r="C121" s="3" t="str">
        <f>IFERROR(__xludf.DUMMYFUNCTION("GOOGLETRANSLATE(B121,""id"",""en"")"),"['wow', 'really', 'Telkomsel', 'The', 'Best', 'cave', 'download', 'times',' open ',' check ',' connection ',' internet ',' Mulu ',' Package ',' Youtuban ',' Current ',' Application ',' TTP ',' Open ',' ']")</f>
        <v>['wow', 'really', 'Telkomsel', 'The', 'Best', 'cave', 'download', 'times',' open ',' check ',' connection ',' internet ',' Mulu ',' Package ',' Youtuban ',' Current ',' Application ',' TTP ',' Open ',' ']</v>
      </c>
      <c r="D121" s="3">
        <v>1.0</v>
      </c>
    </row>
    <row r="122" ht="15.75" customHeight="1">
      <c r="A122" s="1">
        <v>120.0</v>
      </c>
      <c r="B122" s="3" t="s">
        <v>123</v>
      </c>
      <c r="C122" s="3" t="str">
        <f>IFERROR(__xludf.DUMMYFUNCTION("GOOGLETRANSLATE(B122,""id"",""en"")"),"['buy', 'package', 'internet', 'GB', 'unlimited', 'already', 'run out', 'GB', 'slow', 'really', 'Males',' feels', ' loss ',' buy ',' package ',' expensive ',' unlimited ',' slow ',' free ',' sosmed ',' smooth ',' send ',' message ',' do "", 'open' , 'Onli"&amp;"ne', 'open', 'link', 'absent', 'no', 'please', 'Telkomsel']")</f>
        <v>['buy', 'package', 'internet', 'GB', 'unlimited', 'already', 'run out', 'GB', 'slow', 'really', 'Males',' feels', ' loss ',' buy ',' package ',' expensive ',' unlimited ',' slow ',' free ',' sosmed ',' smooth ',' send ',' message ',' do ", 'open' , 'Online', 'open', 'link', 'absent', 'no', 'please', 'Telkomsel']</v>
      </c>
      <c r="D122" s="3">
        <v>1.0</v>
      </c>
    </row>
    <row r="123" ht="15.75" customHeight="1">
      <c r="A123" s="1">
        <v>121.0</v>
      </c>
      <c r="B123" s="3" t="s">
        <v>124</v>
      </c>
      <c r="C123" s="3" t="str">
        <f>IFERROR(__xludf.DUMMYFUNCTION("GOOGLETRANSLATE(B123,""id"",""en"")"),"['crazy', 'really', 'cook', 'package', 'unlimited', 'price', 'ok', 'price', 'right', 'price', 'already', 'kouta', ' Unlimited ',' YouTube ',' Delete ',' Customer ',' Select ',' Package ',' Unlimited ',' Expensive ',' Unlimited ',' YouTube ',' GMANA ',' Un"&amp;"limited ',' YouTube ' , 'apply', 'package', 'unlimited', 'delete', 'replaced', 'subscribe', 'Disney', 'Haadddeehhh', 'destroyed', ""]")</f>
        <v>['crazy', 'really', 'cook', 'package', 'unlimited', 'price', 'ok', 'price', 'right', 'price', 'already', 'kouta', ' Unlimited ',' YouTube ',' Delete ',' Customer ',' Select ',' Package ',' Unlimited ',' Expensive ',' Unlimited ',' YouTube ',' GMANA ',' Unlimited ',' YouTube ' , 'apply', 'package', 'unlimited', 'delete', 'replaced', 'subscribe', 'Disney', 'Haadddeehhh', 'destroyed', "]</v>
      </c>
      <c r="D123" s="3">
        <v>1.0</v>
      </c>
    </row>
    <row r="124" ht="15.75" customHeight="1">
      <c r="A124" s="1">
        <v>122.0</v>
      </c>
      <c r="B124" s="3" t="s">
        <v>125</v>
      </c>
      <c r="C124" s="3" t="str">
        <f>IFERROR(__xludf.DUMMYFUNCTION("GOOGLETRANSLATE(B124,""id"",""en"")"),"['His name', 'fooling', 'consumers',' so ',' MUCH ',' Reviews', 'Enter', 'harmed', 'Telkomsel', 'Please', 'Fix', 'Performance', ' Products', 'left', 'consumers',' smakin ',' reduced ',' users', 'harmed', '']")</f>
        <v>['His name', 'fooling', 'consumers',' so ',' MUCH ',' Reviews', 'Enter', 'harmed', 'Telkomsel', 'Please', 'Fix', 'Performance', ' Products', 'left', 'consumers',' smakin ',' reduced ',' users', 'harmed', '']</v>
      </c>
      <c r="D124" s="3">
        <v>1.0</v>
      </c>
    </row>
    <row r="125" ht="15.75" customHeight="1">
      <c r="A125" s="1">
        <v>123.0</v>
      </c>
      <c r="B125" s="3" t="s">
        <v>126</v>
      </c>
      <c r="C125" s="3" t="str">
        <f>IFERROR(__xludf.DUMMYFUNCTION("GOOGLETRANSLATE(B125,""id"",""en"")"),"['Telkomsel', 'Package', 'Unlimited', 'FUP', 'quota', 'price', 'boundary', 'usage', 'Naturally', 'Sebelum', 'quota', 'main', ' run out ',' quota ',' unlimited ',' all ',' application ',' tetep ',' smooth ',' number ',' already ',' yrs', 'times',' feel ','"&amp;" disappointed ' , 'retirement', 'number', '']")</f>
        <v>['Telkomsel', 'Package', 'Unlimited', 'FUP', 'quota', 'price', 'boundary', 'usage', 'Naturally', 'Sebelum', 'quota', 'main', ' run out ',' quota ',' unlimited ',' all ',' application ',' tetep ',' smooth ',' number ',' already ',' yrs', 'times',' feel ',' disappointed ' , 'retirement', 'number', '']</v>
      </c>
      <c r="D125" s="3">
        <v>1.0</v>
      </c>
    </row>
    <row r="126" ht="15.75" customHeight="1">
      <c r="A126" s="1">
        <v>124.0</v>
      </c>
      <c r="B126" s="3" t="s">
        <v>127</v>
      </c>
      <c r="C126" s="3" t="str">
        <f>IFERROR(__xludf.DUMMYFUNCTION("GOOGLETRANSLATE(B126,""id"",""en"")"),"['Curaaaang', 'Chekin', 'like', 'missing', 'mission', 'finished', 'bonus',' like ',' missing ',' apk ',' really ',' pdhl ',' Consumers', 'loyal', 'Telkomsel', 'Mimin', 'help', 'try', ""]")</f>
        <v>['Curaaaang', 'Chekin', 'like', 'missing', 'mission', 'finished', 'bonus',' like ',' missing ',' apk ',' really ',' pdhl ',' Consumers', 'loyal', 'Telkomsel', 'Mimin', 'help', 'try', "]</v>
      </c>
      <c r="D126" s="3">
        <v>1.0</v>
      </c>
    </row>
    <row r="127" ht="15.75" customHeight="1">
      <c r="A127" s="1">
        <v>125.0</v>
      </c>
      <c r="B127" s="3" t="s">
        <v>128</v>
      </c>
      <c r="C127" s="3" t="str">
        <f>IFERROR(__xludf.DUMMYFUNCTION("GOOGLETRANSLATE(B127,""id"",""en"")"),"['activation', 'reset', 'package', 'quota', 'family', 'bother', 'really', 'menu', 'package', 'quota', 'family', 'missing', ' Nomers', 'Registered', 'Group', 'already', 'Out', 'Please', 'Quota', 'Family', 'Civil Service', '']")</f>
        <v>['activation', 'reset', 'package', 'quota', 'family', 'bother', 'really', 'menu', 'package', 'quota', 'family', 'missing', ' Nomers', 'Registered', 'Group', 'already', 'Out', 'Please', 'Quota', 'Family', 'Civil Service', '']</v>
      </c>
      <c r="D127" s="3">
        <v>1.0</v>
      </c>
    </row>
    <row r="128" ht="15.75" customHeight="1">
      <c r="A128" s="1">
        <v>126.0</v>
      </c>
      <c r="B128" s="3" t="s">
        <v>129</v>
      </c>
      <c r="C128" s="3" t="str">
        <f>IFERROR(__xludf.DUMMYFUNCTION("GOOGLETRANSLATE(B128,""id"",""en"")"),"['Application', 'Telkomsel', 'Good', 'Features',' Favorite ',' Purchase ',' Credit ',' Package ',' More ',' Experience ',' Please ',' Sister ',' Beraiaki ',' Loading ',' Enter ',' App ',' Minutes', 'Thanks',' Thanks', 'for', 'Telkomsel', ""]")</f>
        <v>['Application', 'Telkomsel', 'Good', 'Features',' Favorite ',' Purchase ',' Credit ',' Package ',' More ',' Experience ',' Please ',' Sister ',' Beraiaki ',' Loading ',' Enter ',' App ',' Minutes', 'Thanks',' Thanks', 'for', 'Telkomsel', "]</v>
      </c>
      <c r="D128" s="3">
        <v>5.0</v>
      </c>
    </row>
    <row r="129" ht="15.75" customHeight="1">
      <c r="A129" s="1">
        <v>127.0</v>
      </c>
      <c r="B129" s="3" t="s">
        <v>130</v>
      </c>
      <c r="C129" s="3" t="str">
        <f>IFERROR(__xludf.DUMMYFUNCTION("GOOGLETRANSLATE(B129,""id"",""en"")"),"['knapa', 'quota', 'game', 'always',' error ',' play ',' ngellag ',' then ',' quota ',' game ',' play ',' pub ',' Please ',' Fix ',' Help ',' User ']")</f>
        <v>['knapa', 'quota', 'game', 'always',' error ',' play ',' ngellag ',' then ',' quota ',' game ',' play ',' pub ',' Please ',' Fix ',' Help ',' User ']</v>
      </c>
      <c r="D129" s="3">
        <v>3.0</v>
      </c>
    </row>
    <row r="130" ht="15.75" customHeight="1">
      <c r="A130" s="1">
        <v>128.0</v>
      </c>
      <c r="B130" s="3" t="s">
        <v>131</v>
      </c>
      <c r="C130" s="3" t="str">
        <f>IFERROR(__xludf.DUMMYFUNCTION("GOOGLETRANSLATE(B130,""id"",""en"")"),"['application', 'ridiculous',' mode ',' free ',' buy ',' quota ',' application ',' contents', 'quota', 'type', 'manual', 'counter', ' Buy ',' Application ',' Telkomsel ',' ridiculous']")</f>
        <v>['application', 'ridiculous',' mode ',' free ',' buy ',' quota ',' application ',' contents', 'quota', 'type', 'manual', 'counter', ' Buy ',' Application ',' Telkomsel ',' ridiculous']</v>
      </c>
      <c r="D130" s="3">
        <v>1.0</v>
      </c>
    </row>
    <row r="131" ht="15.75" customHeight="1">
      <c r="A131" s="1">
        <v>129.0</v>
      </c>
      <c r="B131" s="3" t="s">
        <v>132</v>
      </c>
      <c r="C131" s="3" t="str">
        <f>IFERROR(__xludf.DUMMYFUNCTION("GOOGLETRANSLATE(B131,""id"",""en"")"),"['', 'love', 'user', 'unlimited', 'Telkomsel', 'skrg', 'meek', 'pade', 'take', 'GB', 'quota', 'bonus',' Gb ',' quota ',' local ',' social ',' media ',' youtube ',' tiktok ',' total ',' GB ',' a month ',' use ',' sad ',' slow ', 'Out', 'first', 'quota', 'n"&amp;"guterikn', 'skrg', 'disappointed', ""]")</f>
        <v>['', 'love', 'user', 'unlimited', 'Telkomsel', 'skrg', 'meek', 'pade', 'take', 'GB', 'quota', 'bonus',' Gb ',' quota ',' local ',' social ',' media ',' youtube ',' tiktok ',' total ',' GB ',' a month ',' use ',' sad ',' slow ', 'Out', 'first', 'quota', 'nguterikn', 'skrg', 'disappointed', "]</v>
      </c>
      <c r="D131" s="3">
        <v>5.0</v>
      </c>
    </row>
    <row r="132" ht="15.75" customHeight="1">
      <c r="A132" s="1">
        <v>130.0</v>
      </c>
      <c r="B132" s="3" t="s">
        <v>133</v>
      </c>
      <c r="C132" s="3" t="str">
        <f>IFERROR(__xludf.DUMMYFUNCTION("GOOGLETRANSLATE(B132,""id"",""en"")"),"['Daily', 'Chechk', 'Try', 'Special', 'Quota', 'Sis',' Voucher ',' Shoping ',' That's', 'Sorry', 'People', 'Manchester', ' useful ',' example ',' quota ',' pulse ',' kalopun ',' get ',' quota ',' extra ',' price ',' balance ',' pulse ',' kak ']")</f>
        <v>['Daily', 'Chechk', 'Try', 'Special', 'Quota', 'Sis',' Voucher ',' Shoping ',' That's', 'Sorry', 'People', 'Manchester', ' useful ',' example ',' quota ',' pulse ',' kalopun ',' get ',' quota ',' extra ',' price ',' balance ',' pulse ',' kak ']</v>
      </c>
      <c r="D132" s="3">
        <v>5.0</v>
      </c>
    </row>
    <row r="133" ht="15.75" customHeight="1">
      <c r="A133" s="1">
        <v>131.0</v>
      </c>
      <c r="B133" s="3" t="s">
        <v>134</v>
      </c>
      <c r="C133" s="3" t="str">
        <f>IFERROR(__xludf.DUMMYFUNCTION("GOOGLETRANSLATE(B133,""id"",""en"")"),"['Exchange', 'Points',' System ',' Busy ',' Quota ',' Expensive ',' Network ',' Ngelag ',' Petit ',' Read ',' woooooy ',' Benerin ',' Busy ',' Mulu ',' Kaga ',' Cotsss', 'Readaaaaa', '']")</f>
        <v>['Exchange', 'Points',' System ',' Busy ',' Quota ',' Expensive ',' Network ',' Ngelag ',' Petit ',' Read ',' woooooy ',' Benerin ',' Busy ',' Mulu ',' Kaga ',' Cotsss', 'Readaaaaa', '']</v>
      </c>
      <c r="D133" s="3">
        <v>1.0</v>
      </c>
    </row>
    <row r="134" ht="15.75" customHeight="1">
      <c r="A134" s="1">
        <v>132.0</v>
      </c>
      <c r="B134" s="3" t="s">
        <v>135</v>
      </c>
      <c r="C134" s="3" t="str">
        <f>IFERROR(__xludf.DUMMYFUNCTION("GOOGLETRANSLATE(B134,""id"",""en"")"),"['Telkomsel', 'open', 'application', 'connection', 'stable', 'network', 'full', 'then', 'try', 'delete', 'cache', 'the application', ' Masi, 'Tetep', 'Lemottt', 'Please', 'Fix', 'Bug', '']")</f>
        <v>['Telkomsel', 'open', 'application', 'connection', 'stable', 'network', 'full', 'then', 'try', 'delete', 'cache', 'the application', ' Masi, 'Tetep', 'Lemottt', 'Please', 'Fix', 'Bug', '']</v>
      </c>
      <c r="D134" s="3">
        <v>3.0</v>
      </c>
    </row>
    <row r="135" ht="15.75" customHeight="1">
      <c r="A135" s="1">
        <v>133.0</v>
      </c>
      <c r="B135" s="3" t="s">
        <v>136</v>
      </c>
      <c r="C135" s="3" t="str">
        <f>IFERROR(__xludf.DUMMYFUNCTION("GOOGLETRANSLATE(B135,""id"",""en"")"),"['Hello', 'admin', 'Application', 'Telkomsel', 'Seburuk', 'buy', 'quota', 'combo', 'unlimited', 'GB', 'apps',' Telkomsel ',' For ',' RB ',' Pay ',' Shope ',' Pay ',' Balance ',' Shope ',' Pay ',' Cutting ',' Quotes', 'Belom', 'Enter', 'Belom' , 'admin', '"&amp;"please', 'solution', '']")</f>
        <v>['Hello', 'admin', 'Application', 'Telkomsel', 'Seburuk', 'buy', 'quota', 'combo', 'unlimited', 'GB', 'apps',' Telkomsel ',' For ',' RB ',' Pay ',' Shope ',' Pay ',' Balance ',' Shope ',' Pay ',' Cutting ',' Quotes', 'Belom', 'Enter', 'Belom' , 'admin', 'please', 'solution', '']</v>
      </c>
      <c r="D135" s="3">
        <v>3.0</v>
      </c>
    </row>
    <row r="136" ht="15.75" customHeight="1">
      <c r="A136" s="1">
        <v>134.0</v>
      </c>
      <c r="B136" s="3" t="s">
        <v>137</v>
      </c>
      <c r="C136" s="3" t="str">
        <f>IFERROR(__xludf.DUMMYFUNCTION("GOOGLETRANSLATE(B136,""id"",""en"")"),"['Love', 'Bintang', 'Quality', 'Network', 'Down', 'Compared', 'Reverse', 'Price', 'Quota', 'Please', 'Telkomsel', 'Improve', ' Quality, 'The network', 'trims', '']")</f>
        <v>['Love', 'Bintang', 'Quality', 'Network', 'Down', 'Compared', 'Reverse', 'Price', 'Quota', 'Please', 'Telkomsel', 'Improve', ' Quality, 'The network', 'trims', '']</v>
      </c>
      <c r="D136" s="3">
        <v>1.0</v>
      </c>
    </row>
    <row r="137" ht="15.75" customHeight="1">
      <c r="A137" s="1">
        <v>135.0</v>
      </c>
      <c r="B137" s="3" t="s">
        <v>138</v>
      </c>
      <c r="C137" s="3" t="str">
        <f>IFERROR(__xludf.DUMMYFUNCTION("GOOGLETRANSLATE(B137,""id"",""en"")"),"['Purchase', 'Package', 'Package', 'Cook', 'Buy', 'Package', 'Combo', 'Sakti', 'Unlimited', 'Rp', 'Pulses',' Take ',' Package ',' Loss', 'Unlimited', 'YouTube', 'Open', 'APK', 'YouTube', 'PKT', 'Entertainment', 'BLN', 'Fasting', ""]")</f>
        <v>['Purchase', 'Package', 'Package', 'Cook', 'Buy', 'Package', 'Combo', 'Sakti', 'Unlimited', 'Rp', 'Pulses',' Take ',' Package ',' Loss', 'Unlimited', 'YouTube', 'Open', 'APK', 'YouTube', 'PKT', 'Entertainment', 'BLN', 'Fasting', "]</v>
      </c>
      <c r="D137" s="3">
        <v>1.0</v>
      </c>
    </row>
    <row r="138" ht="15.75" customHeight="1">
      <c r="A138" s="1">
        <v>136.0</v>
      </c>
      <c r="B138" s="3" t="s">
        <v>139</v>
      </c>
      <c r="C138" s="3" t="str">
        <f>IFERROR(__xludf.DUMMYFUNCTION("GOOGLETRANSLATE(B138,""id"",""en"")"),"['Benerin', 'network', 'noh', 'slow', 'most importantly', 'network', 'fix', 'gausah', 'win', 'lottery', 'lottery', 'sgala', ' Signal ',' stable ',' already ', ""]")</f>
        <v>['Benerin', 'network', 'noh', 'slow', 'most importantly', 'network', 'fix', 'gausah', 'win', 'lottery', 'lottery', 'sgala', ' Signal ',' stable ',' already ', "]</v>
      </c>
      <c r="D138" s="3">
        <v>1.0</v>
      </c>
    </row>
    <row r="139" ht="15.75" customHeight="1">
      <c r="A139" s="1">
        <v>137.0</v>
      </c>
      <c r="B139" s="3" t="s">
        <v>140</v>
      </c>
      <c r="C139" s="3" t="str">
        <f>IFERROR(__xludf.DUMMYFUNCTION("GOOGLETRANSLATE(B139,""id"",""en"")"),"['Package', 'Unlimited', 'YouTube', 'Out', 'Kouta', 'Main', 'Sometimes',' Access', 'YouTube', 'Speed', 'Network', 'access',' YouTube ',' slow down ',' Telkomsel ',' healthy ',' ']")</f>
        <v>['Package', 'Unlimited', 'YouTube', 'Out', 'Kouta', 'Main', 'Sometimes',' Access', 'YouTube', 'Speed', 'Network', 'access',' YouTube ',' slow down ',' Telkomsel ',' healthy ',' ']</v>
      </c>
      <c r="D139" s="3">
        <v>1.0</v>
      </c>
    </row>
    <row r="140" ht="15.75" customHeight="1">
      <c r="A140" s="1">
        <v>138.0</v>
      </c>
      <c r="B140" s="3" t="s">
        <v>141</v>
      </c>
      <c r="C140" s="3" t="str">
        <f>IFERROR(__xludf.DUMMYFUNCTION("GOOGLETRANSLATE(B140,""id"",""en"")"),"['', 'users',' Telkomsel ',' Ama ',' acceptable ',' love ',' KPD ',' Telkomsel ',' continuous', 'gifts',' features', 'application', 'interesting ',' convenience ',' users', 'Bravo', 'Telkomsel', ""]")</f>
        <v>['', 'users',' Telkomsel ',' Ama ',' acceptable ',' love ',' KPD ',' Telkomsel ',' continuous', 'gifts',' features', 'application', 'interesting ',' convenience ',' users', 'Bravo', 'Telkomsel', "]</v>
      </c>
      <c r="D140" s="3">
        <v>4.0</v>
      </c>
    </row>
    <row r="141" ht="15.75" customHeight="1">
      <c r="A141" s="1">
        <v>139.0</v>
      </c>
      <c r="B141" s="3" t="s">
        <v>142</v>
      </c>
      <c r="C141" s="3" t="str">
        <f>IFERROR(__xludf.DUMMYFUNCTION("GOOGLETRANSLATE(B141,""id"",""en"")"),"['Telkomsel', 'the network', 'slow', 'please', 'prove', 'sayings',' ad ',' network ',' smooth ',' etc. ',' ad ',' reality ',' Different ',' Please ',' Fix ',' Janhan ',' Ad ',' Hoax ',' Mulu ']")</f>
        <v>['Telkomsel', 'the network', 'slow', 'please', 'prove', 'sayings',' ad ',' network ',' smooth ',' etc. ',' ad ',' reality ',' Different ',' Please ',' Fix ',' Janhan ',' Ad ',' Hoax ',' Mulu ']</v>
      </c>
      <c r="D141" s="3">
        <v>1.0</v>
      </c>
    </row>
    <row r="142" ht="15.75" customHeight="1">
      <c r="A142" s="1">
        <v>140.0</v>
      </c>
      <c r="B142" s="3" t="s">
        <v>143</v>
      </c>
      <c r="C142" s="3" t="str">
        <f>IFERROR(__xludf.DUMMYFUNCTION("GOOGLETRANSLATE(B142,""id"",""en"")"),"['min', 'every hour', 'morning', 'speed', 'internet', 'slow', 'continued', 'clock', 'night', 'night', ' ']")</f>
        <v>['min', 'every hour', 'morning', 'speed', 'internet', 'slow', 'continued', 'clock', 'night', 'night', ' ']</v>
      </c>
      <c r="D142" s="3">
        <v>1.0</v>
      </c>
    </row>
    <row r="143" ht="15.75" customHeight="1">
      <c r="A143" s="1">
        <v>141.0</v>
      </c>
      <c r="B143" s="3" t="s">
        <v>144</v>
      </c>
      <c r="C143" s="3" t="str">
        <f>IFERROR(__xludf.DUMMYFUNCTION("GOOGLETRANSLATE(B143,""id"",""en"")"),"['knapa', 'skrang', 'application', 'Telkomsel', 'slow', 'pdahal', 'package', 'internet', 'bnyk', 'please', 'fix', 'msa', ' cards', 'expensive', 'slow', 'application', 'please', 'response']")</f>
        <v>['knapa', 'skrang', 'application', 'Telkomsel', 'slow', 'pdahal', 'package', 'internet', 'bnyk', 'please', 'fix', 'msa', ' cards', 'expensive', 'slow', 'application', 'please', 'response']</v>
      </c>
      <c r="D143" s="3">
        <v>1.0</v>
      </c>
    </row>
    <row r="144" ht="15.75" customHeight="1">
      <c r="A144" s="1">
        <v>142.0</v>
      </c>
      <c r="B144" s="3" t="s">
        <v>145</v>
      </c>
      <c r="C144" s="3" t="str">
        <f>IFERROR(__xludf.DUMMYFUNCTION("GOOGLETRANSLATE(B144,""id"",""en"")"),"['night', 'min', 'knp', 'already', 'bbrp', 'open', 'apk', 'mytelkomsel', 'display', 'load', 'reset', 'connection', ' Stable ',' click ',' Try ',' Hedeh ',' tired ',' pressure ',' GTU ',' then ',' NGK ',' change ',' network ',' fast ',' open ' , 'Current',"&amp;" 'streaming', 'NGK', 'BUFFR', 'Try', 'Benerin', 'Min', 'APK', ""]")</f>
        <v>['night', 'min', 'knp', 'already', 'bbrp', 'open', 'apk', 'mytelkomsel', 'display', 'load', 'reset', 'connection', ' Stable ',' click ',' Try ',' Hedeh ',' tired ',' pressure ',' GTU ',' then ',' NGK ',' change ',' network ',' fast ',' open ' , 'Current', 'streaming', 'NGK', 'BUFFR', 'Try', 'Benerin', 'Min', 'APK', "]</v>
      </c>
      <c r="D144" s="3">
        <v>2.0</v>
      </c>
    </row>
    <row r="145" ht="15.75" customHeight="1">
      <c r="A145" s="1">
        <v>143.0</v>
      </c>
      <c r="B145" s="3" t="s">
        <v>146</v>
      </c>
      <c r="C145" s="3" t="str">
        <f>IFERROR(__xludf.DUMMYFUNCTION("GOOGLETRANSLATE(B145,""id"",""en"")"),"['date', 'April', 'buy', 'Package', 'Kombo', 'Sakti', 'Pay', 'Shoopepay', 'Payment', 'Success',' Package ',' Data ',' Awaited ',' Wait ',' Clock ',' Enter ',' Buy ',' Pay ',' Credit ',' Package ',' Direct ',' Active ',' Paid ',' Shoopepay ',' Appeared ' ,"&amp;" 'option', 'payment', 'harmed', 'balance', 'Shoopepay', 'truncated', 'package', 'data', 'buy', 'enter', ""]")</f>
        <v>['date', 'April', 'buy', 'Package', 'Kombo', 'Sakti', 'Pay', 'Shoopepay', 'Payment', 'Success',' Package ',' Data ',' Awaited ',' Wait ',' Clock ',' Enter ',' Buy ',' Pay ',' Credit ',' Package ',' Direct ',' Active ',' Paid ',' Shoopepay ',' Appeared ' , 'option', 'payment', 'harmed', 'balance', 'Shoopepay', 'truncated', 'package', 'data', 'buy', 'enter', "]</v>
      </c>
      <c r="D145" s="3">
        <v>1.0</v>
      </c>
    </row>
    <row r="146" ht="15.75" customHeight="1">
      <c r="A146" s="1">
        <v>144.0</v>
      </c>
      <c r="B146" s="3" t="s">
        <v>147</v>
      </c>
      <c r="C146" s="3" t="str">
        <f>IFERROR(__xludf.DUMMYFUNCTION("GOOGLETRANSLATE(B146,""id"",""en"")"),"['already', 'missed', 'error', 'many', 'notif', 'package', 'abis',' already ',' abis', 'as a result', 'pulse', 'cheek', ' Diem ',' Alesan ',' artificial ',' robot ',' minimal ',' fix ',' gawy ',' doang ',' boy ',' habit ']")</f>
        <v>['already', 'missed', 'error', 'many', 'notif', 'package', 'abis',' already ',' abis', 'as a result', 'pulse', 'cheek', ' Diem ',' Alesan ',' artificial ',' robot ',' minimal ',' fix ',' gawy ',' doang ',' boy ',' habit ']</v>
      </c>
      <c r="D146" s="3">
        <v>1.0</v>
      </c>
    </row>
    <row r="147" ht="15.75" customHeight="1">
      <c r="A147" s="1">
        <v>145.0</v>
      </c>
      <c r="B147" s="3" t="s">
        <v>148</v>
      </c>
      <c r="C147" s="3" t="str">
        <f>IFERROR(__xludf.DUMMYFUNCTION("GOOGLETRANSLATE(B147,""id"",""en"")"),"['Network', 'Telkomsel', 'Area', 'Banten', 'Iyah', 'Sis',' Lost ',' Lost ',' Signal ',' Jga ',' Batang ',' Current ',' Continued ',' Where ',' Thank you ', ""]")</f>
        <v>['Network', 'Telkomsel', 'Area', 'Banten', 'Iyah', 'Sis',' Lost ',' Lost ',' Signal ',' Jga ',' Batang ',' Current ',' Continued ',' Where ',' Thank you ', "]</v>
      </c>
      <c r="D147" s="3">
        <v>5.0</v>
      </c>
    </row>
    <row r="148" ht="15.75" customHeight="1">
      <c r="A148" s="1">
        <v>146.0</v>
      </c>
      <c r="B148" s="3" t="s">
        <v>149</v>
      </c>
      <c r="C148" s="3" t="str">
        <f>IFERROR(__xludf.DUMMYFUNCTION("GOOGLETRANSLATE(B148,""id"",""en"")"),"['quota', 'game', 'like', 'ngeleg', 'signal', 'red', 'right', 'play', 'game', 'sick', 'heart', 'jdi', ' Please ',' the signal ',' repaired ',' signal ',' good ',' quota ',' game ',' TPI ',' Leg ',' Lemot ',' Maen ',' Game ',' Sya ' , 'justice', 'Sya', 'co"&amp;"mmented', 'because', 'I've experienced it', 'Sya', 'subscribe', 'Telkomsel', 'Dri', 'dlu', 'TPI', ' The signal ',' Nggk ',' Good ',' Maen ',' Mobile ',' Lagends', 'Thank you', 'Wassalamualaikum']")</f>
        <v>['quota', 'game', 'like', 'ngeleg', 'signal', 'red', 'right', 'play', 'game', 'sick', 'heart', 'jdi', ' Please ',' the signal ',' repaired ',' signal ',' good ',' quota ',' game ',' TPI ',' Leg ',' Lemot ',' Maen ',' Game ',' Sya ' , 'justice', 'Sya', 'commented', 'because', 'I've experienced it', 'Sya', 'subscribe', 'Telkomsel', 'Dri', 'dlu', 'TPI', ' The signal ',' Nggk ',' Good ',' Maen ',' Mobile ',' Lagends', 'Thank you', 'Wassalamualaikum']</v>
      </c>
      <c r="D148" s="3">
        <v>1.0</v>
      </c>
    </row>
    <row r="149" ht="15.75" customHeight="1">
      <c r="A149" s="1">
        <v>147.0</v>
      </c>
      <c r="B149" s="3" t="s">
        <v>150</v>
      </c>
      <c r="C149" s="3" t="str">
        <f>IFERROR(__xludf.DUMMYFUNCTION("GOOGLETRANSLATE(B149,""id"",""en"")"),"['Telkomsel', 'good', 'aspect', 'uses',' bus', 'direct', 'leftover', 'pulse', 'type', 'board', 'number', 'monitor', ' Use ',' Card ',' Hello ',' Thanks', 'Telkomsel', ""]")</f>
        <v>['Telkomsel', 'good', 'aspect', 'uses',' bus', 'direct', 'leftover', 'pulse', 'type', 'board', 'number', 'monitor', ' Use ',' Card ',' Hello ',' Thanks', 'Telkomsel', "]</v>
      </c>
      <c r="D149" s="3">
        <v>5.0</v>
      </c>
    </row>
    <row r="150" ht="15.75" customHeight="1">
      <c r="A150" s="1">
        <v>148.0</v>
      </c>
      <c r="B150" s="3" t="s">
        <v>151</v>
      </c>
      <c r="C150" s="3" t="str">
        <f>IFERROR(__xludf.DUMMYFUNCTION("GOOGLETRANSLATE(B150,""id"",""en"")"),"['Quota', 'Confrence', 'Google', 'Meet', 'Sumpot', 'Quota', 'Regular', 'Distribution', 'Region', 'Eorr', 'Quota', 'Local']")</f>
        <v>['Quota', 'Confrence', 'Google', 'Meet', 'Sumpot', 'Quota', 'Regular', 'Distribution', 'Region', 'Eorr', 'Quota', 'Local']</v>
      </c>
      <c r="D150" s="3">
        <v>4.0</v>
      </c>
    </row>
    <row r="151" ht="15.75" customHeight="1">
      <c r="A151" s="1">
        <v>149.0</v>
      </c>
      <c r="B151" s="3" t="s">
        <v>152</v>
      </c>
      <c r="C151" s="3" t="str">
        <f>IFERROR(__xludf.DUMMYFUNCTION("GOOGLETRANSLATE(B151,""id"",""en"")"),"['Telkomsel', 'provider', 'technology', 'quality', 'dilapidated', 'tsel', 'survey', 'service', 'ratings',' lowest ',' times', 'update', ' Telkomsel ',' Survey ',' Useful ',' ']")</f>
        <v>['Telkomsel', 'provider', 'technology', 'quality', 'dilapidated', 'tsel', 'survey', 'service', 'ratings',' lowest ',' times', 'update', ' Telkomsel ',' Survey ',' Useful ',' ']</v>
      </c>
      <c r="D151" s="3">
        <v>1.0</v>
      </c>
    </row>
    <row r="152" ht="15.75" customHeight="1">
      <c r="A152" s="1">
        <v>150.0</v>
      </c>
      <c r="B152" s="3" t="s">
        <v>153</v>
      </c>
      <c r="C152" s="3" t="str">
        <f>IFERROR(__xludf.DUMMYFUNCTION("GOOGLETRANSLATE(B152,""id"",""en"")"),"['signal', 'good', 'sometimes',' loading ',' please ',' enhanced ',' net ',' region ',' Kampungbaru ',' south ',' kepung ',' kediri ',' Precisely ',' Hamlet ',' Wonorejo ',' ']")</f>
        <v>['signal', 'good', 'sometimes',' loading ',' please ',' enhanced ',' net ',' region ',' Kampungbaru ',' south ',' kepung ',' kediri ',' Precisely ',' Hamlet ',' Wonorejo ',' ']</v>
      </c>
      <c r="D152" s="3">
        <v>5.0</v>
      </c>
    </row>
    <row r="153" ht="15.75" customHeight="1">
      <c r="A153" s="1">
        <v>151.0</v>
      </c>
      <c r="B153" s="3" t="s">
        <v>154</v>
      </c>
      <c r="C153" s="3" t="str">
        <f>IFERROR(__xludf.DUMMYFUNCTION("GOOGLETRANSLATE(B153,""id"",""en"")"),"['Please', 'credit', 'sympathy', 'decreases', 'Activate', 'please', 'transparency', 'history', 'use', 'pulse', 'legal', ""]")</f>
        <v>['Please', 'credit', 'sympathy', 'decreases', 'Activate', 'please', 'transparency', 'history', 'use', 'pulse', 'legal', "]</v>
      </c>
      <c r="D153" s="3">
        <v>1.0</v>
      </c>
    </row>
    <row r="154" ht="15.75" customHeight="1">
      <c r="A154" s="1">
        <v>152.0</v>
      </c>
      <c r="B154" s="3" t="s">
        <v>155</v>
      </c>
      <c r="C154" s="3" t="str">
        <f>IFERROR(__xludf.DUMMYFUNCTION("GOOGLETRANSLATE(B154,""id"",""en"")"),"['Telkomsel', 'promo', 'quota', 'turn', 'pulse', 'dibales',' turn ',' pulse ',' dibales', 'bales',' jing ',' need ',' quota ',' promo ']")</f>
        <v>['Telkomsel', 'promo', 'quota', 'turn', 'pulse', 'dibales',' turn ',' pulse ',' dibales', 'bales',' jing ',' need ',' quota ',' promo ']</v>
      </c>
      <c r="D154" s="3">
        <v>2.0</v>
      </c>
    </row>
    <row r="155" ht="15.75" customHeight="1">
      <c r="A155" s="1">
        <v>153.0</v>
      </c>
      <c r="B155" s="3" t="s">
        <v>156</v>
      </c>
      <c r="C155" s="3" t="str">
        <f>IFERROR(__xludf.DUMMYFUNCTION("GOOGLETRANSLATE(B155,""id"",""en"")"),"['Application', 'Application', 'Telkomsel', 'Like', 'Kluar', 'Sampe', 'Ngrestar', 'Constraints',' Ability ',' Application ',' Seprti ',' Change ',' system ',' rich ',' yesterday ',' good ',' cheap ',' disappointed ',' restart ',' deleted ',' application '"&amp;",' tlkomsel ',' agile ',' use ',' application ' , 'memory', 'smooth', 'then', 'application', 'error', 'goblog', 'skiarang', 'mah']")</f>
        <v>['Application', 'Application', 'Telkomsel', 'Like', 'Kluar', 'Sampe', 'Ngrestar', 'Constraints',' Ability ',' Application ',' Seprti ',' Change ',' system ',' rich ',' yesterday ',' good ',' cheap ',' disappointed ',' restart ',' deleted ',' application ',' tlkomsel ',' agile ',' use ',' application ' , 'memory', 'smooth', 'then', 'application', 'error', 'goblog', 'skiarang', 'mah']</v>
      </c>
      <c r="D155" s="3">
        <v>1.0</v>
      </c>
    </row>
    <row r="156" ht="15.75" customHeight="1">
      <c r="A156" s="1">
        <v>154.0</v>
      </c>
      <c r="B156" s="3" t="s">
        <v>157</v>
      </c>
      <c r="C156" s="3" t="str">
        <f>IFERROR(__xludf.DUMMYFUNCTION("GOOGLETRANSLATE(B156,""id"",""en"")"),"['Like', 'use', 'Telkomsel', 'easy', 'use', 'application', 'hope', 'promo', 'quota', 'monthly', 'success',' dear ',' The area ',' home ',' signal ',' like ',' slow ',' please ',' repair ',' ']")</f>
        <v>['Like', 'use', 'Telkomsel', 'easy', 'use', 'application', 'hope', 'promo', 'quota', 'monthly', 'success',' dear ',' The area ',' home ',' signal ',' like ',' slow ',' please ',' repair ',' ']</v>
      </c>
      <c r="D156" s="3">
        <v>5.0</v>
      </c>
    </row>
    <row r="157" ht="15.75" customHeight="1">
      <c r="A157" s="1">
        <v>155.0</v>
      </c>
      <c r="B157" s="3" t="s">
        <v>158</v>
      </c>
      <c r="C157" s="3" t="str">
        <f>IFERROR(__xludf.DUMMYFUNCTION("GOOGLETRANSLATE(B157,""id"",""en"")"),"['Really', 'bad', 'quality', 'server', 'application', 'need', 'check', 'fast', 'leftover', 'pulse', 'quota', 'active', ' Connection ',' Application ',' Server ',' Bad ',' Rate ',' Application ',' Official ',' Bad ',' ']")</f>
        <v>['Really', 'bad', 'quality', 'server', 'application', 'need', 'check', 'fast', 'leftover', 'pulse', 'quota', 'active', ' Connection ',' Application ',' Server ',' Bad ',' Rate ',' Application ',' Official ',' Bad ',' ']</v>
      </c>
      <c r="D157" s="3">
        <v>1.0</v>
      </c>
    </row>
    <row r="158" ht="15.75" customHeight="1">
      <c r="A158" s="1">
        <v>156.0</v>
      </c>
      <c r="B158" s="3" t="s">
        <v>159</v>
      </c>
      <c r="C158" s="3" t="str">
        <f>IFERROR(__xludf.DUMMYFUNCTION("GOOGLETRANSLATE(B158,""id"",""en"")"),"['Credit', 'Safe', 'Make', 'wasteful', 'Quota', 'Out', 'Credit', 'Out', 'Only', 'Comfortable', 'Telkomsel', 'Hopefully', ' Repaired ',' convenience ',' users', 'customers',' Telkomsel ']")</f>
        <v>['Credit', 'Safe', 'Make', 'wasteful', 'Quota', 'Out', 'Credit', 'Out', 'Only', 'Comfortable', 'Telkomsel', 'Hopefully', ' Repaired ',' convenience ',' users', 'customers',' Telkomsel ']</v>
      </c>
      <c r="D158" s="3">
        <v>5.0</v>
      </c>
    </row>
    <row r="159" ht="15.75" customHeight="1">
      <c r="A159" s="1">
        <v>157.0</v>
      </c>
      <c r="B159" s="3" t="s">
        <v>160</v>
      </c>
      <c r="C159" s="3" t="str">
        <f>IFERROR(__xludf.DUMMYFUNCTION("GOOGLETRANSLATE(B159,""id"",""en"")"),"['The network', 'Severe', 'Open', 'Application', 'Telkomsel', 'Error', 'Package', 'Super', 'Expensive', 'Quality', 'Bad', 'Mending', ' Switch ',' card ',' package ',' cheap ',' network ',' broad ',' Telkomsel ']")</f>
        <v>['The network', 'Severe', 'Open', 'Application', 'Telkomsel', 'Error', 'Package', 'Super', 'Expensive', 'Quality', 'Bad', 'Mending', ' Switch ',' card ',' package ',' cheap ',' network ',' broad ',' Telkomsel ']</v>
      </c>
      <c r="D159" s="3">
        <v>1.0</v>
      </c>
    </row>
    <row r="160" ht="15.75" customHeight="1">
      <c r="A160" s="1">
        <v>158.0</v>
      </c>
      <c r="B160" s="3" t="s">
        <v>161</v>
      </c>
      <c r="C160" s="3" t="str">
        <f>IFERROR(__xludf.DUMMYFUNCTION("GOOGLETRANSLATE(B160,""id"",""en"")"),"['Good', 'connection', 'stable', 'appears', 'mmbuka', 'application', 'please', 'fix', 'so', 'thank', '']")</f>
        <v>['Good', 'connection', 'stable', 'appears', 'mmbuka', 'application', 'please', 'fix', 'so', 'thank', '']</v>
      </c>
      <c r="D160" s="3">
        <v>5.0</v>
      </c>
    </row>
    <row r="161" ht="15.75" customHeight="1">
      <c r="A161" s="1">
        <v>159.0</v>
      </c>
      <c r="B161" s="3" t="s">
        <v>162</v>
      </c>
      <c r="C161" s="3" t="str">
        <f>IFERROR(__xludf.DUMMYFUNCTION("GOOGLETRANSLATE(B161,""id"",""en"")"),"['application', 'open', 'unstable', 'connection', 'network', 'wifi', '']")</f>
        <v>['application', 'open', 'unstable', 'connection', 'network', 'wifi', '']</v>
      </c>
      <c r="D161" s="3">
        <v>3.0</v>
      </c>
    </row>
    <row r="162" ht="15.75" customHeight="1">
      <c r="A162" s="1">
        <v>160.0</v>
      </c>
      <c r="B162" s="3" t="s">
        <v>163</v>
      </c>
      <c r="C162" s="3" t="str">
        <f>IFERROR(__xludf.DUMMYFUNCTION("GOOGLETRANSLATE(B162,""id"",""en"")"),"['Annual', 'subscribe', 'package', 'GB', 'a month', 'fill in', 'bid', 'promo', 'bonus', 'disappointed', 'because' provider ',' Network ',' improved ',' Decide ',' Switch ',' ']")</f>
        <v>['Annual', 'subscribe', 'package', 'GB', 'a month', 'fill in', 'bid', 'promo', 'bonus', 'disappointed', 'because' provider ',' Network ',' improved ',' Decide ',' Switch ',' ']</v>
      </c>
      <c r="D162" s="3">
        <v>1.0</v>
      </c>
    </row>
    <row r="163" ht="15.75" customHeight="1">
      <c r="A163" s="1">
        <v>161.0</v>
      </c>
      <c r="B163" s="3" t="s">
        <v>164</v>
      </c>
      <c r="C163" s="3" t="str">
        <f>IFERROR(__xludf.DUMMYFUNCTION("GOOGLETRANSLATE(B163,""id"",""en"")"),"['disappointed', 'signal', 'Telkomsel', 'signal', 'slow', 'balanced', 'code', 'signal', 'abal', 'abal', 'sending', 'message', ' Open ',' Story ',' Leet ',' Instagram ',' You ',' Tube ',' Telkomsel ',' Repaired ',' Signal ',' In the future ',' fix ',' Malf"&amp;" ']")</f>
        <v>['disappointed', 'signal', 'Telkomsel', 'signal', 'slow', 'balanced', 'code', 'signal', 'abal', 'abal', 'sending', 'message', ' Open ',' Story ',' Leet ',' Instagram ',' You ',' Tube ',' Telkomsel ',' Repaired ',' Signal ',' In the future ',' fix ',' Malf ']</v>
      </c>
      <c r="D163" s="3">
        <v>1.0</v>
      </c>
    </row>
    <row r="164" ht="15.75" customHeight="1">
      <c r="A164" s="1">
        <v>162.0</v>
      </c>
      <c r="B164" s="3" t="s">
        <v>165</v>
      </c>
      <c r="C164" s="3" t="str">
        <f>IFERROR(__xludf.DUMMYFUNCTION("GOOGLETRANSLATE(B164,""id"",""en"")"),"['App', 'ugly', 'difficult', 'access', 'experience', 'application', 'verification', 'sms', 'times', 'verification', 'managed', 'waited']")</f>
        <v>['App', 'ugly', 'difficult', 'access', 'experience', 'application', 'verification', 'sms', 'times', 'verification', 'managed', 'waited']</v>
      </c>
      <c r="D164" s="3">
        <v>1.0</v>
      </c>
    </row>
    <row r="165" ht="15.75" customHeight="1">
      <c r="A165" s="1">
        <v>163.0</v>
      </c>
      <c r="B165" s="3" t="s">
        <v>166</v>
      </c>
      <c r="C165" s="3" t="str">
        <f>IFERROR(__xludf.DUMMYFUNCTION("GOOGLETRANSLATE(B165,""id"",""en"")"),"['Buy', 'Package', 'Combo', 'Sakti', 'Unlimited', 'Season', 'Network', 'Slow', 'Severe', 'Open', 'Sosmed', 'Whatever', ' It's hard to ',' mercy ',' understand ',' try ',' lgi ',' buy ',' package ',' combo ',' magic ',' expensive ',' tetep ',' slow ',' unt"&amp;"il ' , 'Cape', 'Jdnya', ""]")</f>
        <v>['Buy', 'Package', 'Combo', 'Sakti', 'Unlimited', 'Season', 'Network', 'Slow', 'Severe', 'Open', 'Sosmed', 'Whatever', ' It's hard to ',' mercy ',' understand ',' try ',' lgi ',' buy ',' package ',' combo ',' magic ',' expensive ',' tetep ',' slow ',' until ' , 'Cape', 'Jdnya', "]</v>
      </c>
      <c r="D165" s="3">
        <v>2.0</v>
      </c>
    </row>
    <row r="166" ht="15.75" customHeight="1">
      <c r="A166" s="1">
        <v>164.0</v>
      </c>
      <c r="B166" s="3" t="s">
        <v>167</v>
      </c>
      <c r="C166" s="3" t="str">
        <f>IFERROR(__xludf.DUMMYFUNCTION("GOOGLETRANSLATE(B166,""id"",""en"")"),"['Disappoinaaaa', 'Telkomsel', 'force', 'buy', 'package', 'Telkomsel', 'click', 'link', 'sampi', 'slammed', 'gerem', 'Hello', ' Email ',' response ',' ']")</f>
        <v>['Disappoinaaaa', 'Telkomsel', 'force', 'buy', 'package', 'Telkomsel', 'click', 'link', 'sampi', 'slammed', 'gerem', 'Hello', ' Email ',' response ',' ']</v>
      </c>
      <c r="D166" s="3">
        <v>1.0</v>
      </c>
    </row>
    <row r="167" ht="15.75" customHeight="1">
      <c r="A167" s="1">
        <v>165.0</v>
      </c>
      <c r="B167" s="3" t="s">
        <v>168</v>
      </c>
      <c r="C167" s="3" t="str">
        <f>IFERROR(__xludf.DUMMYFUNCTION("GOOGLETRANSLATE(B167,""id"",""en"")"),"['knpa', 'blasphemen', 'apk', 'apk', 'good', 'example', 'get', 'promo', 'signal', 'as fast', 'light', 'hope', ' APK ',' developing ',' in the future ']")</f>
        <v>['knpa', 'blasphemen', 'apk', 'apk', 'good', 'example', 'get', 'promo', 'signal', 'as fast', 'light', 'hope', ' APK ',' developing ',' in the future ']</v>
      </c>
      <c r="D167" s="3">
        <v>5.0</v>
      </c>
    </row>
    <row r="168" ht="15.75" customHeight="1">
      <c r="A168" s="1">
        <v>166.0</v>
      </c>
      <c r="B168" s="3" t="s">
        <v>169</v>
      </c>
      <c r="C168" s="3" t="str">
        <f>IFERROR(__xludf.DUMMYFUNCTION("GOOGLETRANSLATE(B168,""id"",""en"")"),"['Talikin', 'card', 'sympathy', 'woi', 'card', 'hello', 'fraud', 'card', 'disappointed', 'Telkomsel', 'replace', 'provider', ' Because ',' card ',' Hello ']")</f>
        <v>['Talikin', 'card', 'sympathy', 'woi', 'card', 'hello', 'fraud', 'card', 'disappointed', 'Telkomsel', 'replace', 'provider', ' Because ',' card ',' Hello ']</v>
      </c>
      <c r="D168" s="3">
        <v>1.0</v>
      </c>
    </row>
    <row r="169" ht="15.75" customHeight="1">
      <c r="A169" s="1">
        <v>167.0</v>
      </c>
      <c r="B169" s="3" t="s">
        <v>170</v>
      </c>
      <c r="C169" s="3" t="str">
        <f>IFERROR(__xludf.DUMMYFUNCTION("GOOGLETRANSLATE(B169,""id"",""en"")"),"['price', 'already', 'Not bad', 'cheap', 'signal', 'play', 'game', 'Tiktok', 'RAM', 'signal', 'quota', 'unlimited', ' Please, 'Sis', 'Delasin']")</f>
        <v>['price', 'already', 'Not bad', 'cheap', 'signal', 'play', 'game', 'Tiktok', 'RAM', 'signal', 'quota', 'unlimited', ' Please, 'Sis', 'Delasin']</v>
      </c>
      <c r="D169" s="3">
        <v>5.0</v>
      </c>
    </row>
    <row r="170" ht="15.75" customHeight="1">
      <c r="A170" s="1">
        <v>168.0</v>
      </c>
      <c r="B170" s="3" t="s">
        <v>171</v>
      </c>
      <c r="C170" s="3" t="str">
        <f>IFERROR(__xludf.DUMMYFUNCTION("GOOGLETRANSLATE(B170,""id"",""en"")"),"['Sya', 'disappointed', 'connection', 'network', 'disappointed', 'system', 'loan', 'pulse', 'rb', 'where', 'open', 'facebook', ' automatically ',' entry ',' link ',' loan ',' Telkomsel ',' package ',' data ',' harm ',' annoying ',' direction ',' link ',' "&amp;"automatic ',' loan ' , 'pulse', 'as a result', 'contents', 'pulse', 'truncated', 'automatic', 'rb']")</f>
        <v>['Sya', 'disappointed', 'connection', 'network', 'disappointed', 'system', 'loan', 'pulse', 'rb', 'where', 'open', 'facebook', ' automatically ',' entry ',' link ',' loan ',' Telkomsel ',' package ',' data ',' harm ',' annoying ',' direction ',' link ',' automatic ',' loan ' , 'pulse', 'as a result', 'contents', 'pulse', 'truncated', 'automatic', 'rb']</v>
      </c>
      <c r="D170" s="3">
        <v>1.0</v>
      </c>
    </row>
    <row r="171" ht="15.75" customHeight="1">
      <c r="A171" s="1">
        <v>169.0</v>
      </c>
      <c r="B171" s="3" t="s">
        <v>172</v>
      </c>
      <c r="C171" s="3" t="str">
        <f>IFERROR(__xludf.DUMMYFUNCTION("GOOGLETRANSLATE(B171,""id"",""en"")"),"['complain', 'already', 'card', 'Telkomsel', 'slow', 'really', 'stay', 'area', 'jatinangor', 'already', 'moved', 'slow', ' really ',' please ',' fix ',' already ',' patient ',' until ',' gini ',' kaga ',' strong ',' slow ',' replace ',' operator ',' compl"&amp;"icated ' , 'already', 'number', '']")</f>
        <v>['complain', 'already', 'card', 'Telkomsel', 'slow', 'really', 'stay', 'area', 'jatinangor', 'already', 'moved', 'slow', ' really ',' please ',' fix ',' already ',' patient ',' until ',' gini ',' kaga ',' strong ',' slow ',' replace ',' operator ',' complicated ' , 'already', 'number', '']</v>
      </c>
      <c r="D171" s="3">
        <v>1.0</v>
      </c>
    </row>
    <row r="172" ht="15.75" customHeight="1">
      <c r="A172" s="1">
        <v>170.0</v>
      </c>
      <c r="B172" s="3" t="s">
        <v>173</v>
      </c>
      <c r="C172" s="3" t="str">
        <f>IFERROR(__xludf.DUMMYFUNCTION("GOOGLETRANSLATE(B172,""id"",""en"")"),"['experience', 'buy', 'package', 'data', 'gamemax', 'free', 'fire', 'right', 'try', 'enter', 'games',' like ',' The data ',' Abis', 'Data', 'Please', 'Telkomsel', 'Fix', 'Play', 'Game', 'Free', 'Fire', 'Data', 'Gamemax', 'Thank you' , '']")</f>
        <v>['experience', 'buy', 'package', 'data', 'gamemax', 'free', 'fire', 'right', 'try', 'enter', 'games',' like ',' The data ',' Abis', 'Data', 'Please', 'Telkomsel', 'Fix', 'Play', 'Game', 'Free', 'Fire', 'Data', 'Gamemax', 'Thank you' , '']</v>
      </c>
      <c r="D172" s="3">
        <v>1.0</v>
      </c>
    </row>
    <row r="173" ht="15.75" customHeight="1">
      <c r="A173" s="1">
        <v>171.0</v>
      </c>
      <c r="B173" s="3" t="s">
        <v>174</v>
      </c>
      <c r="C173" s="3" t="str">
        <f>IFERROR(__xludf.DUMMYFUNCTION("GOOGLETRANSLATE(B173,""id"",""en"")"),"['Telkomsel', 'slow', 'smooth', 'really', 'yesterday', 'buy', 'package', 'unlimited', 'chet', 'game', 'etc.', 'wish', ' No ',' Nihh ',' how ',' price ',' pulses', 'haduhhh', '']")</f>
        <v>['Telkomsel', 'slow', 'smooth', 'really', 'yesterday', 'buy', 'package', 'unlimited', 'chet', 'game', 'etc.', 'wish', ' No ',' Nihh ',' how ',' price ',' pulses', 'haduhhh', '']</v>
      </c>
      <c r="D173" s="3">
        <v>1.0</v>
      </c>
    </row>
    <row r="174" ht="15.75" customHeight="1">
      <c r="A174" s="1">
        <v>172.0</v>
      </c>
      <c r="B174" s="3" t="s">
        <v>175</v>
      </c>
      <c r="C174" s="3" t="str">
        <f>IFERROR(__xludf.DUMMYFUNCTION("GOOGLETRANSLATE(B174,""id"",""en"")"),"['operator', 'buy', 'quota', 'GB', 'unllimited', 'application', 'quota', 'main', 'run out', 'application', 'quota', 'unllimited', ' Dahlah ',' Russy ', ""]")</f>
        <v>['operator', 'buy', 'quota', 'GB', 'unllimited', 'application', 'quota', 'main', 'run out', 'application', 'quota', 'unllimited', ' Dahlah ',' Russy ', "]</v>
      </c>
      <c r="D174" s="3">
        <v>1.0</v>
      </c>
    </row>
    <row r="175" ht="15.75" customHeight="1">
      <c r="A175" s="1">
        <v>173.0</v>
      </c>
      <c r="B175" s="3" t="s">
        <v>176</v>
      </c>
      <c r="C175" s="3" t="str">
        <f>IFERROR(__xludf.DUMMYFUNCTION("GOOGLETRANSLATE(B175,""id"",""en"")"),"['Network', 'ugly', 'area', 'rural', 'ngekuh', 'Costumer', 'service', 'answer', 'so', 'so', 'mulu', 'rich', ' people ',' confused ',' wkwkwkw ',' thank you ',' ']")</f>
        <v>['Network', 'ugly', 'area', 'rural', 'ngekuh', 'Costumer', 'service', 'answer', 'so', 'so', 'mulu', 'rich', ' people ',' confused ',' wkwkwkw ',' thank you ',' ']</v>
      </c>
      <c r="D175" s="3">
        <v>1.0</v>
      </c>
    </row>
    <row r="176" ht="15.75" customHeight="1">
      <c r="A176" s="1">
        <v>174.0</v>
      </c>
      <c r="B176" s="3" t="s">
        <v>177</v>
      </c>
      <c r="C176" s="3" t="str">
        <f>IFERROR(__xludf.DUMMYFUNCTION("GOOGLETRANSLATE(B176,""id"",""en"")"),"['Is there', 'Open', 'Application', 'MyTelkomsel', 'Signal', 'Internet', 'Lost', 'Total', 'Restart', 'Hape', 'Normal', 'Exchange', ' Points', 'Lottery', 'Success',' Switch ',' Enter ',' SMS ',' Internet ',' Dead ',' Total ',' Hape ',' Redmi ',' Note ',' P"&amp;"ro ' , 'RAM', ""]")</f>
        <v>['Is there', 'Open', 'Application', 'MyTelkomsel', 'Signal', 'Internet', 'Lost', 'Total', 'Restart', 'Hape', 'Normal', 'Exchange', ' Points', 'Lottery', 'Success',' Switch ',' Enter ',' SMS ',' Internet ',' Dead ',' Total ',' Hape ',' Redmi ',' Note ',' Pro ' , 'RAM', "]</v>
      </c>
      <c r="D176" s="3">
        <v>1.0</v>
      </c>
    </row>
    <row r="177" ht="15.75" customHeight="1">
      <c r="A177" s="1">
        <v>175.0</v>
      </c>
      <c r="B177" s="3" t="s">
        <v>178</v>
      </c>
      <c r="C177" s="3" t="str">
        <f>IFERROR(__xludf.DUMMYFUNCTION("GOOGLETRANSLATE(B177,""id"",""en"")"),"['Woy', 'Bangke', 'destroyed', 'Network', 'Telkomsel', 'already', 'fees',' package ',' expensive ',' network ',' good ',' paraahhh ',' please ',' fix ',' woy ',' usually ',' mahalin ',' price ',' package ',' quality ',' ']")</f>
        <v>['Woy', 'Bangke', 'destroyed', 'Network', 'Telkomsel', 'already', 'fees',' package ',' expensive ',' network ',' good ',' paraahhh ',' please ',' fix ',' woy ',' usually ',' mahalin ',' price ',' package ',' quality ',' ']</v>
      </c>
      <c r="D177" s="3">
        <v>1.0</v>
      </c>
    </row>
    <row r="178" ht="15.75" customHeight="1">
      <c r="A178" s="1">
        <v>176.0</v>
      </c>
      <c r="B178" s="3" t="s">
        <v>179</v>
      </c>
      <c r="C178" s="3" t="str">
        <f>IFERROR(__xludf.DUMMYFUNCTION("GOOGLETRANSLATE(B178,""id"",""en"")"),"['Woy', 'admin', 'just', 'buy', 'pulse', 'buy', 'package', 'internet', 'application', 'buy', 'clock', 'what' do ',' run out ',' pulse ',' thousand ',' zero ',' rupiah ',' fraud ',' application ',' reverse ',' pulse ',' friend ',' download ',' apk ',' proo"&amp;"f ' , 'application', 'corruption']")</f>
        <v>['Woy', 'admin', 'just', 'buy', 'pulse', 'buy', 'package', 'internet', 'application', 'buy', 'clock', 'what' do ',' run out ',' pulse ',' thousand ',' zero ',' rupiah ',' fraud ',' application ',' reverse ',' pulse ',' friend ',' download ',' apk ',' proof ' , 'application', 'corruption']</v>
      </c>
      <c r="D178" s="3">
        <v>1.0</v>
      </c>
    </row>
    <row r="179" ht="15.75" customHeight="1">
      <c r="A179" s="1">
        <v>177.0</v>
      </c>
      <c r="B179" s="3" t="s">
        <v>180</v>
      </c>
      <c r="C179" s="3" t="str">
        <f>IFERROR(__xludf.DUMMYFUNCTION("GOOGLETRANSLATE(B179,""id"",""en"")"),"['Application', 'chaos',' choose ',' nsp ',' application ',' uda ',' click ',' title ',' song ',' singer ',' arylaso ',' vacuum ',' Kluar ',' NPS ',' Song ',' singer ',' Uda ',' Pay ', ""]")</f>
        <v>['Application', 'chaos',' choose ',' nsp ',' application ',' uda ',' click ',' title ',' song ',' singer ',' arylaso ',' vacuum ',' Kluar ',' NPS ',' Song ',' singer ',' Uda ',' Pay ', "]</v>
      </c>
      <c r="D179" s="3">
        <v>1.0</v>
      </c>
    </row>
    <row r="180" ht="15.75" customHeight="1">
      <c r="A180" s="1">
        <v>178.0</v>
      </c>
      <c r="B180" s="3" t="s">
        <v>181</v>
      </c>
      <c r="C180" s="3" t="str">
        <f>IFERROR(__xludf.DUMMYFUNCTION("GOOGLETRANSLATE(B180,""id"",""en"")"),"['adduuuhhh', 'yesterday', 'super', 'lemoooooooottttttt', 'thisiiihhhh', 'tujah', 'telkomsellll', 'job', 'abungsaiii', '']")</f>
        <v>['adduuuhhh', 'yesterday', 'super', 'lemoooooooottttttt', 'thisiiihhhh', 'tujah', 'telkomsellll', 'job', 'abungsaiii', '']</v>
      </c>
      <c r="D180" s="3">
        <v>1.0</v>
      </c>
    </row>
    <row r="181" ht="15.75" customHeight="1">
      <c r="A181" s="1">
        <v>179.0</v>
      </c>
      <c r="B181" s="3" t="s">
        <v>182</v>
      </c>
      <c r="C181" s="3" t="str">
        <f>IFERROR(__xludf.DUMMYFUNCTION("GOOGLETRANSLATE(B181,""id"",""en"")"),"['Hallo', 'Telkomsel', 'Suggestion', 'Developer', 'suggest', 'Professional', 'Credit', 'suggest', 'feature', 'locking', 'pulses',' pulses', ' Sumpot ',' fair ',' disappointing ',' user ',' meets', 'user', 'eat', 'salary', 'blind', 'disappointed', 'pulse',"&amp;" 'stuff', 'finished' , 'Help', 'quota', 'run out', 'feature', 'lock', 'pulse', 'application', 'mytelkomsel', 'thank', 'love', ""]")</f>
        <v>['Hallo', 'Telkomsel', 'Suggestion', 'Developer', 'suggest', 'Professional', 'Credit', 'suggest', 'feature', 'locking', 'pulses',' pulses', ' Sumpot ',' fair ',' disappointing ',' user ',' meets', 'user', 'eat', 'salary', 'blind', 'disappointed', 'pulse', 'stuff', 'finished' , 'Help', 'quota', 'run out', 'feature', 'lock', 'pulse', 'application', 'mytelkomsel', 'thank', 'love', "]</v>
      </c>
      <c r="D181" s="3">
        <v>3.0</v>
      </c>
    </row>
    <row r="182" ht="15.75" customHeight="1">
      <c r="A182" s="1">
        <v>180.0</v>
      </c>
      <c r="B182" s="3" t="s">
        <v>183</v>
      </c>
      <c r="C182" s="3" t="str">
        <f>IFERROR(__xludf.DUMMYFUNCTION("GOOGLETRANSLATE(B182,""id"",""en"")"),"['', 'area', 'Wamena', 'exact', 'around', 'market', 'Sinakma', 'signal', 'forgiveness',' brother ',' President ',' visit ',' signal ',' good ',' rival ',' signal ',' collapse ',' speed ',' like ',' heart ',' read ',' please ',' share ',' provider ',' comp"&amp;"ete ', 'Telkomsel', '']")</f>
        <v>['', 'area', 'Wamena', 'exact', 'around', 'market', 'Sinakma', 'signal', 'forgiveness',' brother ',' President ',' visit ',' signal ',' good ',' rival ',' signal ',' collapse ',' speed ',' like ',' heart ',' read ',' please ',' share ',' provider ',' compete ', 'Telkomsel', '']</v>
      </c>
      <c r="D182" s="3">
        <v>1.0</v>
      </c>
    </row>
    <row r="183" ht="15.75" customHeight="1">
      <c r="A183" s="1">
        <v>181.0</v>
      </c>
      <c r="B183" s="3" t="s">
        <v>184</v>
      </c>
      <c r="C183" s="3" t="str">
        <f>IFERROR(__xludf.DUMMYFUNCTION("GOOGLETRANSLATE(B183,""id"",""en"")"),"['Member', 'Platinum', 'Telkomsel', 'Trying', 'Silver', 'Package', 'Internet', 'Telkomsel', 'Tucked', 'Free', 'Tsel', 'Voice', ' minutes', 'free', 'sms',' tip ',' redundant ',' different ',' buy ',' package ',' data ',' can ',' package ',' data ',' free '"&amp;" , 'then', 'price', 'cheap', 'thank', 'love', 'Telkomsel', 'giving birth', ""]")</f>
        <v>['Member', 'Platinum', 'Telkomsel', 'Trying', 'Silver', 'Package', 'Internet', 'Telkomsel', 'Tucked', 'Free', 'Tsel', 'Voice', ' minutes', 'free', 'sms',' tip ',' redundant ',' different ',' buy ',' package ',' data ',' can ',' package ',' data ',' free ' , 'then', 'price', 'cheap', 'thank', 'love', 'Telkomsel', 'giving birth', "]</v>
      </c>
      <c r="D183" s="3">
        <v>3.0</v>
      </c>
    </row>
    <row r="184" ht="15.75" customHeight="1">
      <c r="A184" s="1">
        <v>182.0</v>
      </c>
      <c r="B184" s="3" t="s">
        <v>185</v>
      </c>
      <c r="C184" s="3" t="str">
        <f>IFERROR(__xludf.DUMMYFUNCTION("GOOGLETRANSLATE(B184,""id"",""en"")"),"['', 'said', 'deh', 'gaes',' satisfaction ',' convenience ',' needs', 'kouta', 'monthly', 'daily', 'gaes',' telkomsel ',' ngadin ',' Undi ',' Happy ',' customers', 'loyal', 'entertainment', 'Yuk', 'dwonload', 'the application', '']")</f>
        <v>['', 'said', 'deh', 'gaes',' satisfaction ',' convenience ',' needs', 'kouta', 'monthly', 'daily', 'gaes',' telkomsel ',' ngadin ',' Undi ',' Happy ',' customers', 'loyal', 'entertainment', 'Yuk', 'dwonload', 'the application', '']</v>
      </c>
      <c r="D184" s="3">
        <v>5.0</v>
      </c>
    </row>
    <row r="185" ht="15.75" customHeight="1">
      <c r="A185" s="1">
        <v>183.0</v>
      </c>
      <c r="B185" s="3" t="s">
        <v>186</v>
      </c>
      <c r="C185" s="3" t="str">
        <f>IFERROR(__xludf.DUMMYFUNCTION("GOOGLETRANSLATE(B185,""id"",""en"")"),"['Telkomsel', 'sort', 'quota', 'pulse', 'automatic', 'quota', 'run out', 'credit', 'truncated', 'internet', 'harmed', ""]")</f>
        <v>['Telkomsel', 'sort', 'quota', 'pulse', 'automatic', 'quota', 'run out', 'credit', 'truncated', 'internet', 'harmed', "]</v>
      </c>
      <c r="D185" s="3">
        <v>3.0</v>
      </c>
    </row>
    <row r="186" ht="15.75" customHeight="1">
      <c r="A186" s="1">
        <v>184.0</v>
      </c>
      <c r="B186" s="3" t="s">
        <v>187</v>
      </c>
      <c r="C186" s="3" t="str">
        <f>IFERROR(__xludf.DUMMYFUNCTION("GOOGLETRANSLATE(B186,""id"",""en"")"),"['Open', 'application', 'writing', 'connection', 'stable', 'mah', 'smooth', 'please', 'fix', 'the application', 'min', '']")</f>
        <v>['Open', 'application', 'writing', 'connection', 'stable', 'mah', 'smooth', 'please', 'fix', 'the application', 'min', '']</v>
      </c>
      <c r="D186" s="3">
        <v>2.0</v>
      </c>
    </row>
    <row r="187" ht="15.75" customHeight="1">
      <c r="A187" s="1">
        <v>185.0</v>
      </c>
      <c r="B187" s="3" t="s">
        <v>188</v>
      </c>
      <c r="C187" s="3" t="str">
        <f>IFERROR(__xludf.DUMMYFUNCTION("GOOGLETRANSLATE(B187,""id"",""en"")"),"['use', 'Telkomsel', 'difficult', 'open', 'application', 'write', 'connection', 'stable', 'bad', 'luck', 'for', 'Telkomsel']")</f>
        <v>['use', 'Telkomsel', 'difficult', 'open', 'application', 'write', 'connection', 'stable', 'bad', 'luck', 'for', 'Telkomsel']</v>
      </c>
      <c r="D187" s="3">
        <v>1.0</v>
      </c>
    </row>
    <row r="188" ht="15.75" customHeight="1">
      <c r="A188" s="1">
        <v>186.0</v>
      </c>
      <c r="B188" s="3" t="s">
        <v>189</v>
      </c>
      <c r="C188" s="3" t="str">
        <f>IFERROR(__xludf.DUMMYFUNCTION("GOOGLETRANSLATE(B188,""id"",""en"")"),"['thank', 'love', 'service', 'APS', 'Telkomsel', 'disappointed', 'network', 'stable', 'date', 'April', 'the network', 'slow', ' Stable ',' hope ',' action ',' overcome ',' connection ',' stable ',' ']")</f>
        <v>['thank', 'love', 'service', 'APS', 'Telkomsel', 'disappointed', 'network', 'stable', 'date', 'April', 'the network', 'slow', ' Stable ',' hope ',' action ',' overcome ',' connection ',' stable ',' ']</v>
      </c>
      <c r="D188" s="3">
        <v>2.0</v>
      </c>
    </row>
    <row r="189" ht="15.75" customHeight="1">
      <c r="A189" s="1">
        <v>187.0</v>
      </c>
      <c r="B189" s="3" t="s">
        <v>190</v>
      </c>
      <c r="C189" s="3" t="str">
        <f>IFERROR(__xludf.DUMMYFUNCTION("GOOGLETRANSLATE(B189,""id"",""en"")"),"['Disappointed', 'Telkomsel', 'On', 'Notification', 'APK', 'HARD', 'Opened', 'Admin', 'Judging', 'Goodloking', 'Thank "",' love']")</f>
        <v>['Disappointed', 'Telkomsel', 'On', 'Notification', 'APK', 'HARD', 'Opened', 'Admin', 'Judging', 'Goodloking', 'Thank ",' love']</v>
      </c>
      <c r="D189" s="3">
        <v>2.0</v>
      </c>
    </row>
    <row r="190" ht="15.75" customHeight="1">
      <c r="A190" s="1">
        <v>188.0</v>
      </c>
      <c r="B190" s="3" t="s">
        <v>191</v>
      </c>
      <c r="C190" s="3" t="str">
        <f>IFERROR(__xludf.DUMMYFUNCTION("GOOGLETRANSLATE(B190,""id"",""en"")"),"['Package', 'self-help', 'available', 'backward', 'price', 'package', 'quota', 'available', 'expensive']")</f>
        <v>['Package', 'self-help', 'available', 'backward', 'price', 'package', 'quota', 'available', 'expensive']</v>
      </c>
      <c r="D190" s="3">
        <v>1.0</v>
      </c>
    </row>
    <row r="191" ht="15.75" customHeight="1">
      <c r="A191" s="1">
        <v>189.0</v>
      </c>
      <c r="B191" s="3" t="s">
        <v>192</v>
      </c>
      <c r="C191" s="3" t="str">
        <f>IFERROR(__xludf.DUMMYFUNCTION("GOOGLETRANSLATE(B191,""id"",""en"")"),"['Min', 'Please', 'reviewed', 'reset', 'Package', 'Telkomsel', 'Unlimited', 'FUP', 'Customer', 'Comfortable', 'Package', 'Unlimited', ' FUP ',' Personal ',' Disappointed ',' Update ',' Latest ',' Package ',' Unlimited ',' Telkomsel ',' Notabene ',' Limite"&amp;"d ',' FUP ',' Hopefully ',' Next ' , 'Package', 'Unlimited', 'FUP', 'Trimakasih', ""]")</f>
        <v>['Min', 'Please', 'reviewed', 'reset', 'Package', 'Telkomsel', 'Unlimited', 'FUP', 'Customer', 'Comfortable', 'Package', 'Unlimited', ' FUP ',' Personal ',' Disappointed ',' Update ',' Latest ',' Package ',' Unlimited ',' Telkomsel ',' Notabene ',' Limited ',' FUP ',' Hopefully ',' Next ' , 'Package', 'Unlimited', 'FUP', 'Trimakasih', "]</v>
      </c>
      <c r="D191" s="3">
        <v>1.0</v>
      </c>
    </row>
    <row r="192" ht="15.75" customHeight="1">
      <c r="A192" s="1">
        <v>190.0</v>
      </c>
      <c r="B192" s="3" t="s">
        <v>193</v>
      </c>
      <c r="C192" s="3" t="str">
        <f>IFERROR(__xludf.DUMMYFUNCTION("GOOGLETRANSLATE(B192,""id"",""en"")"),"['Network', 'ugly', 'disorder', 'kah', 'purchase', 'package', 'networksibuk', 'yesterday', 'second', 'love', 'fix', 'kah' Network ',' kah ',' ']")</f>
        <v>['Network', 'ugly', 'disorder', 'kah', 'purchase', 'package', 'networksibuk', 'yesterday', 'second', 'love', 'fix', 'kah' Network ',' kah ',' ']</v>
      </c>
      <c r="D192" s="3">
        <v>1.0</v>
      </c>
    </row>
    <row r="193" ht="15.75" customHeight="1">
      <c r="A193" s="1">
        <v>191.0</v>
      </c>
      <c r="B193" s="3" t="s">
        <v>194</v>
      </c>
      <c r="C193" s="3" t="str">
        <f>IFERROR(__xludf.DUMMYFUNCTION("GOOGLETRANSLATE(B193,""id"",""en"")"),"['Unlimited', 'limit', 'kouta', 'disappointed', 'times',' unlimited ',' dibertet ',' lemott ',' please ',' klw ',' unlimited ',' limit ',' poor ',' Telkomsel ',' cheat ']")</f>
        <v>['Unlimited', 'limit', 'kouta', 'disappointed', 'times',' unlimited ',' dibertet ',' lemott ',' please ',' klw ',' unlimited ',' limit ',' poor ',' Telkomsel ',' cheat ']</v>
      </c>
      <c r="D193" s="3">
        <v>1.0</v>
      </c>
    </row>
    <row r="194" ht="15.75" customHeight="1">
      <c r="A194" s="1">
        <v>192.0</v>
      </c>
      <c r="B194" s="3" t="s">
        <v>195</v>
      </c>
      <c r="C194" s="3" t="str">
        <f>IFERROR(__xludf.DUMMYFUNCTION("GOOGLETRANSLATE(B194,""id"",""en"")"),"['See', 'Package', 'One', 'Click', 'Slide', 'Slide', 'Simple', 'Histori', 'Purchase', 'Package', 'Heager', 'Space', ' Reduced ',' Level ',' Customer ',' Buy ',' Package ',' APK ',' Difficult ',' Alias', 'Error', 'APK', 'Write', 'Unlimited', 'Honest' , 'Th"&amp;"anks']")</f>
        <v>['See', 'Package', 'One', 'Click', 'Slide', 'Slide', 'Simple', 'Histori', 'Purchase', 'Package', 'Heager', 'Space', ' Reduced ',' Level ',' Customer ',' Buy ',' Package ',' APK ',' Difficult ',' Alias', 'Error', 'APK', 'Write', 'Unlimited', 'Honest' , 'Thanks']</v>
      </c>
      <c r="D194" s="3">
        <v>1.0</v>
      </c>
    </row>
    <row r="195" ht="15.75" customHeight="1">
      <c r="A195" s="1">
        <v>193.0</v>
      </c>
      <c r="B195" s="3" t="s">
        <v>196</v>
      </c>
      <c r="C195" s="3" t="str">
        <f>IFERROR(__xludf.DUMMYFUNCTION("GOOGLETRANSLATE(B195,""id"",""en"")"),"['Main', 'Game', 'Moba', 'Signal', 'Bad', 'Nian', 'Suggest', 'Wear', 'Provider', 'Telkomsel', 'Meng', 'UPGTADE', ' Signal ',' The wearer ',' Cianjur ',' Fair ',' Suggest ',' Search ',' Partner ',' Private ',' Foreign ',' Professional ',' Wear ',' Samsung "&amp;"', ""]")</f>
        <v>['Main', 'Game', 'Moba', 'Signal', 'Bad', 'Nian', 'Suggest', 'Wear', 'Provider', 'Telkomsel', 'Meng', 'UPGTADE', ' Signal ',' The wearer ',' Cianjur ',' Fair ',' Suggest ',' Search ',' Partner ',' Private ',' Foreign ',' Professional ',' Wear ',' Samsung ', "]</v>
      </c>
      <c r="D195" s="3">
        <v>2.0</v>
      </c>
    </row>
    <row r="196" ht="15.75" customHeight="1">
      <c r="A196" s="1">
        <v>194.0</v>
      </c>
      <c r="B196" s="3" t="s">
        <v>197</v>
      </c>
      <c r="C196" s="3" t="str">
        <f>IFERROR(__xludf.DUMMYFUNCTION("GOOGLETRANSLATE(B196,""id"",""en"")"),"['Telkomsel', 'Region', 'here', 'Ancur', 'Please', 'Fix', 'Expand', 'The Network', 'Please', 'Response', 'Conscers',' Action ',' Kukiti ',' About ',' Jngn ',' Reaping ',' Disappointment ',' Thank you ', ""]")</f>
        <v>['Telkomsel', 'Region', 'here', 'Ancur', 'Please', 'Fix', 'Expand', 'The Network', 'Please', 'Response', 'Conscers',' Action ',' Kukiti ',' About ',' Jngn ',' Reaping ',' Disappointment ',' Thank you ', "]</v>
      </c>
      <c r="D196" s="3">
        <v>1.0</v>
      </c>
    </row>
    <row r="197" ht="15.75" customHeight="1">
      <c r="A197" s="1">
        <v>195.0</v>
      </c>
      <c r="B197" s="3" t="s">
        <v>198</v>
      </c>
      <c r="C197" s="3" t="str">
        <f>IFERROR(__xludf.DUMMYFUNCTION("GOOGLETRANSLATE(B197,""id"",""en"")"),"['network', 'error', 'signal', 'stable', 'Telkomsel', 'repaired', 'switch', 'provider', 'affordable', 'price', 'expensive', 'network', ' error ',' signal ',' stable ']")</f>
        <v>['network', 'error', 'signal', 'stable', 'Telkomsel', 'repaired', 'switch', 'provider', 'affordable', 'price', 'expensive', 'network', ' error ',' signal ',' stable ']</v>
      </c>
      <c r="D197" s="3">
        <v>1.0</v>
      </c>
    </row>
    <row r="198" ht="15.75" customHeight="1">
      <c r="A198" s="1">
        <v>196.0</v>
      </c>
      <c r="B198" s="3" t="s">
        <v>199</v>
      </c>
      <c r="C198" s="3" t="str">
        <f>IFERROR(__xludf.DUMMYFUNCTION("GOOGLETRANSLATE(B198,""id"",""en"")"),"['Hallo', 'admin', 'clock', 'card', 'Telkomsel', 'missing', 'network', 'anything', 'network', 'card', 'Telkomsel', 'card', ' signal ',' lost ',' service ',' until ',' check ',' apply ',' card ',' expiration ',' card ',' beg ',' help ',' because 'panicked'"&amp;" , 'Network', 'Connect', 'Telkomsel', 'Good', 'The Network', '']")</f>
        <v>['Hallo', 'admin', 'clock', 'card', 'Telkomsel', 'missing', 'network', 'anything', 'network', 'card', 'Telkomsel', 'card', ' signal ',' lost ',' service ',' until ',' check ',' apply ',' card ',' expiration ',' card ',' beg ',' help ',' because 'panicked' , 'Network', 'Connect', 'Telkomsel', 'Good', 'The Network', '']</v>
      </c>
      <c r="D198" s="3">
        <v>3.0</v>
      </c>
    </row>
    <row r="199" ht="15.75" customHeight="1">
      <c r="A199" s="1">
        <v>197.0</v>
      </c>
      <c r="B199" s="3" t="s">
        <v>200</v>
      </c>
      <c r="C199" s="3" t="str">
        <f>IFERROR(__xludf.DUMMYFUNCTION("GOOGLETRANSLATE(B199,""id"",""en"")"),"['CMA', 'Mnta', 'Update', 'Doang', 'Update', 'Network', 'Internet', 'Bad', 'Telkomsel', 'Sya', 'Dangan', 'Package', ' Expensive ',' BSA ',' Jamin ',' Snyal ',' Good ',' ugly ',' Report ',' Tower ',' Tower ',' High School ',' Call ',' Center ',' Hnya ' , '"&amp;"instructions',' doang ',' acts', 'continue', 'bnerin', 'dngan', 'please', 'repair', 'krna', 'internet', 'skrang', 'jdi', ' Needs', 'work', '']")</f>
        <v>['CMA', 'Mnta', 'Update', 'Doang', 'Update', 'Network', 'Internet', 'Bad', 'Telkomsel', 'Sya', 'Dangan', 'Package', ' Expensive ',' BSA ',' Jamin ',' Snyal ',' Good ',' ugly ',' Report ',' Tower ',' Tower ',' High School ',' Call ',' Center ',' Hnya ' , 'instructions',' doang ',' acts', 'continue', 'bnerin', 'dngan', 'please', 'repair', 'krna', 'internet', 'skrang', 'jdi', ' Needs', 'work', '']</v>
      </c>
      <c r="D199" s="3">
        <v>1.0</v>
      </c>
    </row>
    <row r="200" ht="15.75" customHeight="1">
      <c r="A200" s="1">
        <v>198.0</v>
      </c>
      <c r="B200" s="3" t="s">
        <v>201</v>
      </c>
      <c r="C200" s="3" t="str">
        <f>IFERROR(__xludf.DUMMYFUNCTION("GOOGLETRANSLATE(B200,""id"",""en"")"),"['Open', 'boss',' RAM ',' RAM ',' KALEEE ',' Open ',' Please ',' Sorry ',' Move ',' Operator ',' Next to ',' Thanks', ' Very ',' much ']")</f>
        <v>['Open', 'boss',' RAM ',' RAM ',' KALEEE ',' Open ',' Please ',' Sorry ',' Move ',' Operator ',' Next to ',' Thanks', ' Very ',' much ']</v>
      </c>
      <c r="D200" s="3">
        <v>1.0</v>
      </c>
    </row>
    <row r="201" ht="15.75" customHeight="1">
      <c r="A201" s="1">
        <v>199.0</v>
      </c>
      <c r="B201" s="3" t="s">
        <v>202</v>
      </c>
      <c r="C201" s="3" t="str">
        <f>IFERROR(__xludf.DUMMYFUNCTION("GOOGLETRANSLATE(B201,""id"",""en"")"),"['Telkomsel', 'Weakening', 'Dead', 'Lights',' Signal ',' Lost ',' Error ',' Open ',' Telkomsel ',' Come ',' Network ',' Telkomsel ',' Kyk ',' buy ',' quota ',' Telkomsel ',' expensive ',' appeal ',' krna ',' think ',' quality ',' network ',' good ',' plea"&amp;"se ',' noticed ' , 'thank you']")</f>
        <v>['Telkomsel', 'Weakening', 'Dead', 'Lights',' Signal ',' Lost ',' Error ',' Open ',' Telkomsel ',' Come ',' Network ',' Telkomsel ',' Kyk ',' buy ',' quota ',' Telkomsel ',' expensive ',' appeal ',' krna ',' think ',' quality ',' network ',' good ',' please ',' noticed ' , 'thank you']</v>
      </c>
      <c r="D201" s="3">
        <v>1.0</v>
      </c>
    </row>
    <row r="202" ht="15.75" customHeight="1">
      <c r="A202" s="1">
        <v>200.0</v>
      </c>
      <c r="B202" s="3" t="s">
        <v>203</v>
      </c>
      <c r="C202" s="3" t="str">
        <f>IFERROR(__xludf.DUMMYFUNCTION("GOOGLETRANSLATE(B202,""id"",""en"")"),"['signal', 'Telkomsel', 'really', 'maxunlimitid', 'cheap', 'ugly', 'expensive', 'ugly', 'signal', 'severe', 'severe', 'fix', ' cards', 'Indonesia', 'quality', 'signal', 'kek', 'ngeselin']")</f>
        <v>['signal', 'Telkomsel', 'really', 'maxunlimitid', 'cheap', 'ugly', 'expensive', 'ugly', 'signal', 'severe', 'severe', 'fix', ' cards', 'Indonesia', 'quality', 'signal', 'kek', 'ngeselin']</v>
      </c>
      <c r="D202" s="3">
        <v>1.0</v>
      </c>
    </row>
    <row r="203" ht="15.75" customHeight="1">
      <c r="A203" s="1">
        <v>201.0</v>
      </c>
      <c r="B203" s="3" t="s">
        <v>204</v>
      </c>
      <c r="C203" s="3" t="str">
        <f>IFERROR(__xludf.DUMMYFUNCTION("GOOGLETRANSLATE(B203,""id"",""en"")"),"['Network', 'bad', 'subscription', 'card', 'Hello', 'network', 'missing', 'used', 'play', 'game', 'ugly', 'severe', ' Expensive ',' Doang ',' Telkomsel ',' Performance ',' Bad ',' ']")</f>
        <v>['Network', 'bad', 'subscription', 'card', 'Hello', 'network', 'missing', 'used', 'play', 'game', 'ugly', 'severe', ' Expensive ',' Doang ',' Telkomsel ',' Performance ',' Bad ',' ']</v>
      </c>
      <c r="D203" s="3">
        <v>1.0</v>
      </c>
    </row>
    <row r="204" ht="15.75" customHeight="1">
      <c r="A204" s="1">
        <v>202.0</v>
      </c>
      <c r="B204" s="3" t="s">
        <v>205</v>
      </c>
      <c r="C204" s="3" t="str">
        <f>IFERROR(__xludf.DUMMYFUNCTION("GOOGLETRANSLATE(B204,""id"",""en"")"),"['Disappointed', 'really', 'his web', 'special', 'area', 'Demak', 'Most', 'Disorders',' As a result ',' credit ',' score ',' wrong ',' Game ',' Reduced ',' Karna ',' France ',' AFK ',' Please ',' Admin ',' Fix ',' Network ',' Region ',' Demak ',' Centrale"&amp;"ng ']")</f>
        <v>['Disappointed', 'really', 'his web', 'special', 'area', 'Demak', 'Most', 'Disorders',' As a result ',' credit ',' score ',' wrong ',' Game ',' Reduced ',' Karna ',' France ',' AFK ',' Please ',' Admin ',' Fix ',' Network ',' Region ',' Demak ',' Centraleng ']</v>
      </c>
      <c r="D204" s="3">
        <v>1.0</v>
      </c>
    </row>
    <row r="205" ht="15.75" customHeight="1">
      <c r="A205" s="1">
        <v>203.0</v>
      </c>
      <c r="B205" s="3" t="s">
        <v>206</v>
      </c>
      <c r="C205" s="3" t="str">
        <f>IFERROR(__xludf.DUMMYFUNCTION("GOOGLETRANSLATE(B205,""id"",""en"")"),"['Heh', 'GMNA', 'Telkomsel', 'Network', 'Bener', 'Bener', 'Kasian', 'yaa', 'brother', 'cave', 'play', 'game', ' losestreak ',' times', 'Gara', 'Gara', 'Network', 'yes',' network ',' ilang ',' hail ',' kek ',' doi ',' so ',' tomorrow ' , 'tomorrow', 'pleas"&amp;"e', 'really', 'mah', 'network', 'smooth', 'rich', 'rocket', 'oke', '']")</f>
        <v>['Heh', 'GMNA', 'Telkomsel', 'Network', 'Bener', 'Bener', 'Kasian', 'yaa', 'brother', 'cave', 'play', 'game', ' losestreak ',' times', 'Gara', 'Gara', 'Network', 'yes',' network ',' ilang ',' hail ',' kek ',' doi ',' so ',' tomorrow ' , 'tomorrow', 'please', 'really', 'mah', 'network', 'smooth', 'rich', 'rocket', 'oke', '']</v>
      </c>
      <c r="D205" s="3">
        <v>1.0</v>
      </c>
    </row>
    <row r="206" ht="15.75" customHeight="1">
      <c r="A206" s="1">
        <v>204.0</v>
      </c>
      <c r="B206" s="3" t="s">
        <v>207</v>
      </c>
      <c r="C206" s="3" t="str">
        <f>IFERROR(__xludf.DUMMYFUNCTION("GOOGLETRANSLATE(B206,""id"",""en"")"),"['Bad', 'Network', 'You', 'Temomksel', 'Moving', 'Card', 'Untunynya', 'Use', 'Card', 'Telkomsel', 'Udh', 'Package', ' expensive ',' network ',' ugly ',' city ',' ']")</f>
        <v>['Bad', 'Network', 'You', 'Temomksel', 'Moving', 'Card', 'Untunynya', 'Use', 'Card', 'Telkomsel', 'Udh', 'Package', ' expensive ',' network ',' ugly ',' city ',' ']</v>
      </c>
      <c r="D206" s="3">
        <v>1.0</v>
      </c>
    </row>
    <row r="207" ht="15.75" customHeight="1">
      <c r="A207" s="1">
        <v>205.0</v>
      </c>
      <c r="B207" s="3" t="s">
        <v>208</v>
      </c>
      <c r="C207" s="3" t="str">
        <f>IFERROR(__xludf.DUMMYFUNCTION("GOOGLETRANSLATE(B207,""id"",""en"")"),"['Downloads', 'Application', 'PDHL', 'Restart', 'Downloads', 'Application', 'Devices', 'Compatible', 'Application', 'Please', 'Explanation', '']")</f>
        <v>['Downloads', 'Application', 'PDHL', 'Restart', 'Downloads', 'Application', 'Devices', 'Compatible', 'Application', 'Please', 'Explanation', '']</v>
      </c>
      <c r="D207" s="3">
        <v>2.0</v>
      </c>
    </row>
    <row r="208" ht="15.75" customHeight="1">
      <c r="A208" s="1">
        <v>206.0</v>
      </c>
      <c r="B208" s="3" t="s">
        <v>209</v>
      </c>
      <c r="C208" s="3" t="str">
        <f>IFERROR(__xludf.DUMMYFUNCTION("GOOGLETRANSLATE(B208,""id"",""en"")"),"['How', 'solution', 'card', 'sympathy', 'entry', 'cook', 'grace', 'buy', 'card', 'hello', 'use', 'loyal', ' Telkomsel ',' solution ',' Review ',' removed ',' ']")</f>
        <v>['How', 'solution', 'card', 'sympathy', 'entry', 'cook', 'grace', 'buy', 'card', 'hello', 'use', 'loyal', ' Telkomsel ',' solution ',' Review ',' removed ',' ']</v>
      </c>
      <c r="D208" s="3">
        <v>1.0</v>
      </c>
    </row>
    <row r="209" ht="15.75" customHeight="1">
      <c r="A209" s="1">
        <v>207.0</v>
      </c>
      <c r="B209" s="3" t="s">
        <v>210</v>
      </c>
      <c r="C209" s="3" t="str">
        <f>IFERROR(__xludf.DUMMYFUNCTION("GOOGLETRANSLATE(B209,""id"",""en"")"),"['application', 'got', 'bug', 'difficult', 'login', 'control', 'system', 'please', 'policy', 'price', 'quota', 'cheap', ' Service ',' Bad ',' Consumers', 'Disappointed', 'Severe', 'Rating', 'Gubris',' Related ',' Repair ',' Rating ',' Jangn ',' Blame ',' "&amp;"Consumers' ]")</f>
        <v>['application', 'got', 'bug', 'difficult', 'login', 'control', 'system', 'please', 'policy', 'price', 'quota', 'cheap', ' Service ',' Bad ',' Consumers', 'Disappointed', 'Severe', 'Rating', 'Gubris',' Related ',' Repair ',' Rating ',' Jangn ',' Blame ',' Consumers' ]</v>
      </c>
      <c r="D209" s="3">
        <v>5.0</v>
      </c>
    </row>
    <row r="210" ht="15.75" customHeight="1">
      <c r="A210" s="1">
        <v>208.0</v>
      </c>
      <c r="B210" s="3" t="s">
        <v>211</v>
      </c>
      <c r="C210" s="3" t="str">
        <f>IFERROR(__xludf.DUMMYFUNCTION("GOOGLETRANSLATE(B210,""id"",""en"")"),"['Paraahhh', 'slow', 'rich', 'network', 'already', 'mah', 'expensive', 'price', 'pulse', 'quota', 'network', 'rich', ' conch ',' good ',' network ',' slow ',' gini ',' lbh ',' good ',' sikuning ',' easy ',' opened ',' signal ',' good ',' cheap ' , 'price'"&amp;", 'quota', 'internet', 'like', ""]")</f>
        <v>['Paraahhh', 'slow', 'rich', 'network', 'already', 'mah', 'expensive', 'price', 'pulse', 'quota', 'network', 'rich', ' conch ',' good ',' network ',' slow ',' gini ',' lbh ',' good ',' sikuning ',' easy ',' opened ',' signal ',' good ',' cheap ' , 'price', 'quota', 'internet', 'like', "]</v>
      </c>
      <c r="D210" s="3">
        <v>3.0</v>
      </c>
    </row>
    <row r="211" ht="15.75" customHeight="1">
      <c r="A211" s="1">
        <v>209.0</v>
      </c>
      <c r="B211" s="3" t="s">
        <v>212</v>
      </c>
      <c r="C211" s="3" t="str">
        <f>IFERROR(__xludf.DUMMYFUNCTION("GOOGLETRANSLATE(B211,""id"",""en"")"),"['Assalamu', 'Alaikum', 'Sis',' Admin ',' Fasting ',' Data ',' Cheap ',' Teller ',' Promo ',' Price ',' Package ',' Dour ',' package ',' data ',' thousand ',' lost ',' nelates', 'raised', 'price', 'package', 'sometimes',' rare ',' promo ',' Telkomsel ',' "&amp;"times' , 'Please', 'Sis',' Promo ',' Love ',' Telkomsel ',' Forward ',' Thank ',' Love ',' Definition ',' Sis', 'Admin', 'Wasalm', ' ']")</f>
        <v>['Assalamu', 'Alaikum', 'Sis',' Admin ',' Fasting ',' Data ',' Cheap ',' Teller ',' Promo ',' Price ',' Package ',' Dour ',' package ',' data ',' thousand ',' lost ',' nelates', 'raised', 'price', 'package', 'sometimes',' rare ',' promo ',' Telkomsel ',' times' , 'Please', 'Sis',' Promo ',' Love ',' Telkomsel ',' Forward ',' Thank ',' Love ',' Definition ',' Sis', 'Admin', 'Wasalm', ' ']</v>
      </c>
      <c r="D211" s="3">
        <v>5.0</v>
      </c>
    </row>
    <row r="212" ht="15.75" customHeight="1">
      <c r="A212" s="1">
        <v>210.0</v>
      </c>
      <c r="B212" s="3" t="s">
        <v>213</v>
      </c>
      <c r="C212" s="3" t="str">
        <f>IFERROR(__xludf.DUMMYFUNCTION("GOOGLETRANSLATE(B212,""id"",""en"")"),"['ugly', 'apk', 'login', 'gabisa', 'link', 'already', 'ttp', 'gabisa', 'login', 'unin', 'ttp', 'gabisa', ' Daily ',' Chek ',' like ',' missing ',' right ',' exchange ',' coin ',' gabisa ']")</f>
        <v>['ugly', 'apk', 'login', 'gabisa', 'link', 'already', 'ttp', 'gabisa', 'login', 'unin', 'ttp', 'gabisa', ' Daily ',' Chek ',' like ',' missing ',' right ',' exchange ',' coin ',' gabisa ']</v>
      </c>
      <c r="D212" s="3">
        <v>1.0</v>
      </c>
    </row>
    <row r="213" ht="15.75" customHeight="1">
      <c r="A213" s="1">
        <v>211.0</v>
      </c>
      <c r="B213" s="3" t="s">
        <v>214</v>
      </c>
      <c r="C213" s="3" t="str">
        <f>IFERROR(__xludf.DUMMYFUNCTION("GOOGLETRANSLATE(B213,""id"",""en"")"),"['WAOW', 'GraPARI', 'Telkomsel', 'Goodjoob', 'Steady', 'Easy', 'Fast', 'Simple', 'Customer', 'Friendly', 'Friendly', 'Thank you', ' Help ',' card ',' missing ',' info ',' info ',' best ',' easy ',' customer ',' mytelkomsel ',' thank ',' love ']")</f>
        <v>['WAOW', 'GraPARI', 'Telkomsel', 'Goodjoob', 'Steady', 'Easy', 'Fast', 'Simple', 'Customer', 'Friendly', 'Friendly', 'Thank you', ' Help ',' card ',' missing ',' info ',' info ',' best ',' easy ',' customer ',' mytelkomsel ',' thank ',' love ']</v>
      </c>
      <c r="D213" s="3">
        <v>5.0</v>
      </c>
    </row>
    <row r="214" ht="15.75" customHeight="1">
      <c r="A214" s="1">
        <v>212.0</v>
      </c>
      <c r="B214" s="3" t="s">
        <v>215</v>
      </c>
      <c r="C214" s="3" t="str">
        <f>IFERROR(__xludf.DUMMYFUNCTION("GOOGLETRANSLATE(B214,""id"",""en"")"),"['Help', 'customers',' loyal ',' Telkomsel ',' hope ',' package ',' internet ',' package ',' promote ',' overcome ',' internet ',' related ',' Income ',' community ',' pandemic ',' covid ', ""]")</f>
        <v>['Help', 'customers',' loyal ',' Telkomsel ',' hope ',' package ',' internet ',' package ',' promote ',' overcome ',' internet ',' related ',' Income ',' community ',' pandemic ',' covid ', "]</v>
      </c>
      <c r="D214" s="3">
        <v>5.0</v>
      </c>
    </row>
    <row r="215" ht="15.75" customHeight="1">
      <c r="A215" s="1">
        <v>213.0</v>
      </c>
      <c r="B215" s="3" t="s">
        <v>216</v>
      </c>
      <c r="C215" s="3" t="str">
        <f>IFERROR(__xludf.DUMMYFUNCTION("GOOGLETRANSLATE(B215,""id"",""en"")"),"['Excuse', 'min', 'knapa', 'vocher', 'tsel', 'territory', 'terrain', 'rare', 'production', 'vochernya', 'stopped', 'what', ' Please ',' Explanation ',' Min ',' Thanks', ""]")</f>
        <v>['Excuse', 'min', 'knapa', 'vocher', 'tsel', 'territory', 'terrain', 'rare', 'production', 'vochernya', 'stopped', 'what', ' Please ',' Explanation ',' Min ',' Thanks', "]</v>
      </c>
      <c r="D215" s="3">
        <v>5.0</v>
      </c>
    </row>
    <row r="216" ht="15.75" customHeight="1">
      <c r="A216" s="1">
        <v>214.0</v>
      </c>
      <c r="B216" s="3" t="s">
        <v>217</v>
      </c>
      <c r="C216" s="3" t="str">
        <f>IFERROR(__xludf.DUMMYFUNCTION("GOOGLETRANSLATE(B216,""id"",""en"")"),"['difficult', 'really', 'buy', 'package', 'choice', 'internet', 'omg', 'appears',' selected ',' please ',' telkomsel ',' repaired ',' buy ',' difficult ',' really ',' all day ']")</f>
        <v>['difficult', 'really', 'buy', 'package', 'choice', 'internet', 'omg', 'appears',' selected ',' please ',' telkomsel ',' repaired ',' buy ',' difficult ',' really ',' all day ']</v>
      </c>
      <c r="D216" s="3">
        <v>1.0</v>
      </c>
    </row>
    <row r="217" ht="15.75" customHeight="1">
      <c r="A217" s="1">
        <v>215.0</v>
      </c>
      <c r="B217" s="3" t="s">
        <v>218</v>
      </c>
      <c r="C217" s="3" t="str">
        <f>IFERROR(__xludf.DUMMYFUNCTION("GOOGLETRANSLATE(B217,""id"",""en"")"),"['price', 'package', 'price', 'ride', 'kouta', 'internet', 'reduced', 'price', 'expensive', 'package', 'love', 'rich', ' package ',' combo ',' according to ',' price ',' unlimited ',' multimedia ',' price ',' kouta ',' unlimited ',' limit ',' kek ',' rich"&amp;" ',' free ' , 'Out', 'On']")</f>
        <v>['price', 'package', 'price', 'ride', 'kouta', 'internet', 'reduced', 'price', 'expensive', 'package', 'love', 'rich', ' package ',' combo ',' according to ',' price ',' unlimited ',' multimedia ',' price ',' kouta ',' unlimited ',' limit ',' kek ',' rich ',' free ' , 'Out', 'On']</v>
      </c>
      <c r="D217" s="3">
        <v>1.0</v>
      </c>
    </row>
    <row r="218" ht="15.75" customHeight="1">
      <c r="A218" s="1">
        <v>216.0</v>
      </c>
      <c r="B218" s="3" t="s">
        <v>219</v>
      </c>
      <c r="C218" s="3" t="str">
        <f>IFERROR(__xludf.DUMMYFUNCTION("GOOGLETRANSLATE(B218,""id"",""en"")"),"['application', 'login', 'package', 'internet', 'package', 'login', 'already', 'login', 'apk', 'mytelkomsel', 'really', 'fun', ' run out ',' package ',' check ',' package ',' internet ',' difficult ',' forgiveness']")</f>
        <v>['application', 'login', 'package', 'internet', 'package', 'login', 'already', 'login', 'apk', 'mytelkomsel', 'really', 'fun', ' run out ',' package ',' check ',' package ',' internet ',' difficult ',' forgiveness']</v>
      </c>
      <c r="D218" s="3">
        <v>3.0</v>
      </c>
    </row>
    <row r="219" ht="15.75" customHeight="1">
      <c r="A219" s="1">
        <v>217.0</v>
      </c>
      <c r="B219" s="3" t="s">
        <v>220</v>
      </c>
      <c r="C219" s="3" t="str">
        <f>IFERROR(__xludf.DUMMYFUNCTION("GOOGLETRANSLATE(B219,""id"",""en"")"),"['Telkomsel', 'Network', 'Ollial', 'remote', 'land', 'water', 'input', 'active', 'run out', 'please', 'left', 'quota', ' scorched ',' consumers', 'fill', 'reset', 'package', 'leftover', 'please', 'activate', ""]")</f>
        <v>['Telkomsel', 'Network', 'Ollial', 'remote', 'land', 'water', 'input', 'active', 'run out', 'please', 'left', 'quota', ' scorched ',' consumers', 'fill', 'reset', 'package', 'leftover', 'please', 'activate', "]</v>
      </c>
      <c r="D219" s="3">
        <v>4.0</v>
      </c>
    </row>
    <row r="220" ht="15.75" customHeight="1">
      <c r="A220" s="1">
        <v>218.0</v>
      </c>
      <c r="B220" s="3" t="s">
        <v>221</v>
      </c>
      <c r="C220" s="3" t="str">
        <f>IFERROR(__xludf.DUMMYFUNCTION("GOOGLETRANSLATE(B220,""id"",""en"")"),"['knapa', 'open', 'application', 'quota', 'already', 'that's',' network ',' Telkomsel ',' pulp ',' disappointed ',' make ',' Telkomsel ',' network']")</f>
        <v>['knapa', 'open', 'application', 'quota', 'already', 'that's',' network ',' Telkomsel ',' pulp ',' disappointed ',' make ',' Telkomsel ',' network']</v>
      </c>
      <c r="D220" s="3">
        <v>1.0</v>
      </c>
    </row>
    <row r="221" ht="15.75" customHeight="1">
      <c r="A221" s="1">
        <v>219.0</v>
      </c>
      <c r="B221" s="3" t="s">
        <v>222</v>
      </c>
      <c r="C221" s="3" t="str">
        <f>IFERROR(__xludf.DUMMYFUNCTION("GOOGLETRANSLATE(B221,""id"",""en"")"),"['Telkomsel', 'card', 'good', 'signal', 'strong', 'card', 'skrang', 'sya', 'disappointed', 'signal', 'disappointing', 'signal', ' HARD ',' City ',' Bandar ',' Lampung ',' Kampung ',' remote ',' Telkomsel ',' Syyak ',' Good ',' cards', 'Dinyal', 'Reverse',"&amp;" 'Telkomsel' , 'Singal', 'ugly', 'dead', 'lights', 'signal', 'ilang', 'Telkomsel', 'dead', 'lights', 'nge "",' signal ',' msh ',' Good ',' Please ',' Fix ',' ']")</f>
        <v>['Telkomsel', 'card', 'good', 'signal', 'strong', 'card', 'skrang', 'sya', 'disappointed', 'signal', 'disappointing', 'signal', ' HARD ',' City ',' Bandar ',' Lampung ',' Kampung ',' remote ',' Telkomsel ',' Syyak ',' Good ',' cards', 'Dinyal', 'Reverse', 'Telkomsel' , 'Singal', 'ugly', 'dead', 'lights', 'signal', 'ilang', 'Telkomsel', 'dead', 'lights', 'nge ",' signal ',' msh ',' Good ',' Please ',' Fix ',' ']</v>
      </c>
      <c r="D221" s="3">
        <v>1.0</v>
      </c>
    </row>
    <row r="222" ht="15.75" customHeight="1">
      <c r="A222" s="1">
        <v>220.0</v>
      </c>
      <c r="B222" s="3" t="s">
        <v>223</v>
      </c>
      <c r="C222" s="3" t="str">
        <f>IFERROR(__xludf.DUMMYFUNCTION("GOOGLETRANSLATE(B222,""id"",""en"")"),"['ugly', 'ugly', 'class',' Telkomsel ',' application ',' kyk ',' gini ',' open ',' app ',' error ',' wife ',' a minute ',' Login ',' natural ',' friend ', ""]")</f>
        <v>['ugly', 'ugly', 'class',' Telkomsel ',' application ',' kyk ',' gini ',' open ',' app ',' error ',' wife ',' a minute ',' Login ',' natural ',' friend ', "]</v>
      </c>
      <c r="D222" s="3">
        <v>1.0</v>
      </c>
    </row>
    <row r="223" ht="15.75" customHeight="1">
      <c r="A223" s="1">
        <v>221.0</v>
      </c>
      <c r="B223" s="3" t="s">
        <v>224</v>
      </c>
      <c r="C223" s="3" t="str">
        <f>IFERROR(__xludf.DUMMYFUNCTION("GOOGLETRANSLATE(B223,""id"",""en"")"),"['Login', 'complicated', 'link', 'alternating', 'kdg', 'difficult', 'clay', 'pulse', 'complaints',' signal ',' stable ',' pdhl ',' Telkomselrjut ',' Byk ',' menu ',' org ',' lazy ',' Look ',' updated ',' ugly ',' comfortable ',' really ']")</f>
        <v>['Login', 'complicated', 'link', 'alternating', 'kdg', 'difficult', 'clay', 'pulse', 'complaints',' signal ',' stable ',' pdhl ',' Telkomselrjut ',' Byk ',' menu ',' org ',' lazy ',' Look ',' updated ',' ugly ',' comfortable ',' really ']</v>
      </c>
      <c r="D223" s="3">
        <v>2.0</v>
      </c>
    </row>
    <row r="224" ht="15.75" customHeight="1">
      <c r="A224" s="1">
        <v>222.0</v>
      </c>
      <c r="B224" s="3" t="s">
        <v>225</v>
      </c>
      <c r="C224" s="3" t="str">
        <f>IFERROR(__xludf.DUMMYFUNCTION("GOOGLETRANSLATE(B224,""id"",""en"")"),"['Package', 'Ramadhan', 'Gini', 'Napa', 'Expensive', 'Disappointed', 'Network', 'Telkomsel', 'Region', 'Pekanbaru', 'SubANful', 'Ngeleg', ' Forgiveness', 'Customer', 'Telkomsel', 'loyal']")</f>
        <v>['Package', 'Ramadhan', 'Gini', 'Napa', 'Expensive', 'Disappointed', 'Network', 'Telkomsel', 'Region', 'Pekanbaru', 'SubANful', 'Ngeleg', ' Forgiveness', 'Customer', 'Telkomsel', 'loyal']</v>
      </c>
      <c r="D224" s="3">
        <v>2.0</v>
      </c>
    </row>
    <row r="225" ht="15.75" customHeight="1">
      <c r="A225" s="1">
        <v>223.0</v>
      </c>
      <c r="B225" s="3" t="s">
        <v>226</v>
      </c>
      <c r="C225" s="3" t="str">
        <f>IFERROR(__xludf.DUMMYFUNCTION("GOOGLETRANSLATE(B225,""id"",""en"")"),"['sell', 'package', 'use', 'network', 'skrang', 'weak', 'open', 'apk', 'sosmed', 'sja', 'slow', 'forgiveness',' play ',' game ',' please ',' gmna ',' solution ']")</f>
        <v>['sell', 'package', 'use', 'network', 'skrang', 'weak', 'open', 'apk', 'sosmed', 'sja', 'slow', 'forgiveness',' play ',' game ',' please ',' gmna ',' solution ']</v>
      </c>
      <c r="D225" s="3">
        <v>1.0</v>
      </c>
    </row>
    <row r="226" ht="15.75" customHeight="1">
      <c r="A226" s="1">
        <v>224.0</v>
      </c>
      <c r="B226" s="3" t="s">
        <v>227</v>
      </c>
      <c r="C226" s="3" t="str">
        <f>IFERROR(__xludf.DUMMYFUNCTION("GOOGLETRANSLATE(B226,""id"",""en"")"),"['application', 'Errr', 'Please', 'as' Provider ',' The biggest ',' Indonesia ',' Application ',' Telkomsel ',' Application ',' Team ',' Developer ',' Sekature ',' Telkomsel ',' Overcoming ',' Failure ',' Internet ',' Service ',' Make it easier ',' make i"&amp;"t difficult ',' Rating ',' Cave ',' Love ',' Full ',' ttep ' , 'Support', 'Application', 'Telkomsel', 'Numbers', 'Stay', 'Numbers', 'Satisfaction', 'Customer', 'Main', 'Pay', 'Free', ""]")</f>
        <v>['application', 'Errr', 'Please', 'as' Provider ',' The biggest ',' Indonesia ',' Application ',' Telkomsel ',' Application ',' Team ',' Developer ',' Sekature ',' Telkomsel ',' Overcoming ',' Failure ',' Internet ',' Service ',' Make it easier ',' make it difficult ',' Rating ',' Cave ',' Love ',' Full ',' ttep ' , 'Support', 'Application', 'Telkomsel', 'Numbers', 'Stay', 'Numbers', 'Satisfaction', 'Customer', 'Main', 'Pay', 'Free', "]</v>
      </c>
      <c r="D226" s="3">
        <v>5.0</v>
      </c>
    </row>
    <row r="227" ht="15.75" customHeight="1">
      <c r="A227" s="1">
        <v>225.0</v>
      </c>
      <c r="B227" s="3" t="s">
        <v>228</v>
      </c>
      <c r="C227" s="3" t="str">
        <f>IFERROR(__xludf.DUMMYFUNCTION("GOOGLETRANSLATE(B227,""id"",""en"")"),"['Tooly', 'Telkomsel', 'ugly', 'ngahk', 'help', 'Telkomsel', 'offer', 'promotion', 'profitable', 'harm', 'signal', 'ugly']")</f>
        <v>['Tooly', 'Telkomsel', 'ugly', 'ngahk', 'help', 'Telkomsel', 'offer', 'promotion', 'profitable', 'harm', 'signal', 'ugly']</v>
      </c>
      <c r="D227" s="3">
        <v>1.0</v>
      </c>
    </row>
    <row r="228" ht="15.75" customHeight="1">
      <c r="A228" s="1">
        <v>226.0</v>
      </c>
      <c r="B228" s="3" t="s">
        <v>229</v>
      </c>
      <c r="C228" s="3" t="str">
        <f>IFERROR(__xludf.DUMMYFUNCTION("GOOGLETRANSLATE(B228,""id"",""en"")"),"['Numbers',' active ',' subscribe ',' package ',' internet ',' a month ',' GB ',' telephone ',' minutes', 'sms',' price ',' expensive ',' Ketarmantg ',' card ',' number ',' sympathy ',' user ',' package ',' internet ',' GB ',' scheme ',' tariff ',' flatte"&amp;"n ',' user ',' sympathy ' , 'On', 'moved', 'subscribe', 'Telkomsel', 'replace', 'number', ""]")</f>
        <v>['Numbers',' active ',' subscribe ',' package ',' internet ',' a month ',' GB ',' telephone ',' minutes', 'sms',' price ',' expensive ',' Ketarmantg ',' card ',' number ',' sympathy ',' user ',' package ',' internet ',' GB ',' scheme ',' tariff ',' flatten ',' user ',' sympathy ' , 'On', 'moved', 'subscribe', 'Telkomsel', 'replace', 'number', "]</v>
      </c>
      <c r="D228" s="3">
        <v>2.0</v>
      </c>
    </row>
    <row r="229" ht="15.75" customHeight="1">
      <c r="A229" s="1">
        <v>227.0</v>
      </c>
      <c r="B229" s="3" t="s">
        <v>230</v>
      </c>
      <c r="C229" s="3" t="str">
        <f>IFERROR(__xludf.DUMMYFUNCTION("GOOGLETRANSLATE(B229,""id"",""en"")"),"['ugly', 'Telkomsel', 'application', 'Telkomsel', 'package', 'promo', 'rb', 'pajang', 'telkomsel', 'buy', 'package', 'response', ' Telkomsel ',' main ',' Telkomsel ',' ']")</f>
        <v>['ugly', 'Telkomsel', 'application', 'Telkomsel', 'package', 'promo', 'rb', 'pajang', 'telkomsel', 'buy', 'package', 'response', ' Telkomsel ',' main ',' Telkomsel ',' ']</v>
      </c>
      <c r="D229" s="3">
        <v>1.0</v>
      </c>
    </row>
    <row r="230" ht="15.75" customHeight="1">
      <c r="A230" s="1">
        <v>228.0</v>
      </c>
      <c r="B230" s="3" t="s">
        <v>231</v>
      </c>
      <c r="C230" s="3" t="str">
        <f>IFERROR(__xludf.DUMMYFUNCTION("GOOGLETRANSLATE(B230,""id"",""en"")"),"['', 'March', 'buy', 'Card', 'Telkomsel', 'number', 'Wrong', 'Connect', 'Looking', 'People', 'Network', 'Telkomsel', 'Slow ',' quota ',' network ',' slow ',' reply ',' chat ',' whatsapp ',' ']")</f>
        <v>['', 'March', 'buy', 'Card', 'Telkomsel', 'number', 'Wrong', 'Connect', 'Looking', 'People', 'Network', 'Telkomsel', 'Slow ',' quota ',' network ',' slow ',' reply ',' chat ',' whatsapp ',' ']</v>
      </c>
      <c r="D230" s="3">
        <v>1.0</v>
      </c>
    </row>
    <row r="231" ht="15.75" customHeight="1">
      <c r="A231" s="1">
        <v>229.0</v>
      </c>
      <c r="B231" s="3" t="s">
        <v>232</v>
      </c>
      <c r="C231" s="3" t="str">
        <f>IFERROR(__xludf.DUMMYFUNCTION("GOOGLETRANSLATE(B231,""id"",""en"")"),"['buy', 'quota', 'Telkomsel', 'payment', 'via', 'ovo', 'balance', 'reduced', 'appears',' invoice ',' quota ',' enter ',' GraPARI ',' Nearest ',' Agreement ',' work ',' notification ',' news']")</f>
        <v>['buy', 'quota', 'Telkomsel', 'payment', 'via', 'ovo', 'balance', 'reduced', 'appears',' invoice ',' quota ',' enter ',' GraPARI ',' Nearest ',' Agreement ',' work ',' notification ',' news']</v>
      </c>
      <c r="D231" s="3">
        <v>1.0</v>
      </c>
    </row>
    <row r="232" ht="15.75" customHeight="1">
      <c r="A232" s="1">
        <v>230.0</v>
      </c>
      <c r="B232" s="3" t="s">
        <v>233</v>
      </c>
      <c r="C232" s="3" t="str">
        <f>IFERROR(__xludf.DUMMYFUNCTION("GOOGLETRANSLATE(B232,""id"",""en"")"),"['Come', 'Severe', 'User', 'Reward', 'Hargane', 'Unlimited', 'Limit', ""]")</f>
        <v>['Come', 'Severe', 'User', 'Reward', 'Hargane', 'Unlimited', 'Limit', "]</v>
      </c>
      <c r="D232" s="3">
        <v>1.0</v>
      </c>
    </row>
    <row r="233" ht="15.75" customHeight="1">
      <c r="A233" s="1">
        <v>231.0</v>
      </c>
      <c r="B233" s="3" t="s">
        <v>234</v>
      </c>
      <c r="C233" s="3" t="str">
        <f>IFERROR(__xludf.DUMMYFUNCTION("GOOGLETRANSLATE(B233,""id"",""en"")"),"['Please', 'admin', 'Telkomsel', 'Lecture', 'Online', 'Network', 'ilang', 'Package', 'Genesis',' Upset ',' right ',' LGAI ',' Percentage ',' Network ',' ilang ',' Total ',' Disrupted ',' Genesis', 'Please', 'Fix', 'Network', 'Telkomsel', 'Region', 'Kecama"&amp;"tan', 'Kinali' , 'Capital', 'Pasaman', 'West', 'Sumatra', 'West', 'Indonesia', ""]")</f>
        <v>['Please', 'admin', 'Telkomsel', 'Lecture', 'Online', 'Network', 'ilang', 'Package', 'Genesis',' Upset ',' right ',' LGAI ',' Percentage ',' Network ',' ilang ',' Total ',' Disrupted ',' Genesis', 'Please', 'Fix', 'Network', 'Telkomsel', 'Region', 'Kecamatan', 'Kinali' , 'Capital', 'Pasaman', 'West', 'Sumatra', 'West', 'Indonesia', "]</v>
      </c>
      <c r="D233" s="3">
        <v>1.0</v>
      </c>
    </row>
    <row r="234" ht="15.75" customHeight="1">
      <c r="A234" s="1">
        <v>232.0</v>
      </c>
      <c r="B234" s="3" t="s">
        <v>235</v>
      </c>
      <c r="C234" s="3" t="str">
        <f>IFERROR(__xludf.DUMMYFUNCTION("GOOGLETRANSLATE(B234,""id"",""en"")"),"['signal', 'bad', 'buy', 'package', 'expensive', 'price', 'maen', 'game', 'pub', 'ngelike', 'times',' pink ',' LANS ',' Location ',' Madiun ',' City ',' Disappointed ',' Use ',' Telkomsel ',' Price ',' Expensive ',' Signal ',' Bad ',' Bintang ',' Kasi ' ,"&amp;" '']")</f>
        <v>['signal', 'bad', 'buy', 'package', 'expensive', 'price', 'maen', 'game', 'pub', 'ngelike', 'times',' pink ',' LANS ',' Location ',' Madiun ',' City ',' Disappointed ',' Use ',' Telkomsel ',' Price ',' Expensive ',' Signal ',' Bad ',' Bintang ',' Kasi ' , '']</v>
      </c>
      <c r="D234" s="3">
        <v>1.0</v>
      </c>
    </row>
    <row r="235" ht="15.75" customHeight="1">
      <c r="A235" s="1">
        <v>233.0</v>
      </c>
      <c r="B235" s="3" t="s">
        <v>236</v>
      </c>
      <c r="C235" s="3" t="str">
        <f>IFERROR(__xludf.DUMMYFUNCTION("GOOGLETRANSLATE(B235,""id"",""en"")"),"['Telkomsel', 'Tetep', 'expensive', 'price', 'compared', 'provider', 'quality', 'signal', 'quality', 'according to', 'price', 'Slide', ' signal ',' wind ',' anginan ',' ahh ',' mending ',' change ',' provider ',' laen ',' expensive ',' doank ',' wind ', "&amp;"""]")</f>
        <v>['Telkomsel', 'Tetep', 'expensive', 'price', 'compared', 'provider', 'quality', 'signal', 'quality', 'according to', 'price', 'Slide', ' signal ',' wind ',' anginan ',' ahh ',' mending ',' change ',' provider ',' laen ',' expensive ',' doank ',' wind ', "]</v>
      </c>
      <c r="D235" s="3">
        <v>1.0</v>
      </c>
    </row>
    <row r="236" ht="15.75" customHeight="1">
      <c r="A236" s="1">
        <v>234.0</v>
      </c>
      <c r="B236" s="3" t="s">
        <v>237</v>
      </c>
      <c r="C236" s="3" t="str">
        <f>IFERROR(__xludf.DUMMYFUNCTION("GOOGLETRANSLATE(B236,""id"",""en"")"),"['Change', 'Card', 'Telkomsel', 'expensive', 'DRPD', 'competitor', 'Please', 'studied', 'reset', 'service', 'replace', 'card', ' Customers', 'Satisfied', 'Bosss',' ']")</f>
        <v>['Change', 'Card', 'Telkomsel', 'expensive', 'DRPD', 'competitor', 'Please', 'studied', 'reset', 'service', 'replace', 'card', ' Customers', 'Satisfied', 'Bosss',' ']</v>
      </c>
      <c r="D236" s="3">
        <v>5.0</v>
      </c>
    </row>
    <row r="237" ht="15.75" customHeight="1">
      <c r="A237" s="1">
        <v>235.0</v>
      </c>
      <c r="B237" s="3" t="s">
        <v>238</v>
      </c>
      <c r="C237" s="3" t="str">
        <f>IFERROR(__xludf.DUMMYFUNCTION("GOOGLETRANSLATE(B237,""id"",""en"")"),"['Subscribe', 'Telkomsel', 'Sampe', 'Disappointed', 'Skrg', 'Disappointed', 'Koutaa', 'Unlimited', 'Limitation', 'Pup', 'Kouta', 'Mending', ' replace ',' name ',' change ',' non ',' unlimited ',' already ',' expensive ',' unlimited ',' speed ',' KB ',' li"&amp;"fe ',' in the 'stone' , 'Open', 'Insta', 'story', 'slow', 'forgiveness', '']")</f>
        <v>['Subscribe', 'Telkomsel', 'Sampe', 'Disappointed', 'Skrg', 'Disappointed', 'Koutaa', 'Unlimited', 'Limitation', 'Pup', 'Kouta', 'Mending', ' replace ',' name ',' change ',' non ',' unlimited ',' already ',' expensive ',' unlimited ',' speed ',' KB ',' life ',' in the 'stone' , 'Open', 'Insta', 'story', 'slow', 'forgiveness', '']</v>
      </c>
      <c r="D237" s="3">
        <v>1.0</v>
      </c>
    </row>
    <row r="238" ht="15.75" customHeight="1">
      <c r="A238" s="1">
        <v>236.0</v>
      </c>
      <c r="B238" s="3" t="s">
        <v>239</v>
      </c>
      <c r="C238" s="3" t="str">
        <f>IFERROR(__xludf.DUMMYFUNCTION("GOOGLETRANSLATE(B238,""id"",""en"")"),"['Please', 'Sorry', 'Telkomsel', 'here', 'The network', 'Region', 'ugly', 'dlu', 'good', 'please', 'fix', 'the net', ' thanks', '']")</f>
        <v>['Please', 'Sorry', 'Telkomsel', 'here', 'The network', 'Region', 'ugly', 'dlu', 'good', 'please', 'fix', 'the net', ' thanks', '']</v>
      </c>
      <c r="D238" s="3">
        <v>1.0</v>
      </c>
    </row>
    <row r="239" ht="15.75" customHeight="1">
      <c r="A239" s="1">
        <v>237.0</v>
      </c>
      <c r="B239" s="3" t="s">
        <v>240</v>
      </c>
      <c r="C239" s="3" t="str">
        <f>IFERROR(__xludf.DUMMYFUNCTION("GOOGLETRANSLATE(B239,""id"",""en"")"),"['Telkomsel', 'buy', 'quota', 'games', 'play', 'games', 'online', 'complicated', 'provider', ""]")</f>
        <v>['Telkomsel', 'buy', 'quota', 'games', 'play', 'games', 'online', 'complicated', 'provider', "]</v>
      </c>
      <c r="D239" s="3">
        <v>1.0</v>
      </c>
    </row>
    <row r="240" ht="15.75" customHeight="1">
      <c r="A240" s="1">
        <v>238.0</v>
      </c>
      <c r="B240" s="3" t="s">
        <v>241</v>
      </c>
      <c r="C240" s="3" t="str">
        <f>IFERROR(__xludf.DUMMYFUNCTION("GOOGLETRANSLATE(B240,""id"",""en"")"),"['times',' error ',' customers', 'annoyed', 'hope', 'fix', 'network', 'use', 'wifi', 'error', 'harmed', 'network', ' Tekomel ',' hope ',' fix ',' update ',' quality ',' network ',' ugly ']")</f>
        <v>['times',' error ',' customers', 'annoyed', 'hope', 'fix', 'network', 'use', 'wifi', 'error', 'harmed', 'network', ' Tekomel ',' hope ',' fix ',' update ',' quality ',' network ',' ugly ']</v>
      </c>
      <c r="D240" s="3">
        <v>1.0</v>
      </c>
    </row>
    <row r="241" ht="15.75" customHeight="1">
      <c r="A241" s="1">
        <v>239.0</v>
      </c>
      <c r="B241" s="3" t="s">
        <v>242</v>
      </c>
      <c r="C241" s="3" t="str">
        <f>IFERROR(__xludf.DUMMYFUNCTION("GOOGLETRANSLATE(B241,""id"",""en"")"),"['Please', 'Option', 'Chat', 'Direct', 'Support', 'Human', 'Features', 'Veronica', 'Naive', 'Good', 'Resolved']")</f>
        <v>['Please', 'Option', 'Chat', 'Direct', 'Support', 'Human', 'Features', 'Veronica', 'Naive', 'Good', 'Resolved']</v>
      </c>
      <c r="D241" s="3">
        <v>1.0</v>
      </c>
    </row>
    <row r="242" ht="15.75" customHeight="1">
      <c r="A242" s="1">
        <v>240.0</v>
      </c>
      <c r="B242" s="3" t="s">
        <v>243</v>
      </c>
      <c r="C242" s="3" t="str">
        <f>IFERROR(__xludf.DUMMYFUNCTION("GOOGLETRANSLATE(B242,""id"",""en"")"),"['Sometimes',' error ',' according to ',' expect ',' feeling ',' package ',' Jga ',' price ',' KEK ',' chili ',' market ',' please ',' Min ',' checked ',' APK ',' made ',' makes it easy ',' cheap ',' thank you ',' concern ']")</f>
        <v>['Sometimes',' error ',' according to ',' expect ',' feeling ',' package ',' Jga ',' price ',' KEK ',' chili ',' market ',' please ',' Min ',' checked ',' APK ',' made ',' makes it easy ',' cheap ',' thank you ',' concern ']</v>
      </c>
      <c r="D242" s="3">
        <v>2.0</v>
      </c>
    </row>
    <row r="243" ht="15.75" customHeight="1">
      <c r="A243" s="1">
        <v>241.0</v>
      </c>
      <c r="B243" s="3" t="s">
        <v>244</v>
      </c>
      <c r="C243" s="3" t="str">
        <f>IFERROR(__xludf.DUMMYFUNCTION("GOOGLETRANSLATE(B243,""id"",""en"")"),"['disappointed', 'heavy', 'Telkomsel', 'buy', 'package', 'internet', 'read', 'payment', 'finished', 'package', 'internet', 'enter', ' Waiting ',' no ',' processed ',' clock ']")</f>
        <v>['disappointed', 'heavy', 'Telkomsel', 'buy', 'package', 'internet', 'read', 'payment', 'finished', 'package', 'internet', 'enter', ' Waiting ',' no ',' processed ',' clock ']</v>
      </c>
      <c r="D243" s="3">
        <v>1.0</v>
      </c>
    </row>
    <row r="244" ht="15.75" customHeight="1">
      <c r="A244" s="1">
        <v>242.0</v>
      </c>
      <c r="B244" s="3" t="s">
        <v>245</v>
      </c>
      <c r="C244" s="3" t="str">
        <f>IFERROR(__xludf.DUMMYFUNCTION("GOOGLETRANSLATE(B244,""id"",""en"")"),"['before', 'read', 'comment', 'contains',' complaints', 'now', 'Turn', 'cave', 'Telkomsel', 'intention', 'Ngadin', 'System', ' application ',' tlkmsel ',' gausah ',' cave ',' already ',' chekin ',' stampel ',' it's', 'already', 'point', 'cave', 'want', 's"&amp;"orry' , 'inventory', 'voucher', 'abis', 'hmmzzz', 'please', 'how come', ""]")</f>
        <v>['before', 'read', 'comment', 'contains',' complaints', 'now', 'Turn', 'cave', 'Telkomsel', 'intention', 'Ngadin', 'System', ' application ',' tlkmsel ',' gausah ',' cave ',' already ',' chekin ',' stampel ',' it's', 'already', 'point', 'cave', 'want', 'sorry' , 'inventory', 'voucher', 'abis', 'hmmzzz', 'please', 'how come', "]</v>
      </c>
      <c r="D244" s="3">
        <v>4.0</v>
      </c>
    </row>
    <row r="245" ht="15.75" customHeight="1">
      <c r="A245" s="1">
        <v>243.0</v>
      </c>
      <c r="B245" s="3" t="s">
        <v>246</v>
      </c>
      <c r="C245" s="3" t="str">
        <f>IFERROR(__xludf.DUMMYFUNCTION("GOOGLETRANSLATE(B245,""id"",""en"")"),"['Combo', 'Sakti', 'Already', 'Changed', 'Package', 'No', 'Delicious',' Change ',' No ',' Unlimited ',' Kek ',' Yesterday ',' limit ',' suggestion ',' nggk ',' fox ',' feel at home ',' pakek ',' telkom ',' because ',' package ',' change ',' ']")</f>
        <v>['Combo', 'Sakti', 'Already', 'Changed', 'Package', 'No', 'Delicious',' Change ',' No ',' Unlimited ',' Kek ',' Yesterday ',' limit ',' suggestion ',' nggk ',' fox ',' feel at home ',' pakek ',' telkom ',' because ',' package ',' change ',' ']</v>
      </c>
      <c r="D245" s="3">
        <v>1.0</v>
      </c>
    </row>
    <row r="246" ht="15.75" customHeight="1">
      <c r="A246" s="1">
        <v>244.0</v>
      </c>
      <c r="B246" s="3" t="s">
        <v>247</v>
      </c>
      <c r="C246" s="3" t="str">
        <f>IFERROR(__xludf.DUMMYFUNCTION("GOOGLETRANSLATE(B246,""id"",""en"")"),"['bug', 'please', 'Telkomsel', 'unlimited', 'love', 'access',' application ',' Telkomsel ',' speed ',' kayak ',' access', 'Instagram', ' stupid', '']")</f>
        <v>['bug', 'please', 'Telkomsel', 'unlimited', 'love', 'access',' application ',' Telkomsel ',' speed ',' kayak ',' access', 'Instagram', ' stupid', '']</v>
      </c>
      <c r="D246" s="3">
        <v>3.0</v>
      </c>
    </row>
    <row r="247" ht="15.75" customHeight="1">
      <c r="A247" s="1">
        <v>245.0</v>
      </c>
      <c r="B247" s="3" t="s">
        <v>248</v>
      </c>
      <c r="C247" s="3" t="str">
        <f>IFERROR(__xludf.DUMMYFUNCTION("GOOGLETRANSLATE(B247,""id"",""en"")"),"['Kayak', 'Telkomsel', 'Exchange', 'Points', 'Credit', 'Telkomsel', 'Points', 'Exchange', 'Credit']")</f>
        <v>['Kayak', 'Telkomsel', 'Exchange', 'Points', 'Credit', 'Telkomsel', 'Points', 'Exchange', 'Credit']</v>
      </c>
      <c r="D247" s="3">
        <v>5.0</v>
      </c>
    </row>
    <row r="248" ht="15.75" customHeight="1">
      <c r="A248" s="1">
        <v>246.0</v>
      </c>
      <c r="B248" s="3" t="s">
        <v>249</v>
      </c>
      <c r="C248" s="3" t="str">
        <f>IFERROR(__xludf.DUMMYFUNCTION("GOOGLETRANSLATE(B248,""id"",""en"")"),"['buy', 'package', 'quota', 'gopay', 'funds',' already ',' cut ',' quota ',' enter ',' how ',' Telkomsel ',' already ',' really ',' events', 'dizziness',' ']")</f>
        <v>['buy', 'package', 'quota', 'gopay', 'funds',' already ',' cut ',' quota ',' enter ',' how ',' Telkomsel ',' already ',' really ',' events', 'dizziness',' ']</v>
      </c>
      <c r="D248" s="3">
        <v>3.0</v>
      </c>
    </row>
    <row r="249" ht="15.75" customHeight="1">
      <c r="A249" s="1">
        <v>247.0</v>
      </c>
      <c r="B249" s="3" t="s">
        <v>250</v>
      </c>
      <c r="C249" s="3" t="str">
        <f>IFERROR(__xludf.DUMMYFUNCTION("GOOGLETRANSLATE(B249,""id"",""en"")"),"['already', 'good', 'net', 'kasi', 'game', 'game', 'entry', 'diunlimited', 'gamemax', 'cave', 'confused', 'right', ' Play ',' Game ',' Tetep ',' Ngelag ',' Cave ',' Unlimited ',' Gamemax ',' Please ',' Kasi ', ""]")</f>
        <v>['already', 'good', 'net', 'kasi', 'game', 'game', 'entry', 'diunlimited', 'gamemax', 'cave', 'confused', 'right', ' Play ',' Game ',' Tetep ',' Ngelag ',' Cave ',' Unlimited ',' Gamemax ',' Please ',' Kasi ', "]</v>
      </c>
      <c r="D249" s="3">
        <v>5.0</v>
      </c>
    </row>
    <row r="250" ht="15.75" customHeight="1">
      <c r="A250" s="1">
        <v>248.0</v>
      </c>
      <c r="B250" s="3" t="s">
        <v>251</v>
      </c>
      <c r="C250" s="3" t="str">
        <f>IFERROR(__xludf.DUMMYFUNCTION("GOOGLETRANSLATE(B250,""id"",""en"")"),"['confused', 'Telkomsel', 'in the area', 'dieng', 'difficult', 'bngt', 'get', 'signal', 'complement', 'buy', 'package', 'telephone', ' kring ',' kring ',' there ',' written ',' price ',' thousand ',' right ',' buy ',' pulse ',' cut ',' jau ',' bngt ',' pr"&amp;"ice ' , 'His name', 'Tipu', 'Tuuh', 'Sad', 'subscription', 'Telkom', 'Bgini', ""]")</f>
        <v>['confused', 'Telkomsel', 'in the area', 'dieng', 'difficult', 'bngt', 'get', 'signal', 'complement', 'buy', 'package', 'telephone', ' kring ',' kring ',' there ',' written ',' price ',' thousand ',' right ',' buy ',' pulse ',' cut ',' jau ',' bngt ',' price ' , 'His name', 'Tipu', 'Tuuh', 'Sad', 'subscription', 'Telkom', 'Bgini', "]</v>
      </c>
      <c r="D250" s="3">
        <v>1.0</v>
      </c>
    </row>
    <row r="251" ht="15.75" customHeight="1">
      <c r="A251" s="1">
        <v>249.0</v>
      </c>
      <c r="B251" s="3" t="s">
        <v>252</v>
      </c>
      <c r="C251" s="3" t="str">
        <f>IFERROR(__xludf.DUMMYFUNCTION("GOOGLETRANSLATE(B251,""id"",""en"")"),"['Min', 'please', 'in the area', 'package', 'combo', 'Sakti', 'slow', 'beg "",' processed ',' change ',' area ',' speed ',' THQ ',' ']")</f>
        <v>['Min', 'please', 'in the area', 'package', 'combo', 'Sakti', 'slow', 'beg ",' processed ',' change ',' area ',' speed ',' THQ ',' ']</v>
      </c>
      <c r="D251" s="3">
        <v>4.0</v>
      </c>
    </row>
    <row r="252" ht="15.75" customHeight="1">
      <c r="A252" s="1">
        <v>250.0</v>
      </c>
      <c r="B252" s="3" t="s">
        <v>253</v>
      </c>
      <c r="C252" s="3" t="str">
        <f>IFERROR(__xludf.DUMMYFUNCTION("GOOGLETRANSLATE(B252,""id"",""en"")"),"['use', 'wifi', 'connected', 'internet', 'registration', 'connected', 'internet', 'impressed', 'complicated', 'appears',' notification ',' blm ',' Internet connection', '']")</f>
        <v>['use', 'wifi', 'connected', 'internet', 'registration', 'connected', 'internet', 'impressed', 'complicated', 'appears',' notification ',' blm ',' Internet connection', '']</v>
      </c>
      <c r="D252" s="3">
        <v>2.0</v>
      </c>
    </row>
    <row r="253" ht="15.75" customHeight="1">
      <c r="A253" s="1">
        <v>251.0</v>
      </c>
      <c r="B253" s="3" t="s">
        <v>254</v>
      </c>
      <c r="C253" s="3" t="str">
        <f>IFERROR(__xludf.DUMMYFUNCTION("GOOGLETRANSLATE(B253,""id"",""en"")"),"['Application', 'Update', 'Login', 'Difficult', 'Enter', 'Loading', 'Loading', 'Network', 'Telkomsel', 'Bad', 'Kayak']")</f>
        <v>['Application', 'Update', 'Login', 'Difficult', 'Enter', 'Loading', 'Loading', 'Network', 'Telkomsel', 'Bad', 'Kayak']</v>
      </c>
      <c r="D253" s="3">
        <v>1.0</v>
      </c>
    </row>
    <row r="254" ht="15.75" customHeight="1">
      <c r="A254" s="1">
        <v>252.0</v>
      </c>
      <c r="B254" s="3" t="s">
        <v>255</v>
      </c>
      <c r="C254" s="3" t="str">
        <f>IFERROR(__xludf.DUMMYFUNCTION("GOOGLETRANSLATE(B254,""id"",""en"")"),"['Disappointed', 'Telkomsel', 'skrg', 'like', 'slow', 'sort', 'package', 'run out', 'package', 'used', 'Dilla', ' taste ',' mubajir ',' paketan ',' that's', 'forgetful', 'package', 'pulse', 'main', 'zero', 'kdng', 'second', 'forget', 'pulses' , 'UDH', 'ru"&amp;"n out', 'fix', 'system', 'user', 'safe', 'pulse', 'main', 'sumps',' data ',' data ',' secure ',' Credit ',' main ']")</f>
        <v>['Disappointed', 'Telkomsel', 'skrg', 'like', 'slow', 'sort', 'package', 'run out', 'package', 'used', 'Dilla', ' taste ',' mubajir ',' paketan ',' that's', 'forgetful', 'package', 'pulse', 'main', 'zero', 'kdng', 'second', 'forget', 'pulses' , 'UDH', 'run out', 'fix', 'system', 'user', 'safe', 'pulse', 'main', 'sumps',' data ',' data ',' secure ',' Credit ',' main ']</v>
      </c>
      <c r="D254" s="3">
        <v>2.0</v>
      </c>
    </row>
    <row r="255" ht="15.75" customHeight="1">
      <c r="A255" s="1">
        <v>253.0</v>
      </c>
      <c r="B255" s="3" t="s">
        <v>256</v>
      </c>
      <c r="C255" s="3" t="str">
        <f>IFERROR(__xludf.DUMMYFUNCTION("GOOGLETRANSLATE(B255,""id"",""en"")"),"['Fix', 'System', 'Package', 'Data', 'On', 'Credit', 'Run', 'Rotten', 'Malaysia', 'Good', 'Nice', 'Credit', ' Indonesia ',' Satellite ',' SDA ',' Activate ',' Package ',' Buy ',' Package ',' Data ',' Credit ',' Suck ',' Mount ',' Please ',' Government ' ,"&amp;" 'Indonesia', 'fix', 'system', 'Examples', 'Malaysia', 'settings', 'pulses', 'credit', 'internet', 'Telkomsel', 'thief', 'real']")</f>
        <v>['Fix', 'System', 'Package', 'Data', 'On', 'Credit', 'Run', 'Rotten', 'Malaysia', 'Good', 'Nice', 'Credit', ' Indonesia ',' Satellite ',' SDA ',' Activate ',' Package ',' Buy ',' Package ',' Data ',' Credit ',' Suck ',' Mount ',' Please ',' Government ' , 'Indonesia', 'fix', 'system', 'Examples', 'Malaysia', 'settings', 'pulses', 'credit', 'internet', 'Telkomsel', 'thief', 'real']</v>
      </c>
      <c r="D255" s="3">
        <v>1.0</v>
      </c>
    </row>
    <row r="256" ht="15.75" customHeight="1">
      <c r="A256" s="1">
        <v>254.0</v>
      </c>
      <c r="B256" s="3" t="s">
        <v>257</v>
      </c>
      <c r="C256" s="3" t="str">
        <f>IFERROR(__xludf.DUMMYFUNCTION("GOOGLETRANSLATE(B256,""id"",""en"")"),"['Severe', 'really', 'limit', 'usage', 'Normal', 'Jatohnya', 'unlimited', 'unlimited', 'gga', 'rich', 'gini', 'abis',' usage ',' Normal ',' slow ',' severe ',' bnget ',' doang ',' emang ',' udh ',' bnyak ',' dilapidated ',' price ',' udh ',' gamau ' , 'by"&amp;"eee']")</f>
        <v>['Severe', 'really', 'limit', 'usage', 'Normal', 'Jatohnya', 'unlimited', 'unlimited', 'gga', 'rich', 'gini', 'abis',' usage ',' Normal ',' slow ',' severe ',' bnget ',' doang ',' emang ',' udh ',' bnyak ',' dilapidated ',' price ',' udh ',' gamau ' , 'byeee']</v>
      </c>
      <c r="D256" s="3">
        <v>1.0</v>
      </c>
    </row>
    <row r="257" ht="15.75" customHeight="1">
      <c r="A257" s="1">
        <v>255.0</v>
      </c>
      <c r="B257" s="3" t="s">
        <v>258</v>
      </c>
      <c r="C257" s="3" t="str">
        <f>IFERROR(__xludf.DUMMYFUNCTION("GOOGLETRANSLATE(B257,""id"",""en"")"),"['skrng', 'buy', 'package', 'self-help', 'buy', 'date', 'April', 'Belankrng', 'package', 'internet', 'expensive', '']")</f>
        <v>['skrng', 'buy', 'package', 'self-help', 'buy', 'date', 'April', 'Belankrng', 'package', 'internet', 'expensive', '']</v>
      </c>
      <c r="D257" s="3">
        <v>3.0</v>
      </c>
    </row>
    <row r="258" ht="15.75" customHeight="1">
      <c r="A258" s="1">
        <v>256.0</v>
      </c>
      <c r="B258" s="3" t="s">
        <v>259</v>
      </c>
      <c r="C258" s="3" t="str">
        <f>IFERROR(__xludf.DUMMYFUNCTION("GOOGLETRANSLATE(B258,""id"",""en"")"),"['Please', 'min', 'area', 'Citayam', 'signal', 'bagusin', 'lose', 'sii', 'signal', 'citayem', 'propeider', 'Negri', ' Telkomsel ',' Negri ',' Lose ',' Network ',' What ',' Snuntunin ',' People ',' Negri ',' Propeider ',' his country ']")</f>
        <v>['Please', 'min', 'area', 'Citayam', 'signal', 'bagusin', 'lose', 'sii', 'signal', 'citayem', 'propeider', 'Negri', ' Telkomsel ',' Negri ',' Lose ',' Network ',' What ',' Snuntunin ',' People ',' Negri ',' Propeider ',' his country ']</v>
      </c>
      <c r="D258" s="3">
        <v>2.0</v>
      </c>
    </row>
    <row r="259" ht="15.75" customHeight="1">
      <c r="A259" s="1">
        <v>257.0</v>
      </c>
      <c r="B259" s="3" t="s">
        <v>260</v>
      </c>
      <c r="C259" s="3" t="str">
        <f>IFERROR(__xludf.DUMMYFUNCTION("GOOGLETRANSLATE(B259,""id"",""en"")"),"['Package', 'thousand', 'bought', 'his writing', 'disms',' right ',' bought ',' merahan ',' his writing ',' product ',' bought ',' tingl ',' Package ',' expensive ',' Males', 'gini']")</f>
        <v>['Package', 'thousand', 'bought', 'his writing', 'disms',' right ',' bought ',' merahan ',' his writing ',' product ',' bought ',' tingl ',' Package ',' expensive ',' Males', 'gini']</v>
      </c>
      <c r="D259" s="3">
        <v>2.0</v>
      </c>
    </row>
    <row r="260" ht="15.75" customHeight="1">
      <c r="A260" s="1">
        <v>258.0</v>
      </c>
      <c r="B260" s="3" t="s">
        <v>261</v>
      </c>
      <c r="C260" s="3" t="str">
        <f>IFERROR(__xludf.DUMMYFUNCTION("GOOGLETRANSLATE(B260,""id"",""en"")"),"['Assalamu', 'Alaikum', 'Sis',' card ',' Dead ',' Activate ',' number ',' WhatsApp ',' Sis', 'Please', 'Explanation', 'Thank you', ' ']")</f>
        <v>['Assalamu', 'Alaikum', 'Sis',' card ',' Dead ',' Activate ',' number ',' WhatsApp ',' Sis', 'Please', 'Explanation', 'Thank you', ' ']</v>
      </c>
      <c r="D260" s="3">
        <v>3.0</v>
      </c>
    </row>
    <row r="261" ht="15.75" customHeight="1">
      <c r="A261" s="1">
        <v>259.0</v>
      </c>
      <c r="B261" s="3" t="s">
        <v>262</v>
      </c>
      <c r="C261" s="3" t="str">
        <f>IFERROR(__xludf.DUMMYFUNCTION("GOOGLETRANSLATE(B261,""id"",""en"")"),"['quota', 'signal', 'difficult', 'right', 'buy', 'quota', 'app', 'telkomsel', 'login', 'difficult', 'error', 'mulu', ' Need ',' circles', 'medium', 'service', 'discrimination']")</f>
        <v>['quota', 'signal', 'difficult', 'right', 'buy', 'quota', 'app', 'telkomsel', 'login', 'difficult', 'error', 'mulu', ' Need ',' circles', 'medium', 'service', 'discrimination']</v>
      </c>
      <c r="D261" s="3">
        <v>1.0</v>
      </c>
    </row>
    <row r="262" ht="15.75" customHeight="1">
      <c r="A262" s="1">
        <v>260.0</v>
      </c>
      <c r="B262" s="3" t="s">
        <v>263</v>
      </c>
      <c r="C262" s="3" t="str">
        <f>IFERROR(__xludf.DUMMYFUNCTION("GOOGLETRANSLATE(B262,""id"",""en"")"),"['Really', 'regretting', 'Network', 'Telkomsel', 'Disconnect', 'Main', 'Game', 'Harm', 'Buy', 'Package', 'Money', 'Leaves',' network ',' stable ',' please ',' developer ',' fix ',' ngerugiiin ',' consumer ',' really ',' ']")</f>
        <v>['Really', 'regretting', 'Network', 'Telkomsel', 'Disconnect', 'Main', 'Game', 'Harm', 'Buy', 'Package', 'Money', 'Leaves',' network ',' stable ',' please ',' developer ',' fix ',' ngerugiiin ',' consumer ',' really ',' ']</v>
      </c>
      <c r="D262" s="3">
        <v>1.0</v>
      </c>
    </row>
    <row r="263" ht="15.75" customHeight="1">
      <c r="A263" s="1">
        <v>261.0</v>
      </c>
      <c r="B263" s="3" t="s">
        <v>264</v>
      </c>
      <c r="C263" s="3" t="str">
        <f>IFERROR(__xludf.DUMMYFUNCTION("GOOGLETRANSLATE(B263,""id"",""en"")"),"['Disappointed', 'Service', 'MyTelkomsel', 'Times', 'Error', 'Login', 'Login', 'Network', 'Stable']")</f>
        <v>['Disappointed', 'Service', 'MyTelkomsel', 'Times', 'Error', 'Login', 'Login', 'Network', 'Stable']</v>
      </c>
      <c r="D263" s="3">
        <v>1.0</v>
      </c>
    </row>
    <row r="264" ht="15.75" customHeight="1">
      <c r="A264" s="1">
        <v>262.0</v>
      </c>
      <c r="B264" s="3" t="s">
        <v>265</v>
      </c>
      <c r="C264" s="3" t="str">
        <f>IFERROR(__xludf.DUMMYFUNCTION("GOOGLETRANSLATE(B264,""id"",""en"")"),"['deliberate', 'rat', 'read', 'login', 'error', 'the question', 'network', 'good', 'difficult', 'login', 'network', 'ugly', ' APK ',' onfire ',' login ',' crazy ',' apk ',' bacot ',' SJA ',' ']")</f>
        <v>['deliberate', 'rat', 'read', 'login', 'error', 'the question', 'network', 'good', 'difficult', 'login', 'network', 'ugly', ' APK ',' onfire ',' login ',' crazy ',' apk ',' bacot ',' SJA ',' ']</v>
      </c>
      <c r="D264" s="3">
        <v>5.0</v>
      </c>
    </row>
    <row r="265" ht="15.75" customHeight="1">
      <c r="A265" s="1">
        <v>263.0</v>
      </c>
      <c r="B265" s="3" t="s">
        <v>266</v>
      </c>
      <c r="C265" s="3" t="str">
        <f>IFERROR(__xludf.DUMMYFUNCTION("GOOGLETRANSLATE(B265,""id"",""en"")"),"['Telkomsel', 'like', 'plunged', 'fox', 'package', 'cheap', 'bought', 'changed', 'package', 'expensive', 'suffering', ' The area is', 'Network', 'Telkomsel', 'Try', 'Provider', 'Mending', 'Move', ""]")</f>
        <v>['Telkomsel', 'like', 'plunged', 'fox', 'package', 'cheap', 'bought', 'changed', 'package', 'expensive', 'suffering', ' The area is', 'Network', 'Telkomsel', 'Try', 'Provider', 'Mending', 'Move', "]</v>
      </c>
      <c r="D265" s="3">
        <v>1.0</v>
      </c>
    </row>
    <row r="266" ht="15.75" customHeight="1">
      <c r="A266" s="1">
        <v>264.0</v>
      </c>
      <c r="B266" s="3" t="s">
        <v>267</v>
      </c>
      <c r="C266" s="3" t="str">
        <f>IFERROR(__xludf.DUMMYFUNCTION("GOOGLETRANSLATE(B266,""id"",""en"")"),"['SMS', 'activate', 'service', 'sky', 'music', 'pay', 'bill', 'activate', 'service', 'disappointed', 'loss',' pay ',' Over ',' limit ',' please ',' service ',' service ',' useful ',' Please ',' offered ',' activated ',' knowledge ',' user ',' detrimental "&amp;"',' thank ' , 'Love', 'Please', 'response', 'hurry']")</f>
        <v>['SMS', 'activate', 'service', 'sky', 'music', 'pay', 'bill', 'activate', 'service', 'disappointed', 'loss',' pay ',' Over ',' limit ',' please ',' service ',' service ',' useful ',' Please ',' offered ',' activated ',' knowledge ',' user ',' detrimental ',' thank ' , 'Love', 'Please', 'response', 'hurry']</v>
      </c>
      <c r="D266" s="3">
        <v>1.0</v>
      </c>
    </row>
    <row r="267" ht="15.75" customHeight="1">
      <c r="A267" s="1">
        <v>265.0</v>
      </c>
      <c r="B267" s="3" t="s">
        <v>268</v>
      </c>
      <c r="C267" s="3" t="str">
        <f>IFERROR(__xludf.DUMMYFUNCTION("GOOGLETRANSLATE(B267,""id"",""en"")"),"['Please', 'Sorry', 'use', 'APL', 'Sometimes',' Error ',' Logging ',' Sometimes', 'Difficult', 'Muter', 'tip', 'Notif', ' Please ',' Check ',' Number ',' ']")</f>
        <v>['Please', 'Sorry', 'use', 'APL', 'Sometimes',' Error ',' Logging ',' Sometimes', 'Difficult', 'Muter', 'tip', 'Notif', ' Please ',' Check ',' Number ',' ']</v>
      </c>
      <c r="D267" s="3">
        <v>4.0</v>
      </c>
    </row>
    <row r="268" ht="15.75" customHeight="1">
      <c r="A268" s="1">
        <v>266.0</v>
      </c>
      <c r="B268" s="3" t="s">
        <v>269</v>
      </c>
      <c r="C268" s="3" t="str">
        <f>IFERROR(__xludf.DUMMYFUNCTION("GOOGLETRANSLATE(B268,""id"",""en"")"),"['Mimin', 'knp', 'package', 'self-help', 'knp', 'missing', 'subscribe', 'package', 'self-independent', 'really', 'please', 'explanation', ' Min ',' ']")</f>
        <v>['Mimin', 'knp', 'package', 'self-help', 'knp', 'missing', 'subscribe', 'package', 'self-independent', 'really', 'please', 'explanation', ' Min ',' ']</v>
      </c>
      <c r="D268" s="3">
        <v>1.0</v>
      </c>
    </row>
    <row r="269" ht="15.75" customHeight="1">
      <c r="A269" s="1">
        <v>267.0</v>
      </c>
      <c r="B269" s="3" t="s">
        <v>270</v>
      </c>
      <c r="C269" s="3" t="str">
        <f>IFERROR(__xludf.DUMMYFUNCTION("GOOGLETRANSLATE(B269,""id"",""en"")"),"['quality', 'signal', 'yrs',' disappointing ',' disorder ',' network ',' times', 'a week', 'operator', 'lose', 'operator', 'next door', ' ']")</f>
        <v>['quality', 'signal', 'yrs',' disappointing ',' disorder ',' network ',' times', 'a week', 'operator', 'lose', 'operator', 'next door', ' ']</v>
      </c>
      <c r="D269" s="3">
        <v>4.0</v>
      </c>
    </row>
    <row r="270" ht="15.75" customHeight="1">
      <c r="A270" s="1">
        <v>268.0</v>
      </c>
      <c r="B270" s="3" t="s">
        <v>271</v>
      </c>
      <c r="C270" s="3" t="str">
        <f>IFERROR(__xludf.DUMMYFUNCTION("GOOGLETRANSLATE(B270,""id"",""en"")"),"['crazy', 'tsel', 'package', 'unlimited', 'FUP', 'love', 'name', 'unlimited', 'description', 'max', 'kbps',' kbps', ' translucent ',' back ',' kyk ',' dlu ']")</f>
        <v>['crazy', 'tsel', 'package', 'unlimited', 'FUP', 'love', 'name', 'unlimited', 'description', 'max', 'kbps',' kbps', ' translucent ',' back ',' kyk ',' dlu ']</v>
      </c>
      <c r="D270" s="3">
        <v>1.0</v>
      </c>
    </row>
    <row r="271" ht="15.75" customHeight="1">
      <c r="A271" s="1">
        <v>269.0</v>
      </c>
      <c r="B271" s="3" t="s">
        <v>272</v>
      </c>
      <c r="C271" s="3" t="str">
        <f>IFERROR(__xludf.DUMMYFUNCTION("GOOGLETRANSLATE(B271,""id"",""en"")"),"['easy', 'apk', 'Telkomsel', 'check', 'pulse', 'package', 'data', 'biased', 'promo', 'special', 'package', 'internet', ' APK ',' Telkomsel ',' hope ',' given ',' promo ',' promo ',' customer ',' at home ',' Telkomsel ', ""]")</f>
        <v>['easy', 'apk', 'Telkomsel', 'check', 'pulse', 'package', 'data', 'biased', 'promo', 'special', 'package', 'internet', ' APK ',' Telkomsel ',' hope ',' given ',' promo ',' promo ',' customer ',' at home ',' Telkomsel ', "]</v>
      </c>
      <c r="D271" s="3">
        <v>5.0</v>
      </c>
    </row>
    <row r="272" ht="15.75" customHeight="1">
      <c r="A272" s="1">
        <v>270.0</v>
      </c>
      <c r="B272" s="3" t="s">
        <v>273</v>
      </c>
      <c r="C272" s="3" t="str">
        <f>IFERROR(__xludf.DUMMYFUNCTION("GOOGLETRANSLATE(B272,""id"",""en"")"),"['Application', 'garbage', 'pulse', 'thousand', 'missing', 'quota', 'pulse', 'sumps', 'purchase', 'expensive', 'please', 'fix']")</f>
        <v>['Application', 'garbage', 'pulse', 'thousand', 'missing', 'quota', 'pulse', 'sumps', 'purchase', 'expensive', 'please', 'fix']</v>
      </c>
      <c r="D272" s="3">
        <v>1.0</v>
      </c>
    </row>
    <row r="273" ht="15.75" customHeight="1">
      <c r="A273" s="1">
        <v>271.0</v>
      </c>
      <c r="B273" s="3" t="s">
        <v>274</v>
      </c>
      <c r="C273" s="3" t="str">
        <f>IFERROR(__xludf.DUMMYFUNCTION("GOOGLETRANSLATE(B273,""id"",""en"")"),"['Please', 'Colonnases',' Telkomsel ',' Cheap ',' Citizens', 'Kayak', 'Buy', 'Promo', 'thousand', 'buy', 'lost', 'card', ' thousand ',' quota ',' main ',' ']")</f>
        <v>['Please', 'Colonnases',' Telkomsel ',' Cheap ',' Citizens', 'Kayak', 'Buy', 'Promo', 'thousand', 'buy', 'lost', 'card', ' thousand ',' quota ',' main ',' ']</v>
      </c>
      <c r="D273" s="3">
        <v>3.0</v>
      </c>
    </row>
    <row r="274" ht="15.75" customHeight="1">
      <c r="A274" s="1">
        <v>272.0</v>
      </c>
      <c r="B274" s="3" t="s">
        <v>275</v>
      </c>
      <c r="C274" s="3" t="str">
        <f>IFERROR(__xludf.DUMMYFUNCTION("GOOGLETRANSLATE(B274,""id"",""en"")"),"['buy', 'package', 'cheerful', 'internet', 'night', 'application', 'mytelkomsel', 'bug', 'good', 'bad', 'moved', 'card', ' Telkomsel ',' quality ',' bad ',' ']")</f>
        <v>['buy', 'package', 'cheerful', 'internet', 'night', 'application', 'mytelkomsel', 'bug', 'good', 'bad', 'moved', 'card', ' Telkomsel ',' quality ',' bad ',' ']</v>
      </c>
      <c r="D274" s="3">
        <v>1.0</v>
      </c>
    </row>
    <row r="275" ht="15.75" customHeight="1">
      <c r="A275" s="1">
        <v>273.0</v>
      </c>
      <c r="B275" s="3" t="s">
        <v>276</v>
      </c>
      <c r="C275" s="3" t="str">
        <f>IFERROR(__xludf.DUMMYFUNCTION("GOOGLETRANSLATE(B275,""id"",""en"")"),"['check', 'package', 'Telkomsel', 'see', 'price', 'package', 'like', 'slow', 'continuous',' price ',' package ',' oath ',' Males ',' buy ',' quota ',' Telkomsel ',' just 'waiting', 'active', 'abis', 'deh', 'comfortable', 'Telkomsel', 'slow', 'really' , 's"&amp;"table', 'users', 'cards', 'old', 'age', 'card', 'aged', 'application', 'Telkomsel', 'package', 'package', 'cheap' thank you', '']")</f>
        <v>['check', 'package', 'Telkomsel', 'see', 'price', 'package', 'like', 'slow', 'continuous',' price ',' package ',' oath ',' Males ',' buy ',' quota ',' Telkomsel ',' just 'waiting', 'active', 'abis', 'deh', 'comfortable', 'Telkomsel', 'slow', 'really' , 'stable', 'users', 'cards', 'old', 'age', 'card', 'aged', 'application', 'Telkomsel', 'package', 'package', 'cheap' thank you', '']</v>
      </c>
      <c r="D275" s="3">
        <v>1.0</v>
      </c>
    </row>
    <row r="276" ht="15.75" customHeight="1">
      <c r="A276" s="1">
        <v>274.0</v>
      </c>
      <c r="B276" s="3" t="s">
        <v>277</v>
      </c>
      <c r="C276" s="3" t="str">
        <f>IFERROR(__xludf.DUMMYFUNCTION("GOOGLETRANSLATE(B276,""id"",""en"")"),"['Contents',' reset ',' pulse ',' nominal ',' pay ',' direct ',' truncated ',' notif ',' detrimental ',' signal ',' here ',' bad ',' Afternoon ',' Watch ',' WIB ',' Clock ',' Connection ',' Internet ',' Bad ',' Fix ',' Customer ',' Reduced ',' Network ','"&amp;" Standard ',' Disappointing ' , 'bad', '']")</f>
        <v>['Contents',' reset ',' pulse ',' nominal ',' pay ',' direct ',' truncated ',' notif ',' detrimental ',' signal ',' here ',' bad ',' Afternoon ',' Watch ',' WIB ',' Clock ',' Connection ',' Internet ',' Bad ',' Fix ',' Customer ',' Reduced ',' Network ',' Standard ',' Disappointing ' , 'bad', '']</v>
      </c>
      <c r="D276" s="3">
        <v>1.0</v>
      </c>
    </row>
    <row r="277" ht="15.75" customHeight="1">
      <c r="A277" s="1">
        <v>275.0</v>
      </c>
      <c r="B277" s="3" t="s">
        <v>278</v>
      </c>
      <c r="C277" s="3" t="str">
        <f>IFERROR(__xludf.DUMMYFUNCTION("GOOGLETRANSLATE(B277,""id"",""en"")"),"['Kagak', 'understand', 'Telkomsel', 'I', 'I', 'ISI', 'Credit', 'What's',' Credit ',' ilang ',' Diemin ',' Lost ',' "", 'Indosat', 'system', 'save', 'data', 'abis', 'quota', 'pulsaa', 'kagak', 'sumps', 'please', 'area', 'network' , 'Telkomsel', 'slow', 'f"&amp;"ix', 'dead', 'lights', 'network', 'Telkomsel', 'ilang', ""]")</f>
        <v>['Kagak', 'understand', 'Telkomsel', 'I', 'I', 'ISI', 'Credit', 'What's',' Credit ',' ilang ',' Diemin ',' Lost ',' ", 'Indosat', 'system', 'save', 'data', 'abis', 'quota', 'pulsaa', 'kagak', 'sumps', 'please', 'area', 'network' , 'Telkomsel', 'slow', 'fix', 'dead', 'lights', 'network', 'Telkomsel', 'ilang', "]</v>
      </c>
      <c r="D277" s="3">
        <v>4.0</v>
      </c>
    </row>
    <row r="278" ht="15.75" customHeight="1">
      <c r="A278" s="1">
        <v>276.0</v>
      </c>
      <c r="B278" s="3" t="s">
        <v>279</v>
      </c>
      <c r="C278" s="3" t="str">
        <f>IFERROR(__xludf.DUMMYFUNCTION("GOOGLETRANSLATE(B278,""id"",""en"")"),"['Brief', 'people', 'use', 'network', 'Telkomsel', 'stable', 'use', 'signal', 'ugly', 'really', 'understand', 'provider', ' broad ',' expensive ',' network ',' kunntuuullll ']")</f>
        <v>['Brief', 'people', 'use', 'network', 'Telkomsel', 'stable', 'use', 'signal', 'ugly', 'really', 'understand', 'provider', ' broad ',' expensive ',' network ',' kunntuuullll ']</v>
      </c>
      <c r="D278" s="3">
        <v>1.0</v>
      </c>
    </row>
    <row r="279" ht="15.75" customHeight="1">
      <c r="A279" s="1">
        <v>277.0</v>
      </c>
      <c r="B279" s="3" t="s">
        <v>280</v>
      </c>
      <c r="C279" s="3" t="str">
        <f>IFERROR(__xludf.DUMMYFUNCTION("GOOGLETRANSLATE(B279,""id"",""en"")"),"['Please', 'Fix', 'Sometimes',' Network ',' Easy ',' Lost ',' Interest ',' Sudden ',' already ',' screnshot ',' complaint ',' complaint ',' Satisfied ',' Customer ',' ']")</f>
        <v>['Please', 'Fix', 'Sometimes',' Network ',' Easy ',' Lost ',' Interest ',' Sudden ',' already ',' screnshot ',' complaint ',' complaint ',' Satisfied ',' Customer ',' ']</v>
      </c>
      <c r="D279" s="3">
        <v>1.0</v>
      </c>
    </row>
    <row r="280" ht="15.75" customHeight="1">
      <c r="A280" s="1">
        <v>278.0</v>
      </c>
      <c r="B280" s="3" t="s">
        <v>281</v>
      </c>
      <c r="C280" s="3" t="str">
        <f>IFERROR(__xludf.DUMMYFUNCTION("GOOGLETRANSLATE(B280,""id"",""en"")"),"['application', 'taik', 'login', 'difficult', 'forgiveness',' connection ',' stable ',' connection ',' check ',' pulse ',' buy ',' package ',' Enter ',' times', 'fix', 'donk', 'operator', 'biggest', 'Indonesia', 'performance', 'kayak', 'gini']")</f>
        <v>['application', 'taik', 'login', 'difficult', 'forgiveness',' connection ',' stable ',' connection ',' check ',' pulse ',' buy ',' package ',' Enter ',' times', 'fix', 'donk', 'operator', 'biggest', 'Indonesia', 'performance', 'kayak', 'gini']</v>
      </c>
      <c r="D280" s="3">
        <v>1.0</v>
      </c>
    </row>
    <row r="281" ht="15.75" customHeight="1">
      <c r="A281" s="1">
        <v>279.0</v>
      </c>
      <c r="B281" s="3" t="s">
        <v>282</v>
      </c>
      <c r="C281" s="3" t="str">
        <f>IFERROR(__xludf.DUMMYFUNCTION("GOOGLETRANSLATE(B281,""id"",""en"")"),"['Telkomsel', 'search', 'fortunate', 'pandemic', 'economy', 'deteriorating', 'lock', 'dri', 'date', 'Telkomsel', 'raising', 'price', ' Credit ',' Dri ',' Data ',' Call ',' Come ',' SMW ',' Move ',' Telkomsel ',' Looking ',' Untung ',' Holy ',' Ramadhan ']")</f>
        <v>['Telkomsel', 'search', 'fortunate', 'pandemic', 'economy', 'deteriorating', 'lock', 'dri', 'date', 'Telkomsel', 'raising', 'price', ' Credit ',' Dri ',' Data ',' Call ',' Come ',' SMW ',' Move ',' Telkomsel ',' Looking ',' Untung ',' Holy ',' Ramadhan ']</v>
      </c>
      <c r="D281" s="3">
        <v>1.0</v>
      </c>
    </row>
    <row r="282" ht="15.75" customHeight="1">
      <c r="A282" s="1">
        <v>280.0</v>
      </c>
      <c r="B282" s="3" t="s">
        <v>283</v>
      </c>
      <c r="C282" s="3" t="str">
        <f>IFERROR(__xludf.DUMMYFUNCTION("GOOGLETRANSLATE(B282,""id"",""en"")"),"['Network', 'like', 'ilang', 'sediri', 'outside', 'want', 'make', 'data', 'network', 'ilang', 'complicated', 'card', ' Emang ',' Network ',' Region ']")</f>
        <v>['Network', 'like', 'ilang', 'sediri', 'outside', 'want', 'make', 'data', 'network', 'ilang', 'complicated', 'card', ' Emang ',' Network ',' Region ']</v>
      </c>
      <c r="D282" s="3">
        <v>1.0</v>
      </c>
    </row>
    <row r="283" ht="15.75" customHeight="1">
      <c r="A283" s="1">
        <v>281.0</v>
      </c>
      <c r="B283" s="3" t="s">
        <v>284</v>
      </c>
      <c r="C283" s="3" t="str">
        <f>IFERROR(__xludf.DUMMYFUNCTION("GOOGLETRANSLATE(B283,""id"",""en"")"),"['Telkomsel', 'Destroyed', 'Loss',' business', 'developed', 'bankrupt', 'package', 'already', 'expensive', 'network', 'slow', 'kayak', ' snail', '']")</f>
        <v>['Telkomsel', 'Destroyed', 'Loss',' business', 'developed', 'bankrupt', 'package', 'already', 'expensive', 'network', 'slow', 'kayak', ' snail', '']</v>
      </c>
      <c r="D283" s="3">
        <v>1.0</v>
      </c>
    </row>
    <row r="284" ht="15.75" customHeight="1">
      <c r="A284" s="1">
        <v>282.0</v>
      </c>
      <c r="B284" s="3" t="s">
        <v>285</v>
      </c>
      <c r="C284" s="3" t="str">
        <f>IFERROR(__xludf.DUMMYFUNCTION("GOOGLETRANSLATE(B284,""id"",""en"")"),"['bbrp', 'week', 'difficult', 'really', 'access',' told ',' refresh ',' sometimes', 'login', 'reset', 'BBRP', ' times', 'Season', 'deh', 'difficult', 'really', 'check', 'quota', 'check', 'please', 'repaired', 'systema']")</f>
        <v>['bbrp', 'week', 'difficult', 'really', 'access',' told ',' refresh ',' sometimes', 'login', 'reset', 'BBRP', ' times', 'Season', 'deh', 'difficult', 'really', 'check', 'quota', 'check', 'please', 'repaired', 'systema']</v>
      </c>
      <c r="D284" s="3">
        <v>2.0</v>
      </c>
    </row>
    <row r="285" ht="15.75" customHeight="1">
      <c r="A285" s="1">
        <v>283.0</v>
      </c>
      <c r="B285" s="3" t="s">
        <v>286</v>
      </c>
      <c r="C285" s="3" t="str">
        <f>IFERROR(__xludf.DUMMYFUNCTION("GOOGLETRANSLATE(B285,""id"",""en"")"),"['Weekly', 'Application', 'Telkomsel', 'Error', 'Mulu', 'Knp', 'PDHL', 'UDH', 'Update', 'Error', 'Mulu', 'Kirain', ' Wrong ',' PDHL ',' EMG ',' Application ',' Error ',' Fix ',' Min ']")</f>
        <v>['Weekly', 'Application', 'Telkomsel', 'Error', 'Mulu', 'Knp', 'PDHL', 'UDH', 'Update', 'Error', 'Mulu', 'Kirain', ' Wrong ',' PDHL ',' EMG ',' Application ',' Error ',' Fix ',' Min ']</v>
      </c>
      <c r="D285" s="3">
        <v>1.0</v>
      </c>
    </row>
    <row r="286" ht="15.75" customHeight="1">
      <c r="A286" s="1">
        <v>284.0</v>
      </c>
      <c r="B286" s="3" t="s">
        <v>287</v>
      </c>
      <c r="C286" s="3" t="str">
        <f>IFERROR(__xludf.DUMMYFUNCTION("GOOGLETRANSLATE(B286,""id"",""en"")"),"['', 'SMS', 'Description', 'Period', 'Package', 'Telkomsel', 'Cheerful', 'Date', 'Taunya', 'APK', 'Blom', 'Nyampe', 'TGGL ',' already ',' access', 'slow', '']")</f>
        <v>['', 'SMS', 'Description', 'Period', 'Package', 'Telkomsel', 'Cheerful', 'Date', 'Taunya', 'APK', 'Blom', 'Nyampe', 'TGGL ',' already ',' access', 'slow', '']</v>
      </c>
      <c r="D286" s="3">
        <v>1.0</v>
      </c>
    </row>
    <row r="287" ht="15.75" customHeight="1">
      <c r="A287" s="1">
        <v>285.0</v>
      </c>
      <c r="B287" s="3" t="s">
        <v>288</v>
      </c>
      <c r="C287" s="3" t="str">
        <f>IFERROR(__xludf.DUMMYFUNCTION("GOOGLETRANSLATE(B287,""id"",""en"")"),"['Activate', 'Telkomsel', 'Get', 'Telkomsel', 'For example', 'buy', 'package', 'Internet', 'Telkomsel', 'cheap', 'practical', 'fast', ' ']")</f>
        <v>['Activate', 'Telkomsel', 'Get', 'Telkomsel', 'For example', 'buy', 'package', 'Internet', 'Telkomsel', 'cheap', 'practical', 'fast', ' ']</v>
      </c>
      <c r="D287" s="3">
        <v>5.0</v>
      </c>
    </row>
    <row r="288" ht="15.75" customHeight="1">
      <c r="A288" s="1">
        <v>286.0</v>
      </c>
      <c r="B288" s="3" t="s">
        <v>289</v>
      </c>
      <c r="C288" s="3" t="str">
        <f>IFERROR(__xludf.DUMMYFUNCTION("GOOGLETRANSLATE(B288,""id"",""en"")"),"['Yesterday', 'promo', 'RB', 'GB', 'now', 'Where', 'Yea', 'Package', 'Please', 'Management', 'Telkomsel', 'Give', ' lightening ',' difficult ',' trimakasih ',' hope ',' active ', ""]")</f>
        <v>['Yesterday', 'promo', 'RB', 'GB', 'now', 'Where', 'Yea', 'Package', 'Please', 'Management', 'Telkomsel', 'Give', ' lightening ',' difficult ',' trimakasih ',' hope ',' active ', "]</v>
      </c>
      <c r="D288" s="3">
        <v>5.0</v>
      </c>
    </row>
    <row r="289" ht="15.75" customHeight="1">
      <c r="A289" s="1">
        <v>287.0</v>
      </c>
      <c r="B289" s="3" t="s">
        <v>290</v>
      </c>
      <c r="C289" s="3" t="str">
        <f>IFERROR(__xludf.DUMMYFUNCTION("GOOGLETRANSLATE(B289,""id"",""en"")"),"['Telkomsel', 'regretting', 'slow', 'internet', 'different', 'continuous',' customer ',' switch ',' operator ',' expensive ',' doang ',' shop ',' Note ',' Comfort ',' Customers', 'Destroyed', 'Privacy', 'Customers',' Etc. ',' Come ',' Change ',' Operator "&amp;"', ""]")</f>
        <v>['Telkomsel', 'regretting', 'slow', 'internet', 'different', 'continuous',' customer ',' switch ',' operator ',' expensive ',' doang ',' shop ',' Note ',' Comfort ',' Customers', 'Destroyed', 'Privacy', 'Customers',' Etc. ',' Come ',' Change ',' Operator ', "]</v>
      </c>
      <c r="D289" s="3">
        <v>1.0</v>
      </c>
    </row>
    <row r="290" ht="15.75" customHeight="1">
      <c r="A290" s="1">
        <v>288.0</v>
      </c>
      <c r="B290" s="3" t="s">
        <v>291</v>
      </c>
      <c r="C290" s="3" t="str">
        <f>IFERROR(__xludf.DUMMYFUNCTION("GOOGLETRANSLATE(B290,""id"",""en"")"),"['Bangke', 'really', 'signal', 'lag', 'lag', 'update', 'smooth', 'smooth', 'sajah', 'persist', 'now', 'good', ' Severe ',' lag ',' ooooooo ']")</f>
        <v>['Bangke', 'really', 'signal', 'lag', 'lag', 'update', 'smooth', 'smooth', 'sajah', 'persist', 'now', 'good', ' Severe ',' lag ',' ooooooo ']</v>
      </c>
      <c r="D290" s="3">
        <v>1.0</v>
      </c>
    </row>
    <row r="291" ht="15.75" customHeight="1">
      <c r="A291" s="1">
        <v>289.0</v>
      </c>
      <c r="B291" s="3" t="s">
        <v>292</v>
      </c>
      <c r="C291" s="3" t="str">
        <f>IFERROR(__xludf.DUMMYFUNCTION("GOOGLETRANSLATE(B291,""id"",""en"")"),"['active', 'package', 'promo', 'ngc', 'kah', 'exchange', 'card', '']")</f>
        <v>['active', 'package', 'promo', 'ngc', 'kah', 'exchange', 'card', '']</v>
      </c>
      <c r="D291" s="3">
        <v>2.0</v>
      </c>
    </row>
    <row r="292" ht="15.75" customHeight="1">
      <c r="A292" s="1">
        <v>290.0</v>
      </c>
      <c r="B292" s="3" t="s">
        <v>293</v>
      </c>
      <c r="C292" s="3" t="str">
        <f>IFERROR(__xludf.DUMMYFUNCTION("GOOGLETRANSLATE(B292,""id"",""en"")"),"['week', 'convenient', 'application', 'login', 'application', 'connection', 'stable', 'click', 'try', 'sometimes',' login ',' application ',' Verification ',' number ',' annoying ',' comfort ',' please ',' fix ',' sorry ', ""]")</f>
        <v>['week', 'convenient', 'application', 'login', 'application', 'connection', 'stable', 'click', 'try', 'sometimes',' login ',' application ',' Verification ',' number ',' annoying ',' comfort ',' please ',' fix ',' sorry ', "]</v>
      </c>
      <c r="D292" s="3">
        <v>1.0</v>
      </c>
    </row>
    <row r="293" ht="15.75" customHeight="1">
      <c r="A293" s="1">
        <v>291.0</v>
      </c>
      <c r="B293" s="3" t="s">
        <v>294</v>
      </c>
      <c r="C293" s="3" t="str">
        <f>IFERROR(__xludf.DUMMYFUNCTION("GOOGLETRANSLATE(B293,""id"",""en"")"),"['plis',' deh ',' gift ',' checkin ',' given ',' quota ',' voucher ',' zalora ',' tokopedia ',' what's', 'users',' Telkomsel ',' Account ',' how ',' Mending ',' quota ',' given ',' Telkomsel ',' Points', 'contents',' pulses']")</f>
        <v>['plis',' deh ',' gift ',' checkin ',' given ',' quota ',' voucher ',' zalora ',' tokopedia ',' what's', 'users',' Telkomsel ',' Account ',' how ',' Mending ',' quota ',' given ',' Telkomsel ',' Points', 'contents',' pulses']</v>
      </c>
      <c r="D293" s="3">
        <v>1.0</v>
      </c>
    </row>
    <row r="294" ht="15.75" customHeight="1">
      <c r="A294" s="1">
        <v>292.0</v>
      </c>
      <c r="B294" s="3" t="s">
        <v>295</v>
      </c>
      <c r="C294" s="3" t="str">
        <f>IFERROR(__xludf.DUMMYFUNCTION("GOOGLETRANSLATE(B294,""id"",""en"")"),"['signal', 'network', 'ugly', 'price', 'expensive', 'expensive', 'open', 'application', 'mytelkomsel', 'loding', 'slow', 'application', ' jeeeeeeeeeeeeeek ',' network ',' Benerin ',' signal ',' package ',' data ',' stable ']")</f>
        <v>['signal', 'network', 'ugly', 'price', 'expensive', 'expensive', 'open', 'application', 'mytelkomsel', 'loding', 'slow', 'application', ' jeeeeeeeeeeeeeek ',' network ',' Benerin ',' signal ',' package ',' data ',' stable ']</v>
      </c>
      <c r="D294" s="3">
        <v>1.0</v>
      </c>
    </row>
    <row r="295" ht="15.75" customHeight="1">
      <c r="A295" s="1">
        <v>293.0</v>
      </c>
      <c r="B295" s="3" t="s">
        <v>296</v>
      </c>
      <c r="C295" s="3" t="str">
        <f>IFERROR(__xludf.DUMMYFUNCTION("GOOGLETRANSLATE(B295,""id"",""en"")"),"['Cook', 'card', 'package', 'Nge', 'lag', 'broken', 'Severe', 'Sometimes',' Applikai ',' Like ',' Error ',' Pdhl ',' network ',' open ',' smooth ',' star ',' completed ',' thank you ']")</f>
        <v>['Cook', 'card', 'package', 'Nge', 'lag', 'broken', 'Severe', 'Sometimes',' Applikai ',' Like ',' Error ',' Pdhl ',' network ',' open ',' smooth ',' star ',' completed ',' thank you ']</v>
      </c>
      <c r="D295" s="3">
        <v>2.0</v>
      </c>
    </row>
    <row r="296" ht="15.75" customHeight="1">
      <c r="A296" s="1">
        <v>294.0</v>
      </c>
      <c r="B296" s="3" t="s">
        <v>297</v>
      </c>
      <c r="C296" s="3" t="str">
        <f>IFERROR(__xludf.DUMMYFUNCTION("GOOGLETRANSLATE(B296,""id"",""en"")"),"['Please', 'Depelover', 'Fix', 'Network', 'Internet', 'Destroyed', 'Telkomsel', 'Network', 'Bener', 'Stable', 'in the Occurrence', 'Application', ' error']")</f>
        <v>['Please', 'Depelover', 'Fix', 'Network', 'Internet', 'Destroyed', 'Telkomsel', 'Network', 'Bener', 'Stable', 'in the Occurrence', 'Application', ' error']</v>
      </c>
      <c r="D296" s="3">
        <v>1.0</v>
      </c>
    </row>
    <row r="297" ht="15.75" customHeight="1">
      <c r="A297" s="1">
        <v>295.0</v>
      </c>
      <c r="B297" s="3" t="s">
        <v>298</v>
      </c>
      <c r="C297" s="3" t="str">
        <f>IFERROR(__xludf.DUMMYFUNCTION("GOOGLETRANSLATE(B297,""id"",""en"")"),"['application', 'employee', 'manager', 'price', 'package', 'sultan', 'network', 'ngak', 'judgment', 'star', 'because', 'suda', ' according to ',' signal ',' kalaw ',' location ',' location ',' konawe ']")</f>
        <v>['application', 'employee', 'manager', 'price', 'package', 'sultan', 'network', 'ngak', 'judgment', 'star', 'because', 'suda', ' according to ',' signal ',' kalaw ',' location ',' location ',' konawe ']</v>
      </c>
      <c r="D297" s="3">
        <v>1.0</v>
      </c>
    </row>
    <row r="298" ht="15.75" customHeight="1">
      <c r="A298" s="1">
        <v>296.0</v>
      </c>
      <c r="B298" s="3" t="s">
        <v>299</v>
      </c>
      <c r="C298" s="3" t="str">
        <f>IFERROR(__xludf.DUMMYFUNCTION("GOOGLETRANSLATE(B298,""id"",""en"")"),"['application', 'Yesterday', 'buy', 'quota', 'unlimited', 'application', 'for' quota ',' out ',' unlimited ',' buy ',' quota ',' Date ',' April ',' Normally ',' Out ',' Unlimited ',' Date ',' May ',' Date ',' April ',' Already ',' Out ',' Quota ',' Unlimi"&amp;"ted ' , 'what', 'situ', 'printed', 'maximum', 'quota', 'unlimited', 'a day', 'application', 'idiot']")</f>
        <v>['application', 'Yesterday', 'buy', 'quota', 'unlimited', 'application', 'for' quota ',' out ',' unlimited ',' buy ',' quota ',' Date ',' April ',' Normally ',' Out ',' Unlimited ',' Date ',' May ',' Date ',' April ',' Already ',' Out ',' Quota ',' Unlimited ' , 'what', 'situ', 'printed', 'maximum', 'quota', 'unlimited', 'a day', 'application', 'idiot']</v>
      </c>
      <c r="D298" s="3">
        <v>1.0</v>
      </c>
    </row>
    <row r="299" ht="15.75" customHeight="1">
      <c r="A299" s="1">
        <v>297.0</v>
      </c>
      <c r="B299" s="3" t="s">
        <v>300</v>
      </c>
      <c r="C299" s="3" t="str">
        <f>IFERROR(__xludf.DUMMYFUNCTION("GOOGLETRANSLATE(B299,""id"",""en"")"),"['notification', 'package', 'BLM', 'enter', 'already', 'network', 'slow', 'right', 'check', 'clock', 'night', 'blm', ' Enter ',' pulse ',' ties', 'kek', 'Telkomsel', 'please', 'love', 'darling', 'tolerance', 'mbak', ""]")</f>
        <v>['notification', 'package', 'BLM', 'enter', 'already', 'network', 'slow', 'right', 'check', 'clock', 'night', 'blm', ' Enter ',' pulse ',' ties', 'kek', 'Telkomsel', 'please', 'love', 'darling', 'tolerance', 'mbak', "]</v>
      </c>
      <c r="D299" s="3">
        <v>2.0</v>
      </c>
    </row>
    <row r="300" ht="15.75" customHeight="1">
      <c r="A300" s="1">
        <v>298.0</v>
      </c>
      <c r="B300" s="3" t="s">
        <v>301</v>
      </c>
      <c r="C300" s="3" t="str">
        <f>IFERROR(__xludf.DUMMYFUNCTION("GOOGLETRANSLATE(B300,""id"",""en"")"),"['Stupitt', 'Network', 'Leet', 'Price', 'Vocer', 'Stupittttttttt', 'Kraizy', 'Nga', 'Langanan', 'Gini', 'already', '' years ',' Telkom ',' Loss', 'Hari', 'remember', ""]")</f>
        <v>['Stupitt', 'Network', 'Leet', 'Price', 'Vocer', 'Stupittttttttt', 'Kraizy', 'Nga', 'Langanan', 'Gini', 'already', '' years ',' Telkom ',' Loss', 'Hari', 'remember', "]</v>
      </c>
      <c r="D300" s="3">
        <v>1.0</v>
      </c>
    </row>
    <row r="301" ht="15.75" customHeight="1">
      <c r="A301" s="1">
        <v>299.0</v>
      </c>
      <c r="B301" s="3" t="s">
        <v>302</v>
      </c>
      <c r="C301" s="3" t="str">
        <f>IFERROR(__xludf.DUMMYFUNCTION("GOOGLETRANSLATE(B301,""id"",""en"")"),"['Telkomsel', 'dear', 'oath', 'rude', 'love', 'service', 'according to', 'price', 'set', 'mentang', 'provider', 'signal', ' good ',' auto ',' apply ',' as soon as', 'quota', 'unlimited', 'turn', 'bought', 'used', 'geh', 'kagak', 'sucked', 'pulses' , 'wih'"&amp;", 'smooth', 'really', 'already', 'kayak', 'road', 'toll', 'free', 'obstacle', 'how', 'moved', 'provider', ' Clay ',' Type ',' Service ',' Bad ',' Kayak ',' Gini ', ""]")</f>
        <v>['Telkomsel', 'dear', 'oath', 'rude', 'love', 'service', 'according to', 'price', 'set', 'mentang', 'provider', 'signal', ' good ',' auto ',' apply ',' as soon as', 'quota', 'unlimited', 'turn', 'bought', 'used', 'geh', 'kagak', 'sucked', 'pulses' , 'wih', 'smooth', 'really', 'already', 'kayak', 'road', 'toll', 'free', 'obstacle', 'how', 'moved', 'provider', ' Clay ',' Type ',' Service ',' Bad ',' Kayak ',' Gini ', "]</v>
      </c>
      <c r="D301" s="3">
        <v>1.0</v>
      </c>
    </row>
    <row r="302" ht="15.75" customHeight="1">
      <c r="A302" s="1">
        <v>300.0</v>
      </c>
      <c r="B302" s="3" t="s">
        <v>303</v>
      </c>
      <c r="C302" s="3" t="str">
        <f>IFERROR(__xludf.DUMMYFUNCTION("GOOGLETRANSLATE(B302,""id"",""en"")"),"['difficult', 'login', 'application', 'makes it easier', 'transaction', 'purchase', 'quota', 'entry', 'go to', 'right', 'sendin', 'verification', ' Publish ',' SUCCESS ',' Enter ',' Hopefully ',' fast ',' solution ',' yaaa ']")</f>
        <v>['difficult', 'login', 'application', 'makes it easier', 'transaction', 'purchase', 'quota', 'entry', 'go to', 'right', 'sendin', 'verification', ' Publish ',' SUCCESS ',' Enter ',' Hopefully ',' fast ',' solution ',' yaaa ']</v>
      </c>
      <c r="D302" s="3">
        <v>2.0</v>
      </c>
    </row>
    <row r="303" ht="15.75" customHeight="1">
      <c r="A303" s="1">
        <v>301.0</v>
      </c>
      <c r="B303" s="3" t="s">
        <v>304</v>
      </c>
      <c r="C303" s="3" t="str">
        <f>IFERROR(__xludf.DUMMYFUNCTION("GOOGLETRANSLATE(B303,""id"",""en"")"),"['hello', 'min', 'please', 'bug', 'fix', 'cook', 'notification', 'application', 'mytelkomsel', 'logon', 'get', 'quota', ' GB ',' open ',' application ',' package ',' emergency ',' yng ',' buy ',' already ',' pay ',' right ',' take ',' package ',' emergenc"&amp;"y ' , 'written', 'pay off', 'package', 'emergency', 'strange', 'that's']")</f>
        <v>['hello', 'min', 'please', 'bug', 'fix', 'cook', 'notification', 'application', 'mytelkomsel', 'logon', 'get', 'quota', ' GB ',' open ',' application ',' package ',' emergency ',' yng ',' buy ',' already ',' pay ',' right ',' take ',' package ',' emergency ' , 'written', 'pay off', 'package', 'emergency', 'strange', 'that's']</v>
      </c>
      <c r="D303" s="3">
        <v>1.0</v>
      </c>
    </row>
    <row r="304" ht="15.75" customHeight="1">
      <c r="A304" s="1">
        <v>302.0</v>
      </c>
      <c r="B304" s="3" t="s">
        <v>305</v>
      </c>
      <c r="C304" s="3" t="str">
        <f>IFERROR(__xludf.DUMMYFUNCTION("GOOGLETRANSLATE(B304,""id"",""en"")"),"['bad', 'Nihh', 'Telkomsel', 'buy', 'kouta', 'ampe', 'bln', 'printed', 'check', 'yes',' quota ',' ampe ',' Bln ',' Check ',' Changed ',' Please ',' Chat ',' Cust ',' Center ',' Bls', 'Robot', 'Season']")</f>
        <v>['bad', 'Nihh', 'Telkomsel', 'buy', 'kouta', 'ampe', 'bln', 'printed', 'check', 'yes',' quota ',' ampe ',' Bln ',' Check ',' Changed ',' Please ',' Chat ',' Cust ',' Center ',' Bls', 'Robot', 'Season']</v>
      </c>
      <c r="D304" s="3">
        <v>1.0</v>
      </c>
    </row>
    <row r="305" ht="15.75" customHeight="1">
      <c r="A305" s="1">
        <v>303.0</v>
      </c>
      <c r="B305" s="3" t="s">
        <v>306</v>
      </c>
      <c r="C305" s="3" t="str">
        <f>IFERROR(__xludf.DUMMYFUNCTION("GOOGLETRANSLATE(B305,""id"",""en"")"),"['Please', 'Sis',' Add ',' Features', 'Lock', 'Credit', 'Package', 'Data', 'Rich', 'Application', 'Next to', 'AXIS', ' Package ',' run out ',' then ',' automatic ',' sucked ',' pulse ',' fell asleep ',' ']")</f>
        <v>['Please', 'Sis',' Add ',' Features', 'Lock', 'Credit', 'Package', 'Data', 'Rich', 'Application', 'Next to', 'AXIS', ' Package ',' run out ',' then ',' automatic ',' sucked ',' pulse ',' fell asleep ',' ']</v>
      </c>
      <c r="D305" s="3">
        <v>3.0</v>
      </c>
    </row>
    <row r="306" ht="15.75" customHeight="1">
      <c r="A306" s="1">
        <v>304.0</v>
      </c>
      <c r="B306" s="3" t="s">
        <v>307</v>
      </c>
      <c r="C306" s="3" t="str">
        <f>IFERROR(__xludf.DUMMYFUNCTION("GOOGLETRANSLATE(B306,""id"",""en"")"),"['update', 'application', 'Telkomsel', 'feel', 'discomfort', 'natural', 'account', 'telkomsel', 'number', 'different', 'displacement', 'number', ' number ',' enter ',' version ',' Please ',' enlightenment ',' mksh ']")</f>
        <v>['update', 'application', 'Telkomsel', 'feel', 'discomfort', 'natural', 'account', 'telkomsel', 'number', 'different', 'displacement', 'number', ' number ',' enter ',' version ',' Please ',' enlightenment ',' mksh ']</v>
      </c>
      <c r="D306" s="3">
        <v>4.0</v>
      </c>
    </row>
    <row r="307" ht="15.75" customHeight="1">
      <c r="A307" s="1">
        <v>305.0</v>
      </c>
      <c r="B307" s="3" t="s">
        <v>308</v>
      </c>
      <c r="C307" s="3" t="str">
        <f>IFERROR(__xludf.DUMMYFUNCTION("GOOGLETRANSLATE(B307,""id"",""en"")"),"['Hello', 'introduce', 'name', 'star', 'Gini', 'my father', 'send', 'quota', 'quota', 'right', 'uda', 'entered', ' Telkomsel ',' Main ',' Game ',' Online ',' Please ',' Assisted ']")</f>
        <v>['Hello', 'introduce', 'name', 'star', 'Gini', 'my father', 'send', 'quota', 'quota', 'right', 'uda', 'entered', ' Telkomsel ',' Main ',' Game ',' Online ',' Please ',' Assisted ']</v>
      </c>
      <c r="D307" s="3">
        <v>1.0</v>
      </c>
    </row>
    <row r="308" ht="15.75" customHeight="1">
      <c r="A308" s="1">
        <v>306.0</v>
      </c>
      <c r="B308" s="3" t="s">
        <v>309</v>
      </c>
      <c r="C308" s="3" t="str">
        <f>IFERROR(__xludf.DUMMYFUNCTION("GOOGLETRANSLATE(B308,""id"",""en"")"),"['Signal', 'Telkomsel', 'Bad', 'Meanwhile', 'Region', 'Pondok', 'Pumpkin', 'Lebak', 'Bulus',' Please ',' Fix ',' Buy ',' package ',' use ',' leaves', 'expensive', 'signal', 'nggk', ""]")</f>
        <v>['Signal', 'Telkomsel', 'Bad', 'Meanwhile', 'Region', 'Pondok', 'Pumpkin', 'Lebak', 'Bulus',' Please ',' Fix ',' Buy ',' package ',' use ',' leaves', 'expensive', 'signal', 'nggk', "]</v>
      </c>
      <c r="D308" s="3">
        <v>1.0</v>
      </c>
    </row>
    <row r="309" ht="15.75" customHeight="1">
      <c r="A309" s="1">
        <v>307.0</v>
      </c>
      <c r="B309" s="3" t="s">
        <v>310</v>
      </c>
      <c r="C309" s="3" t="str">
        <f>IFERROR(__xludf.DUMMYFUNCTION("GOOGLETRANSLATE(B309,""id"",""en"")"),"['', 'star', 'application', 'MyTelkomsel', 'price', 'package', 'Different', 'Different', 'Please', 'Expert', 'Bpk', 'Dear', 'Follow ',' Telkomsel ',' Points', 'No', '']")</f>
        <v>['', 'star', 'application', 'MyTelkomsel', 'price', 'package', 'Different', 'Different', 'Please', 'Expert', 'Bpk', 'Dear', 'Follow ',' Telkomsel ',' Points', 'No', '']</v>
      </c>
      <c r="D309" s="3">
        <v>3.0</v>
      </c>
    </row>
    <row r="310" ht="15.75" customHeight="1">
      <c r="A310" s="1">
        <v>308.0</v>
      </c>
      <c r="B310" s="3" t="s">
        <v>311</v>
      </c>
      <c r="C310" s="3" t="str">
        <f>IFERROR(__xludf.DUMMYFUNCTION("GOOGLETRANSLATE(B310,""id"",""en"")"),"['Quality', 'Network', 'Paketan', 'Ojol', 'Good', 'Lose', 'Paketan', 'Different', 'Need', 'Network', 'Good', 'Cheap', ' Paketan ',' Jaringn ',' ']")</f>
        <v>['Quality', 'Network', 'Paketan', 'Ojol', 'Good', 'Lose', 'Paketan', 'Different', 'Need', 'Network', 'Good', 'Cheap', ' Paketan ',' Jaringn ',' ']</v>
      </c>
      <c r="D310" s="3">
        <v>1.0</v>
      </c>
    </row>
    <row r="311" ht="15.75" customHeight="1">
      <c r="A311" s="1">
        <v>309.0</v>
      </c>
      <c r="B311" s="3" t="s">
        <v>312</v>
      </c>
      <c r="C311" s="3" t="str">
        <f>IFERROR(__xludf.DUMMYFUNCTION("GOOGLETRANSLATE(B311,""id"",""en"")"),"['buy', 'package', 'quota', 'succeed', 'credit', 'have', 'pulse', 'sucked', 'return', 'pulse', 'sucked']")</f>
        <v>['buy', 'package', 'quota', 'succeed', 'credit', 'have', 'pulse', 'sucked', 'return', 'pulse', 'sucked']</v>
      </c>
      <c r="D311" s="3">
        <v>1.0</v>
      </c>
    </row>
    <row r="312" ht="15.75" customHeight="1">
      <c r="A312" s="1">
        <v>310.0</v>
      </c>
      <c r="B312" s="3" t="s">
        <v>313</v>
      </c>
      <c r="C312" s="3" t="str">
        <f>IFERROR(__xludf.DUMMYFUNCTION("GOOGLETRANSLATE(B312,""id"",""en"")"),"['Open', 'Application', 'Practical', 'Suggestion', 'How', 'Open', 'Application', 'Addin', 'Features', 'FingerPinrt', 'Simple', ""]")</f>
        <v>['Open', 'Application', 'Practical', 'Suggestion', 'How', 'Open', 'Application', 'Addin', 'Features', 'FingerPinrt', 'Simple', "]</v>
      </c>
      <c r="D312" s="3">
        <v>1.0</v>
      </c>
    </row>
    <row r="313" ht="15.75" customHeight="1">
      <c r="A313" s="1">
        <v>311.0</v>
      </c>
      <c r="B313" s="3" t="s">
        <v>314</v>
      </c>
      <c r="C313" s="3" t="str">
        <f>IFERROR(__xludf.DUMMYFUNCTION("GOOGLETRANSLATE(B313,""id"",""en"")"),"['crazy', 'Telkomsel', 'taste', 'card', 'difficult', 'signal', 'dokkung', 'in the city', 'disappointed', 'Telkomsel', 'replace', 'card', ' Mending ',' cave ',' already ',' expensive ',' slow ',' mending ',' cheap ',' slow ',' slow ']")</f>
        <v>['crazy', 'Telkomsel', 'taste', 'card', 'difficult', 'signal', 'dokkung', 'in the city', 'disappointed', 'Telkomsel', 'replace', 'card', ' Mending ',' cave ',' already ',' expensive ',' slow ',' mending ',' cheap ',' slow ',' slow ']</v>
      </c>
      <c r="D313" s="3">
        <v>1.0</v>
      </c>
    </row>
    <row r="314" ht="15.75" customHeight="1">
      <c r="A314" s="1">
        <v>312.0</v>
      </c>
      <c r="B314" s="3" t="s">
        <v>315</v>
      </c>
      <c r="C314" s="3" t="str">
        <f>IFERROR(__xludf.DUMMYFUNCTION("GOOGLETRANSLATE(B314,""id"",""en"")"),"['try', 'application', 'Telkomsel', 'check', 'leftover', 'package', 'work', '']")</f>
        <v>['try', 'application', 'Telkomsel', 'check', 'leftover', 'package', 'work', '']</v>
      </c>
      <c r="D314" s="3">
        <v>5.0</v>
      </c>
    </row>
    <row r="315" ht="15.75" customHeight="1">
      <c r="A315" s="1">
        <v>313.0</v>
      </c>
      <c r="B315" s="3" t="s">
        <v>316</v>
      </c>
      <c r="C315" s="3" t="str">
        <f>IFERROR(__xludf.DUMMYFUNCTION("GOOGLETRANSLATE(B315,""id"",""en"")"),"['Telkomsel', 'Daily', 'checkin', 'UDH', 'around', 'appears', 'appears', 'please', 'bug', 'fix', ""]")</f>
        <v>['Telkomsel', 'Daily', 'checkin', 'UDH', 'around', 'appears', 'appears', 'please', 'bug', 'fix', "]</v>
      </c>
      <c r="D315" s="3">
        <v>5.0</v>
      </c>
    </row>
    <row r="316" ht="15.75" customHeight="1">
      <c r="A316" s="1">
        <v>314.0</v>
      </c>
      <c r="B316" s="3" t="s">
        <v>317</v>
      </c>
      <c r="C316" s="3" t="str">
        <f>IFERROR(__xludf.DUMMYFUNCTION("GOOGLETRANSLATE(B316,""id"",""en"")"),"['disappointed', 'network', 'Telkomsel', 'buy', 'quota', 'GB', 'unlimited', 'quota', 'main', 'GB', 'Abis',' quota ',' slow ',' access', 'internet', 'taste', 'tricks',' buy ',' package ',' youtunbe ',' broke ',' connected ',' quota ',' smooth ',' Please ' "&amp;", 'Differentiate', 'Package', 'Data', 'Unlimited', '']")</f>
        <v>['disappointed', 'network', 'Telkomsel', 'buy', 'quota', 'GB', 'unlimited', 'quota', 'main', 'GB', 'Abis',' quota ',' slow ',' access', 'internet', 'taste', 'tricks',' buy ',' package ',' youtunbe ',' broke ',' connected ',' quota ',' smooth ',' Please ' , 'Differentiate', 'Package', 'Data', 'Unlimited', '']</v>
      </c>
      <c r="D316" s="3">
        <v>1.0</v>
      </c>
    </row>
    <row r="317" ht="15.75" customHeight="1">
      <c r="A317" s="1">
        <v>315.0</v>
      </c>
      <c r="B317" s="3" t="s">
        <v>318</v>
      </c>
      <c r="C317" s="3" t="str">
        <f>IFERROR(__xludf.DUMMYFUNCTION("GOOGLETRANSLATE(B317,""id"",""en"")"),"['koq', 'application', 'no', 'open', 'ugly', 'no', 'function', 'download', 'delete', 'download', 'msh', 'no' open', '']")</f>
        <v>['koq', 'application', 'no', 'open', 'ugly', 'no', 'function', 'download', 'delete', 'download', 'msh', 'no' open', '']</v>
      </c>
      <c r="D317" s="3">
        <v>3.0</v>
      </c>
    </row>
    <row r="318" ht="15.75" customHeight="1">
      <c r="A318" s="1">
        <v>316.0</v>
      </c>
      <c r="B318" s="3" t="s">
        <v>319</v>
      </c>
      <c r="C318" s="3" t="str">
        <f>IFERROR(__xludf.DUMMYFUNCTION("GOOGLETRANSLATE(B318,""id"",""en"")"),"['Application', 'as easy', 'imagined', 'Teriba', 'Telkomsel', 'enter', 'use', 'link', 'sms',' number ',' strange ',' right ',' progress', 'sorry', 'input', 'easy', 'bagusan', 'use', 'number', 'telkom', 'other', 'number', 'old', 'special', 'nelp' ]")</f>
        <v>['Application', 'as easy', 'imagined', 'Teriba', 'Telkomsel', 'enter', 'use', 'link', 'sms',' number ',' strange ',' right ',' progress', 'sorry', 'input', 'easy', 'bagusan', 'use', 'number', 'telkom', 'other', 'number', 'old', 'special', 'nelp' ]</v>
      </c>
      <c r="D318" s="3">
        <v>1.0</v>
      </c>
    </row>
    <row r="319" ht="15.75" customHeight="1">
      <c r="A319" s="1">
        <v>317.0</v>
      </c>
      <c r="B319" s="3" t="s">
        <v>320</v>
      </c>
      <c r="C319" s="3" t="str">
        <f>IFERROR(__xludf.DUMMYFUNCTION("GOOGLETRANSLATE(B319,""id"",""en"")"),"['application', 'ugly', 'opened', 'try', 'signal', 'open', 'the application', 'try', 'try', 'read', 'comment', 'complaint', ' Fix ',' Telkomsel ',' APKikasi ',' Closed ',' Iringi ',' Notif ',' Use ',' Application ',' Eating ',' Power ',' wasteful ',' Telk"&amp;"omsel ', ""]")</f>
        <v>['application', 'ugly', 'opened', 'try', 'signal', 'open', 'the application', 'try', 'try', 'read', 'comment', 'complaint', ' Fix ',' Telkomsel ',' APKikasi ',' Closed ',' Iringi ',' Notif ',' Use ',' Application ',' Eating ',' Power ',' wasteful ',' Telkomsel ', "]</v>
      </c>
      <c r="D319" s="3">
        <v>1.0</v>
      </c>
    </row>
    <row r="320" ht="15.75" customHeight="1">
      <c r="A320" s="1">
        <v>318.0</v>
      </c>
      <c r="B320" s="3" t="s">
        <v>321</v>
      </c>
      <c r="C320" s="3" t="str">
        <f>IFERROR(__xludf.DUMMYFUNCTION("GOOGLETRANSLATE(B320,""id"",""en"")"),"['veroniaman', 'Veronika', 'Problems',' Naturally ',' Story ',' Mainin ',' Called ',' Number ',' Mainin ',' Game ',' Phone ',' Lift ',' Direct ',' dead ',' rich ',' miscol ',' on 'on', 'call', 'clock', 'please', 'veronika', 'problem', 'natural', 'scared',"&amp;" 'now' ]")</f>
        <v>['veroniaman', 'Veronika', 'Problems',' Naturally ',' Story ',' Mainin ',' Called ',' Number ',' Mainin ',' Game ',' Phone ',' Lift ',' Direct ',' dead ',' rich ',' miscol ',' on 'on', 'call', 'clock', 'please', 'veronika', 'problem', 'natural', 'scared', 'now' ]</v>
      </c>
      <c r="D320" s="3">
        <v>1.0</v>
      </c>
    </row>
    <row r="321" ht="15.75" customHeight="1">
      <c r="A321" s="1">
        <v>319.0</v>
      </c>
      <c r="B321" s="3" t="s">
        <v>322</v>
      </c>
      <c r="C321" s="3" t="str">
        <f>IFERROR(__xludf.DUMMYFUNCTION("GOOGLETRANSLATE(B321,""id"",""en"")"),"['MyTelkomsel', 'take', 'ride', 'game', 'want', 'ngilangin', 'the application', 'return', 'signal', 'number', 'establish "",' Telkomsel ',' ']")</f>
        <v>['MyTelkomsel', 'take', 'ride', 'game', 'want', 'ngilangin', 'the application', 'return', 'signal', 'number', 'establish ",' Telkomsel ',' ']</v>
      </c>
      <c r="D321" s="3">
        <v>3.0</v>
      </c>
    </row>
    <row r="322" ht="15.75" customHeight="1">
      <c r="A322" s="1">
        <v>320.0</v>
      </c>
      <c r="B322" s="3" t="s">
        <v>323</v>
      </c>
      <c r="C322" s="3" t="str">
        <f>IFERROR(__xludf.DUMMYFUNCTION("GOOGLETRANSLATE(B322,""id"",""en"")"),"['Sorry', 'Collapin', 'Bintang', 'Package', 'Swadaya', 'Gojek', 'Thousands',' Gojek ',' Sympathy ',' Paketan ',' Swaday ',' Suggestions', ' Chat ',' Veronika ',' Package ',' Situ ',' Healthy ',' Income ',' Gojek ',' Move ',' Oprator ',' Cheap ',' ']")</f>
        <v>['Sorry', 'Collapin', 'Bintang', 'Package', 'Swadaya', 'Gojek', 'Thousands',' Gojek ',' Sympathy ',' Paketan ',' Swaday ',' Suggestions', ' Chat ',' Veronika ',' Package ',' Situ ',' Healthy ',' Income ',' Gojek ',' Move ',' Oprator ',' Cheap ',' ']</v>
      </c>
      <c r="D322" s="3">
        <v>1.0</v>
      </c>
    </row>
    <row r="323" ht="15.75" customHeight="1">
      <c r="A323" s="1">
        <v>321.0</v>
      </c>
      <c r="B323" s="3" t="s">
        <v>324</v>
      </c>
      <c r="C323" s="3" t="str">
        <f>IFERROR(__xludf.DUMMYFUNCTION("GOOGLETRANSLATE(B323,""id"",""en"")"),"['Package', 'Combo', 'Sakti', 'expensive', 'price', 'thousand', 'thousands',' thousands', 'Telkomsel', 'thousand', 'already', 'raise', ' price ',' klu ',' already ',' dumped ',' price ',' change ',' rating ',' ']")</f>
        <v>['Package', 'Combo', 'Sakti', 'expensive', 'price', 'thousand', 'thousands',' thousands', 'Telkomsel', 'thousand', 'already', 'raise', ' price ',' klu ',' already ',' dumped ',' price ',' change ',' rating ',' ']</v>
      </c>
      <c r="D323" s="3">
        <v>1.0</v>
      </c>
    </row>
    <row r="324" ht="15.75" customHeight="1">
      <c r="A324" s="1">
        <v>322.0</v>
      </c>
      <c r="B324" s="3" t="s">
        <v>325</v>
      </c>
      <c r="C324" s="3" t="str">
        <f>IFERROR(__xludf.DUMMYFUNCTION("GOOGLETRANSLATE(B324,""id"",""en"")"),"['LOLA', 'LOLA', 'SCREEN', 'Wallet', 'Karna', 'Card', 'Constraints',' Forced ',' Telkomsel ',' Buy ',' Package ',' GB ',' GB ',' used ',' internet ',' the rest ',' vain ',' vain ',' card ',' used ',' network ',' internet ',' internet ',' local ',' local '"&amp;" , 'Posts', 'Sia', 'Sia', ""]")</f>
        <v>['LOLA', 'LOLA', 'SCREEN', 'Wallet', 'Karna', 'Card', 'Constraints',' Forced ',' Telkomsel ',' Buy ',' Package ',' GB ',' GB ',' used ',' internet ',' the rest ',' vain ',' vain ',' card ',' used ',' network ',' internet ',' internet ',' local ',' local ' , 'Posts', 'Sia', 'Sia', "]</v>
      </c>
      <c r="D324" s="3">
        <v>1.0</v>
      </c>
    </row>
    <row r="325" ht="15.75" customHeight="1">
      <c r="A325" s="1">
        <v>323.0</v>
      </c>
      <c r="B325" s="3" t="s">
        <v>326</v>
      </c>
      <c r="C325" s="3" t="str">
        <f>IFERROR(__xludf.DUMMYFUNCTION("GOOGLETRANSLATE(B325,""id"",""en"")"),"['Telkomsel', 'Sunday', 'motorbike', 'money', 'cash', 'month', 'car', 'feels',' gift ',' game ',' Telkomsel ',' Switch ',' The point ',' download ',' Application ',' Telkomsel ',' Following ',' Lottery ',' Gift ',' Love ',' Star ',' so ',' complaints', 'T"&amp;"hank', 'Love' ]")</f>
        <v>['Telkomsel', 'Sunday', 'motorbike', 'money', 'cash', 'month', 'car', 'feels',' gift ',' game ',' Telkomsel ',' Switch ',' The point ',' download ',' Application ',' Telkomsel ',' Following ',' Lottery ',' Gift ',' Love ',' Star ',' so ',' complaints', 'Thank', 'Love' ]</v>
      </c>
      <c r="D325" s="3">
        <v>3.0</v>
      </c>
    </row>
    <row r="326" ht="15.75" customHeight="1">
      <c r="A326" s="1">
        <v>324.0</v>
      </c>
      <c r="B326" s="3" t="s">
        <v>327</v>
      </c>
      <c r="C326" s="3" t="str">
        <f>IFERROR(__xludf.DUMMYFUNCTION("GOOGLETRANSLATE(B326,""id"",""en"")"),"['Try', 'change', 'name', 'package', 'unlimited', 'max', 'love', 'already', 'get', 'FUP', 'otw', 'move', ' Operator ',' Bye ',' Telkomsel ']")</f>
        <v>['Try', 'change', 'name', 'package', 'unlimited', 'max', 'love', 'already', 'get', 'FUP', 'otw', 'move', ' Operator ',' Bye ',' Telkomsel ']</v>
      </c>
      <c r="D326" s="3">
        <v>1.0</v>
      </c>
    </row>
    <row r="327" ht="15.75" customHeight="1">
      <c r="A327" s="1">
        <v>325.0</v>
      </c>
      <c r="B327" s="3" t="s">
        <v>328</v>
      </c>
      <c r="C327" s="3" t="str">
        <f>IFERROR(__xludf.DUMMYFUNCTION("GOOGLETRANSLATE(B327,""id"",""en"")"),"['Sis',' pulse ',' beaking ',' package ',' internet ',' subscribe ',' package ',' no ',' calm ',' buy ',' pulse ',' belom ',' Used ',' Credit ',' Reduced ',' Credit ',' Need ',' No ',' Cause ',' APK ',' Telkomsel ',' Please ',' Application ',' Telkomsel '"&amp;",' Plusin ' , 'Features', 'Lock', 'pulse', 'yawns', 'pulses', 'help', 'really', 'thank', 'love', ""]")</f>
        <v>['Sis',' pulse ',' beaking ',' package ',' internet ',' subscribe ',' package ',' no ',' calm ',' buy ',' pulse ',' belom ',' Used ',' Credit ',' Reduced ',' Credit ',' Need ',' No ',' Cause ',' APK ',' Telkomsel ',' Please ',' Application ',' Telkomsel ',' Plusin ' , 'Features', 'Lock', 'pulse', 'yawns', 'pulses', 'help', 'really', 'thank', 'love', "]</v>
      </c>
      <c r="D327" s="3">
        <v>5.0</v>
      </c>
    </row>
    <row r="328" ht="15.75" customHeight="1">
      <c r="A328" s="1">
        <v>326.0</v>
      </c>
      <c r="B328" s="3" t="s">
        <v>329</v>
      </c>
      <c r="C328" s="3" t="str">
        <f>IFERROR(__xludf.DUMMYFUNCTION("GOOGLETRANSLATE(B328,""id"",""en"")"),"['The application', 'good', 'easy', 'buy', 'package', 'suggestion', 'jagan', 'expensive', 'purchase', 'package', 'hold', 'bonus',' Stiap ',' times', 'purchase', 'package', 'enthusiasm', 'purchase', 'package', 'trimakasih']")</f>
        <v>['The application', 'good', 'easy', 'buy', 'package', 'suggestion', 'jagan', 'expensive', 'purchase', 'package', 'hold', 'bonus',' Stiap ',' times', 'purchase', 'package', 'enthusiasm', 'purchase', 'package', 'trimakasih']</v>
      </c>
      <c r="D328" s="3">
        <v>5.0</v>
      </c>
    </row>
    <row r="329" ht="15.75" customHeight="1">
      <c r="A329" s="1">
        <v>327.0</v>
      </c>
      <c r="B329" s="3" t="s">
        <v>330</v>
      </c>
      <c r="C329" s="3" t="str">
        <f>IFERROR(__xludf.DUMMYFUNCTION("GOOGLETRANSLATE(B329,""id"",""en"")"),"['', 'Good', 'Region', 'Indonesia', 'Tenyata', 'Features',' Advertising ',' Doang ',' Elite ',' Region ',' Telkomsel ',' Already ',' Rich ',' sea ',' dominant ',' signal ', ""]")</f>
        <v>['', 'Good', 'Region', 'Indonesia', 'Tenyata', 'Features',' Advertising ',' Doang ',' Elite ',' Region ',' Telkomsel ',' Already ',' Rich ',' sea ',' dominant ',' signal ', "]</v>
      </c>
      <c r="D329" s="3">
        <v>2.0</v>
      </c>
    </row>
    <row r="330" ht="15.75" customHeight="1">
      <c r="A330" s="1">
        <v>328.0</v>
      </c>
      <c r="B330" s="3" t="s">
        <v>331</v>
      </c>
      <c r="C330" s="3" t="str">
        <f>IFERROR(__xludf.DUMMYFUNCTION("GOOGLETRANSLATE(B330,""id"",""en"")"),"['', 'menu', 'package', 'cheerful', 'promo', 'try', 'follow', 'already', 'try', 'pya', 'just', 'promo', 'php ',' gave ',' promo ',' menu ',' Fiks', 'change', 'operator', '']")</f>
        <v>['', 'menu', 'package', 'cheerful', 'promo', 'try', 'follow', 'already', 'try', 'pya', 'just', 'promo', 'php ',' gave ',' promo ',' menu ',' Fiks', 'change', 'operator', '']</v>
      </c>
      <c r="D330" s="3">
        <v>1.0</v>
      </c>
    </row>
    <row r="331" ht="15.75" customHeight="1">
      <c r="A331" s="1">
        <v>329.0</v>
      </c>
      <c r="B331" s="3" t="s">
        <v>332</v>
      </c>
      <c r="C331" s="3" t="str">
        <f>IFERROR(__xludf.DUMMYFUNCTION("GOOGLETRANSLATE(B331,""id"",""en"")"),"['aspect', 'information', 'notification', 'consumers',' notification ',' repairs', 'network', 'use', 'data', 'where', 'sometimes',' consumers', ' have ',' type ',' quota ',' data ',' different ',' transition ',' quota ',' data ',' slow ',' concern ',' rea"&amp;"lly ',' sad ',' private ' ]")</f>
        <v>['aspect', 'information', 'notification', 'consumers',' notification ',' repairs', 'network', 'use', 'data', 'where', 'sometimes',' consumers', ' have ',' type ',' quota ',' data ',' different ',' transition ',' quota ',' data ',' slow ',' concern ',' really ',' sad ',' private ' ]</v>
      </c>
      <c r="D331" s="3">
        <v>1.0</v>
      </c>
    </row>
    <row r="332" ht="15.75" customHeight="1">
      <c r="A332" s="1">
        <v>330.0</v>
      </c>
      <c r="B332" s="3" t="s">
        <v>333</v>
      </c>
      <c r="C332" s="3" t="str">
        <f>IFERROR(__xludf.DUMMYFUNCTION("GOOGLETRANSLATE(B332,""id"",""en"")"),"['Package', 'expensive', 'UDH', 'Village', 'Network', 'difficult', 'company', 'Telkomsel', 'yes',' The network ',' next door ',' mah ',' Gapenarasian ',' package ',' cheap ',' network ',' ugly ',' gpp ',' ']")</f>
        <v>['Package', 'expensive', 'UDH', 'Village', 'Network', 'difficult', 'company', 'Telkomsel', 'yes',' The network ',' next door ',' mah ',' Gapenarasian ',' package ',' cheap ',' network ',' ugly ',' gpp ',' ']</v>
      </c>
      <c r="D332" s="3">
        <v>1.0</v>
      </c>
    </row>
    <row r="333" ht="15.75" customHeight="1">
      <c r="A333" s="1">
        <v>331.0</v>
      </c>
      <c r="B333" s="3" t="s">
        <v>334</v>
      </c>
      <c r="C333" s="3" t="str">
        <f>IFERROR(__xludf.DUMMYFUNCTION("GOOGLETRANSLATE(B333,""id"",""en"")"),"['Buy', 'Combo', 'Sakti', 'Unlimited', 'Out', 'Package', 'Access',' Internet ',' Application ',' Application ',' Quota ',' Unlimited ',' Apps', 'speed', 'maximum', 'kbps',' cut ',' pulse ',' customer ',' active ',' package ',' apply ',' slow ',' open ',' "&amp;"tiktok ' , 'Leet', 'liar', '']")</f>
        <v>['Buy', 'Combo', 'Sakti', 'Unlimited', 'Out', 'Package', 'Access',' Internet ',' Application ',' Application ',' Quota ',' Unlimited ',' Apps', 'speed', 'maximum', 'kbps',' cut ',' pulse ',' customer ',' active ',' package ',' apply ',' slow ',' open ',' tiktok ' , 'Leet', 'liar', '']</v>
      </c>
      <c r="D333" s="3">
        <v>1.0</v>
      </c>
    </row>
    <row r="334" ht="15.75" customHeight="1">
      <c r="A334" s="1">
        <v>332.0</v>
      </c>
      <c r="B334" s="3" t="s">
        <v>335</v>
      </c>
      <c r="C334" s="3" t="str">
        <f>IFERROR(__xludf.DUMMYFUNCTION("GOOGLETRANSLATE(B334,""id"",""en"")"),"['application', 'provider', 'worst', 'Indonesia', 'Telkomsel', 'Telkomsel', 'standby', 'standby', 'emotion', 'user', 'buy', 'package', ' made ',' Persulit ',' Event ',' Fix ',' Server ',' The Application ',' Bug ',' Badkkkkkk ']")</f>
        <v>['application', 'provider', 'worst', 'Indonesia', 'Telkomsel', 'Telkomsel', 'standby', 'standby', 'emotion', 'user', 'buy', 'package', ' made ',' Persulit ',' Event ',' Fix ',' Server ',' The Application ',' Bug ',' Badkkkkkk ']</v>
      </c>
      <c r="D334" s="3">
        <v>1.0</v>
      </c>
    </row>
    <row r="335" ht="15.75" customHeight="1">
      <c r="A335" s="1">
        <v>333.0</v>
      </c>
      <c r="B335" s="3" t="s">
        <v>336</v>
      </c>
      <c r="C335" s="3" t="str">
        <f>IFERROR(__xludf.DUMMYFUNCTION("GOOGLETRANSLATE(B335,""id"",""en"")"),"['Sell', 'Package', 'YouTube', 'unlimited', 'a week', 'used', 'already', 'run out', 'aka', 'no', 'access',' YouTube ',' Application ',' BNGSD ',' Fraud ',' ']")</f>
        <v>['Sell', 'Package', 'YouTube', 'unlimited', 'a week', 'used', 'already', 'run out', 'aka', 'no', 'access',' YouTube ',' Application ',' BNGSD ',' Fraud ',' ']</v>
      </c>
      <c r="D335" s="3">
        <v>1.0</v>
      </c>
    </row>
    <row r="336" ht="15.75" customHeight="1">
      <c r="A336" s="1">
        <v>334.0</v>
      </c>
      <c r="B336" s="3" t="s">
        <v>337</v>
      </c>
      <c r="C336" s="3" t="str">
        <f>IFERROR(__xludf.DUMMYFUNCTION("GOOGLETRANSLATE(B336,""id"",""en"")"),"['Sorry', 'min', 'love', 'star', 'open', 'Telkomsel', 'min', 'ntah', 'entry', 'said', 'network', 'network', ' fast ',' really ',' please ',' fix ',' min ']")</f>
        <v>['Sorry', 'min', 'love', 'star', 'open', 'Telkomsel', 'min', 'ntah', 'entry', 'said', 'network', 'network', ' fast ',' really ',' please ',' fix ',' min ']</v>
      </c>
      <c r="D336" s="3">
        <v>1.0</v>
      </c>
    </row>
    <row r="337" ht="15.75" customHeight="1">
      <c r="A337" s="1">
        <v>335.0</v>
      </c>
      <c r="B337" s="3" t="s">
        <v>338</v>
      </c>
      <c r="C337" s="3" t="str">
        <f>IFERROR(__xludf.DUMMYFUNCTION("GOOGLETRANSLATE(B337,""id"",""en"")"),"['already', 'years',' application ',' forgiveness', 'tetep', 'slow', 'kayak', 'snail', 'heavy', 'kayak', 'elephant', 'developer', ' Titipan ',' Director ',' Times', 'Improved', ""]")</f>
        <v>['already', 'years',' application ',' forgiveness', 'tetep', 'slow', 'kayak', 'snail', 'heavy', 'kayak', 'elephant', 'developer', ' Titipan ',' Director ',' Times', 'Improved', "]</v>
      </c>
      <c r="D337" s="3">
        <v>1.0</v>
      </c>
    </row>
    <row r="338" ht="15.75" customHeight="1">
      <c r="A338" s="1">
        <v>336.0</v>
      </c>
      <c r="B338" s="3" t="s">
        <v>339</v>
      </c>
      <c r="C338" s="3" t="str">
        <f>IFERROR(__xludf.DUMMYFUNCTION("GOOGLETRANSLATE(B338,""id"",""en"")"),"['The application', 'ugly', 'Bener', 'ugly', 'its network']")</f>
        <v>['The application', 'ugly', 'Bener', 'ugly', 'its network']</v>
      </c>
      <c r="D338" s="3">
        <v>1.0</v>
      </c>
    </row>
    <row r="339" ht="15.75" customHeight="1">
      <c r="A339" s="1">
        <v>337.0</v>
      </c>
      <c r="B339" s="3" t="s">
        <v>340</v>
      </c>
      <c r="C339" s="3" t="str">
        <f>IFERROR(__xludf.DUMMYFUNCTION("GOOGLETRANSLATE(B339,""id"",""en"")"),"['disappointing', 'use', 'Telkomsel', 'usage', 'pulse', 'a month', 'thousand', 'promo', 'quota', 'cheap', 'compared', 'friend', ' rare ',' contents', 'pulse', 'promo', 'quota', 'cheap', 'switch', 'card']")</f>
        <v>['disappointing', 'use', 'Telkomsel', 'usage', 'pulse', 'a month', 'thousand', 'promo', 'quota', 'cheap', 'compared', 'friend', ' rare ',' contents', 'pulse', 'promo', 'quota', 'cheap', 'switch', 'card']</v>
      </c>
      <c r="D339" s="3">
        <v>1.0</v>
      </c>
    </row>
    <row r="340" ht="15.75" customHeight="1">
      <c r="A340" s="1">
        <v>338.0</v>
      </c>
      <c r="B340" s="3" t="s">
        <v>341</v>
      </c>
      <c r="C340" s="3" t="str">
        <f>IFERROR(__xludf.DUMMYFUNCTION("GOOGLETRANSLATE(B340,""id"",""en"")"),"['Please', 'Eliminate', 'Pop', 'Promo', 'Enter', 'Application', 'Heavy', 'Network', 'Stable', 'Menu', 'News',' Eliminate ',' Application ',' Wear ',' Connection ',' Network ',' ']")</f>
        <v>['Please', 'Eliminate', 'Pop', 'Promo', 'Enter', 'Application', 'Heavy', 'Network', 'Stable', 'Menu', 'News',' Eliminate ',' Application ',' Wear ',' Connection ',' Network ',' ']</v>
      </c>
      <c r="D340" s="3">
        <v>1.0</v>
      </c>
    </row>
    <row r="341" ht="15.75" customHeight="1">
      <c r="A341" s="1">
        <v>339.0</v>
      </c>
      <c r="B341" s="3" t="s">
        <v>342</v>
      </c>
      <c r="C341" s="3" t="str">
        <f>IFERROR(__xludf.DUMMYFUNCTION("GOOGLETRANSLATE(B341,""id"",""en"")"),"['Telkomsel', 'signal', 'good', 'bangetttttt', 'plus',' rare ',' really ',' disorder ',' conditioned ',' anything ',' good ',' his signal ',' TRS ',' Sempet ',' Moving ',' Provider ',' Skrg ',' Move ',' Telkomsel ',' signal ',' late ',' trs', 'right', 'en"&amp;"ter', 'Telkomsel' , 'trs', 'trsan', 'signal', 'stable', 'MB', 'Levelin', 'Telkomsel', 'moved', 'provider', 'again']")</f>
        <v>['Telkomsel', 'signal', 'good', 'bangetttttt', 'plus',' rare ',' really ',' disorder ',' conditioned ',' anything ',' good ',' his signal ',' TRS ',' Sempet ',' Moving ',' Provider ',' Skrg ',' Move ',' Telkomsel ',' signal ',' late ',' trs', 'right', 'enter', 'Telkomsel' , 'trs', 'trsan', 'signal', 'stable', 'MB', 'Levelin', 'Telkomsel', 'moved', 'provider', 'again']</v>
      </c>
      <c r="D341" s="3">
        <v>4.0</v>
      </c>
    </row>
    <row r="342" ht="15.75" customHeight="1">
      <c r="A342" s="1">
        <v>340.0</v>
      </c>
      <c r="B342" s="3" t="s">
        <v>343</v>
      </c>
      <c r="C342" s="3" t="str">
        <f>IFERROR(__xludf.DUMMYFUNCTION("GOOGLETRANSLATE(B342,""id"",""en"")"),"['Bad', 'network', 'WKTU', 'Telkomsel', 'network', 'fast', 'open', 'apk', 'smpe', 'loading', 'muter', 'then', ' Please, 'repaired', 'as soon as possible', 'Disappointed', '']")</f>
        <v>['Bad', 'network', 'WKTU', 'Telkomsel', 'network', 'fast', 'open', 'apk', 'smpe', 'loading', 'muter', 'then', ' Please, 'repaired', 'as soon as possible', 'Disappointed', '']</v>
      </c>
      <c r="D342" s="3">
        <v>1.0</v>
      </c>
    </row>
    <row r="343" ht="15.75" customHeight="1">
      <c r="A343" s="1">
        <v>341.0</v>
      </c>
      <c r="B343" s="3" t="s">
        <v>344</v>
      </c>
      <c r="C343" s="3" t="str">
        <f>IFERROR(__xludf.DUMMYFUNCTION("GOOGLETRANSLATE(B343,""id"",""en"")"),"['here', 'severe', 'signal', 'already', 'expensive', 'signal', 'slow', 'hope', 'use', 'honest', 'Three', ' Three ',' ']")</f>
        <v>['here', 'severe', 'signal', 'already', 'expensive', 'signal', 'slow', 'hope', 'use', 'honest', 'Three', ' Three ',' ']</v>
      </c>
      <c r="D343" s="3">
        <v>1.0</v>
      </c>
    </row>
    <row r="344" ht="15.75" customHeight="1">
      <c r="A344" s="1">
        <v>342.0</v>
      </c>
      <c r="B344" s="3" t="s">
        <v>345</v>
      </c>
      <c r="C344" s="3" t="str">
        <f>IFERROR(__xludf.DUMMYFUNCTION("GOOGLETRANSLATE(B344,""id"",""en"")"),"['Please', 'Note', 'Network', 'Update', 'Mulu', 'Stay', 'City', 'Karanganyar', 'City', 'Movers',' Network ',' Paketan ',' price ',' card ',' price ',' affordable ',' network ',' good ',' use ',' card ',' Telkomsel ',' signal ',' full ',' cook ' , 'use', '"&amp;"YouTube', 'MLBB', 'friend', 'replace', 'card', '']")</f>
        <v>['Please', 'Note', 'Network', 'Update', 'Mulu', 'Stay', 'City', 'Karanganyar', 'City', 'Movers',' Network ',' Paketan ',' price ',' card ',' price ',' affordable ',' network ',' good ',' use ',' card ',' Telkomsel ',' signal ',' full ',' cook ' , 'use', 'YouTube', 'MLBB', 'friend', 'replace', 'card', '']</v>
      </c>
      <c r="D344" s="3">
        <v>1.0</v>
      </c>
    </row>
    <row r="345" ht="15.75" customHeight="1">
      <c r="A345" s="1">
        <v>343.0</v>
      </c>
      <c r="B345" s="3" t="s">
        <v>346</v>
      </c>
      <c r="C345" s="3" t="str">
        <f>IFERROR(__xludf.DUMMYFUNCTION("GOOGLETRANSLATE(B345,""id"",""en"")"),"['Pay', 'package', 'expensive', 'condition', 'network', 'internet', 'according to', 'Kalimantan', 'West', 'please', 'Donk', ' Attention ',' officer ',' Becuss', 'take care', 'tower', 'replace']")</f>
        <v>['Pay', 'package', 'expensive', 'condition', 'network', 'internet', 'according to', 'Kalimantan', 'West', 'please', 'Donk', ' Attention ',' officer ',' Becuss', 'take care', 'tower', 'replace']</v>
      </c>
      <c r="D345" s="3">
        <v>1.0</v>
      </c>
    </row>
    <row r="346" ht="15.75" customHeight="1">
      <c r="A346" s="1">
        <v>344.0</v>
      </c>
      <c r="B346" s="3" t="s">
        <v>347</v>
      </c>
      <c r="C346" s="3" t="str">
        <f>IFERROR(__xludf.DUMMYFUNCTION("GOOGLETRANSLATE(B346,""id"",""en"")"),"['what', 'service', 'customer', 'priority', 'network', 'good', 'different', 'service', 'PLN', 'situ', 'network', ' disorders', 'plg', 'priority', 'premium', 'try', 'as much', 'life', 'electricity', 'Telkomsel', 'boro', 'boro', 'network', 'lag' , 'initiati"&amp;"ve', 'Ntah', 'maneuver', 'signal', 'signal', 'obstacle', 'taunya', 'nawari', 'plg', 'package', 'expensive', 'convenience', ' plg ',' see ',' bad ',' founders', 'tomorrow', 'use', ""]")</f>
        <v>['what', 'service', 'customer', 'priority', 'network', 'good', 'different', 'service', 'PLN', 'situ', 'network', ' disorders', 'plg', 'priority', 'premium', 'try', 'as much', 'life', 'electricity', 'Telkomsel', 'boro', 'boro', 'network', 'lag' , 'initiative', 'Ntah', 'maneuver', 'signal', 'signal', 'obstacle', 'taunya', 'nawari', 'plg', 'package', 'expensive', 'convenience', ' plg ',' see ',' bad ',' founders', 'tomorrow', 'use', "]</v>
      </c>
      <c r="D346" s="3">
        <v>1.0</v>
      </c>
    </row>
    <row r="347" ht="15.75" customHeight="1">
      <c r="A347" s="1">
        <v>345.0</v>
      </c>
      <c r="B347" s="3" t="s">
        <v>348</v>
      </c>
      <c r="C347" s="3" t="str">
        <f>IFERROR(__xludf.DUMMYFUNCTION("GOOGLETRANSLATE(B347,""id"",""en"")"),"['application', 'bad', 'really', 'kouta', 'open', 'etc.', 'emang', 'ngeleg', 'Telkomsel', 'lazy', 'cave', 'Telkomsel', ' cards', 'right', 'send', 'chat', 'friend', 'Telkomsel', 'picture', 'clock']")</f>
        <v>['application', 'bad', 'really', 'kouta', 'open', 'etc.', 'emang', 'ngeleg', 'Telkomsel', 'lazy', 'cave', 'Telkomsel', ' cards', 'right', 'send', 'chat', 'friend', 'Telkomsel', 'picture', 'clock']</v>
      </c>
      <c r="D347" s="3">
        <v>1.0</v>
      </c>
    </row>
    <row r="348" ht="15.75" customHeight="1">
      <c r="A348" s="1">
        <v>346.0</v>
      </c>
      <c r="B348" s="3" t="s">
        <v>349</v>
      </c>
      <c r="C348" s="3" t="str">
        <f>IFERROR(__xludf.DUMMYFUNCTION("GOOGLETRANSLATE(B348,""id"",""en"")"),"['Package', 'Combo', 'SMS', 'quota', 'call', 'price', 'yesterday', 'wonder', 'Knp', 'Please', 'service', 'thank you', ' ']")</f>
        <v>['Package', 'Combo', 'SMS', 'quota', 'call', 'price', 'yesterday', 'wonder', 'Knp', 'Please', 'service', 'thank you', ' ']</v>
      </c>
      <c r="D348" s="3">
        <v>2.0</v>
      </c>
    </row>
    <row r="349" ht="15.75" customHeight="1">
      <c r="A349" s="1">
        <v>347.0</v>
      </c>
      <c r="B349" s="3" t="s">
        <v>350</v>
      </c>
      <c r="C349" s="3" t="str">
        <f>IFERROR(__xludf.DUMMYFUNCTION("GOOGLETRANSLATE(B349,""id"",""en"")"),"['Please', 'HPUS', 'Quota', 'Kemdikbud', 'BKN', 'Help', 'MLH', 'Lag', 'Help', 'Ush', 'Discard', 'Nyari', ' delete ',' service ',' Kemdikbud ',' Becus', 'BKN', 'Direct', 'repaired', 'org', 'people', 'rich', 'demand', 'fix', 'that's' , 'Basic', 'idiot', 'pl"&amp;"ease', 'acted', 'continue']")</f>
        <v>['Please', 'HPUS', 'Quota', 'Kemdikbud', 'BKN', 'Help', 'MLH', 'Lag', 'Help', 'Ush', 'Discard', 'Nyari', ' delete ',' service ',' Kemdikbud ',' Becus', 'BKN', 'Direct', 'repaired', 'org', 'people', 'rich', 'demand', 'fix', 'that's' , 'Basic', 'idiot', 'please', 'acted', 'continue']</v>
      </c>
      <c r="D349" s="3">
        <v>1.0</v>
      </c>
    </row>
    <row r="350" ht="15.75" customHeight="1">
      <c r="A350" s="1">
        <v>348.0</v>
      </c>
      <c r="B350" s="3" t="s">
        <v>351</v>
      </c>
      <c r="C350" s="3" t="str">
        <f>IFERROR(__xludf.DUMMYFUNCTION("GOOGLETRANSLATE(B350,""id"",""en"")"),"['already', 'package', 'open', 'youtube', 'how', 'Telkomsel', 'application', 'mytelkomsel', 'already', 'already', 'severe', 'really', ' Yok ',' moved ',' network ',' use ',' Telkomsel ',' as good ',' damn ',' replace ',' card ',' block ',' Telkomsel ',' f"&amp;"ucking ']")</f>
        <v>['already', 'package', 'open', 'youtube', 'how', 'Telkomsel', 'application', 'mytelkomsel', 'already', 'already', 'severe', 'really', ' Yok ',' moved ',' network ',' use ',' Telkomsel ',' as good ',' damn ',' replace ',' card ',' block ',' Telkomsel ',' fucking ']</v>
      </c>
      <c r="D350" s="3">
        <v>1.0</v>
      </c>
    </row>
    <row r="351" ht="15.75" customHeight="1">
      <c r="A351" s="1">
        <v>349.0</v>
      </c>
      <c r="B351" s="3" t="s">
        <v>352</v>
      </c>
      <c r="C351" s="3" t="str">
        <f>IFERROR(__xludf.DUMMYFUNCTION("GOOGLETRANSLATE(B351,""id"",""en"")"),"['apk', 'lie', 'apk', 'good', 'eat', 'love', 'star']")</f>
        <v>['apk', 'lie', 'apk', 'good', 'eat', 'love', 'star']</v>
      </c>
      <c r="D351" s="3">
        <v>5.0</v>
      </c>
    </row>
    <row r="352" ht="15.75" customHeight="1">
      <c r="A352" s="1">
        <v>350.0</v>
      </c>
      <c r="B352" s="3" t="s">
        <v>353</v>
      </c>
      <c r="C352" s="3" t="str">
        <f>IFERROR(__xludf.DUMMYFUNCTION("GOOGLETRANSLATE(B352,""id"",""en"")"),"['provider', 'cheating', 'cheating', 'Telkomsel', 'right', 'credit', 'bnyk', 'promo', 'package', 'internet', 'cheap', 'tawarin', ' it's', 'pulse', 'sudh', 'contents',' packagex ',' buy ',' system ',' error ',' network ',' busy ',' funny ',' obvious', 'ele"&amp;"ment' , 'Nipu', 'Curiux', 'Great', 'Ratingx', 'Bot', 'Smart', 'Ngani', 'Rating', 'Telkomsel', ""]")</f>
        <v>['provider', 'cheating', 'cheating', 'Telkomsel', 'right', 'credit', 'bnyk', 'promo', 'package', 'internet', 'cheap', 'tawarin', ' it's', 'pulse', 'sudh', 'contents',' packagex ',' buy ',' system ',' error ',' network ',' busy ',' funny ',' obvious', 'element' , 'Nipu', 'Curiux', 'Great', 'Ratingx', 'Bot', 'Smart', 'Ngani', 'Rating', 'Telkomsel', "]</v>
      </c>
      <c r="D352" s="3">
        <v>1.0</v>
      </c>
    </row>
    <row r="353" ht="15.75" customHeight="1">
      <c r="A353" s="1">
        <v>351.0</v>
      </c>
      <c r="B353" s="3" t="s">
        <v>354</v>
      </c>
      <c r="C353" s="3" t="str">
        <f>IFERROR(__xludf.DUMMYFUNCTION("GOOGLETRANSLATE(B353,""id"",""en"")"),"['Disappointed', 'really', 'since' since 'pandemic', 'signal', 'internet', 'slow', 'application', 'video', 'conference', 'hard', 'forgiveness',' Enter ',' Application ',' Signal ',' Drop ',' Sinyal ']")</f>
        <v>['Disappointed', 'really', 'since' since 'pandemic', 'signal', 'internet', 'slow', 'application', 'video', 'conference', 'hard', 'forgiveness',' Enter ',' Application ',' Signal ',' Drop ',' Sinyal ']</v>
      </c>
      <c r="D353" s="3">
        <v>1.0</v>
      </c>
    </row>
    <row r="354" ht="15.75" customHeight="1">
      <c r="A354" s="1">
        <v>352.0</v>
      </c>
      <c r="B354" s="3" t="s">
        <v>355</v>
      </c>
      <c r="C354" s="3" t="str">
        <f>IFERROR(__xludf.DUMMYFUNCTION("GOOGLETRANSLATE(B354,""id"",""en"")"),"['internet', 'Telkomsel', 'ugly', 'severe', 'really', 'signal', 'full', 'unlimited', 'unlimited', 'zonk', 'open', 'Instagram', ' LEG ',' Bat ',' Lose ',' Smartfren ',' Please ',' improve ',' quality ',' price ',' already ',' expensive ',' ugly ',' quality"&amp;" ',' disappointed ' , 'Severe', 'user', 'loyal', 'Telkomsel', '']")</f>
        <v>['internet', 'Telkomsel', 'ugly', 'severe', 'really', 'signal', 'full', 'unlimited', 'unlimited', 'zonk', 'open', 'Instagram', ' LEG ',' Bat ',' Lose ',' Smartfren ',' Please ',' improve ',' quality ',' price ',' already ',' expensive ',' ugly ',' quality ',' disappointed ' , 'Severe', 'user', 'loyal', 'Telkomsel', '']</v>
      </c>
      <c r="D354" s="3">
        <v>1.0</v>
      </c>
    </row>
    <row r="355" ht="15.75" customHeight="1">
      <c r="A355" s="1">
        <v>353.0</v>
      </c>
      <c r="B355" s="3" t="s">
        <v>356</v>
      </c>
      <c r="C355" s="3" t="str">
        <f>IFERROR(__xludf.DUMMYFUNCTION("GOOGLETRANSLATE(B355,""id"",""en"")"),"['Congratulations',' night ',' Sis', 'Sis',' Network ',' Telkomsel ',' Sya ',' ugly ',' play ',' game ',' sometimes', 'ugly', ' Please ',' Fix ',' Sis ',' Thank "", 'Kasih', 'Please', 'Response', 'Sis']")</f>
        <v>['Congratulations',' night ',' Sis', 'Sis',' Network ',' Telkomsel ',' Sya ',' ugly ',' play ',' game ',' sometimes', 'ugly', ' Please ',' Fix ',' Sis ',' Thank ", 'Kasih', 'Please', 'Response', 'Sis']</v>
      </c>
      <c r="D355" s="3">
        <v>1.0</v>
      </c>
    </row>
    <row r="356" ht="15.75" customHeight="1">
      <c r="A356" s="1">
        <v>354.0</v>
      </c>
      <c r="B356" s="3" t="s">
        <v>357</v>
      </c>
      <c r="C356" s="3" t="str">
        <f>IFERROR(__xludf.DUMMYFUNCTION("GOOGLETRANSLATE(B356,""id"",""en"")"),"['Quoto', 'Ngilak', 'Telkomsel', 'Thinking', 'Student', 'Buy', 'Quota', 'Price', 'Excellent', 'Try', 'Change', 'Price', ' Package ',' Try ',' Provide ',' Package ',' Combo ',' Unlimited ',' ']")</f>
        <v>['Quoto', 'Ngilak', 'Telkomsel', 'Thinking', 'Student', 'Buy', 'Quota', 'Price', 'Excellent', 'Try', 'Change', 'Price', ' Package ',' Try ',' Provide ',' Package ',' Combo ',' Unlimited ',' ']</v>
      </c>
      <c r="D356" s="3">
        <v>1.0</v>
      </c>
    </row>
    <row r="357" ht="15.75" customHeight="1">
      <c r="A357" s="1">
        <v>355.0</v>
      </c>
      <c r="B357" s="3" t="s">
        <v>358</v>
      </c>
      <c r="C357" s="3" t="str">
        <f>IFERROR(__xludf.DUMMYFUNCTION("GOOGLETRANSLATE(B357,""id"",""en"")"),"['Telkomsel', 'ugly', 'ugly', 'operator', 'malem', 'emotion', 'peaked', 'please', 'really', 'service', 'network', 'consumer', ' disappointed', '']")</f>
        <v>['Telkomsel', 'ugly', 'ugly', 'operator', 'malem', 'emotion', 'peaked', 'please', 'really', 'service', 'network', 'consumer', ' disappointed', '']</v>
      </c>
      <c r="D357" s="3">
        <v>1.0</v>
      </c>
    </row>
    <row r="358" ht="15.75" customHeight="1">
      <c r="A358" s="1">
        <v>356.0</v>
      </c>
      <c r="B358" s="3" t="s">
        <v>359</v>
      </c>
      <c r="C358" s="3" t="str">
        <f>IFERROR(__xludf.DUMMYFUNCTION("GOOGLETRANSLATE(B358,""id"",""en"")"),"['The network', 'uda', 'setting', 'no', 'knpa', 'skrang', 'no', 'tolonh', 'fix', 'quota', 'no', 'truncated', ' pulse']")</f>
        <v>['The network', 'uda', 'setting', 'no', 'knpa', 'skrang', 'no', 'tolonh', 'fix', 'quota', 'no', 'truncated', ' pulse']</v>
      </c>
      <c r="D358" s="3">
        <v>2.0</v>
      </c>
    </row>
    <row r="359" ht="15.75" customHeight="1">
      <c r="A359" s="1">
        <v>357.0</v>
      </c>
      <c r="B359" s="3" t="s">
        <v>360</v>
      </c>
      <c r="C359" s="3" t="str">
        <f>IFERROR(__xludf.DUMMYFUNCTION("GOOGLETRANSLATE(B359,""id"",""en"")"),"['buy', 'package', 'data', 'use', 'shopeplay', 'buy', 'pulse', 'use', 'shopeplay', 'please', 'fix', 'karna', ' Useful ',' personal ']")</f>
        <v>['buy', 'package', 'data', 'use', 'shopeplay', 'buy', 'pulse', 'use', 'shopeplay', 'please', 'fix', 'karna', ' Useful ',' personal ']</v>
      </c>
      <c r="D359" s="3">
        <v>1.0</v>
      </c>
    </row>
    <row r="360" ht="15.75" customHeight="1">
      <c r="A360" s="1">
        <v>358.0</v>
      </c>
      <c r="B360" s="3" t="s">
        <v>361</v>
      </c>
      <c r="C360" s="3" t="str">
        <f>IFERROR(__xludf.DUMMYFUNCTION("GOOGLETRANSLATE(B360,""id"",""en"")"),"['The application', 'Msih', 'Good', 'Change', 'Simcard', 'Access',' Turn ',' Upload ',' Photo ',' KTP ',' Etc. ',' Jam ',' Moving ',' repeated ',' Home ',' Try ',' BGitu ',' then ',' Help ',' Skali ',' Tetep ',' GraPARI ',' HADU ',' Issuaaa ']")</f>
        <v>['The application', 'Msih', 'Good', 'Change', 'Simcard', 'Access',' Turn ',' Upload ',' Photo ',' KTP ',' Etc. ',' Jam ',' Moving ',' repeated ',' Home ',' Try ',' BGitu ',' then ',' Help ',' Skali ',' Tetep ',' GraPARI ',' HADU ',' Issuaaa ']</v>
      </c>
      <c r="D360" s="3">
        <v>2.0</v>
      </c>
    </row>
    <row r="361" ht="15.75" customHeight="1">
      <c r="A361" s="1">
        <v>359.0</v>
      </c>
      <c r="B361" s="3" t="s">
        <v>362</v>
      </c>
      <c r="C361" s="3" t="str">
        <f>IFERROR(__xludf.DUMMYFUNCTION("GOOGLETRANSLATE(B361,""id"",""en"")"),"['Spring', 'deteriorating', 'signal', 'lose', 'provider', 'KPD', 'rank', 'directors',' management ',' Telkomsel ',' please ',' pay attention ',' Quality ',' products', 'Jngan', 'Hnya', 'Sales',' Sales', 'SJA', '']")</f>
        <v>['Spring', 'deteriorating', 'signal', 'lose', 'provider', 'KPD', 'rank', 'directors',' management ',' Telkomsel ',' please ',' pay attention ',' Quality ',' products', 'Jngan', 'Hnya', 'Sales',' Sales', 'SJA', '']</v>
      </c>
      <c r="D361" s="3">
        <v>1.0</v>
      </c>
    </row>
    <row r="362" ht="15.75" customHeight="1">
      <c r="A362" s="1">
        <v>360.0</v>
      </c>
      <c r="B362" s="3" t="s">
        <v>363</v>
      </c>
      <c r="C362" s="3" t="str">
        <f>IFERROR(__xludf.DUMMYFUNCTION("GOOGLETRANSLATE(B362,""id"",""en"")"),"['holiday', 'internet', 'slow', 'really', 'lag', 'person', 'ngegame', 'refesh', 'kyak', 'giman', 'tetep', 'lag', ' Ngilake ',' how ',' Telkomsel ',' here ',' slow ',' until ',' JRINGAN ',' Lemotin ']")</f>
        <v>['holiday', 'internet', 'slow', 'really', 'lag', 'person', 'ngegame', 'refesh', 'kyak', 'giman', 'tetep', 'lag', ' Ngilake ',' how ',' Telkomsel ',' here ',' slow ',' until ',' JRINGAN ',' Lemotin ']</v>
      </c>
      <c r="D362" s="3">
        <v>1.0</v>
      </c>
    </row>
    <row r="363" ht="15.75" customHeight="1">
      <c r="A363" s="1">
        <v>361.0</v>
      </c>
      <c r="B363" s="3" t="s">
        <v>364</v>
      </c>
      <c r="C363" s="3" t="str">
        <f>IFERROR(__xludf.DUMMYFUNCTION("GOOGLETRANSLATE(B363,""id"",""en"")"),"['cook', 'buy', 'package', 'gamemax', 'no', 'use', 'play', 'game', 'right', 'change', 'name', 'gamemax', ' Sodakohmax ',' ']")</f>
        <v>['cook', 'buy', 'package', 'gamemax', 'no', 'use', 'play', 'game', 'right', 'change', 'name', 'gamemax', ' Sodakohmax ',' ']</v>
      </c>
      <c r="D363" s="3">
        <v>1.0</v>
      </c>
    </row>
    <row r="364" ht="15.75" customHeight="1">
      <c r="A364" s="1">
        <v>362.0</v>
      </c>
      <c r="B364" s="3" t="s">
        <v>365</v>
      </c>
      <c r="C364" s="3" t="str">
        <f>IFERROR(__xludf.DUMMYFUNCTION("GOOGLETRANSLATE(B364,""id"",""en"")"),"['Telkomsel', 'already', 'severe', 'sperti', 'rich', 'Im', 'until', 'tile', 'looked', 'signal', 'ttp', 'get', ' promotion ',' wifi ',' sponsor ',' wifi ',' what ',' signal ',' difficult ',' gblk ',' next time ',' covid ',' need ',' need ',' intrnet ' , 's"&amp;"ignal', 'Kenceng', 'Diliated', 'comment', 'cave', 'fix', 'stupid', 'read', 'doang', 'comment', 'playstore', 'lined', ' stupid ',' expensive ',' doang ',' signal ',' supports', 'base', 'tmlol']")</f>
        <v>['Telkomsel', 'already', 'severe', 'sperti', 'rich', 'Im', 'until', 'tile', 'looked', 'signal', 'ttp', 'get', ' promotion ',' wifi ',' sponsor ',' wifi ',' what ',' signal ',' difficult ',' gblk ',' next time ',' covid ',' need ',' need ',' intrnet ' , 'signal', 'Kenceng', 'Diliated', 'comment', 'cave', 'fix', 'stupid', 'read', 'doang', 'comment', 'playstore', 'lined', ' stupid ',' expensive ',' doang ',' signal ',' supports', 'base', 'tmlol']</v>
      </c>
      <c r="D364" s="3">
        <v>1.0</v>
      </c>
    </row>
    <row r="365" ht="15.75" customHeight="1">
      <c r="A365" s="1">
        <v>363.0</v>
      </c>
      <c r="B365" s="3" t="s">
        <v>366</v>
      </c>
      <c r="C365" s="3" t="str">
        <f>IFERROR(__xludf.DUMMYFUNCTION("GOOGLETRANSLATE(B365,""id"",""en"")"),"['please', 'fix', 'signal', 'area', 'stay', 'use', 'a day', 'maximum', 'village', 'kucur', 'turi', 'sub-district', ' DAU ',' County ',' Malang ',' Code ',' Post ',' Thank you ',' Telkomsel ',' Success', ""]")</f>
        <v>['please', 'fix', 'signal', 'area', 'stay', 'use', 'a day', 'maximum', 'village', 'kucur', 'turi', 'sub-district', ' DAU ',' County ',' Malang ',' Code ',' Post ',' Thank you ',' Telkomsel ',' Success', "]</v>
      </c>
      <c r="D365" s="3">
        <v>5.0</v>
      </c>
    </row>
    <row r="366" ht="15.75" customHeight="1">
      <c r="A366" s="1">
        <v>364.0</v>
      </c>
      <c r="B366" s="3" t="s">
        <v>367</v>
      </c>
      <c r="C366" s="3" t="str">
        <f>IFERROR(__xludf.DUMMYFUNCTION("GOOGLETRANSLATE(B366,""id"",""en"")"),"['please', 'signal', 'internet', 'village', 'optimize', 'attached to', 'city', 'tired', 'ngelapor', 'signal', 'stable', 'ugly', ' signal ',' Telkomsel ',' Optimal ',' Ngandat ',' Propedor ',' Tebersar ',' Indonesia ',' signal ',' internet ',' good ',' dis"&amp;"order ',' ngelig ',' life ' , 'Village', 'Need', 'name', 'service', 'fluency', 'internet', '']")</f>
        <v>['please', 'signal', 'internet', 'village', 'optimize', 'attached to', 'city', 'tired', 'ngelapor', 'signal', 'stable', 'ugly', ' signal ',' Telkomsel ',' Optimal ',' Ngandat ',' Propedor ',' Tebersar ',' Indonesia ',' signal ',' internet ',' good ',' disorder ',' ngelig ',' life ' , 'Village', 'Need', 'name', 'service', 'fluency', 'internet', '']</v>
      </c>
      <c r="D366" s="3">
        <v>1.0</v>
      </c>
    </row>
    <row r="367" ht="15.75" customHeight="1">
      <c r="A367" s="1">
        <v>365.0</v>
      </c>
      <c r="B367" s="3" t="s">
        <v>368</v>
      </c>
      <c r="C367" s="3" t="str">
        <f>IFERROR(__xludf.DUMMYFUNCTION("GOOGLETRANSLATE(B367,""id"",""en"")"),"['expensive', 'package', 'internet', 'please', 'lightening', 'price', 'package', 'MERKEK', 'APL', 'MyTelkomsel', 'expensive', ""]")</f>
        <v>['expensive', 'package', 'internet', 'please', 'lightening', 'price', 'package', 'MERKEK', 'APL', 'MyTelkomsel', 'expensive', "]</v>
      </c>
      <c r="D367" s="3">
        <v>5.0</v>
      </c>
    </row>
    <row r="368" ht="15.75" customHeight="1">
      <c r="A368" s="1">
        <v>366.0</v>
      </c>
      <c r="B368" s="3" t="s">
        <v>369</v>
      </c>
      <c r="C368" s="3" t="str">
        <f>IFERROR(__xludf.DUMMYFUNCTION("GOOGLETRANSLATE(B368,""id"",""en"")"),"['Feature', 'complete', 'buy', 'package', 'number', 'number', 'Telkomsel', 'lose', 'AXIS', 'complete']")</f>
        <v>['Feature', 'complete', 'buy', 'package', 'number', 'number', 'Telkomsel', 'lose', 'AXIS', 'complete']</v>
      </c>
      <c r="D368" s="3">
        <v>2.0</v>
      </c>
    </row>
    <row r="369" ht="15.75" customHeight="1">
      <c r="A369" s="1">
        <v>367.0</v>
      </c>
      <c r="B369" s="3" t="s">
        <v>370</v>
      </c>
      <c r="C369" s="3" t="str">
        <f>IFERROR(__xludf.DUMMYFUNCTION("GOOGLETRANSLATE(B369,""id"",""en"")"),"['Telkomsel', 'Taik', 'network', 'signal', 'bankrupt', 'company', 'card', 'good', 'network', 'already', 'expensive', 'network', ' ugly ',' aduuuhhh ',' missed ',' progress', 'Telkomsel', 'exchange', 'card', 'dlu', 'operator', 'base', 'Telkomsel', 'taik']")</f>
        <v>['Telkomsel', 'Taik', 'network', 'signal', 'bankrupt', 'company', 'card', 'good', 'network', 'already', 'expensive', 'network', ' ugly ',' aduuuhhh ',' missed ',' progress', 'Telkomsel', 'exchange', 'card', 'dlu', 'operator', 'base', 'Telkomsel', 'taik']</v>
      </c>
      <c r="D369" s="3">
        <v>1.0</v>
      </c>
    </row>
    <row r="370" ht="15.75" customHeight="1">
      <c r="A370" s="1">
        <v>368.0</v>
      </c>
      <c r="B370" s="3" t="s">
        <v>371</v>
      </c>
      <c r="C370" s="3" t="str">
        <f>IFERROR(__xludf.DUMMYFUNCTION("GOOGLETRANSLATE(B370,""id"",""en"")"),"['Review', 'Dibales',' told ',' Naked ',' Application ',' Disetiap ',' Review ',' Karna ',' Review ',' Line ',' Recommendation ',' User ',' Join ',' User ',' Thinking ',' Telkomsel ',' strange ',' quota ',' expensive ',' loss', 'card', 'Hello', 'network',"&amp;" 'priority', 'tetp' , 'The network', 'chaotic', '']")</f>
        <v>['Review', 'Dibales',' told ',' Naked ',' Application ',' Disetiap ',' Review ',' Karna ',' Review ',' Line ',' Recommendation ',' User ',' Join ',' User ',' Thinking ',' Telkomsel ',' strange ',' quota ',' expensive ',' loss', 'card', 'Hello', 'network', 'priority', 'tetp' , 'The network', 'chaotic', '']</v>
      </c>
      <c r="D370" s="3">
        <v>1.0</v>
      </c>
    </row>
    <row r="371" ht="15.75" customHeight="1">
      <c r="A371" s="1">
        <v>369.0</v>
      </c>
      <c r="B371" s="3" t="s">
        <v>372</v>
      </c>
      <c r="C371" s="3" t="str">
        <f>IFERROR(__xludf.DUMMYFUNCTION("GOOGLETRANSLATE(B371,""id"",""en"")"),"['', 'admit', 'heart', 'heart', 'telkom', 'cell', 'starch', 'cheated', 'cheated', 'just' just 'contents',' pulse ',' rb ',' Try ',' pairs', 'package', 'daily', 'right', 'buy', 'package', 'pulse', 'missing', 'package', 'ngak', 'product', 'full', 'trick', '"&amp;"company', 'country', 'network', 'chaotic', 'expensive', 'package', 'network', 'giman', 'because', 'already', 'registered ',' company ',' kalaungak ',' already ',' change ',' card ',' swlave ',' cheap ',' good ']")</f>
        <v>['', 'admit', 'heart', 'heart', 'telkom', 'cell', 'starch', 'cheated', 'cheated', 'just' just 'contents',' pulse ',' rb ',' Try ',' pairs', 'package', 'daily', 'right', 'buy', 'package', 'pulse', 'missing', 'package', 'ngak', 'product', 'full', 'trick', 'company', 'country', 'network', 'chaotic', 'expensive', 'package', 'network', 'giman', 'because', 'already', 'registered ',' company ',' kalaungak ',' already ',' change ',' card ',' swlave ',' cheap ',' good ']</v>
      </c>
      <c r="D371" s="3">
        <v>1.0</v>
      </c>
    </row>
    <row r="372" ht="15.75" customHeight="1">
      <c r="A372" s="1">
        <v>370.0</v>
      </c>
      <c r="B372" s="3" t="s">
        <v>373</v>
      </c>
      <c r="C372" s="3" t="str">
        <f>IFERROR(__xludf.DUMMYFUNCTION("GOOGLETRANSLATE(B372,""id"",""en"")"),"['Ralat', 'Love', 'Star', 'Application', 'Difficult', 'Open', 'Network', 'Good', 'Open', 'Application', 'Difficult', 'Please', ' Update ',' Fortunately ',' Thanks']")</f>
        <v>['Ralat', 'Love', 'Star', 'Application', 'Difficult', 'Open', 'Network', 'Good', 'Open', 'Application', 'Difficult', 'Please', ' Update ',' Fortunately ',' Thanks']</v>
      </c>
      <c r="D372" s="3">
        <v>1.0</v>
      </c>
    </row>
    <row r="373" ht="15.75" customHeight="1">
      <c r="A373" s="1">
        <v>371.0</v>
      </c>
      <c r="B373" s="3" t="s">
        <v>374</v>
      </c>
      <c r="C373" s="3" t="str">
        <f>IFERROR(__xludf.DUMMYFUNCTION("GOOGLETRANSLATE(B373,""id"",""en"")"),"['The application', 'good', 'payment', 'funds', 'try', 'fix', 'feature', 'the application', 'thank', 'love']")</f>
        <v>['The application', 'good', 'payment', 'funds', 'try', 'fix', 'feature', 'the application', 'thank', 'love']</v>
      </c>
      <c r="D373" s="3">
        <v>5.0</v>
      </c>
    </row>
    <row r="374" ht="15.75" customHeight="1">
      <c r="A374" s="1">
        <v>372.0</v>
      </c>
      <c r="B374" s="3" t="s">
        <v>375</v>
      </c>
      <c r="C374" s="3" t="str">
        <f>IFERROR(__xludf.DUMMYFUNCTION("GOOGLETRANSLATE(B374,""id"",""en"")"),"['Package', 'quota', 'internet', 'bought', 'took precedence', 'package', 'quota', 'active', 'fast', 'run out', 'the validity', 'package', ' quota ',' active ',' right ',' quota ',' active ',' msh ',' run out ',' quota ',' active ',' fast ',' expiration ',"&amp;"' used ',' high school ' , 'disappointing', 'application', 'MyTelkomsel', 'button', 'choice', 'choose', 'use', 'package', 'quota', 'manual', 'spy', 'customer', ' make a loss']")</f>
        <v>['Package', 'quota', 'internet', 'bought', 'took precedence', 'package', 'quota', 'active', 'fast', 'run out', 'the validity', 'package', ' quota ',' active ',' right ',' quota ',' active ',' msh ',' run out ',' quota ',' active ',' fast ',' expiration ',' used ',' high school ' , 'disappointing', 'application', 'MyTelkomsel', 'button', 'choice', 'choose', 'use', 'package', 'quota', 'manual', 'spy', 'customer', ' make a loss']</v>
      </c>
      <c r="D374" s="3">
        <v>2.0</v>
      </c>
    </row>
    <row r="375" ht="15.75" customHeight="1">
      <c r="A375" s="1">
        <v>373.0</v>
      </c>
      <c r="B375" s="3" t="s">
        <v>376</v>
      </c>
      <c r="C375" s="3" t="str">
        <f>IFERROR(__xludf.DUMMYFUNCTION("GOOGLETRANSLATE(B375,""id"",""en"")"),"['how', 'Telkomsel', 'already', 'kouta', 'sometimes', 'pulse', 'likes', 'ilang', 'phone', 'sms', 'pulse', 'reduced']")</f>
        <v>['how', 'Telkomsel', 'already', 'kouta', 'sometimes', 'pulse', 'likes', 'ilang', 'phone', 'sms', 'pulse', 'reduced']</v>
      </c>
      <c r="D375" s="3">
        <v>2.0</v>
      </c>
    </row>
    <row r="376" ht="15.75" customHeight="1">
      <c r="A376" s="1">
        <v>374.0</v>
      </c>
      <c r="B376" s="3" t="s">
        <v>377</v>
      </c>
      <c r="C376" s="3" t="str">
        <f>IFERROR(__xludf.DUMMYFUNCTION("GOOGLETRANSLATE(B376,""id"",""en"")"),"['How', 'Telkomsel', 'Daily', 'checkin', 'get', 'quota', 'date', 'yesterday', 'Claim', 'bonus',' quota ',' notice ',' Suda ',' SUCCESS ',' Reasons', 'Disruption', 'Try', 'Gabisa', 'Claimed', 'Re-claim', 'Kali', 'Kayak', 'Gini', 'Disappointed', 'game' , 'H"&amp;"mmm']")</f>
        <v>['How', 'Telkomsel', 'Daily', 'checkin', 'get', 'quota', 'date', 'yesterday', 'Claim', 'bonus',' quota ',' notice ',' Suda ',' SUCCESS ',' Reasons', 'Disruption', 'Try', 'Gabisa', 'Claimed', 'Re-claim', 'Kali', 'Kayak', 'Gini', 'Disappointed', 'game' , 'Hmmm']</v>
      </c>
      <c r="D376" s="3">
        <v>1.0</v>
      </c>
    </row>
    <row r="377" ht="15.75" customHeight="1">
      <c r="A377" s="1">
        <v>375.0</v>
      </c>
      <c r="B377" s="3" t="s">
        <v>378</v>
      </c>
      <c r="C377" s="3" t="str">
        <f>IFERROR(__xludf.DUMMYFUNCTION("GOOGLETRANSLATE(B377,""id"",""en"")"),"['What', 'sich', 'mare', 'just', 'buy', 'package', 'data', 'Telkomsel', 'price', 'rb', 'information', 'package', ' Data ',' GB ',' SDAH ',' BUY ',' TRYTA ',' It ',' GB ',' Disappointed ',' His name ',' Fraud ', ""]")</f>
        <v>['What', 'sich', 'mare', 'just', 'buy', 'package', 'data', 'Telkomsel', 'price', 'rb', 'information', 'package', ' Data ',' GB ',' SDAH ',' BUY ',' TRYTA ',' It ',' GB ',' Disappointed ',' His name ',' Fraud ', "]</v>
      </c>
      <c r="D377" s="3">
        <v>1.0</v>
      </c>
    </row>
    <row r="378" ht="15.75" customHeight="1">
      <c r="A378" s="1">
        <v>376.0</v>
      </c>
      <c r="B378" s="3" t="s">
        <v>379</v>
      </c>
      <c r="C378" s="3" t="str">
        <f>IFERROR(__xludf.DUMMYFUNCTION("GOOGLETRANSLATE(B378,""id"",""en"")"),"['Please', 'Telkomsel', 'Network', 'Tribulation', 'Send', 'Task', 'Please', 'Repaired', 'Consumer', 'Telkomsel', 'Move', 'Network']")</f>
        <v>['Please', 'Telkomsel', 'Network', 'Tribulation', 'Send', 'Task', 'Please', 'Repaired', 'Consumer', 'Telkomsel', 'Move', 'Network']</v>
      </c>
      <c r="D378" s="3">
        <v>1.0</v>
      </c>
    </row>
    <row r="379" ht="15.75" customHeight="1">
      <c r="A379" s="1">
        <v>377.0</v>
      </c>
      <c r="B379" s="3" t="s">
        <v>380</v>
      </c>
      <c r="C379" s="3" t="str">
        <f>IFERROR(__xludf.DUMMYFUNCTION("GOOGLETRANSLATE(B379,""id"",""en"")"),"['open', 'App', 'MyTelkomsel', 'unstable', 'conection', 'application', 'need', 'quota', 'used', 'disappointed', '']")</f>
        <v>['open', 'App', 'MyTelkomsel', 'unstable', 'conection', 'application', 'need', 'quota', 'used', 'disappointed', '']</v>
      </c>
      <c r="D379" s="3">
        <v>1.0</v>
      </c>
    </row>
    <row r="380" ht="15.75" customHeight="1">
      <c r="A380" s="1">
        <v>378.0</v>
      </c>
      <c r="B380" s="3" t="s">
        <v>381</v>
      </c>
      <c r="C380" s="3" t="str">
        <f>IFERROR(__xludf.DUMMYFUNCTION("GOOGLETRANSLATE(B380,""id"",""en"")"),"['Like', 'Speed', 'Telkomsel', 'Forgiveness',' Lemoood ',' SYAKALIIII ',' With You ',' Telkomsel ',' Proud ',' Speed ​​',' Your Internet ',' Move ',' Privider ',' please ',' fix ']")</f>
        <v>['Like', 'Speed', 'Telkomsel', 'Forgiveness',' Lemoood ',' SYAKALIIII ',' With You ',' Telkomsel ',' Proud ',' Speed ​​',' Your Internet ',' Move ',' Privider ',' please ',' fix ']</v>
      </c>
      <c r="D380" s="3">
        <v>2.0</v>
      </c>
    </row>
    <row r="381" ht="15.75" customHeight="1">
      <c r="A381" s="1">
        <v>379.0</v>
      </c>
      <c r="B381" s="3" t="s">
        <v>382</v>
      </c>
      <c r="C381" s="3" t="str">
        <f>IFERROR(__xludf.DUMMYFUNCTION("GOOGLETRANSLATE(B381,""id"",""en"")"),"['Ramadhan', 'package', 'internet', 'discount', 'cheap', 'eehh', 'package', 'expensive', 'package', 'KOMBO', 'SAKTI', 'already', ' Move ',' Opertor ',' gave ',' suggestion ',' kalok ',' acts', 'continued', 'kalok', 'star', 'half', 'gwa', 'love', 'star' , "&amp;"'half', 'complaints', 'sorry', 'sorry', 'understand', 'customer', 'price', 'package', '']")</f>
        <v>['Ramadhan', 'package', 'internet', 'discount', 'cheap', 'eehh', 'package', 'expensive', 'package', 'KOMBO', 'SAKTI', 'already', ' Move ',' Opertor ',' gave ',' suggestion ',' kalok ',' acts', 'continued', 'kalok', 'star', 'half', 'gwa', 'love', 'star' , 'half', 'complaints', 'sorry', 'sorry', 'understand', 'customer', 'price', 'package', '']</v>
      </c>
      <c r="D381" s="3">
        <v>1.0</v>
      </c>
    </row>
    <row r="382" ht="15.75" customHeight="1">
      <c r="A382" s="1">
        <v>380.0</v>
      </c>
      <c r="B382" s="3" t="s">
        <v>383</v>
      </c>
      <c r="C382" s="3" t="str">
        <f>IFERROR(__xludf.DUMMYFUNCTION("GOOGLETRANSLATE(B382,""id"",""en"")"),"['The application', 'problematic', 'buy', 'quota', 'pulse', 'fail', 'the case', 'pulses', 'pulses', ""]")</f>
        <v>['The application', 'problematic', 'buy', 'quota', 'pulse', 'fail', 'the case', 'pulses', 'pulses', "]</v>
      </c>
      <c r="D382" s="3">
        <v>1.0</v>
      </c>
    </row>
    <row r="383" ht="15.75" customHeight="1">
      <c r="A383" s="1">
        <v>381.0</v>
      </c>
      <c r="B383" s="3" t="s">
        <v>384</v>
      </c>
      <c r="C383" s="3" t="str">
        <f>IFERROR(__xludf.DUMMYFUNCTION("GOOGLETRANSLATE(B383,""id"",""en"")"),"['Napa', 'right', 'open', 'APK', 'connection', 'stable', 'network', 'full', 'see', 'friend', 'as',' user ',' Please 'repair']")</f>
        <v>['Napa', 'right', 'open', 'APK', 'connection', 'stable', 'network', 'full', 'see', 'friend', 'as',' user ',' Please 'repair']</v>
      </c>
      <c r="D383" s="3">
        <v>1.0</v>
      </c>
    </row>
    <row r="384" ht="15.75" customHeight="1">
      <c r="A384" s="1">
        <v>382.0</v>
      </c>
      <c r="B384" s="3" t="s">
        <v>385</v>
      </c>
      <c r="C384" s="3" t="str">
        <f>IFERROR(__xludf.DUMMYFUNCTION("GOOGLETRANSLATE(B384,""id"",""en"")"),"['bad', 'upset', 'operator', 'quota', 'internet', 'pulse', 'sumps', 'times', 'operator', 'that's', ""]")</f>
        <v>['bad', 'upset', 'operator', 'quota', 'internet', 'pulse', 'sumps', 'times', 'operator', 'that's', "]</v>
      </c>
      <c r="D384" s="3">
        <v>1.0</v>
      </c>
    </row>
    <row r="385" ht="15.75" customHeight="1">
      <c r="A385" s="1">
        <v>383.0</v>
      </c>
      <c r="B385" s="3" t="s">
        <v>386</v>
      </c>
      <c r="C385" s="3" t="str">
        <f>IFERROR(__xludf.DUMMYFUNCTION("GOOGLETRANSLATE(B385,""id"",""en"")"),"['Method', 'Shopeepay', 'Update', 'Install', 'Re-restart', 'Tetep', 'Disappointed', 'Method', 'Shopeepay', 'Lost']")</f>
        <v>['Method', 'Shopeepay', 'Update', 'Install', 'Re-restart', 'Tetep', 'Disappointed', 'Method', 'Shopeepay', 'Lost']</v>
      </c>
      <c r="D385" s="3">
        <v>1.0</v>
      </c>
    </row>
    <row r="386" ht="15.75" customHeight="1">
      <c r="A386" s="1">
        <v>384.0</v>
      </c>
      <c r="B386" s="3" t="s">
        <v>387</v>
      </c>
      <c r="C386" s="3" t="str">
        <f>IFERROR(__xludf.DUMMYFUNCTION("GOOGLETRANSLATE(B386,""id"",""en"")"),"['Hopefully', 'in the future', 'Fix', 'Service', 'Quality', 'Post', 'Pay', 'Prepaid', 'Telkomsel', 'Save', 'Quota', 'Rich', ' Provider ',' cheap ',' wasteful ',' SUCCESS ',' Telkomsel ',' Increases', 'Service', ""]")</f>
        <v>['Hopefully', 'in the future', 'Fix', 'Service', 'Quality', 'Post', 'Pay', 'Prepaid', 'Telkomsel', 'Save', 'Quota', 'Rich', ' Provider ',' cheap ',' wasteful ',' SUCCESS ',' Telkomsel ',' Increases', 'Service', "]</v>
      </c>
      <c r="D386" s="3">
        <v>5.0</v>
      </c>
    </row>
    <row r="387" ht="15.75" customHeight="1">
      <c r="A387" s="1">
        <v>385.0</v>
      </c>
      <c r="B387" s="3" t="s">
        <v>388</v>
      </c>
      <c r="C387" s="3" t="str">
        <f>IFERROR(__xludf.DUMMYFUNCTION("GOOGLETRANSLATE(B387,""id"",""en"")"),"['likes', 'play', 'publik', 'make', 'Telkomsel', 'it's oversal', 'signal', 'slow', 'already', 'ngebacot', 'no', 'change']")</f>
        <v>['likes', 'play', 'publik', 'make', 'Telkomsel', 'it's oversal', 'signal', 'slow', 'already', 'ngebacot', 'no', 'change']</v>
      </c>
      <c r="D387" s="3">
        <v>1.0</v>
      </c>
    </row>
    <row r="388" ht="15.75" customHeight="1">
      <c r="A388" s="1">
        <v>386.0</v>
      </c>
      <c r="B388" s="3" t="s">
        <v>389</v>
      </c>
      <c r="C388" s="3" t="str">
        <f>IFERROR(__xludf.DUMMYFUNCTION("GOOGLETRANSLATE(B388,""id"",""en"")"),"['capacity', 'application', 'heavy', 'right', 'open', 'apk', 'change', 'loading', 'open', 'apk', 'apk', 'update', ' ']")</f>
        <v>['capacity', 'application', 'heavy', 'right', 'open', 'apk', 'change', 'loading', 'open', 'apk', 'apk', 'update', ' ']</v>
      </c>
      <c r="D388" s="3">
        <v>3.0</v>
      </c>
    </row>
    <row r="389" ht="15.75" customHeight="1">
      <c r="A389" s="1">
        <v>387.0</v>
      </c>
      <c r="B389" s="3" t="s">
        <v>390</v>
      </c>
      <c r="C389" s="3" t="str">
        <f>IFERROR(__xludf.DUMMYFUNCTION("GOOGLETRANSLATE(B389,""id"",""en"")"),"['maximum', 'already', 'a week', 'access', 'Telkomsel', 'said', 'error', 'connected', 'signal', 'disappointed']")</f>
        <v>['maximum', 'already', 'a week', 'access', 'Telkomsel', 'said', 'error', 'connected', 'signal', 'disappointed']</v>
      </c>
      <c r="D389" s="3">
        <v>2.0</v>
      </c>
    </row>
    <row r="390" ht="15.75" customHeight="1">
      <c r="A390" s="1">
        <v>388.0</v>
      </c>
      <c r="B390" s="3" t="s">
        <v>391</v>
      </c>
      <c r="C390" s="3" t="str">
        <f>IFERROR(__xludf.DUMMYFUNCTION("GOOGLETRANSLATE(B390,""id"",""en"")"),"['KPD', 'YTH', 'DEV', 'Telkomtsel', 'criticize', 'settings',' credit ',' quota ',' quota ',' pulse ',' sucked ',' Please ',' Acquired ',' Nurse ',' Add ',' Lock ',' Lock ',' Credit ',' Credit ',' Sucked ',' Brief ',' Disappointed ',' Times', 'Please', 'Fi"&amp;"x' , 'bug', 'connection', 'login', 'Telkomtsel', 'apps',' bug ',' purchase ',' package ',' consecutive ',' bug ',' reward ',' and ',' Points', '']")</f>
        <v>['KPD', 'YTH', 'DEV', 'Telkomtsel', 'criticize', 'settings',' credit ',' quota ',' quota ',' pulse ',' sucked ',' Please ',' Acquired ',' Nurse ',' Add ',' Lock ',' Lock ',' Credit ',' Credit ',' Sucked ',' Brief ',' Disappointed ',' Times', 'Please', 'Fix' , 'bug', 'connection', 'login', 'Telkomtsel', 'apps',' bug ',' purchase ',' package ',' consecutive ',' bug ',' reward ',' and ',' Points', '']</v>
      </c>
      <c r="D390" s="3">
        <v>1.0</v>
      </c>
    </row>
    <row r="391" ht="15.75" customHeight="1">
      <c r="A391" s="1">
        <v>389.0</v>
      </c>
      <c r="B391" s="3" t="s">
        <v>392</v>
      </c>
      <c r="C391" s="3" t="str">
        <f>IFERROR(__xludf.DUMMYFUNCTION("GOOGLETRANSLATE(B391,""id"",""en"")"),"['Please', 'donk', 'Telkomsel', 'fix', 'enter', 'app', 'reading', 'connection', 'stable', 'mean', 'handle it', 'suggestion', ' Try ',' overhaul ',' reset ',' the application ',' so ',' hope ',' useful ',' Please ',' fix ',' Greetings', 'Santun', 'Hidayat'"&amp;", 'Dwi' , 'son', '']")</f>
        <v>['Please', 'donk', 'Telkomsel', 'fix', 'enter', 'app', 'reading', 'connection', 'stable', 'mean', 'handle it', 'suggestion', ' Try ',' overhaul ',' reset ',' the application ',' so ',' hope ',' useful ',' Please ',' fix ',' Greetings', 'Santun', 'Hidayat', 'Dwi' , 'son', '']</v>
      </c>
      <c r="D391" s="3">
        <v>5.0</v>
      </c>
    </row>
    <row r="392" ht="15.75" customHeight="1">
      <c r="A392" s="1">
        <v>390.0</v>
      </c>
      <c r="B392" s="3" t="s">
        <v>393</v>
      </c>
      <c r="C392" s="3" t="str">
        <f>IFERROR(__xludf.DUMMYFUNCTION("GOOGLETRANSLATE(B392,""id"",""en"")"),"['method', 'login', 'additional', 'link', 'additional', 'method', 'login', 'sidik', 'finger', 'code', 'verification', 'easy', ' used ',' difficult ',' cellphone ',' Android ',' difficult ',' login ',' application ',' Android ',' ']")</f>
        <v>['method', 'login', 'additional', 'link', 'additional', 'method', 'login', 'sidik', 'finger', 'code', 'verification', 'easy', ' used ',' difficult ',' cellphone ',' Android ',' difficult ',' login ',' application ',' Android ',' ']</v>
      </c>
      <c r="D392" s="3">
        <v>1.0</v>
      </c>
    </row>
    <row r="393" ht="15.75" customHeight="1">
      <c r="A393" s="1">
        <v>391.0</v>
      </c>
      <c r="B393" s="3" t="s">
        <v>394</v>
      </c>
      <c r="C393" s="3" t="str">
        <f>IFERROR(__xludf.DUMMYFUNCTION("GOOGLETRANSLATE(B393,""id"",""en"")"),"['In my opinion', 'Points',' Telkomsel ',' buy ',' quota ',' use ',' pulse ',' coakes', 'points',' expensive ',' package ',' buy ',' Quota ',' Sometimes', 'Balance', 'Shope', 'Pay', 'Sometimes',' ']")</f>
        <v>['In my opinion', 'Points',' Telkomsel ',' buy ',' quota ',' use ',' pulse ',' coakes', 'points',' expensive ',' package ',' buy ',' Quota ',' Sometimes', 'Balance', 'Shope', 'Pay', 'Sometimes',' ']</v>
      </c>
      <c r="D393" s="3">
        <v>3.0</v>
      </c>
    </row>
    <row r="394" ht="15.75" customHeight="1">
      <c r="A394" s="1">
        <v>392.0</v>
      </c>
      <c r="B394" s="3" t="s">
        <v>395</v>
      </c>
      <c r="C394" s="3" t="str">
        <f>IFERROR(__xludf.DUMMYFUNCTION("GOOGLETRANSLATE(B394,""id"",""en"")"),"['Please', 'yeah', 'add', 'price', 'package', 'conditioned', 'tetep', 'that's', 'price', ""]")</f>
        <v>['Please', 'yeah', 'add', 'price', 'package', 'conditioned', 'tetep', 'that's', 'price', "]</v>
      </c>
      <c r="D394" s="3">
        <v>2.0</v>
      </c>
    </row>
    <row r="395" ht="15.75" customHeight="1">
      <c r="A395" s="1">
        <v>393.0</v>
      </c>
      <c r="B395" s="3" t="s">
        <v>396</v>
      </c>
      <c r="C395" s="3" t="str">
        <f>IFERROR(__xludf.DUMMYFUNCTION("GOOGLETRANSLATE(B395,""id"",""en"")"),"['Telkomsel', 'application', 'ugly', 'poor', 'opened', 'The reason', 'connection', 'stable', 'browsing', 'smooth', 'smooth', ""]")</f>
        <v>['Telkomsel', 'application', 'ugly', 'poor', 'opened', 'The reason', 'connection', 'stable', 'browsing', 'smooth', 'smooth', "]</v>
      </c>
      <c r="D395" s="3">
        <v>1.0</v>
      </c>
    </row>
    <row r="396" ht="15.75" customHeight="1">
      <c r="A396" s="1">
        <v>394.0</v>
      </c>
      <c r="B396" s="3" t="s">
        <v>397</v>
      </c>
      <c r="C396" s="3" t="str">
        <f>IFERROR(__xludf.DUMMYFUNCTION("GOOGLETRANSLATE(B396,""id"",""en"")"),"['Please', 'Credit', 'Ocean', 'Quota', 'Network', 'Application', 'Stable', 'Mulu', 'Tima', 'Credit', 'Notif', 'Credit', ' Already ',' Abis', 'Dinotif', '']")</f>
        <v>['Please', 'Credit', 'Ocean', 'Quota', 'Network', 'Application', 'Stable', 'Mulu', 'Tima', 'Credit', 'Notif', 'Credit', ' Already ',' Abis', 'Dinotif', '']</v>
      </c>
      <c r="D396" s="3">
        <v>1.0</v>
      </c>
    </row>
    <row r="397" ht="15.75" customHeight="1">
      <c r="A397" s="1">
        <v>395.0</v>
      </c>
      <c r="B397" s="3" t="s">
        <v>398</v>
      </c>
      <c r="C397" s="3" t="str">
        <f>IFERROR(__xludf.DUMMYFUNCTION("GOOGLETRANSLATE(B397,""id"",""en"")"),"['Please', 'Taken', 'Credit', 'Hard', 'Look', 'Money', 'Buy', 'Credit', 'Difficult', 'Collect', 'Money', 'Stop', ' Services', 'no', 'use', 'service', 'checked', 'transaction', 'no', 'information', 'credit', 'reduced', 'difficult', 'really', 'looked' , 'mo"&amp;"ney', 'sucked', 'pulse', 'person', '']")</f>
        <v>['Please', 'Taken', 'Credit', 'Hard', 'Look', 'Money', 'Buy', 'Credit', 'Difficult', 'Collect', 'Money', 'Stop', ' Services', 'no', 'use', 'service', 'checked', 'transaction', 'no', 'information', 'credit', 'reduced', 'difficult', 'really', 'looked' , 'money', 'sucked', 'pulse', 'person', '']</v>
      </c>
      <c r="D397" s="3">
        <v>1.0</v>
      </c>
    </row>
    <row r="398" ht="15.75" customHeight="1">
      <c r="A398" s="1">
        <v>396.0</v>
      </c>
      <c r="B398" s="3" t="s">
        <v>399</v>
      </c>
      <c r="C398" s="3" t="str">
        <f>IFERROR(__xludf.DUMMYFUNCTION("GOOGLETRANSLATE(B398,""id"",""en"")"),"['Lower', 'price', 'package', 'on', 'East', 'GB', 'Live', 'East', 'Loe', 'Rich', 'Raya', 'Hopefully', ' Amal ',' worship ',' accepted ']")</f>
        <v>['Lower', 'price', 'package', 'on', 'East', 'GB', 'Live', 'East', 'Loe', 'Rich', 'Raya', 'Hopefully', ' Amal ',' worship ',' accepted ']</v>
      </c>
      <c r="D398" s="3">
        <v>1.0</v>
      </c>
    </row>
    <row r="399" ht="15.75" customHeight="1">
      <c r="A399" s="1">
        <v>397.0</v>
      </c>
      <c r="B399" s="3" t="s">
        <v>400</v>
      </c>
      <c r="C399" s="3" t="str">
        <f>IFERROR(__xludf.DUMMYFUNCTION("GOOGLETRANSLATE(B399,""id"",""en"")"),"['Telkomsel', 'Internet', 'Indosat', 'right', 'Indosat', 'HBs',' right ',' Telkomsel ',' Kouta ',' Out ',' Help ',' Developer ',' SAFE ',' Kouta ',' Sultan ',' Network ',' Jlk ']")</f>
        <v>['Telkomsel', 'Internet', 'Indosat', 'right', 'Indosat', 'HBs',' right ',' Telkomsel ',' Kouta ',' Out ',' Help ',' Developer ',' SAFE ',' Kouta ',' Sultan ',' Network ',' Jlk ']</v>
      </c>
      <c r="D399" s="3">
        <v>1.0</v>
      </c>
    </row>
    <row r="400" ht="15.75" customHeight="1">
      <c r="A400" s="1">
        <v>398.0</v>
      </c>
      <c r="B400" s="3" t="s">
        <v>401</v>
      </c>
      <c r="C400" s="3" t="str">
        <f>IFERROR(__xludf.DUMMYFUNCTION("GOOGLETRANSLATE(B400,""id"",""en"")"),"['strange', 'Ouch', 'signal', 'ilang', 'Mulu', 'Severe', 'already', 'ilang', 'signal', 'replace', 'SIM', 'only', ' Hadeuh ',' chaotic ',' destroy ',' effort ',' gaes', 'suk', 'Telkomsel', 'replace', 'card', 'disappointed', '']")</f>
        <v>['strange', 'Ouch', 'signal', 'ilang', 'Mulu', 'Severe', 'already', 'ilang', 'signal', 'replace', 'SIM', 'only', ' Hadeuh ',' chaotic ',' destroy ',' effort ',' gaes', 'suk', 'Telkomsel', 'replace', 'card', 'disappointed', '']</v>
      </c>
      <c r="D400" s="3">
        <v>1.0</v>
      </c>
    </row>
    <row r="401" ht="15.75" customHeight="1">
      <c r="A401" s="1">
        <v>399.0</v>
      </c>
      <c r="B401" s="3" t="s">
        <v>402</v>
      </c>
      <c r="C401" s="3" t="str">
        <f>IFERROR(__xludf.DUMMYFUNCTION("GOOGLETRANSLATE(B401,""id"",""en"")"),"['heynyal', 'jelekkk', 'really', 'oath', 'cave', 'in the city', 'understand', 'cave', 'telkomsel', 'package', 'expensive', 'qualiation', ' exactly ',' rich ',' SmartFrend ',' unlimited ',' disappointed ',' really ',' oath ', ""]")</f>
        <v>['heynyal', 'jelekkk', 'really', 'oath', 'cave', 'in the city', 'understand', 'cave', 'telkomsel', 'package', 'expensive', 'qualiation', ' exactly ',' rich ',' SmartFrend ',' unlimited ',' disappointed ',' really ',' oath ', "]</v>
      </c>
      <c r="D401" s="3">
        <v>1.0</v>
      </c>
    </row>
    <row r="402" ht="15.75" customHeight="1">
      <c r="A402" s="1">
        <v>400.0</v>
      </c>
      <c r="B402" s="3" t="s">
        <v>403</v>
      </c>
      <c r="C402" s="3" t="str">
        <f>IFERROR(__xludf.DUMMYFUNCTION("GOOGLETRANSLATE(B402,""id"",""en"")"),"['Maap', 'polite', 'knp', 'use', 'quota', 'unlimited', 'open', 'social', 'media', 'Males',' pakekya ',' card ',' Siyal ',' Jugak ',' Nastyl ',' already ',' expensive ',' quota ',' unlimited ',' use ',' ']")</f>
        <v>['Maap', 'polite', 'knp', 'use', 'quota', 'unlimited', 'open', 'social', 'media', 'Males',' pakekya ',' card ',' Siyal ',' Jugak ',' Nastyl ',' already ',' expensive ',' quota ',' unlimited ',' use ',' ']</v>
      </c>
      <c r="D402" s="3">
        <v>2.0</v>
      </c>
    </row>
    <row r="403" ht="15.75" customHeight="1">
      <c r="A403" s="1">
        <v>401.0</v>
      </c>
      <c r="B403" s="3" t="s">
        <v>404</v>
      </c>
      <c r="C403" s="3" t="str">
        <f>IFERROR(__xludf.DUMMYFUNCTION("GOOGLETRANSLATE(B403,""id"",""en"")"),"['bad', 'Error', 'Mulu', 'Network', 'Kagk', 'Error', 'smooth', 'KNP', 'Telkomsel', 'card', 'Hello', 'quota', ' Please, 'Telkomsel']")</f>
        <v>['bad', 'Error', 'Mulu', 'Network', 'Kagk', 'Error', 'smooth', 'KNP', 'Telkomsel', 'card', 'Hello', 'quota', ' Please, 'Telkomsel']</v>
      </c>
      <c r="D403" s="3">
        <v>2.0</v>
      </c>
    </row>
    <row r="404" ht="15.75" customHeight="1">
      <c r="A404" s="1">
        <v>402.0</v>
      </c>
      <c r="B404" s="3" t="s">
        <v>405</v>
      </c>
      <c r="C404" s="3" t="str">
        <f>IFERROR(__xludf.DUMMYFUNCTION("GOOGLETRANSLATE(B404,""id"",""en"")"),"['Subscribe', 'Telkomsel', 'Kelhuanku', 'Kali', 'Open', 'Ampert', 'Confirm', 'TLPN', 'SDAH', 'Register', 'SDAH', ' Paketan ',' confirm ',' TLPN ',' tros', ""]")</f>
        <v>['Subscribe', 'Telkomsel', 'Kelhuanku', 'Kali', 'Open', 'Ampert', 'Confirm', 'TLPN', 'SDAH', 'Register', 'SDAH', ' Paketan ',' confirm ',' TLPN ',' tros', "]</v>
      </c>
      <c r="D404" s="3">
        <v>1.0</v>
      </c>
    </row>
    <row r="405" ht="15.75" customHeight="1">
      <c r="A405" s="1">
        <v>403.0</v>
      </c>
      <c r="B405" s="3" t="s">
        <v>406</v>
      </c>
      <c r="C405" s="3" t="str">
        <f>IFERROR(__xludf.DUMMYFUNCTION("GOOGLETRANSLATE(B405,""id"",""en"")"),"['package', 'behavior', 'price', 'package', 'signal', 'error', 'sorry', 'love', 'star', 'suits', 'service', 'bad']")</f>
        <v>['package', 'behavior', 'price', 'package', 'signal', 'error', 'sorry', 'love', 'star', 'suits', 'service', 'bad']</v>
      </c>
      <c r="D405" s="3">
        <v>4.0</v>
      </c>
    </row>
    <row r="406" ht="15.75" customHeight="1">
      <c r="A406" s="1">
        <v>404.0</v>
      </c>
      <c r="B406" s="3" t="s">
        <v>407</v>
      </c>
      <c r="C406" s="3" t="str">
        <f>IFERROR(__xludf.DUMMYFUNCTION("GOOGLETRANSLATE(B406,""id"",""en"")"),"['Telkomsel', 'ugly', 'just', 'content', 'pulse', 'buy', 'pulse', 'drained', 'sms',' entry ',' subscribe ',' subscribe ',' Ajirr ']")</f>
        <v>['Telkomsel', 'ugly', 'just', 'content', 'pulse', 'buy', 'pulse', 'drained', 'sms',' entry ',' subscribe ',' subscribe ',' Ajirr ']</v>
      </c>
      <c r="D406" s="3">
        <v>1.0</v>
      </c>
    </row>
    <row r="407" ht="15.75" customHeight="1">
      <c r="A407" s="1">
        <v>405.0</v>
      </c>
      <c r="B407" s="3" t="s">
        <v>408</v>
      </c>
      <c r="C407" s="3" t="str">
        <f>IFERROR(__xludf.DUMMYFUNCTION("GOOGLETRANSLATE(B407,""id"",""en"")"),"['Policy', 'Access', 'Media', 'Application', 'Telkomsel', 'Collecting', 'Data', 'Number', 'Telkomsel', 'User', 'Access', 'Gallery']")</f>
        <v>['Policy', 'Access', 'Media', 'Application', 'Telkomsel', 'Collecting', 'Data', 'Number', 'Telkomsel', 'User', 'Access', 'Gallery']</v>
      </c>
      <c r="D407" s="3">
        <v>1.0</v>
      </c>
    </row>
    <row r="408" ht="15.75" customHeight="1">
      <c r="A408" s="1">
        <v>406.0</v>
      </c>
      <c r="B408" s="3" t="s">
        <v>409</v>
      </c>
      <c r="C408" s="3" t="str">
        <f>IFERROR(__xludf.DUMMYFUNCTION("GOOGLETRANSLATE(B408,""id"",""en"")"),"['Telkom', 'pulses',' missing ',' that's', 'after', 'activated', 'intermalem', 'for', 'RB', 'sucked', 'please', 'cooperation', ' Telkomsel ',' ']")</f>
        <v>['Telkom', 'pulses',' missing ',' that's', 'after', 'activated', 'intermalem', 'for', 'RB', 'sucked', 'please', 'cooperation', ' Telkomsel ',' ']</v>
      </c>
      <c r="D408" s="3">
        <v>1.0</v>
      </c>
    </row>
    <row r="409" ht="15.75" customHeight="1">
      <c r="A409" s="1">
        <v>407.0</v>
      </c>
      <c r="B409" s="3" t="s">
        <v>410</v>
      </c>
      <c r="C409" s="3" t="str">
        <f>IFERROR(__xludf.DUMMYFUNCTION("GOOGLETRANSLATE(B409,""id"",""en"")"),"['Knp', 'signal', 'Telkomsel', 'smooth', 'ngeleg', 'Error', 'Sorry', 'Try', 'Telkomsel', 'Service', 'Via', 'Telkomsel', ' Intsagram ',' Facebook ',' response ',' Telkomsel ',' caring ',' covid ',' communication ',' Please ',' fix ',' signal ',' telkomsel "&amp;"',' jng ',' just ' , 'Costs', 'quota', 'expensive', 'service', 'signal', 'ngk', 'thanks']")</f>
        <v>['Knp', 'signal', 'Telkomsel', 'smooth', 'ngeleg', 'Error', 'Sorry', 'Try', 'Telkomsel', 'Service', 'Via', 'Telkomsel', ' Intsagram ',' Facebook ',' response ',' Telkomsel ',' caring ',' covid ',' communication ',' Please ',' fix ',' signal ',' telkomsel ',' jng ',' just ' , 'Costs', 'quota', 'expensive', 'service', 'signal', 'ngk', 'thanks']</v>
      </c>
      <c r="D409" s="3">
        <v>1.0</v>
      </c>
    </row>
    <row r="410" ht="15.75" customHeight="1">
      <c r="A410" s="1">
        <v>408.0</v>
      </c>
      <c r="B410" s="3" t="s">
        <v>411</v>
      </c>
      <c r="C410" s="3" t="str">
        <f>IFERROR(__xludf.DUMMYFUNCTION("GOOGLETRANSLATE(B410,""id"",""en"")"),"['quota', 'Telkomsel', 'crazy', 'gilt', 'price', 'imagine', 'ampe', 'entry', 'Indonesia', 'hundred', 'thousand', 'buy', ' quota ',' beg ',' love ',' concessions', 'price', 'ilang', 'taste', 'kek', 'monopoly', 'Telkomsel']")</f>
        <v>['quota', 'Telkomsel', 'crazy', 'gilt', 'price', 'imagine', 'ampe', 'entry', 'Indonesia', 'hundred', 'thousand', 'buy', ' quota ',' beg ',' love ',' concessions', 'price', 'ilang', 'taste', 'kek', 'monopoly', 'Telkomsel']</v>
      </c>
      <c r="D410" s="3">
        <v>1.0</v>
      </c>
    </row>
    <row r="411" ht="15.75" customHeight="1">
      <c r="A411" s="1">
        <v>409.0</v>
      </c>
      <c r="B411" s="3" t="s">
        <v>412</v>
      </c>
      <c r="C411" s="3" t="str">
        <f>IFERROR(__xludf.DUMMYFUNCTION("GOOGLETRANSLATE(B411,""id"",""en"")"),"['skarang', 'already', 'paid', 'shopee', 'stop', 'buy', 'MyTelkomsel', 'stock', 'puls',' fear ',' miss', 'rates',' Regular ',' strange ',' impact ',' skali ',' name ',' rates', 'regular', 'disaster', '']")</f>
        <v>['skarang', 'already', 'paid', 'shopee', 'stop', 'buy', 'MyTelkomsel', 'stock', 'puls',' fear ',' miss', 'rates',' Regular ',' strange ',' impact ',' skali ',' name ',' rates', 'regular', 'disaster', '']</v>
      </c>
      <c r="D411" s="3">
        <v>2.0</v>
      </c>
    </row>
    <row r="412" ht="15.75" customHeight="1">
      <c r="A412" s="1">
        <v>410.0</v>
      </c>
      <c r="B412" s="3" t="s">
        <v>413</v>
      </c>
      <c r="C412" s="3" t="str">
        <f>IFERROR(__xludf.DUMMYFUNCTION("GOOGLETRANSLATE(B412,""id"",""en"")"),"['Telkomsel', 'ugly', 'network', 'remote', 'village', 'know', 'card', 'Telkomsel', 'stable', 'kncang', 'since' pandemic ',' Lemot ',' Abis', 'Bela', 'buy', 'package', 'price', 'expensive', 'hope', 'connection', 'stable', 'fast', 'suspected']")</f>
        <v>['Telkomsel', 'ugly', 'network', 'remote', 'village', 'know', 'card', 'Telkomsel', 'stable', 'kncang', 'since' pandemic ',' Lemot ',' Abis', 'Bela', 'buy', 'package', 'price', 'expensive', 'hope', 'connection', 'stable', 'fast', 'suspected']</v>
      </c>
      <c r="D412" s="3">
        <v>1.0</v>
      </c>
    </row>
    <row r="413" ht="15.75" customHeight="1">
      <c r="A413" s="1">
        <v>411.0</v>
      </c>
      <c r="B413" s="3" t="s">
        <v>414</v>
      </c>
      <c r="C413" s="3" t="str">
        <f>IFERROR(__xludf.DUMMYFUNCTION("GOOGLETRANSLATE(B413,""id"",""en"")"),"['expensive', 'Doank', 'Internet', 'missing', 'restart', 'cellphone', 'awaited', 'clock', 'appears',' signal ',' full ',' volte ',' restart ',' cellphone ',' deh ',' sometimes', 'appears',' internet ',' turn ',' already ',' appear ',' battery ',' low ',' "&amp;"gegara ',' restart ' , 'cellphone']")</f>
        <v>['expensive', 'Doank', 'Internet', 'missing', 'restart', 'cellphone', 'awaited', 'clock', 'appears',' signal ',' full ',' volte ',' restart ',' cellphone ',' deh ',' sometimes', 'appears',' internet ',' turn ',' already ',' appear ',' battery ',' low ',' gegara ',' restart ' , 'cellphone']</v>
      </c>
      <c r="D413" s="3">
        <v>1.0</v>
      </c>
    </row>
    <row r="414" ht="15.75" customHeight="1">
      <c r="A414" s="1">
        <v>412.0</v>
      </c>
      <c r="B414" s="3" t="s">
        <v>415</v>
      </c>
      <c r="C414" s="3" t="str">
        <f>IFERROR(__xludf.DUMMYFUNCTION("GOOGLETRANSLATE(B414,""id"",""en"")"),"['Service', 'Reaching', 'Region', 'Indonesia', 'Limited', 'Space', 'Helping', 'People', 'People', 'Mobility', 'Deficiency', 'Sometimes',' Sometimes', 'signal', 'stable', 'load', 'customer', 'together', 'capacity', 'server', 'enhanced', 'as',' increases', "&amp;"'customer', '']")</f>
        <v>['Service', 'Reaching', 'Region', 'Indonesia', 'Limited', 'Space', 'Helping', 'People', 'People', 'Mobility', 'Deficiency', 'Sometimes',' Sometimes', 'signal', 'stable', 'load', 'customer', 'together', 'capacity', 'server', 'enhanced', 'as',' increases', 'customer', '']</v>
      </c>
      <c r="D414" s="3">
        <v>5.0</v>
      </c>
    </row>
    <row r="415" ht="15.75" customHeight="1">
      <c r="A415" s="1">
        <v>413.0</v>
      </c>
      <c r="B415" s="3" t="s">
        <v>416</v>
      </c>
      <c r="C415" s="3" t="str">
        <f>IFERROR(__xludf.DUMMYFUNCTION("GOOGLETRANSLATE(B415,""id"",""en"")"),"['contents', 'Pulse', 'Transaki', 'response', 'operator', 'sad', 'really', 'siiii', 'service', 'fair', ""]")</f>
        <v>['contents', 'Pulse', 'Transaki', 'response', 'operator', 'sad', 'really', 'siiii', 'service', 'fair', "]</v>
      </c>
      <c r="D415" s="3">
        <v>1.0</v>
      </c>
    </row>
    <row r="416" ht="15.75" customHeight="1">
      <c r="A416" s="1">
        <v>414.0</v>
      </c>
      <c r="B416" s="3" t="s">
        <v>417</v>
      </c>
      <c r="C416" s="3" t="str">
        <f>IFERROR(__xludf.DUMMYFUNCTION("GOOGLETRANSLATE(B416,""id"",""en"")"),"['Download', 'NMR', 'filled', 'pulse', 'check', 'pulse', 'how', 'Mingkin', 'replace', 'number', 'already', 'used', ' dozens']")</f>
        <v>['Download', 'NMR', 'filled', 'pulse', 'check', 'pulse', 'how', 'Mingkin', 'replace', 'number', 'already', 'used', ' dozens']</v>
      </c>
      <c r="D416" s="3">
        <v>2.0</v>
      </c>
    </row>
    <row r="417" ht="15.75" customHeight="1">
      <c r="A417" s="1">
        <v>415.0</v>
      </c>
      <c r="B417" s="3" t="s">
        <v>418</v>
      </c>
      <c r="C417" s="3" t="str">
        <f>IFERROR(__xludf.DUMMYFUNCTION("GOOGLETRANSLATE(B417,""id"",""en"")"),"['Come', 'Severe', 'Telkomsel', 'BLI', 'Kouta', 'Internet', 'Gara', 'Gara', 'Leet', 'BLI', 'BLI', 'Times',' Chat ',' Veronika ',' repair ',' Mele ',' date ',' BLI ',' Ampe ',' Abis', 'Kouta', 'whole', ""]")</f>
        <v>['Come', 'Severe', 'Telkomsel', 'BLI', 'Kouta', 'Internet', 'Gara', 'Gara', 'Leet', 'BLI', 'BLI', 'Times',' Chat ',' Veronika ',' repair ',' Mele ',' date ',' BLI ',' Ampe ',' Abis', 'Kouta', 'whole', "]</v>
      </c>
      <c r="D417" s="3">
        <v>2.0</v>
      </c>
    </row>
    <row r="418" ht="15.75" customHeight="1">
      <c r="A418" s="1">
        <v>416.0</v>
      </c>
      <c r="B418" s="3" t="s">
        <v>419</v>
      </c>
      <c r="C418" s="3" t="str">
        <f>IFERROR(__xludf.DUMMYFUNCTION("GOOGLETRANSLATE(B418,""id"",""en"")"),"['Card', 'Telkomsel', 'expensive', 'stupid', 'network', 'rich', 'gini', 'play', 'geme', 'lag', 'lag', 'lose', ' village ',' network ',' stable ',' kotta ',' forgiveness', 'expensive', 'buy', 'all', 'limited', 'slow', 'forgiveness',' mind ',' price ' , 'qu"&amp;"ality', 'okay', 'price', 'expensive', 'quality', 'best', 'opposite', 'price', 'mahah', 'quality', 'slow', ' Jaya ',' Rich ',' Child ',' Child ',' Jaya ',' Best ']")</f>
        <v>['Card', 'Telkomsel', 'expensive', 'stupid', 'network', 'rich', 'gini', 'play', 'geme', 'lag', 'lag', 'lose', ' village ',' network ',' stable ',' kotta ',' forgiveness', 'expensive', 'buy', 'all', 'limited', 'slow', 'forgiveness',' mind ',' price ' , 'quality', 'okay', 'price', 'expensive', 'quality', 'best', 'opposite', 'price', 'mahah', 'quality', 'slow', ' Jaya ',' Rich ',' Child ',' Child ',' Jaya ',' Best ']</v>
      </c>
      <c r="D418" s="3">
        <v>1.0</v>
      </c>
    </row>
    <row r="419" ht="15.75" customHeight="1">
      <c r="A419" s="1">
        <v>417.0</v>
      </c>
      <c r="B419" s="3" t="s">
        <v>420</v>
      </c>
      <c r="C419" s="3" t="str">
        <f>IFERROR(__xludf.DUMMYFUNCTION("GOOGLETRANSLATE(B419,""id"",""en"")"),"['', 'user', 'really', 'moment', 'tragic', 'Telkomsel', 'signal', 'dropped', 'run', 'work', 'dependent', 'network', 'data ',' Cursed ',' ']")</f>
        <v>['', 'user', 'really', 'moment', 'tragic', 'Telkomsel', 'signal', 'dropped', 'run', 'work', 'dependent', 'network', 'data ',' Cursed ',' ']</v>
      </c>
      <c r="D419" s="3">
        <v>1.0</v>
      </c>
    </row>
    <row r="420" ht="15.75" customHeight="1">
      <c r="A420" s="1">
        <v>418.0</v>
      </c>
      <c r="B420" s="3" t="s">
        <v>421</v>
      </c>
      <c r="C420" s="3" t="str">
        <f>IFERROR(__xludf.DUMMYFUNCTION("GOOGLETRANSLATE(B420,""id"",""en"")"),"['Please', 'signal', 'play', 'game', 'dipping', 'buy', 'package', 'expensive', 'according to', 'expect', 'signal', 'ngelek', ' Please, 'fix', 'as soon as possible', 'Thank you', ""]")</f>
        <v>['Please', 'signal', 'play', 'game', 'dipping', 'buy', 'package', 'expensive', 'according to', 'expect', 'signal', 'ngelek', ' Please, 'fix', 'as soon as possible', 'Thank you', "]</v>
      </c>
      <c r="D420" s="3">
        <v>1.0</v>
      </c>
    </row>
    <row r="421" ht="15.75" customHeight="1">
      <c r="A421" s="1">
        <v>419.0</v>
      </c>
      <c r="B421" s="3" t="s">
        <v>422</v>
      </c>
      <c r="C421" s="3" t="str">
        <f>IFERROR(__xludf.DUMMYFUNCTION("GOOGLETRANSLATE(B421,""id"",""en"")"),"['Credit', 'Telkomsel', 'expensive', 'signal', 'slow', 'Mending', 'smartfren', 'Indosat', 'signal', 'NOT', 'EDGE', 'HSDPA', ' Padalan ',' City ',' ']")</f>
        <v>['Credit', 'Telkomsel', 'expensive', 'signal', 'slow', 'Mending', 'smartfren', 'Indosat', 'signal', 'NOT', 'EDGE', 'HSDPA', ' Padalan ',' City ',' ']</v>
      </c>
      <c r="D421" s="3">
        <v>1.0</v>
      </c>
    </row>
    <row r="422" ht="15.75" customHeight="1">
      <c r="A422" s="1">
        <v>420.0</v>
      </c>
      <c r="B422" s="3" t="s">
        <v>423</v>
      </c>
      <c r="C422" s="3" t="str">
        <f>IFERROR(__xludf.DUMMYFUNCTION("GOOGLETRANSLATE(B422,""id"",""en"")"),"['The application', 'help', 'customer', 'makes it easy', 'loan', 'emergency', 'people', 'buy', 'quota', 'expensive', 'minimal', 'thousand', ' Economy ',' Limited ',' Love ',' Bintang ', ""]")</f>
        <v>['The application', 'help', 'customer', 'makes it easy', 'loan', 'emergency', 'people', 'buy', 'quota', 'expensive', 'minimal', 'thousand', ' Economy ',' Limited ',' Love ',' Bintang ', "]</v>
      </c>
      <c r="D422" s="3">
        <v>4.0</v>
      </c>
    </row>
    <row r="423" ht="15.75" customHeight="1">
      <c r="A423" s="1">
        <v>421.0</v>
      </c>
      <c r="B423" s="3" t="s">
        <v>424</v>
      </c>
      <c r="C423" s="3" t="str">
        <f>IFERROR(__xludf.DUMMYFUNCTION("GOOGLETRANSLATE(B423,""id"",""en"")"),"['quota', 'price', 'expensive', 'comparable', 'quality', 'signal', 'ugly', 'severe', 'here', 'stable', 'abandoned', 'customer', ' When you ',' Telkomsel ',' ']")</f>
        <v>['quota', 'price', 'expensive', 'comparable', 'quality', 'signal', 'ugly', 'severe', 'here', 'stable', 'abandoned', 'customer', ' When you ',' Telkomsel ',' ']</v>
      </c>
      <c r="D423" s="3">
        <v>1.0</v>
      </c>
    </row>
    <row r="424" ht="15.75" customHeight="1">
      <c r="A424" s="1">
        <v>422.0</v>
      </c>
      <c r="B424" s="3" t="s">
        <v>425</v>
      </c>
      <c r="C424" s="3" t="str">
        <f>IFERROR(__xludf.DUMMYFUNCTION("GOOGLETRANSLATE(B424,""id"",""en"")"),"['sms',' dri ',' Telkomsel ',' promo ',' purchase ',' kouta ',' turn ',' open ',' link ',' connection ',' fail ',' check ',' Application ',' MyTelkomsel ',' Previously ',' thousand ',' per month ',' now ',' thousand ',' per month ',' GB ',' SNI ',' expens"&amp;"ive ',' sms', 'I can get' , 'Capas', 'promo', 'enter', 'inbox', 'just', 'sweetener', '']")</f>
        <v>['sms',' dri ',' Telkomsel ',' promo ',' purchase ',' kouta ',' turn ',' open ',' link ',' connection ',' fail ',' check ',' Application ',' MyTelkomsel ',' Previously ',' thousand ',' per month ',' now ',' thousand ',' per month ',' GB ',' SNI ',' expensive ',' sms', 'I can get' , 'Capas', 'promo', 'enter', 'inbox', 'just', 'sweetener', '']</v>
      </c>
      <c r="D424" s="3">
        <v>1.0</v>
      </c>
    </row>
    <row r="425" ht="15.75" customHeight="1">
      <c r="A425" s="1">
        <v>423.0</v>
      </c>
      <c r="B425" s="3" t="s">
        <v>426</v>
      </c>
      <c r="C425" s="3" t="str">
        <f>IFERROR(__xludf.DUMMYFUNCTION("GOOGLETRANSLATE(B425,""id"",""en"")"),"['Plis',' slow ',' Telkomsel ',' already ',' buy ',' package ',' expensive ',' slow ',' move ',' package ',' doang ',' expensive ',' slow', '']")</f>
        <v>['Plis',' slow ',' Telkomsel ',' already ',' buy ',' package ',' expensive ',' slow ',' move ',' package ',' doang ',' expensive ',' slow', '']</v>
      </c>
      <c r="D425" s="3">
        <v>1.0</v>
      </c>
    </row>
    <row r="426" ht="15.75" customHeight="1">
      <c r="A426" s="1">
        <v>424.0</v>
      </c>
      <c r="B426" s="3" t="s">
        <v>427</v>
      </c>
      <c r="C426" s="3" t="str">
        <f>IFERROR(__xludf.DUMMYFUNCTION("GOOGLETRANSLATE(B426,""id"",""en"")"),"['slow', 'really', 'network', 'Telkomsel', 'no', 'expensive', 'doang', 'admin', 'reaction', 'change', 'slow', 'severe']")</f>
        <v>['slow', 'really', 'network', 'Telkomsel', 'no', 'expensive', 'doang', 'admin', 'reaction', 'change', 'slow', 'severe']</v>
      </c>
      <c r="D426" s="3">
        <v>1.0</v>
      </c>
    </row>
    <row r="427" ht="15.75" customHeight="1">
      <c r="A427" s="1">
        <v>425.0</v>
      </c>
      <c r="B427" s="3" t="s">
        <v>428</v>
      </c>
      <c r="C427" s="3" t="str">
        <f>IFERROR(__xludf.DUMMYFUNCTION("GOOGLETRANSLATE(B427,""id"",""en"")"),"['sympathy', 'please', 'given', 'promotion', 'cheap', 'disability', 'use', 'chair', 'wheel', 'money', 'given', 'person', ' Use ',' Sympathy ',' Network ',' Internet ',' ']")</f>
        <v>['sympathy', 'please', 'given', 'promotion', 'cheap', 'disability', 'use', 'chair', 'wheel', 'money', 'given', 'person', ' Use ',' Sympathy ',' Network ',' Internet ',' ']</v>
      </c>
      <c r="D427" s="3">
        <v>5.0</v>
      </c>
    </row>
    <row r="428" ht="15.75" customHeight="1">
      <c r="A428" s="1">
        <v>426.0</v>
      </c>
      <c r="B428" s="3" t="s">
        <v>429</v>
      </c>
      <c r="C428" s="3" t="str">
        <f>IFERROR(__xludf.DUMMYFUNCTION("GOOGLETRANSLATE(B428,""id"",""en"")"),"['NAJIS', 'signal', 'difficult', 'slow', 'Sharus',' control ',' price ',' package ',' ride ',' quality ',' signal ',' rot ',' Allhamdullilah ',' skarang ',' entered ',' signal ',' all ',' users', 'telcomsel', 'moved', 'all', '']")</f>
        <v>['NAJIS', 'signal', 'difficult', 'slow', 'Sharus',' control ',' price ',' package ',' ride ',' quality ',' signal ',' rot ',' Allhamdullilah ',' skarang ',' entered ',' signal ',' all ',' users', 'telcomsel', 'moved', 'all', '']</v>
      </c>
      <c r="D428" s="3">
        <v>1.0</v>
      </c>
    </row>
    <row r="429" ht="15.75" customHeight="1">
      <c r="A429" s="1">
        <v>427.0</v>
      </c>
      <c r="B429" s="3" t="s">
        <v>430</v>
      </c>
      <c r="C429" s="3" t="str">
        <f>IFERROR(__xludf.DUMMYFUNCTION("GOOGLETRANSLATE(B429,""id"",""en"")"),"['Response', 'Good', 'Fix', 'Network', 'Sampek', 'Sometimes',' Lost ',' Badahal ',' Response ',' Fix ',' Disappointed ',' Deh ',' Customers', 'loyal', 'rich', 'gini', 'Ammati', 'UDH', 'price', 'package', 'expensive', 'gini', 'ammat', 'response', 'report' "&amp;", 'Vironica', 'People', 'Call', 'Flashlight', 'Robot', 'JWB']")</f>
        <v>['Response', 'Good', 'Fix', 'Network', 'Sampek', 'Sometimes',' Lost ',' Badahal ',' Response ',' Fix ',' Disappointed ',' Deh ',' Customers', 'loyal', 'rich', 'gini', 'Ammati', 'UDH', 'price', 'package', 'expensive', 'gini', 'ammat', 'response', 'report' , 'Vironica', 'People', 'Call', 'Flashlight', 'Robot', 'JWB']</v>
      </c>
      <c r="D429" s="3">
        <v>1.0</v>
      </c>
    </row>
    <row r="430" ht="15.75" customHeight="1">
      <c r="A430" s="1">
        <v>428.0</v>
      </c>
      <c r="B430" s="3" t="s">
        <v>431</v>
      </c>
      <c r="C430" s="3" t="str">
        <f>IFERROR(__xludf.DUMMYFUNCTION("GOOGLETRANSLATE(B430,""id"",""en"")"),"['The application', 'Dbuka', 'Skali', 'SPT', 'then', 'Uninstall', 'application', 'signal', 'smakin', 'slow', 'already', 'customer', ' TNP ',' GNTI ',' card ',' sdari ',' price ',' package ',' smakin ',' expensive ',' bonus', 'smakin', 'dkurangi', 'package"&amp;"', 'magic' , 'DPT', 'GB', 'Plus',' Minutes', 'Call', 'Skrng', 'Price', 'Can', 'Minutes',' Nlpn ',' Kaga ',' Move ',' Provider ',' ']")</f>
        <v>['The application', 'Dbuka', 'Skali', 'SPT', 'then', 'Uninstall', 'application', 'signal', 'smakin', 'slow', 'already', 'customer', ' TNP ',' GNTI ',' card ',' sdari ',' price ',' package ',' smakin ',' expensive ',' bonus', 'smakin', 'dkurangi', 'package', 'magic' , 'DPT', 'GB', 'Plus',' Minutes', 'Call', 'Skrng', 'Price', 'Can', 'Minutes',' Nlpn ',' Kaga ',' Move ',' Provider ',' ']</v>
      </c>
      <c r="D430" s="3">
        <v>1.0</v>
      </c>
    </row>
    <row r="431" ht="15.75" customHeight="1">
      <c r="A431" s="1">
        <v>429.0</v>
      </c>
      <c r="B431" s="3" t="s">
        <v>432</v>
      </c>
      <c r="C431" s="3" t="str">
        <f>IFERROR(__xludf.DUMMYFUNCTION("GOOGLETRANSLATE(B431,""id"",""en"")"),"['many years',' Telkomsel ',' good ',' signal ',' ugly ',' download ',' striming ',' muter ',' just ',' game ',' ngek ',' level ',' Quality ',' Signal ',' ']")</f>
        <v>['many years',' Telkomsel ',' good ',' signal ',' ugly ',' download ',' striming ',' muter ',' just ',' game ',' ngek ',' level ',' Quality ',' Signal ',' ']</v>
      </c>
      <c r="D431" s="3">
        <v>3.0</v>
      </c>
    </row>
    <row r="432" ht="15.75" customHeight="1">
      <c r="A432" s="1">
        <v>430.0</v>
      </c>
      <c r="B432" s="3" t="s">
        <v>433</v>
      </c>
      <c r="C432" s="3" t="str">
        <f>IFERROR(__xludf.DUMMYFUNCTION("GOOGLETRANSLATE(B432,""id"",""en"")"),"['Package', 'cheerful', 'no', 'buy', 'promo', 'experience it', 'friend', 'experience', 'Please', 'fix', '']")</f>
        <v>['Package', 'cheerful', 'no', 'buy', 'promo', 'experience it', 'friend', 'experience', 'Please', 'fix', '']</v>
      </c>
      <c r="D432" s="3">
        <v>1.0</v>
      </c>
    </row>
    <row r="433" ht="15.75" customHeight="1">
      <c r="A433" s="1">
        <v>431.0</v>
      </c>
      <c r="B433" s="3" t="s">
        <v>434</v>
      </c>
      <c r="C433" s="3" t="str">
        <f>IFERROR(__xludf.DUMMYFUNCTION("GOOGLETRANSLATE(B433,""id"",""en"")"),"['Good', 'open', 'Telkomsel', 'eeeeehhhh', 'fit', 'see', 'price', 'package', 'buy', 'package', 'color', 'black', ' yes', 'shocked', 'immediately', 'back', 'right', 'opened', 'apk', 'telkomselnya', 'open', 'really', 'wait', 'collection', 'internet' , 'stab"&amp;"le', 'already', 'mode', 'planein', '']")</f>
        <v>['Good', 'open', 'Telkomsel', 'eeeeehhhh', 'fit', 'see', 'price', 'package', 'buy', 'package', 'color', 'black', ' yes', 'shocked', 'immediately', 'back', 'right', 'opened', 'apk', 'telkomselnya', 'open', 'really', 'wait', 'collection', 'internet' , 'stable', 'already', 'mode', 'planein', '']</v>
      </c>
      <c r="D433" s="3">
        <v>2.0</v>
      </c>
    </row>
    <row r="434" ht="15.75" customHeight="1">
      <c r="A434" s="1">
        <v>432.0</v>
      </c>
      <c r="B434" s="3" t="s">
        <v>435</v>
      </c>
      <c r="C434" s="3" t="str">
        <f>IFERROR(__xludf.DUMMYFUNCTION("GOOGLETRANSLATE(B434,""id"",""en"")"),"['quota', 'expensive', 'appropriate', 'loyal', 'Telkomsel', 'houses',' price ',' pure ',' data ',' recommend ',' relatives', ' friend', '']")</f>
        <v>['quota', 'expensive', 'appropriate', 'loyal', 'Telkomsel', 'houses',' price ',' pure ',' data ',' recommend ',' relatives', ' friend', '']</v>
      </c>
      <c r="D434" s="3">
        <v>1.0</v>
      </c>
    </row>
    <row r="435" ht="15.75" customHeight="1">
      <c r="A435" s="1">
        <v>433.0</v>
      </c>
      <c r="B435" s="3" t="s">
        <v>436</v>
      </c>
      <c r="C435" s="3" t="str">
        <f>IFERROR(__xludf.DUMMYFUNCTION("GOOGLETRANSLATE(B435,""id"",""en"")"),"['already', 'tens',' use ',' Telkomsel ',' times', 'network', 'bad', 'missing', 'already', 'package', 'data', 'expensive', ' network ',' bad ',' detrimental ',' fix ',' as soon as possible, 'fix', 'closed', 'company', 'ngepain', 'use', 'Telkomsel', 'expen"&amp;"sive', 'network' , 'Good', 'as soon as possible', 'fix']")</f>
        <v>['already', 'tens',' use ',' Telkomsel ',' times', 'network', 'bad', 'missing', 'already', 'package', 'data', 'expensive', ' network ',' bad ',' detrimental ',' fix ',' as soon as possible, 'fix', 'closed', 'company', 'ngepain', 'use', 'Telkomsel', 'expensive', 'network' , 'Good', 'as soon as possible', 'fix']</v>
      </c>
      <c r="D435" s="3">
        <v>1.0</v>
      </c>
    </row>
    <row r="436" ht="15.75" customHeight="1">
      <c r="A436" s="1">
        <v>434.0</v>
      </c>
      <c r="B436" s="3" t="s">
        <v>437</v>
      </c>
      <c r="C436" s="3" t="str">
        <f>IFERROR(__xludf.DUMMYFUNCTION("GOOGLETRANSLATE(B436,""id"",""en"")"),"['Contents',' Package ',' SMS ',' Fill ',' Transaction ',' Via ',' Shopepay ',' Cashback ',' Transaction ',' Application ',' Slow ',' Fill ',' package ',' pulse ',' slide ',' down ',' refresh ',' change ',' nominal ',' notification ',' quota ',' run out '"&amp;",' finished ',' sumps', 'pulses' , 'service', 'customer', 'service', 'human', 'really', 'Veronika', 'bot', 'according to', 'menu', 'bot', ""]")</f>
        <v>['Contents',' Package ',' SMS ',' Fill ',' Transaction ',' Via ',' Shopepay ',' Cashback ',' Transaction ',' Application ',' Slow ',' Fill ',' package ',' pulse ',' slide ',' down ',' refresh ',' change ',' nominal ',' notification ',' quota ',' run out ',' finished ',' sumps', 'pulses' , 'service', 'customer', 'service', 'human', 'really', 'Veronika', 'bot', 'according to', 'menu', 'bot', "]</v>
      </c>
      <c r="D436" s="3">
        <v>1.0</v>
      </c>
    </row>
    <row r="437" ht="15.75" customHeight="1">
      <c r="A437" s="1">
        <v>435.0</v>
      </c>
      <c r="B437" s="3" t="s">
        <v>438</v>
      </c>
      <c r="C437" s="3" t="str">
        <f>IFERROR(__xludf.DUMMYFUNCTION("GOOGLETRANSLATE(B437,""id"",""en"")"),"['ugly', 'network', 'ugly', 'open', 'apk', 'minute', 'loding', 'uda', 'ugly', 'like', 'anything', 'his technique', ' ugly ',' ugly ',' ugly ',' ugly ',' play ',' game ',' puzzle ',' networknta ',' uda ',' network ',' ugly ',' package ',' expensive ' , 'Re"&amp;"ly', 'relied on', 'mnjalan', 'app', 'use', 'Telkomsel', 'use', 'sympathy', 'like', 'slow', 'open', 'Kuganti', ' SIM ',' DONGN ',' IM ',' Open ',' App ',' smooth ',' disappointing ',' Telkomsel ']")</f>
        <v>['ugly', 'network', 'ugly', 'open', 'apk', 'minute', 'loding', 'uda', 'ugly', 'like', 'anything', 'his technique', ' ugly ',' ugly ',' ugly ',' ugly ',' play ',' game ',' puzzle ',' networknta ',' uda ',' network ',' ugly ',' package ',' expensive ' , 'Rely', 'relied on', 'mnjalan', 'app', 'use', 'Telkomsel', 'use', 'sympathy', 'like', 'slow', 'open', 'Kuganti', ' SIM ',' DONGN ',' IM ',' Open ',' App ',' smooth ',' disappointing ',' Telkomsel ']</v>
      </c>
      <c r="D437" s="3">
        <v>1.0</v>
      </c>
    </row>
    <row r="438" ht="15.75" customHeight="1">
      <c r="A438" s="1">
        <v>436.0</v>
      </c>
      <c r="B438" s="3" t="s">
        <v>439</v>
      </c>
      <c r="C438" s="3" t="str">
        <f>IFERROR(__xludf.DUMMYFUNCTION("GOOGLETRANSLATE(B438,""id"",""en"")"),"['oath', 'emotions',' application ',' error ',' connection ',' stable ',' clear ',' cache ',' hadeuh ',' fix ',' mending ',' unistal ',' Application ',' Kyak ',' Gini ',' Network ',' Stable ',' Ngendokk ',' Application ',' Connection ',' Stable ',' Raying"&amp;" ',' I ',' Download ',' Unistal ' , 'application', '']")</f>
        <v>['oath', 'emotions',' application ',' error ',' connection ',' stable ',' clear ',' cache ',' hadeuh ',' fix ',' mending ',' unistal ',' Application ',' Kyak ',' Gini ',' Network ',' Stable ',' Ngendokk ',' Application ',' Connection ',' Stable ',' Raying ',' I ',' Download ',' Unistal ' , 'application', '']</v>
      </c>
      <c r="D438" s="3">
        <v>1.0</v>
      </c>
    </row>
    <row r="439" ht="15.75" customHeight="1">
      <c r="A439" s="1">
        <v>437.0</v>
      </c>
      <c r="B439" s="3" t="s">
        <v>440</v>
      </c>
      <c r="C439" s="3" t="str">
        <f>IFERROR(__xludf.DUMMYFUNCTION("GOOGLETRANSLATE(B439,""id"",""en"")"),"['Thisi', 'Points', 'Exchanged', 'Sorry', 'Disruption', 'System', 'MMNG', 'Disruption', 'System', 'a month', ""]")</f>
        <v>['Thisi', 'Points', 'Exchanged', 'Sorry', 'Disruption', 'System', 'MMNG', 'Disruption', 'System', 'a month', "]</v>
      </c>
      <c r="D439" s="3">
        <v>1.0</v>
      </c>
    </row>
    <row r="440" ht="15.75" customHeight="1">
      <c r="A440" s="1">
        <v>438.0</v>
      </c>
      <c r="B440" s="3" t="s">
        <v>441</v>
      </c>
      <c r="C440" s="3" t="str">
        <f>IFERROR(__xludf.DUMMYFUNCTION("GOOGLETRANSLATE(B440,""id"",""en"")"),"['price', 'quality', 'saying', 'ngk', 'apply', 'telkomsel', 'proverb', 'card', 'original', 'severe', 'signal', 'hrus',' NGK ',' Love ',' Bintang ',' GIMN ',' LGI ',' NGK ',' BSA ',' Blank ',' Bintang ',' essence ',' SNGAT ',' Emotion ',' Internet ' , 'PKE"&amp;"', 'Telkomsel', 'Provider', 'Sebit', 'Stable', 'Strong']")</f>
        <v>['price', 'quality', 'saying', 'ngk', 'apply', 'telkomsel', 'proverb', 'card', 'original', 'severe', 'signal', 'hrus',' NGK ',' Love ',' Bintang ',' GIMN ',' LGI ',' NGK ',' BSA ',' Blank ',' Bintang ',' essence ',' SNGAT ',' Emotion ',' Internet ' , 'PKE', 'Telkomsel', 'Provider', 'Sebit', 'Stable', 'Strong']</v>
      </c>
      <c r="D440" s="3">
        <v>1.0</v>
      </c>
    </row>
    <row r="441" ht="15.75" customHeight="1">
      <c r="A441" s="1">
        <v>439.0</v>
      </c>
      <c r="B441" s="3" t="s">
        <v>442</v>
      </c>
      <c r="C441" s="3" t="str">
        <f>IFERROR(__xludf.DUMMYFUNCTION("GOOGLETRANSLATE(B441,""id"",""en"")"),"['Telkomsel', 'Please', 'Fix', 'Quality', 'Sousal', 'Peguna', 'Telkomsel', 'Impertness',' Safety ',' Ter ',' Special ',' Kecamatan ',' Tanjung ',' King ',' Lampung ',' North ',' ']")</f>
        <v>['Telkomsel', 'Please', 'Fix', 'Quality', 'Sousal', 'Peguna', 'Telkomsel', 'Impertness',' Safety ',' Ter ',' Special ',' Kecamatan ',' Tanjung ',' King ',' Lampung ',' North ',' ']</v>
      </c>
      <c r="D441" s="3">
        <v>1.0</v>
      </c>
    </row>
    <row r="442" ht="15.75" customHeight="1">
      <c r="A442" s="1">
        <v>440.0</v>
      </c>
      <c r="B442" s="3" t="s">
        <v>443</v>
      </c>
      <c r="C442" s="3" t="str">
        <f>IFERROR(__xludf.DUMMYFUNCTION("GOOGLETRANSLATE(B442,""id"",""en"")"),"['honest', 'card', 'Telkomsel', 'speeding', 'network', 'lose', 'card', 'brand', 'price', 'cheap', 'card', 'Telkomsel', ' Not bad ',' Bahal ',' Disappointed ',' Telkomsel ',' Customer ',' blur ']")</f>
        <v>['honest', 'card', 'Telkomsel', 'speeding', 'network', 'lose', 'card', 'brand', 'price', 'cheap', 'card', 'Telkomsel', ' Not bad ',' Bahal ',' Disappointed ',' Telkomsel ',' Customer ',' blur ']</v>
      </c>
      <c r="D442" s="3">
        <v>2.0</v>
      </c>
    </row>
    <row r="443" ht="15.75" customHeight="1">
      <c r="A443" s="1">
        <v>441.0</v>
      </c>
      <c r="B443" s="3" t="s">
        <v>444</v>
      </c>
      <c r="C443" s="3" t="str">
        <f>IFERROR(__xludf.DUMMYFUNCTION("GOOGLETRANSLATE(B443,""id"",""en"")"),"['KSNI', 'smakin', 'good', 'network', 'smntara', 'play', 'game', 'network', 'missing', 'normal', 'die', 'lights',' Rain ',' Telkomsel ',' stable ',' The network ',' package ',' Not bad ',' expensive ',' Lost ',' good ',' operator ',' next door ',' klu ','"&amp;" canal ' , 'Change', 'Operator']")</f>
        <v>['KSNI', 'smakin', 'good', 'network', 'smntara', 'play', 'game', 'network', 'missing', 'normal', 'die', 'lights',' Rain ',' Telkomsel ',' stable ',' The network ',' package ',' Not bad ',' expensive ',' Lost ',' good ',' operator ',' next door ',' klu ',' canal ' , 'Change', 'Operator']</v>
      </c>
      <c r="D443" s="3">
        <v>2.0</v>
      </c>
    </row>
    <row r="444" ht="15.75" customHeight="1">
      <c r="A444" s="1">
        <v>442.0</v>
      </c>
      <c r="B444" s="3" t="s">
        <v>445</v>
      </c>
      <c r="C444" s="3" t="str">
        <f>IFERROR(__xludf.DUMMYFUNCTION("GOOGLETRANSLATE(B444,""id"",""en"")"),"['crazy', 'skrg', 'signal', 'sympathy', 'ugly', 'oath', 'inhibits',' job ',' person ',' pke ',' sympathy ',' udh ',' BBRPA ',' signal ',' JLEK ',' Disappointed ',' really ',' ']")</f>
        <v>['crazy', 'skrg', 'signal', 'sympathy', 'ugly', 'oath', 'inhibits',' job ',' person ',' pke ',' sympathy ',' udh ',' BBRPA ',' signal ',' JLEK ',' Disappointed ',' really ',' ']</v>
      </c>
      <c r="D444" s="3">
        <v>3.0</v>
      </c>
    </row>
    <row r="445" ht="15.75" customHeight="1">
      <c r="A445" s="1">
        <v>443.0</v>
      </c>
      <c r="B445" s="3" t="s">
        <v>446</v>
      </c>
      <c r="C445" s="3" t="str">
        <f>IFERROR(__xludf.DUMMYFUNCTION("GOOGLETRANSLATE(B445,""id"",""en"")"),"['buy', 'quota', 'lapse', 'error', 'tross',' complicated ',' forgiveness', 'right', 'already', 'kantel', 'eeh', 'network', ' Dgedrop ',' Nasty ',' Naslah ',' expensive ',' quota ',' Abis', 'Sia', 'dizzy', 'head', 'I', 'change', 'enter', 'reach' , 'Pusiing"&amp;"', 'dizziness', '']")</f>
        <v>['buy', 'quota', 'lapse', 'error', 'tross',' complicated ',' forgiveness', 'right', 'already', 'kantel', 'eeh', 'network', ' Dgedrop ',' Nasty ',' Naslah ',' expensive ',' quota ',' Abis', 'Sia', 'dizzy', 'head', 'I', 'change', 'enter', 'reach' , 'Pusiing', 'dizziness', '']</v>
      </c>
      <c r="D445" s="3">
        <v>1.0</v>
      </c>
    </row>
    <row r="446" ht="15.75" customHeight="1">
      <c r="A446" s="1">
        <v>444.0</v>
      </c>
      <c r="B446" s="3" t="s">
        <v>447</v>
      </c>
      <c r="C446" s="3" t="str">
        <f>IFERROR(__xludf.DUMMYFUNCTION("GOOGLETRANSLATE(B446,""id"",""en"")"),"['users',' Telkomsel ',' harmed ',' Telkomsel ',' buy ',' quota ',' expensive ',' Telkomsel ',' city ',' out ',' pulses', 'main', ' Sumpot ',' run out ',' bad ',' class', 'Telkomsel', 'can', 'difference', 'quota', 'internet', 'pulses',' main ',' system ',"&amp;"' use ' , 'quota', 'internet', 'used', 'customer', 'special', 'internet', 'pulse', 'main', 'sumps',' quota ',' internet ',' run out ',' Experience ',' comment ',' ']")</f>
        <v>['users',' Telkomsel ',' harmed ',' Telkomsel ',' buy ',' quota ',' expensive ',' Telkomsel ',' city ',' out ',' pulses', 'main', ' Sumpot ',' run out ',' bad ',' class', 'Telkomsel', 'can', 'difference', 'quota', 'internet', 'pulses',' main ',' system ',' use ' , 'quota', 'internet', 'used', 'customer', 'special', 'internet', 'pulse', 'main', 'sumps',' quota ',' internet ',' run out ',' Experience ',' comment ',' ']</v>
      </c>
      <c r="D446" s="3">
        <v>1.0</v>
      </c>
    </row>
    <row r="447" ht="15.75" customHeight="1">
      <c r="A447" s="1">
        <v>445.0</v>
      </c>
      <c r="B447" s="3" t="s">
        <v>448</v>
      </c>
      <c r="C447" s="3" t="str">
        <f>IFERROR(__xludf.DUMMYFUNCTION("GOOGLETRANSLATE(B447,""id"",""en"")"),"['Good', 'dear', 'dead', 'lights', 'network', 'die', 'dead', 'lights', 'jarimgan', 'dead', ""]")</f>
        <v>['Good', 'dear', 'dead', 'lights', 'network', 'die', 'dead', 'lights', 'jarimgan', 'dead', "]</v>
      </c>
      <c r="D447" s="3">
        <v>4.0</v>
      </c>
    </row>
    <row r="448" ht="15.75" customHeight="1">
      <c r="A448" s="1">
        <v>446.0</v>
      </c>
      <c r="B448" s="3" t="s">
        <v>449</v>
      </c>
      <c r="C448" s="3" t="str">
        <f>IFERROR(__xludf.DUMMYFUNCTION("GOOGLETRANSLATE(B448,""id"",""en"")"),"['cave', 'complain', 'package', 'omg', 'cave', 'package', 'omg', 'need', 'for example', 'use', 'play', 'game', ' Cave ',' Player ',' Game ',' Moba ',' Cave ',' Package ',' Internet ',' OMG ',' Eliminate ',' Try ',' Add ',' Please ',' Admin ' , 'Telkomsel'"&amp;", 'fast', 'cave', 'need', 'really', 'quota', '']")</f>
        <v>['cave', 'complain', 'package', 'omg', 'cave', 'package', 'omg', 'need', 'for example', 'use', 'play', 'game', ' Cave ',' Player ',' Game ',' Moba ',' Cave ',' Package ',' Internet ',' OMG ',' Eliminate ',' Try ',' Add ',' Please ',' Admin ' , 'Telkomsel', 'fast', 'cave', 'need', 'really', 'quota', '']</v>
      </c>
      <c r="D448" s="3">
        <v>1.0</v>
      </c>
    </row>
    <row r="449" ht="15.75" customHeight="1">
      <c r="A449" s="1">
        <v>447.0</v>
      </c>
      <c r="B449" s="3" t="s">
        <v>450</v>
      </c>
      <c r="C449" s="3" t="str">
        <f>IFERROR(__xludf.DUMMYFUNCTION("GOOGLETRANSLATE(B449,""id"",""en"")"),"['paid', 'internet', 'bsa', 'because' quality ',' network ',' inet ',' deteriorating ',' jngan ',' migration ',' card ',' hello ',' Because ',' BYAR ',' GJI ',' blind ',' Yng ',' service ',' Network ',' ugly ',' children ',' per month ',' Sia ',' Sia ',' "&amp;"Sja ' , 'quota', 'internet', 'down', 'Telkomsel', 'signal', 'Loading', 'GPRS', 'annoyed', ""]")</f>
        <v>['paid', 'internet', 'bsa', 'because' quality ',' network ',' inet ',' deteriorating ',' jngan ',' migration ',' card ',' hello ',' Because ',' BYAR ',' GJI ',' blind ',' Yng ',' service ',' Network ',' ugly ',' children ',' per month ',' Sia ',' Sia ',' Sja ' , 'quota', 'internet', 'down', 'Telkomsel', 'signal', 'Loading', 'GPRS', 'annoyed', "]</v>
      </c>
      <c r="D449" s="3">
        <v>2.0</v>
      </c>
    </row>
    <row r="450" ht="15.75" customHeight="1">
      <c r="A450" s="1">
        <v>448.0</v>
      </c>
      <c r="B450" s="3" t="s">
        <v>451</v>
      </c>
      <c r="C450" s="3" t="str">
        <f>IFERROR(__xludf.DUMMYFUNCTION("GOOGLETRANSLATE(B450,""id"",""en"")"),"['application', 'MyTelkomsel', 'open', 'his writing', 'connection', 'stable', 'load', 'reset', 'then', 'speed', 'internet', 'MB', ' The application ',' open ',' awaited ',' open ',' Delete ',' Download ',' reset ',' hadeeehh ',' the application ',' bad ',"&amp;"' satisfying ', ""]")</f>
        <v>['application', 'MyTelkomsel', 'open', 'his writing', 'connection', 'stable', 'load', 'reset', 'then', 'speed', 'internet', 'MB', ' The application ',' open ',' awaited ',' open ',' Delete ',' Download ',' reset ',' hadeeehh ',' the application ',' bad ',' satisfying ', "]</v>
      </c>
      <c r="D450" s="3">
        <v>1.0</v>
      </c>
    </row>
    <row r="451" ht="15.75" customHeight="1">
      <c r="A451" s="1">
        <v>449.0</v>
      </c>
      <c r="B451" s="3" t="s">
        <v>452</v>
      </c>
      <c r="C451" s="3" t="str">
        <f>IFERROR(__xludf.DUMMYFUNCTION("GOOGLETRANSLATE(B451,""id"",""en"")"),"['Sad', 'users',' Telkomsel ',' satisfying ',' data ',' gradually ',' upstream ',' drastic ',' boast ',' users', 'anything', 'raise', ' price ',' nominal ',' purchase ',' expensive ',' move ',' card ',' road ',' exsis', 'cheap', 'according to', 'signal', "&amp;"'Telkomsel', 'expensive' , 'according to', 'signal', 'hope', 'explanation', ""]")</f>
        <v>['Sad', 'users',' Telkomsel ',' satisfying ',' data ',' gradually ',' upstream ',' drastic ',' boast ',' users', 'anything', 'raise', ' price ',' nominal ',' purchase ',' expensive ',' move ',' card ',' road ',' exsis', 'cheap', 'according to', 'signal', 'Telkomsel', 'expensive' , 'according to', 'signal', 'hope', 'explanation', "]</v>
      </c>
      <c r="D451" s="3">
        <v>1.0</v>
      </c>
    </row>
    <row r="452" ht="15.75" customHeight="1">
      <c r="A452" s="1">
        <v>450.0</v>
      </c>
      <c r="B452" s="3" t="s">
        <v>453</v>
      </c>
      <c r="C452" s="3" t="str">
        <f>IFERROR(__xludf.DUMMYFUNCTION("GOOGLETRANSLATE(B452,""id"",""en"")"),"['Kouta', 'package', 'internet', 'combo', 'cheap', 'price', 'Nurun', 'package', 'user', 'loyal', 'Telkomsel', 'already', ' millions', 'million', 'run out', 'pulses',' telkomsek ',' customers', 'happy', 'happy', 'press',' add ',' suffering ',' user ']")</f>
        <v>['Kouta', 'package', 'internet', 'combo', 'cheap', 'price', 'Nurun', 'package', 'user', 'loyal', 'Telkomsel', 'already', ' millions', 'million', 'run out', 'pulses',' telkomsek ',' customers', 'happy', 'happy', 'press',' add ',' suffering ',' user ']</v>
      </c>
      <c r="D452" s="3">
        <v>1.0</v>
      </c>
    </row>
    <row r="453" ht="15.75" customHeight="1">
      <c r="A453" s="1">
        <v>451.0</v>
      </c>
      <c r="B453" s="3" t="s">
        <v>454</v>
      </c>
      <c r="C453" s="3" t="str">
        <f>IFERROR(__xludf.DUMMYFUNCTION("GOOGLETRANSLATE(B453,""id"",""en"")"),"['Congratulations',' Live ',' Package ',' Telkomsel ',' Buy ',' Package ',' Already ',' Expensive ',' Gonta ',' Change ',' Package ',' TPI ',' Tetep ',' signal ',' city ',' high school ',' rich ',' mountain ',' awaited ',' check ',' signal ',' tetep ',' c"&amp;"hange ',' smpai ',' package ' , 'hundreds',' thousand ',' run out ',' because ',' active ',' pngen ',' rough ',' TPI ',' Msih ',' fasting ',' jdi ',' appealed ',' Friends', 'Dsini', 'Mending', 'use', 'provider', 'fun', 'heart', 'use', 'signal', 'wuiiihhh'"&amp;", 'manjiw', 'rich', 'provider' , 'Bkin', 'emotion', '']")</f>
        <v>['Congratulations',' Live ',' Package ',' Telkomsel ',' Buy ',' Package ',' Already ',' Expensive ',' Gonta ',' Change ',' Package ',' TPI ',' Tetep ',' signal ',' city ',' high school ',' rich ',' mountain ',' awaited ',' check ',' signal ',' tetep ',' change ',' smpai ',' package ' , 'hundreds',' thousand ',' run out ',' because ',' active ',' pngen ',' rough ',' TPI ',' Msih ',' fasting ',' jdi ',' appealed ',' Friends', 'Dsini', 'Mending', 'use', 'provider', 'fun', 'heart', 'use', 'signal', 'wuiiihhh', 'manjiw', 'rich', 'provider' , 'Bkin', 'emotion', '']</v>
      </c>
      <c r="D453" s="3">
        <v>1.0</v>
      </c>
    </row>
    <row r="454" ht="15.75" customHeight="1">
      <c r="A454" s="1">
        <v>452.0</v>
      </c>
      <c r="B454" s="3" t="s">
        <v>455</v>
      </c>
      <c r="C454" s="3" t="str">
        <f>IFERROR(__xludf.DUMMYFUNCTION("GOOGLETRANSLATE(B454,""id"",""en"")"),"['get', 'Tipu', 'Application', 'Application', 'Bangkeee', 'Daily', 'Check', 'Claim', 'Scam', 'Doank', 'Heart', 'Hearts',' Application ',' Telkomsel ',' Roli ',' DPT ',' SMS ',' Saying ',' Download ',' Free ',' Quota ',' Caution ',' Download ',' After ' , "&amp;"'quota', 'fraud']")</f>
        <v>['get', 'Tipu', 'Application', 'Application', 'Bangkeee', 'Daily', 'Check', 'Claim', 'Scam', 'Doank', 'Heart', 'Hearts',' Application ',' Telkomsel ',' Roli ',' DPT ',' SMS ',' Saying ',' Download ',' Free ',' Quota ',' Caution ',' Download ',' After ' , 'quota', 'fraud']</v>
      </c>
      <c r="D454" s="3">
        <v>1.0</v>
      </c>
    </row>
    <row r="455" ht="15.75" customHeight="1">
      <c r="A455" s="1">
        <v>453.0</v>
      </c>
      <c r="B455" s="3" t="s">
        <v>456</v>
      </c>
      <c r="C455" s="3" t="str">
        <f>IFERROR(__xludf.DUMMYFUNCTION("GOOGLETRANSLATE(B455,""id"",""en"")"),"['The application', 'already', 'good', 'signal', 'smooth', 'obstacle', 'suggestion', 'try', 'add', 'feature', 'lock', 'pulses',' wasted ',' vain ',' vain ',' pulse ',' on ',' data ',' still ',' safe ',' pupnya ',' take ',' that's', 'terimaksih']")</f>
        <v>['The application', 'already', 'good', 'signal', 'smooth', 'obstacle', 'suggestion', 'try', 'add', 'feature', 'lock', 'pulses',' wasted ',' vain ',' vain ',' pulse ',' on ',' data ',' still ',' safe ',' pupnya ',' take ',' that's', 'terimaksih']</v>
      </c>
      <c r="D455" s="3">
        <v>5.0</v>
      </c>
    </row>
    <row r="456" ht="15.75" customHeight="1">
      <c r="A456" s="1">
        <v>454.0</v>
      </c>
      <c r="B456" s="3" t="s">
        <v>457</v>
      </c>
      <c r="C456" s="3" t="str">
        <f>IFERROR(__xludf.DUMMYFUNCTION("GOOGLETRANSLATE(B456,""id"",""en"")"),"['removed', 'application', 'useful', 'log', 'difficult', 'entry', 'password', 'many', 'times',' valid ',' cape ',' deh ',' ']")</f>
        <v>['removed', 'application', 'useful', 'log', 'difficult', 'entry', 'password', 'many', 'times',' valid ',' cape ',' deh ',' ']</v>
      </c>
      <c r="D456" s="3">
        <v>1.0</v>
      </c>
    </row>
    <row r="457" ht="15.75" customHeight="1">
      <c r="A457" s="1">
        <v>455.0</v>
      </c>
      <c r="B457" s="3" t="s">
        <v>458</v>
      </c>
      <c r="C457" s="3" t="str">
        <f>IFERROR(__xludf.DUMMYFUNCTION("GOOGLETRANSLATE(B457,""id"",""en"")"),"['date', 'enter', 'application', 'date', 'repair', 'price', 'quota', ""]")</f>
        <v>['date', 'enter', 'application', 'date', 'repair', 'price', 'quota', "]</v>
      </c>
      <c r="D457" s="3">
        <v>1.0</v>
      </c>
    </row>
    <row r="458" ht="15.75" customHeight="1">
      <c r="A458" s="1">
        <v>456.0</v>
      </c>
      <c r="B458" s="3" t="s">
        <v>459</v>
      </c>
      <c r="C458" s="3" t="str">
        <f>IFERROR(__xludf.DUMMYFUNCTION("GOOGLETRANSLATE(B458,""id"",""en"")"),"['application', 'error', 'network', 'good', 'tar', 'unistal', 'application', 'already', 'week', 'connection', 'fail', ' Strange ',' Application ',' Disappointed ',' ']")</f>
        <v>['application', 'error', 'network', 'good', 'tar', 'unistal', 'application', 'already', 'week', 'connection', 'fail', ' Strange ',' Application ',' Disappointed ',' ']</v>
      </c>
      <c r="D458" s="3">
        <v>1.0</v>
      </c>
    </row>
    <row r="459" ht="15.75" customHeight="1">
      <c r="A459" s="1">
        <v>457.0</v>
      </c>
      <c r="B459" s="3" t="s">
        <v>460</v>
      </c>
      <c r="C459" s="3" t="str">
        <f>IFERROR(__xludf.DUMMYFUNCTION("GOOGLETRANSLATE(B459,""id"",""en"")"),"['version', 'APK', 'rotten', 'opened', 'blame', 'connection', 'connection', 'sekrang', 'severe', 'already', 'clock', 'noon', ' network ',' used ',' signal ',' network ',' internet ',' cross']")</f>
        <v>['version', 'APK', 'rotten', 'opened', 'blame', 'connection', 'connection', 'sekrang', 'severe', 'already', 'clock', 'noon', ' network ',' used ',' signal ',' network ',' internet ',' cross']</v>
      </c>
      <c r="D459" s="3">
        <v>1.0</v>
      </c>
    </row>
    <row r="460" ht="15.75" customHeight="1">
      <c r="A460" s="1">
        <v>458.0</v>
      </c>
      <c r="B460" s="3" t="s">
        <v>461</v>
      </c>
      <c r="C460" s="3" t="str">
        <f>IFERROR(__xludf.DUMMYFUNCTION("GOOGLETRANSLATE(B460,""id"",""en"")"),"['Satisfied', 'service', 'Telkomsel', 'Costumer', 'Service', 'Bener', 'friendly', 'complaints',' responded ',' procedure ',' according to ',' requires', ' Patience ',' Waiting ',' Thank you ',' Satisfied ']")</f>
        <v>['Satisfied', 'service', 'Telkomsel', 'Costumer', 'Service', 'Bener', 'friendly', 'complaints',' responded ',' procedure ',' according to ',' requires', ' Patience ',' Waiting ',' Thank you ',' Satisfied ']</v>
      </c>
      <c r="D460" s="3">
        <v>5.0</v>
      </c>
    </row>
    <row r="461" ht="15.75" customHeight="1">
      <c r="A461" s="1">
        <v>459.0</v>
      </c>
      <c r="B461" s="3" t="s">
        <v>462</v>
      </c>
      <c r="C461" s="3" t="str">
        <f>IFERROR(__xludf.DUMMYFUNCTION("GOOGLETRANSLATE(B461,""id"",""en"")"),"['All thelalicates',' download ',' knapa ',' the application ',' kid ',' delete ',' download ',' reset ',' after ',' severe ',' no ',' open ',' Application ',' Gara ',' Customer ',' Move ',' Card ',' Kajol ', ""]")</f>
        <v>['All thelalicates',' download ',' knapa ',' the application ',' kid ',' delete ',' download ',' reset ',' after ',' severe ',' no ',' open ',' Application ',' Gara ',' Customer ',' Move ',' Card ',' Kajol ', "]</v>
      </c>
      <c r="D461" s="3">
        <v>1.0</v>
      </c>
    </row>
    <row r="462" ht="15.75" customHeight="1">
      <c r="A462" s="1">
        <v>460.0</v>
      </c>
      <c r="B462" s="3" t="s">
        <v>463</v>
      </c>
      <c r="C462" s="3" t="str">
        <f>IFERROR(__xludf.DUMMYFUNCTION("GOOGLETRANSLATE(B462,""id"",""en"")"),"['Connect', 'Account', 'Fund', 'Account', 'Telkomsel', 'Make Easy', 'Payment', 'Package', 'Data', 'Connect', 'Continuing', 'appears',' screen ',' white ',' empty ',' wait ',' minute ',' beg ',' help ',' thank you ']")</f>
        <v>['Connect', 'Account', 'Fund', 'Account', 'Telkomsel', 'Make Easy', 'Payment', 'Package', 'Data', 'Connect', 'Continuing', 'appears',' screen ',' white ',' empty ',' wait ',' minute ',' beg ',' help ',' thank you ']</v>
      </c>
      <c r="D462" s="3">
        <v>2.0</v>
      </c>
    </row>
    <row r="463" ht="15.75" customHeight="1">
      <c r="A463" s="1">
        <v>461.0</v>
      </c>
      <c r="B463" s="3" t="s">
        <v>464</v>
      </c>
      <c r="C463" s="3" t="str">
        <f>IFERROR(__xludf.DUMMYFUNCTION("GOOGLETRANSLATE(B463,""id"",""en"")"),"['Quota', 'Games',' No ',' Connect ',' Games', 'Uninstall', 'Application', 'Settings',' Connect ',' Games', 'Review', 'Please', ' MANTAKIN ',' ']")</f>
        <v>['Quota', 'Games',' No ',' Connect ',' Games', 'Uninstall', 'Application', 'Settings',' Connect ',' Games', 'Review', 'Please', ' MANTAKIN ',' ']</v>
      </c>
      <c r="D463" s="3">
        <v>1.0</v>
      </c>
    </row>
    <row r="464" ht="15.75" customHeight="1">
      <c r="A464" s="1">
        <v>462.0</v>
      </c>
      <c r="B464" s="3" t="s">
        <v>465</v>
      </c>
      <c r="C464" s="3" t="str">
        <f>IFERROR(__xludf.DUMMYFUNCTION("GOOGLETRANSLATE(B464,""id"",""en"")"),"['Sumpaj', 'cave', 'Kevewa', 'really', 'update', 'ugly', 'signal', 'ugly', 'really', 'update', 'no', 'like', ' Gini ',' use ',' smooth ',' skrg ',' use ',' difficult ',' really ',' open ',' APK ',' ']")</f>
        <v>['Sumpaj', 'cave', 'Kevewa', 'really', 'update', 'ugly', 'signal', 'ugly', 'really', 'update', 'no', 'like', ' Gini ',' use ',' smooth ',' skrg ',' use ',' difficult ',' really ',' open ',' APK ',' ']</v>
      </c>
      <c r="D464" s="3">
        <v>2.0</v>
      </c>
    </row>
    <row r="465" ht="15.75" customHeight="1">
      <c r="A465" s="1">
        <v>463.0</v>
      </c>
      <c r="B465" s="3" t="s">
        <v>466</v>
      </c>
      <c r="C465" s="3" t="str">
        <f>IFERROR(__xludf.DUMMYFUNCTION("GOOGLETRANSLATE(B465,""id"",""en"")"),"['Constraints', 'Quality', 'Network', 'Internet', 'Kecamatan', 'Batan', 'County', 'Mandailing', 'Christmas', 'Province', 'Sumatra', 'North' Please ',' repaired ',' obstacle ',' ndak ',' responded to ',' Telkomsel ',' application ',' ok ',' steady ',' star"&amp;" ',' goverty ', ""]")</f>
        <v>['Constraints', 'Quality', 'Network', 'Internet', 'Kecamatan', 'Batan', 'County', 'Mandailing', 'Christmas', 'Province', 'Sumatra', 'North' Please ',' repaired ',' obstacle ',' ndak ',' responded to ',' Telkomsel ',' application ',' ok ',' steady ',' star ',' goverty ', "]</v>
      </c>
      <c r="D465" s="3">
        <v>5.0</v>
      </c>
    </row>
    <row r="466" ht="15.75" customHeight="1">
      <c r="A466" s="1">
        <v>464.0</v>
      </c>
      <c r="B466" s="3" t="s">
        <v>467</v>
      </c>
      <c r="C466" s="3" t="str">
        <f>IFERROR(__xludf.DUMMYFUNCTION("GOOGLETRANSLATE(B466,""id"",""en"")"),"['Network', 'Damaged', 'Live', 'City', 'Makassar', 'Please', 'Network', 'Benahin', 'User', 'Faithful', 'Telkomsel', 'Network']")</f>
        <v>['Network', 'Damaged', 'Live', 'City', 'Makassar', 'Please', 'Network', 'Benahin', 'User', 'Faithful', 'Telkomsel', 'Network']</v>
      </c>
      <c r="D466" s="3">
        <v>1.0</v>
      </c>
    </row>
    <row r="467" ht="15.75" customHeight="1">
      <c r="A467" s="1">
        <v>465.0</v>
      </c>
      <c r="B467" s="3" t="s">
        <v>468</v>
      </c>
      <c r="C467" s="3" t="str">
        <f>IFERROR(__xludf.DUMMYFUNCTION("GOOGLETRANSLATE(B467,""id"",""en"")"),"['', 'Customer', 'loyal', 'Telkomsel', 'Sampe', 'Change', 'Network', 'season', 'rainy', 'Signal', 'like', 'stable', 'Holustrial ',' In the area ',' stay ',' Hopefully ',' Telkomsel ',' Slalu ',' Disks', 'The', 'Best', 'Network', 'Indonesia', ""]")</f>
        <v>['', 'Customer', 'loyal', 'Telkomsel', 'Sampe', 'Change', 'Network', 'season', 'rainy', 'Signal', 'like', 'stable', 'Holustrial ',' In the area ',' stay ',' Hopefully ',' Telkomsel ',' Slalu ',' Disks', 'The', 'Best', 'Network', 'Indonesia', "]</v>
      </c>
      <c r="D467" s="3">
        <v>5.0</v>
      </c>
    </row>
    <row r="468" ht="15.75" customHeight="1">
      <c r="A468" s="1">
        <v>466.0</v>
      </c>
      <c r="B468" s="3" t="s">
        <v>469</v>
      </c>
      <c r="C468" s="3" t="str">
        <f>IFERROR(__xludf.DUMMYFUNCTION("GOOGLETRANSLATE(B468,""id"",""en"")"),"['love', 'star', 'package', 'expensive', 'network', 'stable', 'disorder', 'please', 'Telkomsel', 'users', 'Telkomsel', 'please' Fix ',' network ',' Jangn ',' like ',' ngeleg ',' thank ',' love ']")</f>
        <v>['love', 'star', 'package', 'expensive', 'network', 'stable', 'disorder', 'please', 'Telkomsel', 'users', 'Telkomsel', 'please' Fix ',' network ',' Jangn ',' like ',' ngeleg ',' thank ',' love ']</v>
      </c>
      <c r="D468" s="3">
        <v>1.0</v>
      </c>
    </row>
    <row r="469" ht="15.75" customHeight="1">
      <c r="A469" s="1">
        <v>467.0</v>
      </c>
      <c r="B469" s="3" t="s">
        <v>470</v>
      </c>
      <c r="C469" s="3" t="str">
        <f>IFERROR(__xludf.DUMMYFUNCTION("GOOGLETRANSLATE(B469,""id"",""en"")"),"['Application', 'good', 'runs',' normal ',' bold ',' package ',' internet ',' stay ',' run out ',' pulse ',' printed ',' thank ',' Love ',' repairs', 'Developer', 'happy']")</f>
        <v>['Application', 'good', 'runs',' normal ',' bold ',' package ',' internet ',' stay ',' run out ',' pulse ',' printed ',' thank ',' Love ',' repairs', 'Developer', 'happy']</v>
      </c>
      <c r="D469" s="3">
        <v>5.0</v>
      </c>
    </row>
    <row r="470" ht="15.75" customHeight="1">
      <c r="A470" s="1">
        <v>468.0</v>
      </c>
      <c r="B470" s="3" t="s">
        <v>471</v>
      </c>
      <c r="C470" s="3" t="str">
        <f>IFERROR(__xludf.DUMMYFUNCTION("GOOGLETRANSLATE(B470,""id"",""en"")"),"['', 'application', 'Promotion', 'accessed', 'display', 'php', 'doang', 'surprised', 'complaints',' customer ',' here ',' delicious', 'Telkomsel ',' Please ',' process', 'complaints',' Customer ',' ']")</f>
        <v>['', 'application', 'Promotion', 'accessed', 'display', 'php', 'doang', 'surprised', 'complaints',' customer ',' here ',' delicious', 'Telkomsel ',' Please ',' process', 'complaints',' Customer ',' ']</v>
      </c>
      <c r="D470" s="3">
        <v>1.0</v>
      </c>
    </row>
    <row r="471" ht="15.75" customHeight="1">
      <c r="A471" s="1">
        <v>469.0</v>
      </c>
      <c r="B471" s="3" t="s">
        <v>472</v>
      </c>
      <c r="C471" s="3" t="str">
        <f>IFERROR(__xludf.DUMMYFUNCTION("GOOGLETRANSLATE(B471,""id"",""en"")"),"['hard', 'really', 'I', 'buy', 'package', 'payment', 'shopeepay', 'app', 'telkomsel', 'already', 'no', 'try', ' It's easy for ',' customers', '']")</f>
        <v>['hard', 'really', 'I', 'buy', 'package', 'payment', 'shopeepay', 'app', 'telkomsel', 'already', 'no', 'try', ' It's easy for ',' customers', '']</v>
      </c>
      <c r="D471" s="3">
        <v>1.0</v>
      </c>
    </row>
    <row r="472" ht="15.75" customHeight="1">
      <c r="A472" s="1">
        <v>470.0</v>
      </c>
      <c r="B472" s="3" t="s">
        <v>473</v>
      </c>
      <c r="C472" s="3" t="str">
        <f>IFERROR(__xludf.DUMMYFUNCTION("GOOGLETRANSLATE(B472,""id"",""en"")"),"['Please', 'solution', 'package', 'monthly', 'internet', 'slow', 'type', 'package', 'strange', 'number', 'star', 'solution', ' Ntar ',' Rate ',' Bintang ',' ']")</f>
        <v>['Please', 'solution', 'package', 'monthly', 'internet', 'slow', 'type', 'package', 'strange', 'number', 'star', 'solution', ' Ntar ',' Rate ',' Bintang ',' ']</v>
      </c>
      <c r="D472" s="3">
        <v>1.0</v>
      </c>
    </row>
    <row r="473" ht="15.75" customHeight="1">
      <c r="A473" s="1">
        <v>471.0</v>
      </c>
      <c r="B473" s="3" t="s">
        <v>474</v>
      </c>
      <c r="C473" s="3" t="str">
        <f>IFERROR(__xludf.DUMMYFUNCTION("GOOGLETRANSLATE(B473,""id"",""en"")"),"['Honey', 'Yesterday', 'Yesterday', 'buy', 'Paketan', 'Combo', 'Sakti', 'Combo', 'Sakti', 'Change', 'SERTI', 'Ramadhan', ' Combo ',' Sakti ',' Delete ',' Eliminate ']")</f>
        <v>['Honey', 'Yesterday', 'Yesterday', 'buy', 'Paketan', 'Combo', 'Sakti', 'Combo', 'Sakti', 'Change', 'SERTI', 'Ramadhan', ' Combo ',' Sakti ',' Delete ',' Eliminate ']</v>
      </c>
      <c r="D473" s="3">
        <v>3.0</v>
      </c>
    </row>
    <row r="474" ht="15.75" customHeight="1">
      <c r="A474" s="1">
        <v>472.0</v>
      </c>
      <c r="B474" s="3" t="s">
        <v>475</v>
      </c>
      <c r="C474" s="3" t="str">
        <f>IFERROR(__xludf.DUMMYFUNCTION("GOOGLETRANSLATE(B474,""id"",""en"")"),"['Sorry', 'download', 'application', 'package', 'cheap', 'bonus',' call ',' sms', 'download', 'application', 'crazy', 'price', ' package ',' bonus', 'missing', 'application', 'fooling', 'download', 'suggestion', 'deh', '']")</f>
        <v>['Sorry', 'download', 'application', 'package', 'cheap', 'bonus',' call ',' sms', 'download', 'application', 'crazy', 'price', ' package ',' bonus', 'missing', 'application', 'fooling', 'download', 'suggestion', 'deh', '']</v>
      </c>
      <c r="D474" s="3">
        <v>1.0</v>
      </c>
    </row>
    <row r="475" ht="15.75" customHeight="1">
      <c r="A475" s="1">
        <v>473.0</v>
      </c>
      <c r="B475" s="3" t="s">
        <v>476</v>
      </c>
      <c r="C475" s="3" t="str">
        <f>IFERROR(__xludf.DUMMYFUNCTION("GOOGLETRANSLATE(B475,""id"",""en"")"),"['Package', 'unlimited', 'skrang', 'changed', 'rich', 'dlu', 'as much as',' skrang ',' limit ',' kek ',' gtu ',' comfortable ',' Telkomsel ',' skrang ',' ']")</f>
        <v>['Package', 'unlimited', 'skrang', 'changed', 'rich', 'dlu', 'as much as',' skrang ',' limit ',' kek ',' gtu ',' comfortable ',' Telkomsel ',' skrang ',' ']</v>
      </c>
      <c r="D475" s="3">
        <v>1.0</v>
      </c>
    </row>
    <row r="476" ht="15.75" customHeight="1">
      <c r="A476" s="1">
        <v>474.0</v>
      </c>
      <c r="B476" s="3" t="s">
        <v>477</v>
      </c>
      <c r="C476" s="3" t="str">
        <f>IFERROR(__xludf.DUMMYFUNCTION("GOOGLETRANSLATE(B476,""id"",""en"")"),"['Here', 'Ngaco', 'Buy', 'Package', 'Combo', 'Sakti', 'Unlimited', 'Payment', 'Fund', 'Balance', 'Udh', 'Cut', ' Payment ',' SUCCESS ',' TPI ',' Purchase ',' Package ',' Success', 'Have', 'Try', 'Balance', 'Blum', 'Cutting', 'Naturally', 'Udh' , 'balance'"&amp;", 'truncated', 'package', 'ndak', 'enter', 'hub', 'response', 'ngaco']")</f>
        <v>['Here', 'Ngaco', 'Buy', 'Package', 'Combo', 'Sakti', 'Unlimited', 'Payment', 'Fund', 'Balance', 'Udh', 'Cut', ' Payment ',' SUCCESS ',' TPI ',' Purchase ',' Package ',' Success', 'Have', 'Try', 'Balance', 'Blum', 'Cutting', 'Naturally', 'Udh' , 'balance', 'truncated', 'package', 'ndak', 'enter', 'hub', 'response', 'ngaco']</v>
      </c>
      <c r="D476" s="3">
        <v>4.0</v>
      </c>
    </row>
    <row r="477" ht="15.75" customHeight="1">
      <c r="A477" s="1">
        <v>475.0</v>
      </c>
      <c r="B477" s="3" t="s">
        <v>478</v>
      </c>
      <c r="C477" s="3" t="str">
        <f>IFERROR(__xludf.DUMMYFUNCTION("GOOGLETRANSLATE(B477,""id"",""en"")"),"['stingy', 'gave', 'Package', 'Yesterday', 'Package', 'Speech', 'Minutes',' Minutes', 'Minutes',' For a while ',' already ',' Out ',' then ',' signal ',' poor ',' gave ',' star ',' I see ',' ']")</f>
        <v>['stingy', 'gave', 'Package', 'Yesterday', 'Package', 'Speech', 'Minutes',' Minutes', 'Minutes',' For a while ',' already ',' Out ',' then ',' signal ',' poor ',' gave ',' star ',' I see ',' ']</v>
      </c>
      <c r="D477" s="3">
        <v>1.0</v>
      </c>
    </row>
    <row r="478" ht="15.75" customHeight="1">
      <c r="A478" s="1">
        <v>476.0</v>
      </c>
      <c r="B478" s="3" t="s">
        <v>479</v>
      </c>
      <c r="C478" s="3" t="str">
        <f>IFERROR(__xludf.DUMMYFUNCTION("GOOGLETRANSLATE(B478,""id"",""en"")"),"['Tissue', 'Telkomsel', 'destroyed', 'City', 'Metropolitan', 'Looks',' Moving ',' Heart ',' Telkomsel ',' Lost ',' Compete ',' neighbor ',' next door ',' full ',' comfortable ',' package ',' expensive ',' bangat ',' description ',' karuan ',' help ',' act"&amp;"ivity ',' loading ',' tour ',' play ' , 'Game', 'Nge', 'Chat', 'Dead', 'Sent']")</f>
        <v>['Tissue', 'Telkomsel', 'destroyed', 'City', 'Metropolitan', 'Looks',' Moving ',' Heart ',' Telkomsel ',' Lost ',' Compete ',' neighbor ',' next door ',' full ',' comfortable ',' package ',' expensive ',' bangat ',' description ',' karuan ',' help ',' activity ',' loading ',' tour ',' play ' , 'Game', 'Nge', 'Chat', 'Dead', 'Sent']</v>
      </c>
      <c r="D478" s="3">
        <v>1.0</v>
      </c>
    </row>
    <row r="479" ht="15.75" customHeight="1">
      <c r="A479" s="1">
        <v>477.0</v>
      </c>
      <c r="B479" s="3" t="s">
        <v>480</v>
      </c>
      <c r="C479" s="3" t="str">
        <f>IFERROR(__xludf.DUMMYFUNCTION("GOOGLETRANSLATE(B479,""id"",""en"")"),"['The application', 'help', 'easy', 'operation', 'use', 'check', 'daily', 'change', 'get', 'quota', 'claims',' variant ',' Quota ',' Based ',' Provisions', 'Check', 'Daily', 'Hopefully', 'In the future', 'Telkomsel', ""]")</f>
        <v>['The application', 'help', 'easy', 'operation', 'use', 'check', 'daily', 'change', 'get', 'quota', 'claims',' variant ',' Quota ',' Based ',' Provisions', 'Check', 'Daily', 'Hopefully', 'In the future', 'Telkomsel', "]</v>
      </c>
      <c r="D479" s="3">
        <v>5.0</v>
      </c>
    </row>
    <row r="480" ht="15.75" customHeight="1">
      <c r="A480" s="1">
        <v>478.0</v>
      </c>
      <c r="B480" s="3" t="s">
        <v>481</v>
      </c>
      <c r="C480" s="3" t="str">
        <f>IFERROR(__xludf.DUMMYFUNCTION("GOOGLETRANSLATE(B480,""id"",""en"")"),"['quota', 'promo', 'customer', 'already', 'annual', 'use', 'Telkomsel', 'expensive', 'speed', 'network', 'bad', 'replace', ' Provider ',' ']")</f>
        <v>['quota', 'promo', 'customer', 'already', 'annual', 'use', 'Telkomsel', 'expensive', 'speed', 'network', 'bad', 'replace', ' Provider ',' ']</v>
      </c>
      <c r="D480" s="3">
        <v>1.0</v>
      </c>
    </row>
    <row r="481" ht="15.75" customHeight="1">
      <c r="A481" s="1">
        <v>479.0</v>
      </c>
      <c r="B481" s="3" t="s">
        <v>482</v>
      </c>
      <c r="C481" s="3" t="str">
        <f>IFERROR(__xludf.DUMMYFUNCTION("GOOGLETRANSLATE(B481,""id"",""en"")"),"['signal', 'drop', 'Perform', 'Signal', 'according to', 'Perfoma', 'please', 'fix', 'according to', 'rates', 'pay', ""]")</f>
        <v>['signal', 'drop', 'Perform', 'Signal', 'according to', 'Perfoma', 'please', 'fix', 'according to', 'rates', 'pay', "]</v>
      </c>
      <c r="D481" s="3">
        <v>1.0</v>
      </c>
    </row>
    <row r="482" ht="15.75" customHeight="1">
      <c r="A482" s="1">
        <v>480.0</v>
      </c>
      <c r="B482" s="3" t="s">
        <v>483</v>
      </c>
      <c r="C482" s="3" t="str">
        <f>IFERROR(__xludf.DUMMYFUNCTION("GOOGLETRANSLATE(B482,""id"",""en"")"),"['expensive', 'expensive', 'compared', 'operator', 'application', 'rich', 'youtube', 'operator', 'unlimited', 'Telkomsel', 'limit', 'forced', ' Buy ',' Apply ',' SIM ',' Out ',' Out ',' Recommendation ',' ']")</f>
        <v>['expensive', 'expensive', 'compared', 'operator', 'application', 'rich', 'youtube', 'operator', 'unlimited', 'Telkomsel', 'limit', 'forced', ' Buy ',' Apply ',' SIM ',' Out ',' Out ',' Recommendation ',' ']</v>
      </c>
      <c r="D482" s="3">
        <v>1.0</v>
      </c>
    </row>
    <row r="483" ht="15.75" customHeight="1">
      <c r="A483" s="1">
        <v>481.0</v>
      </c>
      <c r="B483" s="3" t="s">
        <v>484</v>
      </c>
      <c r="C483" s="3" t="str">
        <f>IFERROR(__xludf.DUMMYFUNCTION("GOOGLETRANSLATE(B483,""id"",""en"")"),"['Please', 'sorry', 'admin', 'signal', 'Telkomsel', 'good', 'severe', 'really', 'signal', 'bad', 'already', 'make', ' Telkomsel ',' tasty ',' mah ',' signal ',' ilang ',' number ',' in the city ',' smooth ',' signal ',' city ',' smooth ',' already ',' mov"&amp;"ed ' , 'OPrator', 'TELKOM', 'Telkom', 'inhibits',' Activity ',' Response ',' Customer ',' Service ',' Geh ',' That's', 'Monoton', 'Give', ' Solution ',' Change ',' Zonk ',' Thanks']")</f>
        <v>['Please', 'sorry', 'admin', 'signal', 'Telkomsel', 'good', 'severe', 'really', 'signal', 'bad', 'already', 'make', ' Telkomsel ',' tasty ',' mah ',' signal ',' ilang ',' number ',' in the city ',' smooth ',' signal ',' city ',' smooth ',' already ',' moved ' , 'OPrator', 'TELKOM', 'Telkom', 'inhibits',' Activity ',' Response ',' Customer ',' Service ',' Geh ',' That's', 'Monoton', 'Give', ' Solution ',' Change ',' Zonk ',' Thanks']</v>
      </c>
      <c r="D483" s="3">
        <v>1.0</v>
      </c>
    </row>
    <row r="484" ht="15.75" customHeight="1">
      <c r="A484" s="1">
        <v>482.0</v>
      </c>
      <c r="B484" s="3" t="s">
        <v>485</v>
      </c>
      <c r="C484" s="3" t="str">
        <f>IFERROR(__xludf.DUMMYFUNCTION("GOOGLETRANSLATE(B484,""id"",""en"")"),"['parahmean', 'program', 'daily', 'lost', 'contents',' pulse ',' counter ',' plan ',' claim ',' quota ',' results', 'daily', ' Remove ',' Price ',' Package ',' Combo ',' Sakti ',' Ride ',' Price ',' Ride ',' Dahlah ',' Kyk ',' I ',' Move ',' card ' , 'im'"&amp;", '']")</f>
        <v>['parahmean', 'program', 'daily', 'lost', 'contents',' pulse ',' counter ',' plan ',' claim ',' quota ',' results', 'daily', ' Remove ',' Price ',' Package ',' Combo ',' Sakti ',' Ride ',' Price ',' Ride ',' Dahlah ',' Kyk ',' I ',' Move ',' card ' , 'im', '']</v>
      </c>
      <c r="D484" s="3">
        <v>1.0</v>
      </c>
    </row>
    <row r="485" ht="15.75" customHeight="1">
      <c r="A485" s="1">
        <v>483.0</v>
      </c>
      <c r="B485" s="3" t="s">
        <v>486</v>
      </c>
      <c r="C485" s="3" t="str">
        <f>IFERROR(__xludf.DUMMYFUNCTION("GOOGLETRANSLATE(B485,""id"",""en"")"),"['Wear', 'card', 'smooth', 'really', 'slow', 'slow', 'duh', 'emotion', 'mlh', 'tlong', 'gear', 'karna', ' Peguna ',' Telkomsel ',' lbh ',' yrs', 'trimakasih']")</f>
        <v>['Wear', 'card', 'smooth', 'really', 'slow', 'slow', 'duh', 'emotion', 'mlh', 'tlong', 'gear', 'karna', ' Peguna ',' Telkomsel ',' lbh ',' yrs', 'trimakasih']</v>
      </c>
      <c r="D485" s="3">
        <v>3.0</v>
      </c>
    </row>
    <row r="486" ht="15.75" customHeight="1">
      <c r="A486" s="1">
        <v>484.0</v>
      </c>
      <c r="B486" s="3" t="s">
        <v>487</v>
      </c>
      <c r="C486" s="3" t="str">
        <f>IFERROR(__xludf.DUMMYFUNCTION("GOOGLETRANSLATE(B486,""id"",""en"")"),"['buy', 'expensive', 'RB', 'Date', 'April', 'Date', 'April', 'HBS', 'quota', 'main', 'Out', 'quota', ' additional ',' interlobal ',' high school ',' unlimited ',' slow ',' difficult ',' open ',' high school ',' ber ',' minute ',' apasih ',' sbnr ',' buy '"&amp;" , 'TIFU', 'Gunain', 'SMA', 'DIRITED', 'Bintang', 'Telkomsel', 'Love', ""]")</f>
        <v>['buy', 'expensive', 'RB', 'Date', 'April', 'Date', 'April', 'HBS', 'quota', 'main', 'Out', 'quota', ' additional ',' interlobal ',' high school ',' unlimited ',' slow ',' difficult ',' open ',' high school ',' ber ',' minute ',' apasih ',' sbnr ',' buy ' , 'TIFU', 'Gunain', 'SMA', 'DIRITED', 'Bintang', 'Telkomsel', 'Love', "]</v>
      </c>
      <c r="D486" s="3">
        <v>1.0</v>
      </c>
    </row>
    <row r="487" ht="15.75" customHeight="1">
      <c r="A487" s="1">
        <v>485.0</v>
      </c>
      <c r="B487" s="3" t="s">
        <v>488</v>
      </c>
      <c r="C487" s="3" t="str">
        <f>IFERROR(__xludf.DUMMYFUNCTION("GOOGLETRANSLATE(B487,""id"",""en"")"),"['signal', 'Telkomsel', 'setabilia', 'already', 'signal', 'bad', 'bad', 'bad', 'Telkomsel', 'signal', 'rely on', '']")</f>
        <v>['signal', 'Telkomsel', 'setabilia', 'already', 'signal', 'bad', 'bad', 'bad', 'Telkomsel', 'signal', 'rely on', '']</v>
      </c>
      <c r="D487" s="3">
        <v>1.0</v>
      </c>
    </row>
    <row r="488" ht="15.75" customHeight="1">
      <c r="A488" s="1">
        <v>486.0</v>
      </c>
      <c r="B488" s="3" t="s">
        <v>489</v>
      </c>
      <c r="C488" s="3" t="str">
        <f>IFERROR(__xludf.DUMMYFUNCTION("GOOGLETRANSLATE(B488,""id"",""en"")"),"['love', 'service', 'best', 'bargained', 'quota', 'use', 'provider', 'smooth', 'kmren', 'wrong', 'contents',' pls', ' use ',' quota ',' Telkomsel ',' slow ',' network ',' display ',' according to ',' fix ',' loss', 'customer', '']")</f>
        <v>['love', 'service', 'best', 'bargained', 'quota', 'use', 'provider', 'smooth', 'kmren', 'wrong', 'contents',' pls', ' use ',' quota ',' Telkomsel ',' slow ',' network ',' display ',' according to ',' fix ',' loss', 'customer', '']</v>
      </c>
      <c r="D488" s="3">
        <v>1.0</v>
      </c>
    </row>
    <row r="489" ht="15.75" customHeight="1">
      <c r="A489" s="1">
        <v>487.0</v>
      </c>
      <c r="B489" s="3" t="s">
        <v>490</v>
      </c>
      <c r="C489" s="3" t="str">
        <f>IFERROR(__xludf.DUMMYFUNCTION("GOOGLETRANSLATE(B489,""id"",""en"")"),"['smenjak', 'unlimited', 'signal', 'smakin', 'harrang', 'skarang', 'users',' telkomsel ',' udh ',' moved ',' smartfren ',' speed ',' internet ',' lbih ',' good ',' frompda ',' telkomsel ',' continue ',' kayak ',' gini ',' until ',' ntar ',' see ',' change"&amp;" ',' counter ' , 'Good', 'Perdana', 'Paketan', 'Telkomsel', 'Complaints', 'Customer', 'then', 'Add', 'because', 'Signal', 'trimakasih']")</f>
        <v>['smenjak', 'unlimited', 'signal', 'smakin', 'harrang', 'skarang', 'users',' telkomsel ',' udh ',' moved ',' smartfren ',' speed ',' internet ',' lbih ',' good ',' frompda ',' telkomsel ',' continue ',' kayak ',' gini ',' until ',' ntar ',' see ',' change ',' counter ' , 'Good', 'Perdana', 'Paketan', 'Telkomsel', 'Complaints', 'Customer', 'then', 'Add', 'because', 'Signal', 'trimakasih']</v>
      </c>
      <c r="D489" s="3">
        <v>1.0</v>
      </c>
    </row>
    <row r="490" ht="15.75" customHeight="1">
      <c r="A490" s="1">
        <v>488.0</v>
      </c>
      <c r="B490" s="3" t="s">
        <v>491</v>
      </c>
      <c r="C490" s="3" t="str">
        <f>IFERROR(__xludf.DUMMYFUNCTION("GOOGLETRANSLATE(B490,""id"",""en"")"),"['Since', 'update', 'just', 'open', 'Telkomsel', 'Download', 'silent', 'silent', 'yes',' check ',' status', 'speed', ' Connection ',' Sampe ',' KB ', ""]")</f>
        <v>['Since', 'update', 'just', 'open', 'Telkomsel', 'Download', 'silent', 'silent', 'yes',' check ',' status', 'speed', ' Connection ',' Sampe ',' KB ', "]</v>
      </c>
      <c r="D490" s="3">
        <v>1.0</v>
      </c>
    </row>
    <row r="491" ht="15.75" customHeight="1">
      <c r="A491" s="1">
        <v>489.0</v>
      </c>
      <c r="B491" s="3" t="s">
        <v>492</v>
      </c>
      <c r="C491" s="3" t="str">
        <f>IFERROR(__xludf.DUMMYFUNCTION("GOOGLETRANSLATE(B491,""id"",""en"")"),"['Package', 'Data', 'KB', 'Bill', 'Genesis',' Times', 'Jan', 'Change', 'Package', 'Data', 'Bill', 'Down', ' NGK ',' use ',' package ',' data ',' card ',' hello ',' telkosel ',' unlimited ',' info ',' telkomsel ',' responsible ',' January ',' love ' , '']")</f>
        <v>['Package', 'Data', 'KB', 'Bill', 'Genesis',' Times', 'Jan', 'Change', 'Package', 'Data', 'Bill', 'Down', ' NGK ',' use ',' package ',' data ',' card ',' hello ',' telkosel ',' unlimited ',' info ',' telkomsel ',' responsible ',' January ',' love ' , '']</v>
      </c>
      <c r="D491" s="3">
        <v>5.0</v>
      </c>
    </row>
    <row r="492" ht="15.75" customHeight="1">
      <c r="A492" s="1">
        <v>490.0</v>
      </c>
      <c r="B492" s="3" t="s">
        <v>493</v>
      </c>
      <c r="C492" s="3" t="str">
        <f>IFERROR(__xludf.DUMMYFUNCTION("GOOGLETRANSLATE(B492,""id"",""en"")"),"['Please', 'Developer', 'Seriously', 'Update', 'Application', 'Renewal', 'Resolving', 'Previous',' Appear ',' Appsai ',' Stuck ',' Heavy ',' network ',' internet ',' connected ',' application ',' disappointed ',' update ']")</f>
        <v>['Please', 'Developer', 'Seriously', 'Update', 'Application', 'Renewal', 'Resolving', 'Previous',' Appear ',' Appsai ',' Stuck ',' Heavy ',' network ',' internet ',' connected ',' application ',' disappointed ',' update ']</v>
      </c>
      <c r="D492" s="3">
        <v>2.0</v>
      </c>
    </row>
    <row r="493" ht="15.75" customHeight="1">
      <c r="A493" s="1">
        <v>491.0</v>
      </c>
      <c r="B493" s="3" t="s">
        <v>494</v>
      </c>
      <c r="C493" s="3" t="str">
        <f>IFERROR(__xludf.DUMMYFUNCTION("GOOGLETRANSLATE(B493,""id"",""en"")"),"['Star', 'contents',' pulse ',' data ',' thousand ',' pulse ',' thousand ',' pulse ',' sumps', 'fast', 'pulse', 'data', ' Stable ',' DAILY ',' Daily ',' Check ',' Please ',' The information ',' Thank "", 'Love',""]")</f>
        <v>['Star', 'contents',' pulse ',' data ',' thousand ',' pulse ',' thousand ',' pulse ',' sumps', 'fast', 'pulse', 'data', ' Stable ',' DAILY ',' Daily ',' Check ',' Please ',' The information ',' Thank ", 'Love',"]</v>
      </c>
      <c r="D493" s="3">
        <v>3.0</v>
      </c>
    </row>
    <row r="494" ht="15.75" customHeight="1">
      <c r="A494" s="1">
        <v>492.0</v>
      </c>
      <c r="B494" s="3" t="s">
        <v>495</v>
      </c>
      <c r="C494" s="3" t="str">
        <f>IFERROR(__xludf.DUMMYFUNCTION("GOOGLETRANSLATE(B494,""id"",""en"")"),"['users',' Telkomsel ',' Mari ',' moved ',' Live ',' Telkomsel ',' Customer ',' Package ',' Cheap ',' Customer ',' Package ',' Expensive ',' network ',' bad ',' Say ',' Congratulations', 'Live', 'Telkomsel']")</f>
        <v>['users',' Telkomsel ',' Mari ',' moved ',' Live ',' Telkomsel ',' Customer ',' Package ',' Cheap ',' Customer ',' Package ',' Expensive ',' network ',' bad ',' Say ',' Congratulations', 'Live', 'Telkomsel']</v>
      </c>
      <c r="D494" s="3">
        <v>1.0</v>
      </c>
    </row>
    <row r="495" ht="15.75" customHeight="1">
      <c r="A495" s="1">
        <v>493.0</v>
      </c>
      <c r="B495" s="3" t="s">
        <v>496</v>
      </c>
      <c r="C495" s="3" t="str">
        <f>IFERROR(__xludf.DUMMYFUNCTION("GOOGLETRANSLATE(B495,""id"",""en"")"),"['Telkomsel', 'Dear', 'contents', 'pulse', 'contents', 'pdahal', 'proof', 'charging', 'success', 'dri', 'sms', 'then' Buy ',' package ',' emergency ',' strange ',' missing ',' monetary ',' already ',' difficult ',' save ',' quota ',' corrupted ',' Ajg ']")</f>
        <v>['Telkomsel', 'Dear', 'contents', 'pulse', 'contents', 'pdahal', 'proof', 'charging', 'success', 'dri', 'sms', 'then' Buy ',' package ',' emergency ',' strange ',' missing ',' monetary ',' already ',' difficult ',' save ',' quota ',' corrupted ',' Ajg ']</v>
      </c>
      <c r="D495" s="3">
        <v>1.0</v>
      </c>
    </row>
    <row r="496" ht="15.75" customHeight="1">
      <c r="A496" s="1">
        <v>494.0</v>
      </c>
      <c r="B496" s="3" t="s">
        <v>497</v>
      </c>
      <c r="C496" s="3" t="str">
        <f>IFERROR(__xludf.DUMMYFUNCTION("GOOGLETRANSLATE(B496,""id"",""en"")"),"['Response', 'Customer', 'Service', 'Via', 'Twitter', 'Fast', 'Thank', 'Love', 'Repair', 'Do', 'Hopefully', 'front' Consistent ',' quality ',' service ',' ']")</f>
        <v>['Response', 'Customer', 'Service', 'Via', 'Twitter', 'Fast', 'Thank', 'Love', 'Repair', 'Do', 'Hopefully', 'front' Consistent ',' quality ',' service ',' ']</v>
      </c>
      <c r="D496" s="3">
        <v>5.0</v>
      </c>
    </row>
    <row r="497" ht="15.75" customHeight="1">
      <c r="A497" s="1">
        <v>495.0</v>
      </c>
      <c r="B497" s="3" t="s">
        <v>498</v>
      </c>
      <c r="C497" s="3" t="str">
        <f>IFERROR(__xludf.DUMMYFUNCTION("GOOGLETRANSLATE(B497,""id"",""en"")"),"['Difficult', 'Meng', 'Connect', 'Account', 'Fund', 'UDH', 'Wait', 'Loading', 'TRS', 'How', 'Telkomsel', 'Buy', ' Koutaa ',' difficult ',' Connect ',' account ',' Fund ',' ']")</f>
        <v>['Difficult', 'Meng', 'Connect', 'Account', 'Fund', 'UDH', 'Wait', 'Loading', 'TRS', 'How', 'Telkomsel', 'Buy', ' Koutaa ',' difficult ',' Connect ',' account ',' Fund ',' ']</v>
      </c>
      <c r="D497" s="3">
        <v>1.0</v>
      </c>
    </row>
    <row r="498" ht="15.75" customHeight="1">
      <c r="A498" s="1">
        <v>496.0</v>
      </c>
      <c r="B498" s="3" t="s">
        <v>499</v>
      </c>
      <c r="C498" s="3" t="str">
        <f>IFERROR(__xludf.DUMMYFUNCTION("GOOGLETRANSLATE(B498,""id"",""en"")"),"['Please', 'improve', 'signal', 'feeling', 'signal', 'Telkomsel', 'Karuan', 'play', 'game', 'difficult', '']")</f>
        <v>['Please', 'improve', 'signal', 'feeling', 'signal', 'Telkomsel', 'Karuan', 'play', 'game', 'difficult', '']</v>
      </c>
      <c r="D498" s="3">
        <v>1.0</v>
      </c>
    </row>
    <row r="499" ht="15.75" customHeight="1">
      <c r="A499" s="1">
        <v>497.0</v>
      </c>
      <c r="B499" s="3" t="s">
        <v>500</v>
      </c>
      <c r="C499" s="3" t="str">
        <f>IFERROR(__xludf.DUMMYFUNCTION("GOOGLETRANSLATE(B499,""id"",""en"")"),"['Driver', 'Ojek', 'Online', 'Disappointed', 'Signal', 'Kaga', 'Disappointing', 'Signal', 'Lost', 'Lost', 'Compete', 'Operator', ' Users', 'Field', 'Hanging', 'Order', '']")</f>
        <v>['Driver', 'Ojek', 'Online', 'Disappointed', 'Signal', 'Kaga', 'Disappointing', 'Signal', 'Lost', 'Lost', 'Compete', 'Operator', ' Users', 'Field', 'Hanging', 'Order', '']</v>
      </c>
      <c r="D499" s="3">
        <v>1.0</v>
      </c>
    </row>
    <row r="500" ht="15.75" customHeight="1">
      <c r="A500" s="1">
        <v>498.0</v>
      </c>
      <c r="B500" s="3" t="s">
        <v>501</v>
      </c>
      <c r="C500" s="3" t="str">
        <f>IFERROR(__xludf.DUMMYFUNCTION("GOOGLETRANSLATE(B500,""id"",""en"")"),"['use', 'Telkomsel', 'replace', 'card', 'service', 'bad', 'discrimination', 'fair', 'price', 'expensive']")</f>
        <v>['use', 'Telkomsel', 'replace', 'card', 'service', 'bad', 'discrimination', 'fair', 'price', 'expensive']</v>
      </c>
      <c r="D500" s="3">
        <v>1.0</v>
      </c>
    </row>
    <row r="501" ht="15.75" customHeight="1">
      <c r="A501" s="1">
        <v>499.0</v>
      </c>
      <c r="B501" s="3" t="s">
        <v>502</v>
      </c>
      <c r="C501" s="3" t="str">
        <f>IFERROR(__xludf.DUMMYFUNCTION("GOOGLETRANSLATE(B501,""id"",""en"")"),"['buy', 'package', 'app', 'payment', 'ovo', 'payment', 'managed', 'ovo', 'package', 'enter', 'please', 'repair', ' Telkomsel ',' Terbitai ',' Customer ',' Package ',' Enter ',' ']")</f>
        <v>['buy', 'package', 'app', 'payment', 'ovo', 'payment', 'managed', 'ovo', 'package', 'enter', 'please', 'repair', ' Telkomsel ',' Terbitai ',' Customer ',' Package ',' Enter ',' ']</v>
      </c>
      <c r="D501" s="3">
        <v>1.0</v>
      </c>
    </row>
    <row r="502" ht="15.75" customHeight="1">
      <c r="A502" s="1">
        <v>500.0</v>
      </c>
      <c r="B502" s="3" t="s">
        <v>503</v>
      </c>
      <c r="C502" s="3" t="str">
        <f>IFERROR(__xludf.DUMMYFUNCTION("GOOGLETRANSLATE(B502,""id"",""en"")"),"['Application', 'bad', 'ASIIIIII', 'Credit', 'Out', 'Used', 'Internet', 'Lemot', 'Application', 'Lemot', 'Nge', 'Leg', ' Kwota ',' fast ',' drained ',' pkok ',' disappointed ',' Telkomsel ',' fix ',' disliked ',' the application ', ""]")</f>
        <v>['Application', 'bad', 'ASIIIIII', 'Credit', 'Out', 'Used', 'Internet', 'Lemot', 'Application', 'Lemot', 'Nge', 'Leg', ' Kwota ',' fast ',' drained ',' pkok ',' disappointed ',' Telkomsel ',' fix ',' disliked ',' the application ', "]</v>
      </c>
      <c r="D502" s="3">
        <v>1.0</v>
      </c>
    </row>
    <row r="503" ht="15.75" customHeight="1">
      <c r="A503" s="1">
        <v>501.0</v>
      </c>
      <c r="B503" s="3" t="s">
        <v>504</v>
      </c>
      <c r="C503" s="3" t="str">
        <f>IFERROR(__xludf.DUMMYFUNCTION("GOOGLETRANSLATE(B503,""id"",""en"")"),"['Update', 'Version', 'Error', 'Connection', 'Stable', 'Open', 'Application', 'Signal', 'Full', 'Bar', 'Please', 'Repaired', ' Device ',' Redmi ',' Note ',' Variant ',' Please ',' Developer ',' Vineage ',' Thank ',' Love ', ""]")</f>
        <v>['Update', 'Version', 'Error', 'Connection', 'Stable', 'Open', 'Application', 'Signal', 'Full', 'Bar', 'Please', 'Repaired', ' Device ',' Redmi ',' Note ',' Variant ',' Please ',' Developer ',' Vineage ',' Thank ',' Love ', "]</v>
      </c>
      <c r="D503" s="3">
        <v>1.0</v>
      </c>
    </row>
    <row r="504" ht="15.75" customHeight="1">
      <c r="A504" s="1">
        <v>502.0</v>
      </c>
      <c r="B504" s="3" t="s">
        <v>505</v>
      </c>
      <c r="C504" s="3" t="str">
        <f>IFERROR(__xludf.DUMMYFUNCTION("GOOGLETRANSLATE(B504,""id"",""en"")"),"['The application', 'fraud', 'buy', 'package', 'tm', 'telephone', 'always',' say it ',' connected ',' right ',' call ',' use ',' Number ',' Connected ',' Untung ',' yaa ', ""]")</f>
        <v>['The application', 'fraud', 'buy', 'package', 'tm', 'telephone', 'always',' say it ',' connected ',' right ',' call ',' use ',' Number ',' Connected ',' Untung ',' yaa ', "]</v>
      </c>
      <c r="D504" s="3">
        <v>1.0</v>
      </c>
    </row>
    <row r="505" ht="15.75" customHeight="1">
      <c r="A505" s="1">
        <v>503.0</v>
      </c>
      <c r="B505" s="3" t="s">
        <v>506</v>
      </c>
      <c r="C505" s="3" t="str">
        <f>IFERROR(__xludf.DUMMYFUNCTION("GOOGLETRANSLATE(B505,""id"",""en"")"),"['Good', 'Telkomsel', 'The network', 'smooth', 'package', 'cheap', 'cheap', 'karna', 'cheap', 'remote', 'easy', 'times',' Telkomsel ',' GB ',' one hundred ',' thousand ',' okay ', ""]")</f>
        <v>['Good', 'Telkomsel', 'The network', 'smooth', 'package', 'cheap', 'cheap', 'karna', 'cheap', 'remote', 'easy', 'times',' Telkomsel ',' GB ',' one hundred ',' thousand ',' okay ', "]</v>
      </c>
      <c r="D505" s="3">
        <v>1.0</v>
      </c>
    </row>
    <row r="506" ht="15.75" customHeight="1">
      <c r="A506" s="1">
        <v>504.0</v>
      </c>
      <c r="B506" s="3" t="s">
        <v>507</v>
      </c>
      <c r="C506" s="3" t="str">
        <f>IFERROR(__xludf.DUMMYFUNCTION("GOOGLETRANSLATE(B506,""id"",""en"")"),"['network', 'fast', 'snail', 'seems',' severe ',' Telkomsel ',' expensive ',' expensive ',' buy ',' package ',' road ',' internet ',' Please, 'fix', 'as soon as possible', '']")</f>
        <v>['network', 'fast', 'snail', 'seems',' severe ',' Telkomsel ',' expensive ',' expensive ',' buy ',' package ',' road ',' internet ',' Please, 'fix', 'as soon as possible', '']</v>
      </c>
      <c r="D506" s="3">
        <v>1.0</v>
      </c>
    </row>
    <row r="507" ht="15.75" customHeight="1">
      <c r="A507" s="1">
        <v>505.0</v>
      </c>
      <c r="B507" s="3" t="s">
        <v>508</v>
      </c>
      <c r="C507" s="3" t="str">
        <f>IFERROR(__xludf.DUMMYFUNCTION("GOOGLETRANSLATE(B507,""id"",""en"")"),"['Fix', 'network', 'slow', 'What's', 'drained', 'Mulu', 'Package', 'nnnnnnnburikkk']")</f>
        <v>['Fix', 'network', 'slow', 'What's', 'drained', 'Mulu', 'Package', 'nnnnnnnburikkk']</v>
      </c>
      <c r="D507" s="3">
        <v>1.0</v>
      </c>
    </row>
    <row r="508" ht="15.75" customHeight="1">
      <c r="A508" s="1">
        <v>506.0</v>
      </c>
      <c r="B508" s="3" t="s">
        <v>509</v>
      </c>
      <c r="C508" s="3" t="str">
        <f>IFERROR(__xludf.DUMMYFUNCTION("GOOGLETRANSLATE(B508,""id"",""en"")"),"['', 'Edited', 'App', 'Out', 'Contents',' Credit ',' Package ',' Bought ',' Appears', 'It's',' Many ',' Kayak ',' Gini ',' Please ',' repaired ',' App ',' Install ',' reset ',' APP ',' ']")</f>
        <v>['', 'Edited', 'App', 'Out', 'Contents',' Credit ',' Package ',' Bought ',' Appears', 'It's',' Many ',' Kayak ',' Gini ',' Please ',' repaired ',' App ',' Install ',' reset ',' APP ',' ']</v>
      </c>
      <c r="D508" s="3">
        <v>1.0</v>
      </c>
    </row>
    <row r="509" ht="15.75" customHeight="1">
      <c r="A509" s="1">
        <v>507.0</v>
      </c>
      <c r="B509" s="3" t="s">
        <v>510</v>
      </c>
      <c r="C509" s="3" t="str">
        <f>IFERROR(__xludf.DUMMYFUNCTION("GOOGLETRANSLATE(B509,""id"",""en"")"),"['Daily', 'check', 'disappointed', 'already', 'collect', 'get', 'expensive', 'price', 'package', 'internet', 'buy', 'combo', ' Sakti ',' Rb ',' Select ',' Annya ',' just ',' RB ',' Network ',' fast ',' yes', 'price', 'here', 'eat', 'expensive' , 'card', '"&amp;"dead', 'notice', 'gave', 'notif', 'grace', 'card', 'run out', 'no', 'disappointed', 'heavy', 'basics',' Telkomsel ']")</f>
        <v>['Daily', 'check', 'disappointed', 'already', 'collect', 'get', 'expensive', 'price', 'package', 'internet', 'buy', 'combo', ' Sakti ',' Rb ',' Select ',' Annya ',' just ',' RB ',' Network ',' fast ',' yes', 'price', 'here', 'eat', 'expensive' , 'card', 'dead', 'notice', 'gave', 'notif', 'grace', 'card', 'run out', 'no', 'disappointed', 'heavy', 'basics',' Telkomsel ']</v>
      </c>
      <c r="D509" s="3">
        <v>3.0</v>
      </c>
    </row>
    <row r="510" ht="15.75" customHeight="1">
      <c r="A510" s="1">
        <v>508.0</v>
      </c>
      <c r="B510" s="3" t="s">
        <v>511</v>
      </c>
      <c r="C510" s="3" t="str">
        <f>IFERROR(__xludf.DUMMYFUNCTION("GOOGLETRANSLATE(B510,""id"",""en"")"),"['liar', 'check', 'promo', 'package', 'internet', 'already', 'contents',' pulse ',' buy ',' package ',' promo ',' check ',' Removed ',' package ',' promo ',' Ramadhan ',' cheating ',' lying ', ""]")</f>
        <v>['liar', 'check', 'promo', 'package', 'internet', 'already', 'contents',' pulse ',' buy ',' package ',' promo ',' check ',' Removed ',' package ',' promo ',' Ramadhan ',' cheating ',' lying ', "]</v>
      </c>
      <c r="D510" s="3">
        <v>1.0</v>
      </c>
    </row>
    <row r="511" ht="15.75" customHeight="1">
      <c r="A511" s="1">
        <v>509.0</v>
      </c>
      <c r="B511" s="3" t="s">
        <v>512</v>
      </c>
      <c r="C511" s="3" t="str">
        <f>IFERROR(__xludf.DUMMYFUNCTION("GOOGLETRANSLATE(B511,""id"",""en"")"),"['Tets',' use ',' Telkomsel ',' already ',' even ',' feel ',' emotion ',' ama ',' signal ',' work ',' mess', 'all-round', ' Use ',' Internet ',' ']")</f>
        <v>['Tets',' use ',' Telkomsel ',' already ',' even ',' feel ',' emotion ',' ama ',' signal ',' work ',' mess', 'all-round', ' Use ',' Internet ',' ']</v>
      </c>
      <c r="D511" s="3">
        <v>1.0</v>
      </c>
    </row>
    <row r="512" ht="15.75" customHeight="1">
      <c r="A512" s="1">
        <v>510.0</v>
      </c>
      <c r="B512" s="3" t="s">
        <v>513</v>
      </c>
      <c r="C512" s="3" t="str">
        <f>IFERROR(__xludf.DUMMYFUNCTION("GOOGLETRANSLATE(B512,""id"",""en"")"),"['', 'cheap', 'affordable', 'expensive', 'affordable', 'unlimited', 'limit', 'appendage', 'ukel', 'unlimited', 'nipipuuuuu', 'switch', 'understand ',' Consumer ',' ']")</f>
        <v>['', 'cheap', 'affordable', 'expensive', 'affordable', 'unlimited', 'limit', 'appendage', 'ukel', 'unlimited', 'nipipuuuuu', 'switch', 'understand ',' Consumer ',' ']</v>
      </c>
      <c r="D512" s="3">
        <v>1.0</v>
      </c>
    </row>
    <row r="513" ht="15.75" customHeight="1">
      <c r="A513" s="1">
        <v>511.0</v>
      </c>
      <c r="B513" s="3" t="s">
        <v>514</v>
      </c>
      <c r="C513" s="3" t="str">
        <f>IFERROR(__xludf.DUMMYFUNCTION("GOOGLETRANSLATE(B513,""id"",""en"")"),"['troubled', 'network', 'provider', 'UDH', 'buy', 'package', 'internet', 'difficult', 'bnget', 'dpet', 'quota', 'pulse', ' Abis', 'Dluan', 'GMN', 'Customers',' Sneng ',' Kcewa ',' Bgin ',' Focus', 'Playananan', 'Quality', 'Network', 'Dlu', 'Search' , 'sup"&amp;"erior', 'type', 'network', 'slow', 'rich', 'tire', 'good', 'wind', 'use', '']")</f>
        <v>['troubled', 'network', 'provider', 'UDH', 'buy', 'package', 'internet', 'difficult', 'bnget', 'dpet', 'quota', 'pulse', ' Abis', 'Dluan', 'GMN', 'Customers',' Sneng ',' Kcewa ',' Bgin ',' Focus', 'Playananan', 'Quality', 'Network', 'Dlu', 'Search' , 'superior', 'type', 'network', 'slow', 'rich', 'tire', 'good', 'wind', 'use', '']</v>
      </c>
      <c r="D513" s="3">
        <v>1.0</v>
      </c>
    </row>
    <row r="514" ht="15.75" customHeight="1">
      <c r="A514" s="1">
        <v>512.0</v>
      </c>
      <c r="B514" s="3" t="s">
        <v>515</v>
      </c>
      <c r="C514" s="3" t="str">
        <f>IFERROR(__xludf.DUMMYFUNCTION("GOOGLETRANSLATE(B514,""id"",""en"")"),"['some', 'Open', 'MyTelkomsel', 'NGGA', 'Loading', 'White', 'Number', 'TLF', 'Screen', 'Buy', 'Package', 'Promo', ' GTU ',' TPI ',' PDHL ',' Package ',' Try ',' use ',' wifi ',' screen ',' please ',' consideration ', ""]")</f>
        <v>['some', 'Open', 'MyTelkomsel', 'NGGA', 'Loading', 'White', 'Number', 'TLF', 'Screen', 'Buy', 'Package', 'Promo', ' GTU ',' TPI ',' PDHL ',' Package ',' Try ',' use ',' wifi ',' screen ',' please ',' consideration ', "]</v>
      </c>
      <c r="D514" s="3">
        <v>4.0</v>
      </c>
    </row>
    <row r="515" ht="15.75" customHeight="1">
      <c r="A515" s="1">
        <v>513.0</v>
      </c>
      <c r="B515" s="3" t="s">
        <v>516</v>
      </c>
      <c r="C515" s="3" t="str">
        <f>IFERROR(__xludf.DUMMYFUNCTION("GOOGLETRANSLATE(B515,""id"",""en"")"),"['Package', 'pulse', 'Sumpot', 'use', 'card', 'Telkomsel', 'expensive', 'quality', 'capacity', 'thousand', 'lost', 'oath', ' disappointed']")</f>
        <v>['Package', 'pulse', 'Sumpot', 'use', 'card', 'Telkomsel', 'expensive', 'quality', 'capacity', 'thousand', 'lost', 'oath', ' disappointed']</v>
      </c>
      <c r="D515" s="3">
        <v>1.0</v>
      </c>
    </row>
    <row r="516" ht="15.75" customHeight="1">
      <c r="A516" s="1">
        <v>514.0</v>
      </c>
      <c r="B516" s="3" t="s">
        <v>517</v>
      </c>
      <c r="C516" s="3" t="str">
        <f>IFERROR(__xludf.DUMMYFUNCTION("GOOGLETRANSLATE(B516,""id"",""en"")"),"['bad', 'Telkomsel', 'skarang', 'signal', 'slow', 'open', 'lag', 'play', 'game', 'kaga', 'fix', 'buy', ' Paketan ',' expensive ',' abis']")</f>
        <v>['bad', 'Telkomsel', 'skarang', 'signal', 'slow', 'open', 'lag', 'play', 'game', 'kaga', 'fix', 'buy', ' Paketan ',' expensive ',' abis']</v>
      </c>
      <c r="D516" s="3">
        <v>1.0</v>
      </c>
    </row>
    <row r="517" ht="15.75" customHeight="1">
      <c r="A517" s="1">
        <v>515.0</v>
      </c>
      <c r="B517" s="3" t="s">
        <v>518</v>
      </c>
      <c r="C517" s="3" t="str">
        <f>IFERROR(__xludf.DUMMYFUNCTION("GOOGLETRANSLATE(B517,""id"",""en"")"),"['check', 'data', 'pulses',' practical ',' as easy ',' turn ',' palm ',' hand ',' information ',' complete ',' exchange ',' point ',' expect ',' easy ',' work ']")</f>
        <v>['check', 'data', 'pulses',' practical ',' as easy ',' turn ',' palm ',' hand ',' information ',' complete ',' exchange ',' point ',' expect ',' easy ',' work ']</v>
      </c>
      <c r="D517" s="3">
        <v>5.0</v>
      </c>
    </row>
    <row r="518" ht="15.75" customHeight="1">
      <c r="A518" s="1">
        <v>516.0</v>
      </c>
      <c r="B518" s="3" t="s">
        <v>519</v>
      </c>
      <c r="C518" s="3" t="str">
        <f>IFERROR(__xludf.DUMMYFUNCTION("GOOGLETRANSLATE(B518,""id"",""en"")"),"['', 'application', 'drawback', 'buy', 'pulse', 'then', 'buy', 'package', 'application', 'tekurang', 'pulses',' buy ',' pulsa ',' Please ',' Features', 'Key', 'Credit', 'She', 'Pulses',' Internet ', ""]")</f>
        <v>['', 'application', 'drawback', 'buy', 'pulse', 'then', 'buy', 'package', 'application', 'tekurang', 'pulses',' buy ',' pulsa ',' Please ',' Features', 'Key', 'Credit', 'She', 'Pulses',' Internet ', "]</v>
      </c>
      <c r="D518" s="3">
        <v>1.0</v>
      </c>
    </row>
    <row r="519" ht="15.75" customHeight="1">
      <c r="A519" s="1">
        <v>517.0</v>
      </c>
      <c r="B519" s="3" t="s">
        <v>520</v>
      </c>
      <c r="C519" s="3" t="str">
        <f>IFERROR(__xludf.DUMMYFUNCTION("GOOGLETRANSLATE(B519,""id"",""en"")"),"['APK', 'run out', 'term', 'quota', 'hose', 'a day', 'buy', 'quota', 'walk', 'normal', 'last night', 'buy', ' quota ',' apk ',' clock ',' quota ',' run out ',' hour ',' morning ',' quota ',' lost ',' bug ',' gmna ',' not "", 'term' , 'extended', 'keriset'"&amp;", 'missing', 'please', 'apk', 'bug', 'please', 'lined', '']")</f>
        <v>['APK', 'run out', 'term', 'quota', 'hose', 'a day', 'buy', 'quota', 'walk', 'normal', 'last night', 'buy', ' quota ',' apk ',' clock ',' quota ',' run out ',' hour ',' morning ',' quota ',' lost ',' bug ',' gmna ',' not ", 'term' , 'extended', 'keriset', 'missing', 'please', 'apk', 'bug', 'please', 'lined', '']</v>
      </c>
      <c r="D519" s="3">
        <v>1.0</v>
      </c>
    </row>
    <row r="520" ht="15.75" customHeight="1">
      <c r="A520" s="1">
        <v>518.0</v>
      </c>
      <c r="B520" s="3" t="s">
        <v>521</v>
      </c>
      <c r="C520" s="3" t="str">
        <f>IFERROR(__xludf.DUMMYFUNCTION("GOOGLETRANSLATE(B520,""id"",""en"")"),"['strange', 'Telkomsel', 'Rates',' Fikir ',' Sultan ',' Rates', 'Unlimited', 'GB', 'RB', 'Unlimited', 'Unlimited', 'Valid', ' Help ',' understanding ',' ']")</f>
        <v>['strange', 'Telkomsel', 'Rates',' Fikir ',' Sultan ',' Rates', 'Unlimited', 'GB', 'RB', 'Unlimited', 'Unlimited', 'Valid', ' Help ',' understanding ',' ']</v>
      </c>
      <c r="D520" s="3">
        <v>1.0</v>
      </c>
    </row>
    <row r="521" ht="15.75" customHeight="1">
      <c r="A521" s="1">
        <v>519.0</v>
      </c>
      <c r="B521" s="3" t="s">
        <v>522</v>
      </c>
      <c r="C521" s="3" t="str">
        <f>IFERROR(__xludf.DUMMYFUNCTION("GOOGLETRANSLATE(B521,""id"",""en"")"),"['Telkomsel', 'Error', 'Open', 'See', 'Credit', 'ATW', 'Data', 'Check', 'Lwat', 'Fence', 'TLP', 'BSA', ' Trima ',' TLP ',' Telkomsel ',' lgi ',' knapa ',' problem ',' bburpa ',' pnya ',' sya ',' bni ',' trimksh ']")</f>
        <v>['Telkomsel', 'Error', 'Open', 'See', 'Credit', 'ATW', 'Data', 'Check', 'Lwat', 'Fence', 'TLP', 'BSA', ' Trima ',' TLP ',' Telkomsel ',' lgi ',' knapa ',' problem ',' bburpa ',' pnya ',' sya ',' bni ',' trimksh ']</v>
      </c>
      <c r="D521" s="3">
        <v>1.0</v>
      </c>
    </row>
    <row r="522" ht="15.75" customHeight="1">
      <c r="A522" s="1">
        <v>520.0</v>
      </c>
      <c r="B522" s="3" t="s">
        <v>523</v>
      </c>
      <c r="C522" s="3" t="str">
        <f>IFERROR(__xludf.DUMMYFUNCTION("GOOGLETRANSLATE(B522,""id"",""en"")"),"['Pay', 'Use', 'Shoppepay', 'Telkomsel', 'Rich', 'Please', 'MyTelkomsel', 'Please', 'Love', 'Distance', 'Shoppepay', 'Application', ' Telkomsel ',' easy ',' shoppepay ',' card ',' payment ',' main ',' thanks', 'hope', ""]")</f>
        <v>['Pay', 'Use', 'Shoppepay', 'Telkomsel', 'Rich', 'Please', 'MyTelkomsel', 'Please', 'Love', 'Distance', 'Shoppepay', 'Application', ' Telkomsel ',' easy ',' shoppepay ',' card ',' payment ',' main ',' thanks', 'hope', "]</v>
      </c>
      <c r="D522" s="3">
        <v>1.0</v>
      </c>
    </row>
    <row r="523" ht="15.75" customHeight="1">
      <c r="A523" s="1">
        <v>521.0</v>
      </c>
      <c r="B523" s="3" t="s">
        <v>524</v>
      </c>
      <c r="C523" s="3" t="str">
        <f>IFERROR(__xludf.DUMMYFUNCTION("GOOGLETRANSLATE(B523,""id"",""en"")"),"['already', 'customers',' Telkomsel ',' signal ',' ugly ',' already ',' price ',' expensive ',' package ',' according to ',' quality ',' its network ',' signal ',' lost ',' bites', 'disappointed', 'Telkomsel']")</f>
        <v>['already', 'customers',' Telkomsel ',' signal ',' ugly ',' already ',' price ',' expensive ',' package ',' according to ',' quality ',' its network ',' signal ',' lost ',' bites', 'disappointed', 'Telkomsel']</v>
      </c>
      <c r="D523" s="3">
        <v>1.0</v>
      </c>
    </row>
    <row r="524" ht="15.75" customHeight="1">
      <c r="A524" s="1">
        <v>522.0</v>
      </c>
      <c r="B524" s="3" t="s">
        <v>525</v>
      </c>
      <c r="C524" s="3" t="str">
        <f>IFERROR(__xludf.DUMMYFUNCTION("GOOGLETRANSLATE(B524,""id"",""en"")"),"['', 'application', 'good', 'network', 'good', 'connection', 'weak', 'mean', 'network', 'wrong', 'good', 'network', 'application ',' connection ',' bad ',' application ',' kayak ',' devil ',' please ',' fix ',' ']")</f>
        <v>['', 'application', 'good', 'network', 'good', 'connection', 'weak', 'mean', 'network', 'wrong', 'good', 'network', 'application ',' connection ',' bad ',' application ',' kayak ',' devil ',' please ',' fix ',' ']</v>
      </c>
      <c r="D524" s="3">
        <v>1.0</v>
      </c>
    </row>
    <row r="525" ht="15.75" customHeight="1">
      <c r="A525" s="1">
        <v>523.0</v>
      </c>
      <c r="B525" s="3" t="s">
        <v>526</v>
      </c>
      <c r="C525" s="3" t="str">
        <f>IFERROR(__xludf.DUMMYFUNCTION("GOOGLETRANSLATE(B525,""id"",""en"")"),"['Satisfied', 'service', 'MyTelkomsel', 'hope', 'in the future', 'network', 'server', 'play', 'game', 'slow', 'try', 'steady', ' network ',' Telkomsel ',' Kab ',' Islands', 'Sangihe']")</f>
        <v>['Satisfied', 'service', 'MyTelkomsel', 'hope', 'in the future', 'network', 'server', 'play', 'game', 'slow', 'try', 'steady', ' network ',' Telkomsel ',' Kab ',' Islands', 'Sangihe']</v>
      </c>
      <c r="D525" s="3">
        <v>5.0</v>
      </c>
    </row>
    <row r="526" ht="15.75" customHeight="1">
      <c r="A526" s="1">
        <v>524.0</v>
      </c>
      <c r="B526" s="3" t="s">
        <v>527</v>
      </c>
      <c r="C526" s="3" t="str">
        <f>IFERROR(__xludf.DUMMYFUNCTION("GOOGLETRANSLATE(B526,""id"",""en"")"),"['Package', 'Quota', 'Surprise', 'Deal', 'Please', 'Variative', 'Rate', 'Dibwh', 'Cepe', 'BLN', 'Top', 'Markotobbs',' Useful ',' era ',' online ',' skrg ',' user ',' loyal ',' Telkomsel ',' The ',' Best ']")</f>
        <v>['Package', 'Quota', 'Surprise', 'Deal', 'Please', 'Variative', 'Rate', 'Dibwh', 'Cepe', 'BLN', 'Top', 'Markotobbs',' Useful ',' era ',' online ',' skrg ',' user ',' loyal ',' Telkomsel ',' The ',' Best ']</v>
      </c>
      <c r="D526" s="3">
        <v>5.0</v>
      </c>
    </row>
    <row r="527" ht="15.75" customHeight="1">
      <c r="A527" s="1">
        <v>525.0</v>
      </c>
      <c r="B527" s="3" t="s">
        <v>528</v>
      </c>
      <c r="C527" s="3" t="str">
        <f>IFERROR(__xludf.DUMMYFUNCTION("GOOGLETRANSLATE(B527,""id"",""en"")"),"['card', 'idiot', 'play', 'game', 'signal', 'jumping', 'mulu', 'ngedownload', 'really', 'ngedownload', 'size', 'MB', ' Ngeupdate ',' application ',' run out ',' minutes', 'quota', 'expensive', 'signal', 'cheap', 'mending', 'card', 'tri', 'swear', 'safe' ,"&amp;" 'Safe', 'Nge', 'Game', '']")</f>
        <v>['card', 'idiot', 'play', 'game', 'signal', 'jumping', 'mulu', 'ngedownload', 'really', 'ngedownload', 'size', 'MB', ' Ngeupdate ',' application ',' run out ',' minutes', 'quota', 'expensive', 'signal', 'cheap', 'mending', 'card', 'tri', 'swear', 'safe' , 'Safe', 'Nge', 'Game', '']</v>
      </c>
      <c r="D527" s="3">
        <v>1.0</v>
      </c>
    </row>
    <row r="528" ht="15.75" customHeight="1">
      <c r="A528" s="1">
        <v>526.0</v>
      </c>
      <c r="B528" s="3" t="s">
        <v>529</v>
      </c>
      <c r="C528" s="3" t="str">
        <f>IFERROR(__xludf.DUMMYFUNCTION("GOOGLETRANSLATE(B528,""id"",""en"")"),"['', 'clock', 'Sometimes',' Signal ',' Change ',' Low ',' and ',' High ',' PM ',' Region ',' Pencil ',' get ',' Jaribgan ',' Normal ',' Sometimes', 'opening', 'Application', 'Check', 'Connection', 'Please', 'Untu', 'Expand', 'Reach', 'Signal', 'Applicatio"&amp;"n', 'already', 'joozz', 'help']")</f>
        <v>['', 'clock', 'Sometimes',' Signal ',' Change ',' Low ',' and ',' High ',' PM ',' Region ',' Pencil ',' get ',' Jaribgan ',' Normal ',' Sometimes', 'opening', 'Application', 'Check', 'Connection', 'Please', 'Untu', 'Expand', 'Reach', 'Signal', 'Application', 'already', 'joozz', 'help']</v>
      </c>
      <c r="D528" s="3">
        <v>3.0</v>
      </c>
    </row>
    <row r="529" ht="15.75" customHeight="1">
      <c r="A529" s="1">
        <v>527.0</v>
      </c>
      <c r="B529" s="3" t="s">
        <v>530</v>
      </c>
      <c r="C529" s="3" t="str">
        <f>IFERROR(__xludf.DUMMYFUNCTION("GOOGLETRANSLATE(B529,""id"",""en"")"),"['sympathy', 'signal', 'mylai', 'down', 'in room', 'open', 'signal', 'down', 'down', 'then', 'change', 'subscribe', ' simPATI ',' SPRTI ',' Move ']")</f>
        <v>['sympathy', 'signal', 'mylai', 'down', 'in room', 'open', 'signal', 'down', 'down', 'then', 'change', 'subscribe', ' simPATI ',' SPRTI ',' Move ']</v>
      </c>
      <c r="D529" s="3">
        <v>1.0</v>
      </c>
    </row>
    <row r="530" ht="15.75" customHeight="1">
      <c r="A530" s="1">
        <v>528.0</v>
      </c>
      <c r="B530" s="3" t="s">
        <v>531</v>
      </c>
      <c r="C530" s="3" t="str">
        <f>IFERROR(__xludf.DUMMYFUNCTION("GOOGLETRANSLATE(B530,""id"",""en"")"),"['Rating', 'Telkomsel', 'Nurun', 'BKN', 'Dear', 'Telkomsel', 'tlg', 'disappointing', 'customers',' may ',' Lma ',' maybe ',' trun ',' kya ',' gini ',' customer ',' moved ',' card ',' sblah ',' card ',' sblh ',' cheap ',' network ',' safe ',' sucked ' , 'p"&amp;"ulse', 'Sya', 'disappointed', 'SMA', 'Telkomsel', 'now', 'speed', 'network', 'may', 'down', 'quota', 'still', ' expensive ',' plg ',' ngeselin ',' sucked ',' pulse ',' pdhl ',' quota ',' sya ',' buy ',' pulse ',' call ',' buy ',' quota ' , 'access', 'inte"&amp;"rnet', 'quota', 'sucked', 'pulse', 'quota', '']")</f>
        <v>['Rating', 'Telkomsel', 'Nurun', 'BKN', 'Dear', 'Telkomsel', 'tlg', 'disappointing', 'customers',' may ',' Lma ',' maybe ',' trun ',' kya ',' gini ',' customer ',' moved ',' card ',' sblah ',' card ',' sblh ',' cheap ',' network ',' safe ',' sucked ' , 'pulse', 'Sya', 'disappointed', 'SMA', 'Telkomsel', 'now', 'speed', 'network', 'may', 'down', 'quota', 'still', ' expensive ',' plg ',' ngeselin ',' sucked ',' pulse ',' pdhl ',' quota ',' sya ',' buy ',' pulse ',' call ',' buy ',' quota ' , 'access', 'internet', 'quota', 'sucked', 'pulse', 'quota', '']</v>
      </c>
      <c r="D530" s="3">
        <v>1.0</v>
      </c>
    </row>
    <row r="531" ht="15.75" customHeight="1">
      <c r="A531" s="1">
        <v>529.0</v>
      </c>
      <c r="B531" s="3" t="s">
        <v>532</v>
      </c>
      <c r="C531" s="3" t="str">
        <f>IFERROR(__xludf.DUMMYFUNCTION("GOOGLETRANSLATE(B531,""id"",""en"")"),"['LENTENIR', 'Clin', 'Leech', 'land', 'era', 'difficult', 'package', 'Internet', 'Client', 'Help', 'Strength', 'Load', ' consumers', 'cheap', 'raise', 'price', 'package', 'internet']")</f>
        <v>['LENTENIR', 'Clin', 'Leech', 'land', 'era', 'difficult', 'package', 'Internet', 'Client', 'Help', 'Strength', 'Load', ' consumers', 'cheap', 'raise', 'price', 'package', 'internet']</v>
      </c>
      <c r="D531" s="3">
        <v>1.0</v>
      </c>
    </row>
    <row r="532" ht="15.75" customHeight="1">
      <c r="A532" s="1">
        <v>530.0</v>
      </c>
      <c r="B532" s="3" t="s">
        <v>533</v>
      </c>
      <c r="C532" s="3" t="str">
        <f>IFERROR(__xludf.DUMMYFUNCTION("GOOGLETRANSLATE(B532,""id"",""en"")"),"['Provider', 'like', 'nyolong', 'credit', 'quota', 'internet', 'strange', 'pulse', 'buy', 'combo', 'price', 'one hundred', ' thousand ',' pulse ',' right ',' buy ',' combo ',' price ',' leftover ',' pulses', 'sucked', 'little', 'quota', 'internet', 'emang"&amp;"' , 'Telkomsel', 'kang', 'nyolong', 'remember', 'netizen', 'Sisain', 'pulse', 'number', 'aseli', 'sumps', ""]")</f>
        <v>['Provider', 'like', 'nyolong', 'credit', 'quota', 'internet', 'strange', 'pulse', 'buy', 'combo', 'price', 'one hundred', ' thousand ',' pulse ',' right ',' buy ',' combo ',' price ',' leftover ',' pulses', 'sucked', 'little', 'quota', 'internet', 'emang' , 'Telkomsel', 'kang', 'nyolong', 'remember', 'netizen', 'Sisain', 'pulse', 'number', 'aseli', 'sumps', "]</v>
      </c>
      <c r="D532" s="3">
        <v>1.0</v>
      </c>
    </row>
    <row r="533" ht="15.75" customHeight="1">
      <c r="A533" s="1">
        <v>531.0</v>
      </c>
      <c r="B533" s="3" t="s">
        <v>534</v>
      </c>
      <c r="C533" s="3" t="str">
        <f>IFERROR(__xludf.DUMMYFUNCTION("GOOGLETRANSLATE(B533,""id"",""en"")"),"['difficult', 'really', 'opened', 'skrg', 'emg', 'network', 'Telkomsel', 'rotten', 'severe', 'severe', 'severe', 'pulp', ' ']")</f>
        <v>['difficult', 'really', 'opened', 'skrg', 'emg', 'network', 'Telkomsel', 'rotten', 'severe', 'severe', 'severe', 'pulp', ' ']</v>
      </c>
      <c r="D533" s="3">
        <v>1.0</v>
      </c>
    </row>
    <row r="534" ht="15.75" customHeight="1">
      <c r="A534" s="1">
        <v>532.0</v>
      </c>
      <c r="B534" s="3" t="s">
        <v>535</v>
      </c>
      <c r="C534" s="3" t="str">
        <f>IFERROR(__xludf.DUMMYFUNCTION("GOOGLETRANSLATE(B534,""id"",""en"")"),"['How', 'already', 'buy', 'package', 'games', 'woi']")</f>
        <v>['How', 'already', 'buy', 'package', 'games', 'woi']</v>
      </c>
      <c r="D534" s="3">
        <v>1.0</v>
      </c>
    </row>
    <row r="535" ht="15.75" customHeight="1">
      <c r="A535" s="1">
        <v>533.0</v>
      </c>
      <c r="B535" s="3" t="s">
        <v>536</v>
      </c>
      <c r="C535" s="3" t="str">
        <f>IFERROR(__xludf.DUMMYFUNCTION("GOOGLETRANSLATE(B535,""id"",""en"")"),"['buy', 'quota', 'lap', 'unlimited', 'youtube', 'gabisa', 'use', 'youtube', 'strange', 'love', 'features',' waste ',' Discard ',' money ',' already ',' buy ',' used ',' loading ',' forgiveness', 'slow', ""]")</f>
        <v>['buy', 'quota', 'lap', 'unlimited', 'youtube', 'gabisa', 'use', 'youtube', 'strange', 'love', 'features',' waste ',' Discard ',' money ',' already ',' buy ',' used ',' loading ',' forgiveness', 'slow', "]</v>
      </c>
      <c r="D535" s="3">
        <v>1.0</v>
      </c>
    </row>
    <row r="536" ht="15.75" customHeight="1">
      <c r="A536" s="1">
        <v>534.0</v>
      </c>
      <c r="B536" s="3" t="s">
        <v>537</v>
      </c>
      <c r="C536" s="3" t="str">
        <f>IFERROR(__xludf.DUMMYFUNCTION("GOOGLETRANSLATE(B536,""id"",""en"")"),"['Buy', 'Package', 'Price', 'GB', 'Should', 'GB', 'The rest', 'Mubadzir', 'Hadeh', 'Severe', 'Customer', 'Telkomsel', ' Think of ',' Child ',' Step-',' Doang ',' Telkomsel ',' Sad ',' ']")</f>
        <v>['Buy', 'Package', 'Price', 'GB', 'Should', 'GB', 'The rest', 'Mubadzir', 'Hadeh', 'Severe', 'Customer', 'Telkomsel', ' Think of ',' Child ',' Step-',' Doang ',' Telkomsel ',' Sad ',' ']</v>
      </c>
      <c r="D536" s="3">
        <v>1.0</v>
      </c>
    </row>
    <row r="537" ht="15.75" customHeight="1">
      <c r="A537" s="1">
        <v>535.0</v>
      </c>
      <c r="B537" s="3" t="s">
        <v>538</v>
      </c>
      <c r="C537" s="3" t="str">
        <f>IFERROR(__xludf.DUMMYFUNCTION("GOOGLETRANSLATE(B537,""id"",""en"")"),"['Tuker', 'Points',' HARD ',' BRP ',' TIME ',' Try ',' System ',' Busy ',' Cash ',' reset ',' remember ',' Telkomsel ',' Paketannya ',' expensive ',' lohh ',' customer ',' disappointed ',' Thanks', 'hiww']")</f>
        <v>['Tuker', 'Points',' HARD ',' BRP ',' TIME ',' Try ',' System ',' Busy ',' Cash ',' reset ',' remember ',' Telkomsel ',' Paketannya ',' expensive ',' lohh ',' customer ',' disappointed ',' Thanks', 'hiww']</v>
      </c>
      <c r="D537" s="3">
        <v>1.0</v>
      </c>
    </row>
    <row r="538" ht="15.75" customHeight="1">
      <c r="A538" s="1">
        <v>536.0</v>
      </c>
      <c r="B538" s="3" t="s">
        <v>539</v>
      </c>
      <c r="C538" s="3" t="str">
        <f>IFERROR(__xludf.DUMMYFUNCTION("GOOGLETRANSLATE(B538,""id"",""en"")"),"['Disappointed', 'APK', 'Program', 'Daily', 'Chekin', 'right', 'get', 'quota', 'GB', 'ilang', 'program', 'wife', ' Brother ',' ngelamin ',' sense ',' operator ',' Professional ',' ']")</f>
        <v>['Disappointed', 'APK', 'Program', 'Daily', 'Chekin', 'right', 'get', 'quota', 'GB', 'ilang', 'program', 'wife', ' Brother ',' ngelamin ',' sense ',' operator ',' Professional ',' ']</v>
      </c>
      <c r="D538" s="3">
        <v>1.0</v>
      </c>
    </row>
    <row r="539" ht="15.75" customHeight="1">
      <c r="A539" s="1">
        <v>537.0</v>
      </c>
      <c r="B539" s="3" t="s">
        <v>540</v>
      </c>
      <c r="C539" s="3" t="str">
        <f>IFERROR(__xludf.DUMMYFUNCTION("GOOGLETRANSLATE(B539,""id"",""en"")"),"['Severe' 'application', 'signal', 'run', 'application', 'smooth', 'smooth', 'turn', 'open', 'Telkomsel', 'slow', 'severe', ' really ',' kayak ',' slamming ',' please ',' repaired ',' bug ']")</f>
        <v>['Severe' 'application', 'signal', 'run', 'application', 'smooth', 'smooth', 'turn', 'open', 'Telkomsel', 'slow', 'severe', ' really ',' kayak ',' slamming ',' please ',' repaired ',' bug ']</v>
      </c>
      <c r="D539" s="3">
        <v>1.0</v>
      </c>
    </row>
    <row r="540" ht="15.75" customHeight="1">
      <c r="A540" s="1">
        <v>538.0</v>
      </c>
      <c r="B540" s="3" t="s">
        <v>541</v>
      </c>
      <c r="C540" s="3" t="str">
        <f>IFERROR(__xludf.DUMMYFUNCTION("GOOGLETRANSLATE(B540,""id"",""en"")"),"['use', 'card', 'Telkomsel', 'connection', 'internet', 'quota', 'pulse', 'until', 'rich', 'gini', 'darling', 'get', ' pulse ',' school ',' quota ',' kemendikbud ',' sosmed ']")</f>
        <v>['use', 'card', 'Telkomsel', 'connection', 'internet', 'quota', 'pulse', 'until', 'rich', 'gini', 'darling', 'get', ' pulse ',' school ',' quota ',' kemendikbud ',' sosmed ']</v>
      </c>
      <c r="D540" s="3">
        <v>1.0</v>
      </c>
    </row>
    <row r="541" ht="15.75" customHeight="1">
      <c r="A541" s="1">
        <v>539.0</v>
      </c>
      <c r="B541" s="3" t="s">
        <v>542</v>
      </c>
      <c r="C541" s="3" t="str">
        <f>IFERROR(__xludf.DUMMYFUNCTION("GOOGLETRANSLATE(B541,""id"",""en"")"),"['Severe', 'Telkomsel', 'quota', 'expensive', 'signal', 'stable', 'crazy', 'really', 'search', 'fortunately', 'complain', 'response', ' Protest ',' Gubris', 'Search', 'Severe', 'Severe', 'Ngilak', 'buy', 'quota', 'expensive', 'expensive', 'love', 'signal'"&amp;", 'stable' , 'oath', 'Mending', 'Tower', 'Telkomsel', 'ROBOHIN', 'User', 'Move', 'Provider']")</f>
        <v>['Severe', 'Telkomsel', 'quota', 'expensive', 'signal', 'stable', 'crazy', 'really', 'search', 'fortunately', 'complain', 'response', ' Protest ',' Gubris', 'Search', 'Severe', 'Severe', 'Ngilak', 'buy', 'quota', 'expensive', 'expensive', 'love', 'signal', 'stable' , 'oath', 'Mending', 'Tower', 'Telkomsel', 'ROBOHIN', 'User', 'Move', 'Provider']</v>
      </c>
      <c r="D541" s="3">
        <v>1.0</v>
      </c>
    </row>
    <row r="542" ht="15.75" customHeight="1">
      <c r="A542" s="1">
        <v>540.0</v>
      </c>
      <c r="B542" s="3" t="s">
        <v>543</v>
      </c>
      <c r="C542" s="3" t="str">
        <f>IFERROR(__xludf.DUMMYFUNCTION("GOOGLETRANSLATE(B542,""id"",""en"")"),"['Severe', 'card', 'smpe', 'change', 'package', 'cheap', 'price', 'card', 'cheap', 'how', 'user', 'love', ' Bonus', 'wasted', 'honest', 'disappointed', 'really', 'me', 'Gunain', 'sympathy', 'loop', 'btw', 'disappointed']")</f>
        <v>['Severe', 'card', 'smpe', 'change', 'package', 'cheap', 'price', 'card', 'cheap', 'how', 'user', 'love', ' Bonus', 'wasted', 'honest', 'disappointed', 'really', 'me', 'Gunain', 'sympathy', 'loop', 'btw', 'disappointed']</v>
      </c>
      <c r="D542" s="3">
        <v>1.0</v>
      </c>
    </row>
    <row r="543" ht="15.75" customHeight="1">
      <c r="A543" s="1">
        <v>541.0</v>
      </c>
      <c r="B543" s="3" t="s">
        <v>544</v>
      </c>
      <c r="C543" s="3" t="str">
        <f>IFERROR(__xludf.DUMMYFUNCTION("GOOGLETRANSLATE(B543,""id"",""en"")"),"['WOI', 'Telkomsel', 'intention', 'company', 'mending', 'closed', 'signal', 'slow', 'package', 'expensive', 'according to', 'expected', ' ']")</f>
        <v>['WOI', 'Telkomsel', 'intention', 'company', 'mending', 'closed', 'signal', 'slow', 'package', 'expensive', 'according to', 'expected', ' ']</v>
      </c>
      <c r="D543" s="3">
        <v>1.0</v>
      </c>
    </row>
    <row r="544" ht="15.75" customHeight="1">
      <c r="A544" s="1">
        <v>542.0</v>
      </c>
      <c r="B544" s="3" t="s">
        <v>545</v>
      </c>
      <c r="C544" s="3" t="str">
        <f>IFERROR(__xludf.DUMMYFUNCTION("GOOGLETRANSLATE(B544,""id"",""en"")"),"['practical', 'efficient', 'service', 'post', 'pay', 'internet', 'speeding', 'free', 'access',' anything ',' boundary ',' beg ',' Increase ',' Service ',' Signal ',' ']")</f>
        <v>['practical', 'efficient', 'service', 'post', 'pay', 'internet', 'speeding', 'free', 'access',' anything ',' boundary ',' beg ',' Increase ',' Service ',' Signal ',' ']</v>
      </c>
      <c r="D544" s="3">
        <v>5.0</v>
      </c>
    </row>
    <row r="545" ht="15.75" customHeight="1">
      <c r="A545" s="1">
        <v>543.0</v>
      </c>
      <c r="B545" s="3" t="s">
        <v>546</v>
      </c>
      <c r="C545" s="3" t="str">
        <f>IFERROR(__xludf.DUMMYFUNCTION("GOOGLETRANSLATE(B545,""id"",""en"")"),"['users',' loyal ',' Telkomsel ',' disappointed ',' network ',' Telkomsel ',' ugly ',' fake ',' provider ',' sorry ',' say ',' congratulations', ' Stayed ',' Telkomsel ']")</f>
        <v>['users',' loyal ',' Telkomsel ',' disappointed ',' network ',' Telkomsel ',' ugly ',' fake ',' provider ',' sorry ',' say ',' congratulations', ' Stayed ',' Telkomsel ']</v>
      </c>
      <c r="D545" s="3">
        <v>1.0</v>
      </c>
    </row>
    <row r="546" ht="15.75" customHeight="1">
      <c r="A546" s="1">
        <v>544.0</v>
      </c>
      <c r="B546" s="3" t="s">
        <v>547</v>
      </c>
      <c r="C546" s="3" t="str">
        <f>IFERROR(__xludf.DUMMYFUNCTION("GOOGLETRANSLATE(B546,""id"",""en"")"),"['The network', 'Please', 'Fix', 'Fast', 'Please', 'Change', 'Mode', 'Set', 'Network', 'Please', 'Support', 'Telkomsel', ' Play ',' Game ',' Ngelag ',' Card ']")</f>
        <v>['The network', 'Please', 'Fix', 'Fast', 'Please', 'Change', 'Mode', 'Set', 'Network', 'Please', 'Support', 'Telkomsel', ' Play ',' Game ',' Ngelag ',' Card ']</v>
      </c>
      <c r="D546" s="3">
        <v>1.0</v>
      </c>
    </row>
    <row r="547" ht="15.75" customHeight="1">
      <c r="A547" s="1">
        <v>545.0</v>
      </c>
      <c r="B547" s="3" t="s">
        <v>548</v>
      </c>
      <c r="C547" s="3" t="str">
        <f>IFERROR(__xludf.DUMMYFUNCTION("GOOGLETRANSLATE(B547,""id"",""en"")"),"['network', 'slow', 'application', 'difficult', 'opened', 'SJA', 'pulse', 'suck', 'package', 'teach', 'return', 'network']")</f>
        <v>['network', 'slow', 'application', 'difficult', 'opened', 'SJA', 'pulse', 'suck', 'package', 'teach', 'return', 'network']</v>
      </c>
      <c r="D547" s="3">
        <v>1.0</v>
      </c>
    </row>
    <row r="548" ht="15.75" customHeight="1">
      <c r="A548" s="1">
        <v>546.0</v>
      </c>
      <c r="B548" s="3" t="s">
        <v>549</v>
      </c>
      <c r="C548" s="3" t="str">
        <f>IFERROR(__xludf.DUMMYFUNCTION("GOOGLETRANSLATE(B548,""id"",""en"")"),"['Telkomsel', 'Selawain', 'Sudiocre', 'Network', 'Play', 'Game', 'Lemot', 'Game', 'Application', 'Improvement', 'Hopefully', 'Fix', ' fast', '']")</f>
        <v>['Telkomsel', 'Selawain', 'Sudiocre', 'Network', 'Play', 'Game', 'Lemot', 'Game', 'Application', 'Improvement', 'Hopefully', 'Fix', ' fast', '']</v>
      </c>
      <c r="D548" s="3">
        <v>1.0</v>
      </c>
    </row>
    <row r="549" ht="15.75" customHeight="1">
      <c r="A549" s="1">
        <v>547.0</v>
      </c>
      <c r="B549" s="3" t="s">
        <v>550</v>
      </c>
      <c r="C549" s="3" t="str">
        <f>IFERROR(__xludf.DUMMYFUNCTION("GOOGLETRANSLATE(B549,""id"",""en"")"),"['Disappointed', 'heavy', 'pulse', 'me', 'ghoib', 'reduced', 'quota', 'notification', 'access',' internet ',' quota ',' pulse ',' I ',' Reduced ',' clarity ',' ']")</f>
        <v>['Disappointed', 'heavy', 'pulse', 'me', 'ghoib', 'reduced', 'quota', 'notification', 'access',' internet ',' quota ',' pulse ',' I ',' Reduced ',' clarity ',' ']</v>
      </c>
      <c r="D549" s="3">
        <v>1.0</v>
      </c>
    </row>
    <row r="550" ht="15.75" customHeight="1">
      <c r="A550" s="1">
        <v>548.0</v>
      </c>
      <c r="B550" s="3" t="s">
        <v>551</v>
      </c>
      <c r="C550" s="3" t="str">
        <f>IFERROR(__xludf.DUMMYFUNCTION("GOOGLETRANSLATE(B550,""id"",""en"")"),"['package', 'combo', 'GB', 'might', 'expensive', 'kirain', 'expensive', 'package', 'trtamba', 'sms',' tlfn ',' data ',' Mlah ',' trkurang ',' tlfn ',' dpat ',' minutes', 'now', 'mnit', 'price', 'mah', 'jdi', 'rb', 'fasting' , 'NOT', 'BRSDEKAH', 'Mah', 'Bk"&amp;"in', 'Knsumen', 'Emotion', '']")</f>
        <v>['package', 'combo', 'GB', 'might', 'expensive', 'kirain', 'expensive', 'package', 'trtamba', 'sms',' tlfn ',' data ',' Mlah ',' trkurang ',' tlfn ',' dpat ',' minutes', 'now', 'mnit', 'price', 'mah', 'jdi', 'rb', 'fasting' , 'NOT', 'BRSDEKAH', 'Mah', 'Bkin', 'Knsumen', 'Emotion', '']</v>
      </c>
      <c r="D550" s="3">
        <v>3.0</v>
      </c>
    </row>
    <row r="551" ht="15.75" customHeight="1">
      <c r="A551" s="1">
        <v>549.0</v>
      </c>
      <c r="B551" s="3" t="s">
        <v>552</v>
      </c>
      <c r="C551" s="3" t="str">
        <f>IFERROR(__xludf.DUMMYFUNCTION("GOOGLETRANSLATE(B551,""id"",""en"")"),"['Telkomsel', 'sucked', 'pulse', 'really', 'package', 'run out', 'pulses',' sumps', 'replace', 'card', 'rich', 'gini', ' make a loss']")</f>
        <v>['Telkomsel', 'sucked', 'pulse', 'really', 'package', 'run out', 'pulses',' sumps', 'replace', 'card', 'rich', 'gini', ' make a loss']</v>
      </c>
      <c r="D551" s="3">
        <v>1.0</v>
      </c>
    </row>
    <row r="552" ht="15.75" customHeight="1">
      <c r="A552" s="1">
        <v>550.0</v>
      </c>
      <c r="B552" s="3" t="s">
        <v>553</v>
      </c>
      <c r="C552" s="3" t="str">
        <f>IFERROR(__xludf.DUMMYFUNCTION("GOOGLETRANSLATE(B552,""id"",""en"")"),"['Siknal', 'Telkomsel', 'Like', 'Good', 'Lakok', 'Negeri', 'Klau', 'Repaired', 'Left', 'Consumer', 'Ayooo', 'Telkomsel', ' Fix ',' Strengthen ',' Siknal ',' Annoyed ',' Job ',' Relationship ',' Internet ',' Loading ',' Slow ',' Job ',' Disturbed ', ""]")</f>
        <v>['Siknal', 'Telkomsel', 'Like', 'Good', 'Lakok', 'Negeri', 'Klau', 'Repaired', 'Left', 'Consumer', 'Ayooo', 'Telkomsel', ' Fix ',' Strengthen ',' Siknal ',' Annoyed ',' Job ',' Relationship ',' Internet ',' Loading ',' Slow ',' Job ',' Disturbed ', "]</v>
      </c>
      <c r="D552" s="3">
        <v>2.0</v>
      </c>
    </row>
    <row r="553" ht="15.75" customHeight="1">
      <c r="A553" s="1">
        <v>551.0</v>
      </c>
      <c r="B553" s="3" t="s">
        <v>554</v>
      </c>
      <c r="C553" s="3" t="str">
        <f>IFERROR(__xludf.DUMMYFUNCTION("GOOGLETRANSLATE(B553,""id"",""en"")"),"['Telkomsel', 'paraahhh', 'Sinyalll', 'Lemottttt', 'Telkomsel', 'as good', 'quota', 'network', 'slow', 'bngt', 'signal', 'full', ' slow', '']")</f>
        <v>['Telkomsel', 'paraahhh', 'Sinyalll', 'Lemottttt', 'Telkomsel', 'as good', 'quota', 'network', 'slow', 'bngt', 'signal', 'full', ' slow', '']</v>
      </c>
      <c r="D553" s="3">
        <v>5.0</v>
      </c>
    </row>
    <row r="554" ht="15.75" customHeight="1">
      <c r="A554" s="1">
        <v>552.0</v>
      </c>
      <c r="B554" s="3" t="s">
        <v>555</v>
      </c>
      <c r="C554" s="3" t="str">
        <f>IFERROR(__xludf.DUMMYFUNCTION("GOOGLETRANSLATE(B554,""id"",""en"")"),"['Experience', 'bad', 'in the future', 'quality', 'application', 'deteriorating', 'customer', 'increases',' developer ',' relax ',' care ',' obstacle ',' experienced ',' customer ',' auto ',' uninstall ',' ']")</f>
        <v>['Experience', 'bad', 'in the future', 'quality', 'application', 'deteriorating', 'customer', 'increases',' developer ',' relax ',' care ',' obstacle ',' experienced ',' customer ',' auto ',' uninstall ',' ']</v>
      </c>
      <c r="D554" s="3">
        <v>1.0</v>
      </c>
    </row>
    <row r="555" ht="15.75" customHeight="1">
      <c r="A555" s="1">
        <v>553.0</v>
      </c>
      <c r="B555" s="3" t="s">
        <v>556</v>
      </c>
      <c r="C555" s="3" t="str">
        <f>IFERROR(__xludf.DUMMYFUNCTION("GOOGLETRANSLATE(B555,""id"",""en"")"),"['application', 'check', 'daily', 'claim', 'GB', 'open', 'then', 'alias',' something ',' wrong ',' error ',' then ',' Application ',' Gaje ',' ']")</f>
        <v>['application', 'check', 'daily', 'claim', 'GB', 'open', 'then', 'alias',' something ',' wrong ',' error ',' then ',' Application ',' Gaje ',' ']</v>
      </c>
      <c r="D555" s="3">
        <v>1.0</v>
      </c>
    </row>
    <row r="556" ht="15.75" customHeight="1">
      <c r="A556" s="1">
        <v>554.0</v>
      </c>
      <c r="B556" s="3" t="s">
        <v>557</v>
      </c>
      <c r="C556" s="3" t="str">
        <f>IFERROR(__xludf.DUMMYFUNCTION("GOOGLETRANSLATE(B556,""id"",""en"")"),"['Star', 'cave', 'love', 'wkekekw', 'replace', 'replace', 'troubles',' see ',' track ',' purchase ',' cave ',' Telkomsel ',' Gini ',' fix ',' replace ',' provider ',' network ',' bosss', 'harmed', 'buy', 'package', 'omg', 'rb', 'sometimes',' a month ' , '"&amp;"Network', 'Bad', 'Bye', 'Telkomsel', '']")</f>
        <v>['Star', 'cave', 'love', 'wkekekw', 'replace', 'replace', 'troubles',' see ',' track ',' purchase ',' cave ',' Telkomsel ',' Gini ',' fix ',' replace ',' provider ',' network ',' bosss', 'harmed', 'buy', 'package', 'omg', 'rb', 'sometimes',' a month ' , 'Network', 'Bad', 'Bye', 'Telkomsel', '']</v>
      </c>
      <c r="D556" s="3">
        <v>1.0</v>
      </c>
    </row>
    <row r="557" ht="15.75" customHeight="1">
      <c r="A557" s="1">
        <v>555.0</v>
      </c>
      <c r="B557" s="3" t="s">
        <v>558</v>
      </c>
      <c r="C557" s="3" t="str">
        <f>IFERROR(__xludf.DUMMYFUNCTION("GOOGLETRANSLATE(B557,""id"",""en"")"),"['Application', 'artificial', 'Telkomsel', 'run', 'network', 'Telkomsel', 'connection', 'stable', 'service', 'complicated', 'sued', 'application', ' The application ',' relied on ', ""]")</f>
        <v>['Application', 'artificial', 'Telkomsel', 'run', 'network', 'Telkomsel', 'connection', 'stable', 'service', 'complicated', 'sued', 'application', ' The application ',' relied on ', "]</v>
      </c>
      <c r="D557" s="3">
        <v>1.0</v>
      </c>
    </row>
    <row r="558" ht="15.75" customHeight="1">
      <c r="A558" s="1">
        <v>556.0</v>
      </c>
      <c r="B558" s="3" t="s">
        <v>559</v>
      </c>
      <c r="C558" s="3" t="str">
        <f>IFERROR(__xludf.DUMMYFUNCTION("GOOGLETRANSLATE(B558,""id"",""en"")"),"['Haloo', 'Karahoa', 'network', 'internet', 'provider', 'cheap', 'yaa', 'disappointed', 'me', 'really', 'recomend', 'looh', ' aylaah ',' price ',' quality ',' ']")</f>
        <v>['Haloo', 'Karahoa', 'network', 'internet', 'provider', 'cheap', 'yaa', 'disappointed', 'me', 'really', 'recomend', 'looh', ' aylaah ',' price ',' quality ',' ']</v>
      </c>
      <c r="D558" s="3">
        <v>1.0</v>
      </c>
    </row>
    <row r="559" ht="15.75" customHeight="1">
      <c r="A559" s="1">
        <v>557.0</v>
      </c>
      <c r="B559" s="3" t="s">
        <v>560</v>
      </c>
      <c r="C559" s="3" t="str">
        <f>IFERROR(__xludf.DUMMYFUNCTION("GOOGLETRANSLATE(B559,""id"",""en"")"),"['Come', 'Telkomsel', 'The application', 'problematic', 'The network', 'That's', 'Ntah']")</f>
        <v>['Come', 'Telkomsel', 'The application', 'problematic', 'The network', 'That's', 'Ntah']</v>
      </c>
      <c r="D559" s="3">
        <v>1.0</v>
      </c>
    </row>
    <row r="560" ht="15.75" customHeight="1">
      <c r="A560" s="1">
        <v>558.0</v>
      </c>
      <c r="B560" s="3" t="s">
        <v>561</v>
      </c>
      <c r="C560" s="3" t="str">
        <f>IFERROR(__xludf.DUMMYFUNCTION("GOOGLETRANSLATE(B560,""id"",""en"")"),"['already', 'loyal', 'Telkomsel', 'times',' buy ',' loyal ',' Telkomsel ',' Krna ',' The network ',' smooth ',' promo ',' provided ',' interesting', '']")</f>
        <v>['already', 'loyal', 'Telkomsel', 'times',' buy ',' loyal ',' Telkomsel ',' Krna ',' The network ',' smooth ',' promo ',' provided ',' interesting', '']</v>
      </c>
      <c r="D560" s="3">
        <v>5.0</v>
      </c>
    </row>
    <row r="561" ht="15.75" customHeight="1">
      <c r="A561" s="1">
        <v>559.0</v>
      </c>
      <c r="B561" s="3" t="s">
        <v>562</v>
      </c>
      <c r="C561" s="3" t="str">
        <f>IFERROR(__xludf.DUMMYFUNCTION("GOOGLETRANSLATE(B561,""id"",""en"")"),"['', 'org', 'print', 'number', 'right', 'card', 'buy', 'debt', 'collector', 'bank', 'telephone', 'NMR', 'List ',' check ',' use ',' get ',' contact ',' NMR ',' name ',' save ',' org ',' exactly ',' name ',' debt ',' collector ', 'bank', 'contact', 'gmna',"&amp;" 'klw', 'org', 'waste', 'nmr', 'knpa', 'activate', 'work', 'NMR', 'lazy', 'gmna ',' NMR ',' active ',' activated ',' sell ',' weirdh ',' damn ', ""]")</f>
        <v>['', 'org', 'print', 'number', 'right', 'card', 'buy', 'debt', 'collector', 'bank', 'telephone', 'NMR', 'List ',' check ',' use ',' get ',' contact ',' NMR ',' name ',' save ',' org ',' exactly ',' name ',' debt ',' collector ', 'bank', 'contact', 'gmna', 'klw', 'org', 'waste', 'nmr', 'knpa', 'activate', 'work', 'NMR', 'lazy', 'gmna ',' NMR ',' active ',' activated ',' sell ',' weirdh ',' damn ', "]</v>
      </c>
      <c r="D561" s="3">
        <v>1.0</v>
      </c>
    </row>
    <row r="562" ht="15.75" customHeight="1">
      <c r="A562" s="1">
        <v>560.0</v>
      </c>
      <c r="B562" s="3" t="s">
        <v>563</v>
      </c>
      <c r="C562" s="3" t="str">
        <f>IFERROR(__xludf.DUMMYFUNCTION("GOOGLETRANSLATE(B562,""id"",""en"")"),"['Woyy', 'maker', 'application', 'Please', 'signal', 'good', 'Bukak', 'APK', 'connection', 'stable', 'truss',' please ',' Fix ',' what ',' buy ',' quota ',' Bukak ',' APK ',' please ',' please ',' fix ',' understand ', ""]")</f>
        <v>['Woyy', 'maker', 'application', 'Please', 'signal', 'good', 'Bukak', 'APK', 'connection', 'stable', 'truss',' please ',' Fix ',' what ',' buy ',' quota ',' Bukak ',' APK ',' please ',' please ',' fix ',' understand ', "]</v>
      </c>
      <c r="D562" s="3">
        <v>2.0</v>
      </c>
    </row>
    <row r="563" ht="15.75" customHeight="1">
      <c r="A563" s="1">
        <v>561.0</v>
      </c>
      <c r="B563" s="3" t="s">
        <v>564</v>
      </c>
      <c r="C563" s="3" t="str">
        <f>IFERROR(__xludf.DUMMYFUNCTION("GOOGLETRANSLATE(B563,""id"",""en"")"),"['difficult', 'enter', 'Telkomsel', 'times',' try ',' it events', 'fill out', 'extend', 'package', 'internet', 'please', 'repair', ' ']")</f>
        <v>['difficult', 'enter', 'Telkomsel', 'times',' try ',' it events', 'fill out', 'extend', 'package', 'internet', 'please', 'repair', ' ']</v>
      </c>
      <c r="D563" s="3">
        <v>2.0</v>
      </c>
    </row>
    <row r="564" ht="15.75" customHeight="1">
      <c r="A564" s="1">
        <v>562.0</v>
      </c>
      <c r="B564" s="3" t="s">
        <v>565</v>
      </c>
      <c r="C564" s="3" t="str">
        <f>IFERROR(__xludf.DUMMYFUNCTION("GOOGLETRANSLATE(B564,""id"",""en"")"),"['UDH', 'Telkomsel', 'BRTIM', 'UDH', 'TOPUP', 'BRJILA', 'Disappointed', 'Bngt', 'Package', 'Combo', 'Sakti', 'Cave', ' Lost ',' tmn ',' tmn ',' pngguna ',' combo ',' sakti ',' krtu ',' broke ',' then ',' replace ',' card ',' can ',' combo ' , 'saktinya', "&amp;"'lgi', 'surprised', 'user', 'love', 'cheap', 'plague', 'expensive', '']")</f>
        <v>['UDH', 'Telkomsel', 'BRTIM', 'UDH', 'TOPUP', 'BRJILA', 'Disappointed', 'Bngt', 'Package', 'Combo', 'Sakti', 'Cave', ' Lost ',' tmn ',' tmn ',' pngguna ',' combo ',' sakti ',' krtu ',' broke ',' then ',' replace ',' card ',' can ',' combo ' , 'saktinya', 'lgi', 'surprised', 'user', 'love', 'cheap', 'plague', 'expensive', '']</v>
      </c>
      <c r="D564" s="3">
        <v>1.0</v>
      </c>
    </row>
    <row r="565" ht="15.75" customHeight="1">
      <c r="A565" s="1">
        <v>563.0</v>
      </c>
      <c r="B565" s="3" t="s">
        <v>566</v>
      </c>
      <c r="C565" s="3" t="str">
        <f>IFERROR(__xludf.DUMMYFUNCTION("GOOGLETRANSLATE(B565,""id"",""en"")"),"['Telkomsel', 'connection', 'bad', 'open', 'app', 'Telkomsel', 'try', 'Try', 'Telkomsel', 'debt', 'Kubota', 'GB', ' Claims', 'check', 'daily', 'poor']")</f>
        <v>['Telkomsel', 'connection', 'bad', 'open', 'app', 'Telkomsel', 'try', 'Try', 'Telkomsel', 'debt', 'Kubota', 'GB', ' Claims', 'check', 'daily', 'poor']</v>
      </c>
      <c r="D565" s="3">
        <v>3.0</v>
      </c>
    </row>
    <row r="566" ht="15.75" customHeight="1">
      <c r="A566" s="1">
        <v>564.0</v>
      </c>
      <c r="B566" s="3" t="s">
        <v>567</v>
      </c>
      <c r="C566" s="3" t="str">
        <f>IFERROR(__xludf.DUMMYFUNCTION("GOOGLETRANSLATE(B566,""id"",""en"")"),"['', 'Telkomsel', 'open', 'told', 'Load', 'reset', 'price', 'package', 'signal', 'fix', 'signal', 'Telkomsel', 'taste ',' Axis', 'price', 'exorbitant', ""]")</f>
        <v>['', 'Telkomsel', 'open', 'told', 'Load', 'reset', 'price', 'package', 'signal', 'fix', 'signal', 'Telkomsel', 'taste ',' Axis', 'price', 'exorbitant', "]</v>
      </c>
      <c r="D566" s="3">
        <v>1.0</v>
      </c>
    </row>
    <row r="567" ht="15.75" customHeight="1">
      <c r="A567" s="1">
        <v>565.0</v>
      </c>
      <c r="B567" s="3" t="s">
        <v>568</v>
      </c>
      <c r="C567" s="3" t="str">
        <f>IFERROR(__xludf.DUMMYFUNCTION("GOOGLETRANSLATE(B567,""id"",""en"")"),"['Knp', 'here', 'network', 'Telkomsel', 'good', 'slow', 'skrng', 'disappointed', 'Jaringa', 'Telkomsel', 'Sya', 'bad', ' ']")</f>
        <v>['Knp', 'here', 'network', 'Telkomsel', 'good', 'slow', 'skrng', 'disappointed', 'Jaringa', 'Telkomsel', 'Sya', 'bad', ' ']</v>
      </c>
      <c r="D567" s="3">
        <v>2.0</v>
      </c>
    </row>
    <row r="568" ht="15.75" customHeight="1">
      <c r="A568" s="1">
        <v>566.0</v>
      </c>
      <c r="B568" s="3" t="s">
        <v>569</v>
      </c>
      <c r="C568" s="3" t="str">
        <f>IFERROR(__xludf.DUMMYFUNCTION("GOOGLETRANSLATE(B568,""id"",""en"")"),"['application', 'good', 'the application', 'difficult', 'open', 'pulse', 'sumps',' run out ',' harmed ',' purchase ',' package ',' internet ',' Sekrang ',' Pay ',' Use ',' Shopee ',' Pay ',' Please ',' Fix ',' Thank you ', ""]")</f>
        <v>['application', 'good', 'the application', 'difficult', 'open', 'pulse', 'sumps',' run out ',' harmed ',' purchase ',' package ',' internet ',' Sekrang ',' Pay ',' Use ',' Shopee ',' Pay ',' Please ',' Fix ',' Thank you ', "]</v>
      </c>
      <c r="D568" s="3">
        <v>1.0</v>
      </c>
    </row>
    <row r="569" ht="15.75" customHeight="1">
      <c r="A569" s="1">
        <v>567.0</v>
      </c>
      <c r="B569" s="3" t="s">
        <v>570</v>
      </c>
      <c r="C569" s="3" t="str">
        <f>IFERROR(__xludf.DUMMYFUNCTION("GOOGLETRANSLATE(B569,""id"",""en"")"),"['Astagaaa', 'Telkomsel', 'intention', 'sihh', 'help', 'people', 'at the same time', 'online', 'Telkomsel', 'app', 'connects',' network ',' Full ',' already ',' package ',' expensive ',' then ',' no ',' according to ',' network ',' super ',' sleep ',' dis"&amp;"appointed ',' Telkomsel ',' Makai ' , 'Telkomsel']")</f>
        <v>['Astagaaa', 'Telkomsel', 'intention', 'sihh', 'help', 'people', 'at the same time', 'online', 'Telkomsel', 'app', 'connects',' network ',' Full ',' already ',' package ',' expensive ',' then ',' no ',' according to ',' network ',' super ',' sleep ',' disappointed ',' Telkomsel ',' Makai ' , 'Telkomsel']</v>
      </c>
      <c r="D569" s="3">
        <v>1.0</v>
      </c>
    </row>
    <row r="570" ht="15.75" customHeight="1">
      <c r="A570" s="1">
        <v>568.0</v>
      </c>
      <c r="B570" s="3" t="s">
        <v>571</v>
      </c>
      <c r="C570" s="3" t="str">
        <f>IFERROR(__xludf.DUMMYFUNCTION("GOOGLETRANSLATE(B570,""id"",""en"")"),"['application', 'heavy', 'application', 'open', 'language', 'randomnya', 'language', 'English', 'prioritizes',' people ',' foreign ',' hi ',' Telkomsel ',' company ',' owned ',' Indonesia ',' credit ',' missing ',' apparently ',' expensive ',' ADL ',' BUM"&amp;"N ',' Jadihlah ',' siden ',' to ' , 'People', 'Bnyk', 'tired', 'typing', '']")</f>
        <v>['application', 'heavy', 'application', 'open', 'language', 'randomnya', 'language', 'English', 'prioritizes',' people ',' foreign ',' hi ',' Telkomsel ',' company ',' owned ',' Indonesia ',' credit ',' missing ',' apparently ',' expensive ',' ADL ',' BUMN ',' Jadihlah ',' siden ',' to ' , 'People', 'Bnyk', 'tired', 'typing', '']</v>
      </c>
      <c r="D570" s="3">
        <v>1.0</v>
      </c>
    </row>
    <row r="571" ht="15.75" customHeight="1">
      <c r="A571" s="1">
        <v>569.0</v>
      </c>
      <c r="B571" s="3" t="s">
        <v>572</v>
      </c>
      <c r="C571" s="3" t="str">
        <f>IFERROR(__xludf.DUMMYFUNCTION("GOOGLETRANSLATE(B571,""id"",""en"")"),"['Please', 'Fix', 'Application', 'Buy', 'Package', 'Network', 'Open', 'Telkomsel', 'Loading', 'reset', ""]")</f>
        <v>['Please', 'Fix', 'Application', 'Buy', 'Package', 'Network', 'Open', 'Telkomsel', 'Loading', 'reset', "]</v>
      </c>
      <c r="D571" s="3">
        <v>1.0</v>
      </c>
    </row>
    <row r="572" ht="15.75" customHeight="1">
      <c r="A572" s="1">
        <v>570.0</v>
      </c>
      <c r="B572" s="3" t="s">
        <v>573</v>
      </c>
      <c r="C572" s="3" t="str">
        <f>IFERROR(__xludf.DUMMYFUNCTION("GOOGLETRANSLATE(B572,""id"",""en"")"),"['network', 'slow', 'suits',' Telkomsel ',' good ',' network ',' tpi ',' slow ',' pket ',' data ',' full ',' turn ',' Clay ',' Application ',' Watch ',' Video ',' Muter ',' Disappointed ',' Audience ']")</f>
        <v>['network', 'slow', 'suits',' Telkomsel ',' good ',' network ',' tpi ',' slow ',' pket ',' data ',' full ',' turn ',' Clay ',' Application ',' Watch ',' Video ',' Muter ',' Disappointed ',' Audience ']</v>
      </c>
      <c r="D572" s="3">
        <v>1.0</v>
      </c>
    </row>
    <row r="573" ht="15.75" customHeight="1">
      <c r="A573" s="1">
        <v>571.0</v>
      </c>
      <c r="B573" s="3" t="s">
        <v>574</v>
      </c>
      <c r="C573" s="3" t="str">
        <f>IFERROR(__xludf.DUMMYFUNCTION("GOOGLETRANSLATE(B573,""id"",""en"")"),"['Provider', 'the most expensive', 'Initerate', 'Mentang', 'Messang', 'User', 'Belagu', 'stingy', 'bonus',' bonus', 'pity', 'people', ' Muffier ',' school ',' buy ',' package ',' data ',' study ',' online ',' hope ',' Telkomsel ',' users', 'fast', 'bankru"&amp;"pt', 'amien' , '']")</f>
        <v>['Provider', 'the most expensive', 'Initerate', 'Mentang', 'Messang', 'User', 'Belagu', 'stingy', 'bonus',' bonus', 'pity', 'people', ' Muffier ',' school ',' buy ',' package ',' data ',' study ',' online ',' hope ',' Telkomsel ',' users', 'fast', 'bankrupt', 'amien' , '']</v>
      </c>
      <c r="D573" s="3">
        <v>1.0</v>
      </c>
    </row>
    <row r="574" ht="15.75" customHeight="1">
      <c r="A574" s="1">
        <v>572.0</v>
      </c>
      <c r="B574" s="3" t="s">
        <v>575</v>
      </c>
      <c r="C574" s="3" t="str">
        <f>IFERROR(__xludf.DUMMYFUNCTION("GOOGLETRANSLATE(B574,""id"",""en"")"),"['Telkomsel', 'try', 'check', 'purchase', 'package', 'data', 'backward', 'date', 'read', 'notif', 'sms',' customer ',' Knp ',' complain ',' hope ',' improvement ',' ']")</f>
        <v>['Telkomsel', 'try', 'check', 'purchase', 'package', 'data', 'backward', 'date', 'read', 'notif', 'sms',' customer ',' Knp ',' complain ',' hope ',' improvement ',' ']</v>
      </c>
      <c r="D574" s="3">
        <v>2.0</v>
      </c>
    </row>
    <row r="575" ht="15.75" customHeight="1">
      <c r="A575" s="1">
        <v>573.0</v>
      </c>
      <c r="B575" s="3" t="s">
        <v>576</v>
      </c>
      <c r="C575" s="3" t="str">
        <f>IFERROR(__xludf.DUMMYFUNCTION("GOOGLETRANSLATE(B575,""id"",""en"")"),"['sympathy', 'stubborn', 'clock', 'night', 'pulse', 'lost', 'turn on', 'data', 'package', 'acting', 'company', 'emang', ' His employees', 'Bandel', 'Please', 'Report', 'The Application']")</f>
        <v>['sympathy', 'stubborn', 'clock', 'night', 'pulse', 'lost', 'turn on', 'data', 'package', 'acting', 'company', 'emang', ' His employees', 'Bandel', 'Please', 'Report', 'The Application']</v>
      </c>
      <c r="D575" s="3">
        <v>1.0</v>
      </c>
    </row>
    <row r="576" ht="15.75" customHeight="1">
      <c r="A576" s="1">
        <v>574.0</v>
      </c>
      <c r="B576" s="3" t="s">
        <v>577</v>
      </c>
      <c r="C576" s="3" t="str">
        <f>IFERROR(__xludf.DUMMYFUNCTION("GOOGLETRANSLATE(B576,""id"",""en"")"),"['Sorry', 'Reduce', 'Bintang', 'Ngerti', 'Telkomsel', 'ugly', 'The network', 'KLW', 'users',' Telkomsel ',' stop ',' subscribe ',' expensive ',' klw ',' satisfying ',' customer ',' klw ',' outside ',' island ',' maklumi ',' region ',' bromo ',' java ',' e"&amp;"ast ',' boss' , 'tourism', 'famous', 'please', 'noticed', 'complaints', 'customers', '']")</f>
        <v>['Sorry', 'Reduce', 'Bintang', 'Ngerti', 'Telkomsel', 'ugly', 'The network', 'KLW', 'users',' Telkomsel ',' stop ',' subscribe ',' expensive ',' klw ',' satisfying ',' customer ',' klw ',' outside ',' island ',' maklumi ',' region ',' bromo ',' java ',' east ',' boss' , 'tourism', 'famous', 'please', 'noticed', 'complaints', 'customers', '']</v>
      </c>
      <c r="D576" s="3">
        <v>1.0</v>
      </c>
    </row>
    <row r="577" ht="15.75" customHeight="1">
      <c r="A577" s="1">
        <v>575.0</v>
      </c>
      <c r="B577" s="3" t="s">
        <v>578</v>
      </c>
      <c r="C577" s="3" t="str">
        <f>IFERROR(__xludf.DUMMYFUNCTION("GOOGLETRANSLATE(B577,""id"",""en"")"),"['Telkomsel', 'gajelas', 'pulse', 'drained', 'pdahal', 'bru', 'buy', 'package', 'package', 'ntah', 'pulse', 'fast' really ',' run out ',' telephonpun ',' rare ',' gada ',' buy ',' package ',' rbb ',' jga ',' udh ',' kantel ',' then ',' pulses' , 'Jga', 'd"&amp;"rained', 'weird']")</f>
        <v>['Telkomsel', 'gajelas', 'pulse', 'drained', 'pdahal', 'bru', 'buy', 'package', 'package', 'ntah', 'pulse', 'fast' really ',' run out ',' telephonpun ',' rare ',' gada ',' buy ',' package ',' rbb ',' jga ',' udh ',' kantel ',' then ',' pulses' , 'Jga', 'drained', 'weird']</v>
      </c>
      <c r="D577" s="3">
        <v>1.0</v>
      </c>
    </row>
    <row r="578" ht="15.75" customHeight="1">
      <c r="A578" s="1">
        <v>576.0</v>
      </c>
      <c r="B578" s="3" t="s">
        <v>579</v>
      </c>
      <c r="C578" s="3" t="str">
        <f>IFERROR(__xludf.DUMMYFUNCTION("GOOGLETRANSLATE(B578,""id"",""en"")"),"['opened', 'color', 'white', 'written', 'network', 'setabilia', 'try', 'Samsung', 'core', 'network', 'open', 'luukan', ' Want ',' shopping ',' package ',' opened ',' ']")</f>
        <v>['opened', 'color', 'white', 'written', 'network', 'setabilia', 'try', 'Samsung', 'core', 'network', 'open', 'luukan', ' Want ',' shopping ',' package ',' opened ',' ']</v>
      </c>
      <c r="D578" s="3">
        <v>2.0</v>
      </c>
    </row>
    <row r="579" ht="15.75" customHeight="1">
      <c r="A579" s="1">
        <v>577.0</v>
      </c>
      <c r="B579" s="3" t="s">
        <v>580</v>
      </c>
      <c r="C579" s="3" t="str">
        <f>IFERROR(__xludf.DUMMYFUNCTION("GOOGLETRANSLATE(B579,""id"",""en"")"),"['Please', 'use', 'quota', 'based', 'tasty', 'taught', 'cook', 'check', 'daily', 'dapet', 'bonus',' quota ',' Reduced ',' quota ',' main ',' bonus', 'quota', 'loss',' like ',' gini ',' love ',' feature ',' lock ',' pulse ',' data ' , 'On', 'Credit', 'Redu"&amp;"ced', '']")</f>
        <v>['Please', 'use', 'quota', 'based', 'tasty', 'taught', 'cook', 'check', 'daily', 'dapet', 'bonus',' quota ',' Reduced ',' quota ',' main ',' bonus', 'quota', 'loss',' like ',' gini ',' love ',' feature ',' lock ',' pulse ',' data ' , 'On', 'Credit', 'Reduced', '']</v>
      </c>
      <c r="D579" s="3">
        <v>1.0</v>
      </c>
    </row>
    <row r="580" ht="15.75" customHeight="1">
      <c r="A580" s="1">
        <v>578.0</v>
      </c>
      <c r="B580" s="3" t="s">
        <v>581</v>
      </c>
      <c r="C580" s="3" t="str">
        <f>IFERROR(__xludf.DUMMYFUNCTION("GOOGLETRANSLATE(B580,""id"",""en"")"),"['The application', 'slow', 'update', 'tasty', 'really', 'mytelkomsel', 'skrg', 'salespeople', 'check', 'quota', 'poor']")</f>
        <v>['The application', 'slow', 'update', 'tasty', 'really', 'mytelkomsel', 'skrg', 'salespeople', 'check', 'quota', 'poor']</v>
      </c>
      <c r="D580" s="3">
        <v>1.0</v>
      </c>
    </row>
    <row r="581" ht="15.75" customHeight="1">
      <c r="A581" s="1">
        <v>579.0</v>
      </c>
      <c r="B581" s="3" t="s">
        <v>582</v>
      </c>
      <c r="C581" s="3" t="str">
        <f>IFERROR(__xludf.DUMMYFUNCTION("GOOGLETRANSLATE(B581,""id"",""en"")"),"['ask', 'enter', 'Telkomsel', 'network', 'stable', 'right', 'refresh', 'gabisaa', 'udh', 'delete', 'download', 'lgi', ' difficult ',' really ',' buy ',' package ',' beg ',' explanation ']")</f>
        <v>['ask', 'enter', 'Telkomsel', 'network', 'stable', 'right', 'refresh', 'gabisaa', 'udh', 'delete', 'download', 'lgi', ' difficult ',' really ',' buy ',' package ',' beg ',' explanation ']</v>
      </c>
      <c r="D581" s="3">
        <v>1.0</v>
      </c>
    </row>
    <row r="582" ht="15.75" customHeight="1">
      <c r="A582" s="1">
        <v>580.0</v>
      </c>
      <c r="B582" s="3" t="s">
        <v>583</v>
      </c>
      <c r="C582" s="3" t="str">
        <f>IFERROR(__xludf.DUMMYFUNCTION("GOOGLETRANSLATE(B582,""id"",""en"")"),"['Sorry', 'Disruption', 'Teros', 'Network', 'Safe', 'Safe', 'Purchase', 'Center', 'Say', 'Comfort', 'Disturbs', 'Thank you']")</f>
        <v>['Sorry', 'Disruption', 'Teros', 'Network', 'Safe', 'Safe', 'Purchase', 'Center', 'Say', 'Comfort', 'Disturbs', 'Thank you']</v>
      </c>
      <c r="D582" s="3">
        <v>1.0</v>
      </c>
    </row>
    <row r="583" ht="15.75" customHeight="1">
      <c r="A583" s="1">
        <v>581.0</v>
      </c>
      <c r="B583" s="3" t="s">
        <v>584</v>
      </c>
      <c r="C583" s="3" t="str">
        <f>IFERROR(__xludf.DUMMYFUNCTION("GOOGLETRANSLATE(B583,""id"",""en"")"),"['Telkomsel', 'here', 'ugly', 'network', 'stable', 'slow', 'Please', 'repaired', 'Optimized', 'Costumer', 'go', 'provider']")</f>
        <v>['Telkomsel', 'here', 'ugly', 'network', 'stable', 'slow', 'Please', 'repaired', 'Optimized', 'Costumer', 'go', 'provider']</v>
      </c>
      <c r="D583" s="3">
        <v>2.0</v>
      </c>
    </row>
    <row r="584" ht="15.75" customHeight="1">
      <c r="A584" s="1">
        <v>582.0</v>
      </c>
      <c r="B584" s="3" t="s">
        <v>585</v>
      </c>
      <c r="C584" s="3" t="str">
        <f>IFERROR(__xludf.DUMMYFUNCTION("GOOGLETRANSLATE(B584,""id"",""en"")"),"['apk', 'scam', 'how', 'open', 'apk', 'download', 'screen', 'road', 'already', 'force', 'close', 'normal', ' Try ',' explained ',' ']")</f>
        <v>['apk', 'scam', 'how', 'open', 'apk', 'download', 'screen', 'road', 'already', 'force', 'close', 'normal', ' Try ',' explained ',' ']</v>
      </c>
      <c r="D584" s="3">
        <v>1.0</v>
      </c>
    </row>
    <row r="585" ht="15.75" customHeight="1">
      <c r="A585" s="1">
        <v>583.0</v>
      </c>
      <c r="B585" s="3" t="s">
        <v>586</v>
      </c>
      <c r="C585" s="3" t="str">
        <f>IFERROR(__xludf.DUMMYFUNCTION("GOOGLETRANSLATE(B585,""id"",""en"")"),"['open', 'application', 'smooth', 'lag', 'fit', 'open', 'application', 'telkomsel', 'open', 'open', 'say it', 'network', ' stable ',' application ',' check ',' leftover ',' quota ',' doang ',' difficult ',' right ',' mampus', 'uninstall']")</f>
        <v>['open', 'application', 'smooth', 'lag', 'fit', 'open', 'application', 'telkomsel', 'open', 'open', 'say it', 'network', ' stable ',' application ',' check ',' leftover ',' quota ',' doang ',' difficult ',' right ',' mampus', 'uninstall']</v>
      </c>
      <c r="D585" s="3">
        <v>1.0</v>
      </c>
    </row>
    <row r="586" ht="15.75" customHeight="1">
      <c r="A586" s="1">
        <v>584.0</v>
      </c>
      <c r="B586" s="3" t="s">
        <v>587</v>
      </c>
      <c r="C586" s="3" t="str">
        <f>IFERROR(__xludf.DUMMYFUNCTION("GOOGLETRANSLATE(B586,""id"",""en"")"),"['', 'comment', 'what', 'the application', 'troubling', 'uninstall', 'Install', 'result', 'troubling', 'chat', 'the application', 'problematic', "" ]")</f>
        <v>['', 'comment', 'what', 'the application', 'troubling', 'uninstall', 'Install', 'result', 'troubling', 'chat', 'the application', 'problematic', " ]</v>
      </c>
      <c r="D586" s="3">
        <v>2.0</v>
      </c>
    </row>
    <row r="587" ht="15.75" customHeight="1">
      <c r="A587" s="1">
        <v>585.0</v>
      </c>
      <c r="B587" s="3" t="s">
        <v>588</v>
      </c>
      <c r="C587" s="3" t="str">
        <f>IFERROR(__xludf.DUMMYFUNCTION("GOOGLETRANSLATE(B587,""id"",""en"")"),"['App', 'Kayak', 'Gini', 'Enter', 'Difficult', 'Signal', 'Kayak', 'Keong', 'Road', 'Focus',' Fortunately ',' Customer ',' Seuewain ',' ']")</f>
        <v>['App', 'Kayak', 'Gini', 'Enter', 'Difficult', 'Signal', 'Kayak', 'Keong', 'Road', 'Focus',' Fortunately ',' Customer ',' Seuewain ',' ']</v>
      </c>
      <c r="D587" s="3">
        <v>1.0</v>
      </c>
    </row>
    <row r="588" ht="15.75" customHeight="1">
      <c r="A588" s="1">
        <v>586.0</v>
      </c>
      <c r="B588" s="3" t="s">
        <v>589</v>
      </c>
      <c r="C588" s="3" t="str">
        <f>IFERROR(__xludf.DUMMYFUNCTION("GOOGLETRANSLATE(B588,""id"",""en"")"),"['open', 'app', 'connection', 'stable', 'click', 'try', 'cape', 'click', 'reset', 'right', 'check', 'thank', ' The prize ',' Tired ',' Wait ',' Fix ',' Kek ',' How ',' Contents', 'Credit', 'Package', '']")</f>
        <v>['open', 'app', 'connection', 'stable', 'click', 'try', 'cape', 'click', 'reset', 'right', 'check', 'thank', ' The prize ',' Tired ',' Wait ',' Fix ',' Kek ',' How ',' Contents', 'Credit', 'Package', '']</v>
      </c>
      <c r="D588" s="3">
        <v>1.0</v>
      </c>
    </row>
    <row r="589" ht="15.75" customHeight="1">
      <c r="A589" s="1">
        <v>587.0</v>
      </c>
      <c r="B589" s="3" t="s">
        <v>590</v>
      </c>
      <c r="C589" s="3" t="str">
        <f>IFERROR(__xludf.DUMMYFUNCTION("GOOGLETRANSLATE(B589,""id"",""en"")"),"['Telkomsel', 'error', 'apps', 'open', 'purchase', 'quota', 'failed', 'pulse', 'sucked', 'disappointed', 'telkomsen']")</f>
        <v>['Telkomsel', 'error', 'apps', 'open', 'purchase', 'quota', 'failed', 'pulse', 'sucked', 'disappointed', 'telkomsen']</v>
      </c>
      <c r="D589" s="3">
        <v>1.0</v>
      </c>
    </row>
    <row r="590" ht="15.75" customHeight="1">
      <c r="A590" s="1">
        <v>588.0</v>
      </c>
      <c r="B590" s="3" t="s">
        <v>591</v>
      </c>
      <c r="C590" s="3" t="str">
        <f>IFERROR(__xludf.DUMMYFUNCTION("GOOGLETRANSLATE(B590,""id"",""en"")"),"['Suggest', 'Telkomsel', 'Karna', 'Sendri', 'Telkomsel', 'Disappointed', 'Karna', 'Network', 'Severe', 'lag', 'then', 'play', ' games', 'internet', 'like', 'workers',' Telkomsel ',' corruption ',' maknya ',' network ']")</f>
        <v>['Suggest', 'Telkomsel', 'Karna', 'Sendri', 'Telkomsel', 'Disappointed', 'Karna', 'Network', 'Severe', 'lag', 'then', 'play', ' games', 'internet', 'like', 'workers',' Telkomsel ',' corruption ',' maknya ',' network ']</v>
      </c>
      <c r="D590" s="3">
        <v>1.0</v>
      </c>
    </row>
    <row r="591" ht="15.75" customHeight="1">
      <c r="A591" s="1">
        <v>589.0</v>
      </c>
      <c r="B591" s="3" t="s">
        <v>592</v>
      </c>
      <c r="C591" s="3" t="str">
        <f>IFERROR(__xludf.DUMMYFUNCTION("GOOGLETRANSLATE(B591,""id"",""en"")"),"['Help', 'forced', 'Telkomsel', 'love', 'star', 'suits',' update ',' app ',' lemoot ',' see ',' review ',' user ',' Satisfied ',' Kecewaaaa ']")</f>
        <v>['Help', 'forced', 'Telkomsel', 'love', 'star', 'suits',' update ',' app ',' lemoot ',' see ',' review ',' user ',' Satisfied ',' Kecewaaaa ']</v>
      </c>
      <c r="D591" s="3">
        <v>1.0</v>
      </c>
    </row>
    <row r="592" ht="15.75" customHeight="1">
      <c r="A592" s="1">
        <v>590.0</v>
      </c>
      <c r="B592" s="3" t="s">
        <v>593</v>
      </c>
      <c r="C592" s="3" t="str">
        <f>IFERROR(__xludf.DUMMYFUNCTION("GOOGLETRANSLATE(B592,""id"",""en"")"),"['', 'company', 'fired', 'fired', 'field', 'development', 'application', 'application', 'kli', 'open', 'disorder', 'then' application ',' watch ',' video ',' smooth ',' Jaya ',' check ',' pulse ',' package ',' buy ',' package ',' etc. ',' application ',' "&amp;"mending ', 'Pecat', 'employees', 'money', 'development', 'field', 'so']")</f>
        <v>['', 'company', 'fired', 'fired', 'field', 'development', 'application', 'application', 'kli', 'open', 'disorder', 'then' application ',' watch ',' video ',' smooth ',' Jaya ',' check ',' pulse ',' package ',' buy ',' package ',' etc. ',' application ',' mending ', 'Pecat', 'employees', 'money', 'development', 'field', 'so']</v>
      </c>
      <c r="D592" s="3">
        <v>1.0</v>
      </c>
    </row>
    <row r="593" ht="15.75" customHeight="1">
      <c r="A593" s="1">
        <v>591.0</v>
      </c>
      <c r="B593" s="3" t="s">
        <v>594</v>
      </c>
      <c r="C593" s="3" t="str">
        <f>IFERROR(__xludf.DUMMYFUNCTION("GOOGLETRANSLATE(B593,""id"",""en"")"),"['KNPA', 'Open', 'App', 'check', 'connection', 'connection', 'UDH', 'problematic', 'jdi', 'satisfied', 'high school', 'service', ' Team ',' Telkomsel ',' Please ',' Fix ',' LGI ',' Network ',' Internet ']")</f>
        <v>['KNPA', 'Open', 'App', 'check', 'connection', 'connection', 'UDH', 'problematic', 'jdi', 'satisfied', 'high school', 'service', ' Team ',' Telkomsel ',' Please ',' Fix ',' LGI ',' Network ',' Internet ']</v>
      </c>
      <c r="D593" s="3">
        <v>1.0</v>
      </c>
    </row>
    <row r="594" ht="15.75" customHeight="1">
      <c r="A594" s="1">
        <v>592.0</v>
      </c>
      <c r="B594" s="3" t="s">
        <v>595</v>
      </c>
      <c r="C594" s="3" t="str">
        <f>IFERROR(__xludf.DUMMYFUNCTION("GOOGLETRANSLATE(B594,""id"",""en"")"),"['Severe', 'Severe', 'Deepers',' Liat ',' Comments', 'Ngeluh', 'Good', 'Play', 'Game', 'Disconnect', 'Disconnect', 'Severe', ' signal ',' mentok ',' KB ',' Sampe ',' MB ',' Move ',' Kapok ',' Package ',' Expensive ',' Quality ',' Bad ',' Mending ']")</f>
        <v>['Severe', 'Severe', 'Deepers',' Liat ',' Comments', 'Ngeluh', 'Good', 'Play', 'Game', 'Disconnect', 'Disconnect', 'Severe', ' signal ',' mentok ',' KB ',' Sampe ',' MB ',' Move ',' Kapok ',' Package ',' Expensive ',' Quality ',' Bad ',' Mending ']</v>
      </c>
      <c r="D594" s="3">
        <v>1.0</v>
      </c>
    </row>
    <row r="595" ht="15.75" customHeight="1">
      <c r="A595" s="1">
        <v>593.0</v>
      </c>
      <c r="B595" s="3" t="s">
        <v>596</v>
      </c>
      <c r="C595" s="3" t="str">
        <f>IFERROR(__xludf.DUMMYFUNCTION("GOOGLETRANSLATE(B595,""id"",""en"")"),"['slow', 'open', 'APK', 'error', 'network', 'number', 'network', 'Season', 'doang', 'emotion', ""]")</f>
        <v>['slow', 'open', 'APK', 'error', 'network', 'number', 'network', 'Season', 'doang', 'emotion', "]</v>
      </c>
      <c r="D595" s="3">
        <v>1.0</v>
      </c>
    </row>
    <row r="596" ht="15.75" customHeight="1">
      <c r="A596" s="1">
        <v>594.0</v>
      </c>
      <c r="B596" s="3" t="s">
        <v>597</v>
      </c>
      <c r="C596" s="3" t="str">
        <f>IFERROR(__xludf.DUMMYFUNCTION("GOOGLETRANSLATE(B596,""id"",""en"")"),"['Verifi', 'enter', 'difficult', 'really', 'log', 'technology', 'lose', 'operator', 'next door', 'verfikate', 'already', 'right', ' Enter ',' Fix ',' Network ',' Best ',' Error ', ""]")</f>
        <v>['Verifi', 'enter', 'difficult', 'really', 'log', 'technology', 'lose', 'operator', 'next door', 'verfikate', 'already', 'right', ' Enter ',' Fix ',' Network ',' Best ',' Error ', "]</v>
      </c>
      <c r="D596" s="3">
        <v>2.0</v>
      </c>
    </row>
    <row r="597" ht="15.75" customHeight="1">
      <c r="A597" s="1">
        <v>595.0</v>
      </c>
      <c r="B597" s="3" t="s">
        <v>598</v>
      </c>
      <c r="C597" s="3" t="str">
        <f>IFERROR(__xludf.DUMMYFUNCTION("GOOGLETRANSLATE(B597,""id"",""en"")"),"['Quality', 'ugly', 'signal', 'ilang', 'Nilagan', 'connection', 'internet', 'rotten', 'slow', 'pol', 'package', 'expensive', ' according to ',' package ',' internet ',' expensive ',' according to ',' quality ',' connection ']")</f>
        <v>['Quality', 'ugly', 'signal', 'ilang', 'Nilagan', 'connection', 'internet', 'rotten', 'slow', 'pol', 'package', 'expensive', ' according to ',' package ',' internet ',' expensive ',' according to ',' quality ',' connection ']</v>
      </c>
      <c r="D597" s="3">
        <v>1.0</v>
      </c>
    </row>
    <row r="598" ht="15.75" customHeight="1">
      <c r="A598" s="1">
        <v>596.0</v>
      </c>
      <c r="B598" s="3" t="s">
        <v>599</v>
      </c>
      <c r="C598" s="3" t="str">
        <f>IFERROR(__xludf.DUMMYFUNCTION("GOOGLETRANSLATE(B598,""id"",""en"")"),"['How', 'buy', 'Package', 'Combo', 'Sakti', 'Quota', 'Enter', 'Credit', 'Cut', 'Loss',' Very ',' Repaired ',' Report ',' authorized ']")</f>
        <v>['How', 'buy', 'Package', 'Combo', 'Sakti', 'Quota', 'Enter', 'Credit', 'Cut', 'Loss',' Very ',' Repaired ',' Report ',' authorized ']</v>
      </c>
      <c r="D598" s="3">
        <v>1.0</v>
      </c>
    </row>
    <row r="599" ht="15.75" customHeight="1">
      <c r="A599" s="1">
        <v>597.0</v>
      </c>
      <c r="B599" s="3" t="s">
        <v>600</v>
      </c>
      <c r="C599" s="3" t="str">
        <f>IFERROR(__xludf.DUMMYFUNCTION("GOOGLETRANSLATE(B599,""id"",""en"")"),"['', 'Telkomsel', 'koq', 'slow', 'really', 'difficult', 'open', 'the application', 'network', 'tsel', 'complete', 'service', 'satisfy it ',' UDH ',' CONCLEN ',' Twitter ',' Instagram ',' Etc. ',' Solution ',' DIDT ',' promotion ',' program ',' NGK ', ""]")</f>
        <v>['', 'Telkomsel', 'koq', 'slow', 'really', 'difficult', 'open', 'the application', 'network', 'tsel', 'complete', 'service', 'satisfy it ',' UDH ',' CONCLEN ',' Twitter ',' Instagram ',' Etc. ',' Solution ',' DIDT ',' promotion ',' program ',' NGK ', "]</v>
      </c>
      <c r="D599" s="3">
        <v>1.0</v>
      </c>
    </row>
    <row r="600" ht="15.75" customHeight="1">
      <c r="A600" s="1">
        <v>598.0</v>
      </c>
      <c r="B600" s="3" t="s">
        <v>601</v>
      </c>
      <c r="C600" s="3" t="str">
        <f>IFERROR(__xludf.DUMMYFUNCTION("GOOGLETRANSLATE(B600,""id"",""en"")"),"['apk', 'mare', 'customer', 'all-round', 'easy', 'pakek', 'apk', 'hah', 'entry', 'difficult', 'easy', 'miinnnnn', ' Kcewa ',' Lek ', ""]")</f>
        <v>['apk', 'mare', 'customer', 'all-round', 'easy', 'pakek', 'apk', 'hah', 'entry', 'difficult', 'easy', 'miinnnnn', ' Kcewa ',' Lek ', "]</v>
      </c>
      <c r="D600" s="3">
        <v>1.0</v>
      </c>
    </row>
    <row r="601" ht="15.75" customHeight="1">
      <c r="A601" s="1">
        <v>599.0</v>
      </c>
      <c r="B601" s="3" t="s">
        <v>602</v>
      </c>
      <c r="C601" s="3" t="str">
        <f>IFERROR(__xludf.DUMMYFUNCTION("GOOGLETRANSLATE(B601,""id"",""en"")"),"['Come', 'Network', 'TELSEL', 'Tolerance', 'Buy', 'Package', 'Expensive', 'Network', 'Slow', 'Use', 'TELSEL', 'Hoping', ' network ',' good ',' please ',' increase ',' service ',' aspect ',' network ',' purchase ',' package ',' suck ',' package ',' buy ','"&amp;" package ' , 'On', 'package', 'Bentar', 'stupid', 'times', 'Lahhhh']")</f>
        <v>['Come', 'Network', 'TELSEL', 'Tolerance', 'Buy', 'Package', 'Expensive', 'Network', 'Slow', 'Use', 'TELSEL', 'Hoping', ' network ',' good ',' please ',' increase ',' service ',' aspect ',' network ',' purchase ',' package ',' suck ',' package ',' buy ',' package ' , 'On', 'package', 'Bentar', 'stupid', 'times', 'Lahhhh']</v>
      </c>
      <c r="D601" s="3">
        <v>1.0</v>
      </c>
    </row>
    <row r="602" ht="15.75" customHeight="1">
      <c r="A602" s="1">
        <v>600.0</v>
      </c>
      <c r="B602" s="3" t="s">
        <v>603</v>
      </c>
      <c r="C602" s="3" t="str">
        <f>IFERROR(__xludf.DUMMYFUNCTION("GOOGLETRANSLATE(B602,""id"",""en"")"),"['Package', 'self-help', 'gojek', 'registered', 'package', 'monthly', 'cheap', 'then', 'application', 'Telkomsel', 'super', 'slow', ' difficult ',' opened ']")</f>
        <v>['Package', 'self-help', 'gojek', 'registered', 'package', 'monthly', 'cheap', 'then', 'application', 'Telkomsel', 'super', 'slow', ' difficult ',' opened ']</v>
      </c>
      <c r="D602" s="3">
        <v>1.0</v>
      </c>
    </row>
    <row r="603" ht="15.75" customHeight="1">
      <c r="A603" s="1">
        <v>601.0</v>
      </c>
      <c r="B603" s="3" t="s">
        <v>604</v>
      </c>
      <c r="C603" s="3" t="str">
        <f>IFERROR(__xludf.DUMMYFUNCTION("GOOGLETRANSLATE(B603,""id"",""en"")"),"['Signal', 'internet', 'fit', 'checked', 'quota', 'GB', 'used', 'open', 'youtube', 'game', 'viu', 'etc.', ' Chat ',' Please ',' as soon as possible ',' overcome ',' run out ',' quota ',' stay ',' wrong ',' customer ',' loyal ',' Telkomsel ',' email ',' pl"&amp;"ease ' , '']")</f>
        <v>['Signal', 'internet', 'fit', 'checked', 'quota', 'GB', 'used', 'open', 'youtube', 'game', 'viu', 'etc.', ' Chat ',' Please ',' as soon as possible ',' overcome ',' run out ',' quota ',' stay ',' wrong ',' customer ',' loyal ',' Telkomsel ',' email ',' please ' , '']</v>
      </c>
      <c r="D603" s="3">
        <v>1.0</v>
      </c>
    </row>
    <row r="604" ht="15.75" customHeight="1">
      <c r="A604" s="1">
        <v>602.0</v>
      </c>
      <c r="B604" s="3" t="s">
        <v>605</v>
      </c>
      <c r="C604" s="3" t="str">
        <f>IFERROR(__xludf.DUMMYFUNCTION("GOOGLETRANSLATE(B604,""id"",""en"")"),"['Telkom', 'signal', 'ugly', 'yesterday', 'tasty', 'love', 'star', 'already', 'fix', 'love', 'star', ""]")</f>
        <v>['Telkom', 'signal', 'ugly', 'yesterday', 'tasty', 'love', 'star', 'already', 'fix', 'love', 'star', "]</v>
      </c>
      <c r="D604" s="3">
        <v>1.0</v>
      </c>
    </row>
    <row r="605" ht="15.75" customHeight="1">
      <c r="A605" s="1">
        <v>603.0</v>
      </c>
      <c r="B605" s="3" t="s">
        <v>606</v>
      </c>
      <c r="C605" s="3" t="str">
        <f>IFERROR(__xludf.DUMMYFUNCTION("GOOGLETRANSLATE(B605,""id"",""en"")"),"['Network', 'Severe', 'Ngatur', 'Signal', 'Kesamber', 'Gledek', 'Times',' Update ',' Application ',' Ajh ',' Road ',' Open ',' sosmed ',' ngelag ',' please ',' donk ',' signal ',' as good ',' price ',' expensive ',' doank ',' quality ',' no ',' ']")</f>
        <v>['Network', 'Severe', 'Ngatur', 'Signal', 'Kesamber', 'Gledek', 'Times',' Update ',' Application ',' Ajh ',' Road ',' Open ',' sosmed ',' ngelag ',' please ',' donk ',' signal ',' as good ',' price ',' expensive ',' doank ',' quality ',' no ',' ']</v>
      </c>
      <c r="D605" s="3">
        <v>1.0</v>
      </c>
    </row>
    <row r="606" ht="15.75" customHeight="1">
      <c r="A606" s="1">
        <v>604.0</v>
      </c>
      <c r="B606" s="3" t="s">
        <v>607</v>
      </c>
      <c r="C606" s="3" t="str">
        <f>IFERROR(__xludf.DUMMYFUNCTION("GOOGLETRANSLATE(B606,""id"",""en"")"),"['Service', 'bad', 'open', 'application', 'reload', 'blame', 'network', 'network', 'stable', 'what's',' hope ',' fix ',' Issues', 'users']")</f>
        <v>['Service', 'bad', 'open', 'application', 'reload', 'blame', 'network', 'network', 'stable', 'what's',' hope ',' fix ',' Issues', 'users']</v>
      </c>
      <c r="D606" s="3">
        <v>1.0</v>
      </c>
    </row>
    <row r="607" ht="15.75" customHeight="1">
      <c r="A607" s="1">
        <v>605.0</v>
      </c>
      <c r="B607" s="3" t="s">
        <v>608</v>
      </c>
      <c r="C607" s="3" t="str">
        <f>IFERROR(__xludf.DUMMYFUNCTION("GOOGLETRANSLATE(B607,""id"",""en"")"),"['Telkomsel', 'ugly', 'really', 'network', 'open', 'apk', 'slow', 'really', 'lose', 'operator', 'cheap', 'fast', ' regret ',' use ',' data ',' telkom ',' udh ',' bought ',' bangyak ',' please ',' telkom ',' repaired ',' network ',' city ']")</f>
        <v>['Telkomsel', 'ugly', 'really', 'network', 'open', 'apk', 'slow', 'really', 'lose', 'operator', 'cheap', 'fast', ' regret ',' use ',' data ',' telkom ',' udh ',' bought ',' bangyak ',' please ',' telkom ',' repaired ',' network ',' city ']</v>
      </c>
      <c r="D607" s="3">
        <v>1.0</v>
      </c>
    </row>
    <row r="608" ht="15.75" customHeight="1">
      <c r="A608" s="1">
        <v>606.0</v>
      </c>
      <c r="B608" s="3" t="s">
        <v>609</v>
      </c>
      <c r="C608" s="3" t="str">
        <f>IFERROR(__xludf.DUMMYFUNCTION("GOOGLETRANSLATE(B608,""id"",""en"")"),"['service', 'deteriorating', 'signal', 'data', 'super', 'slow', 'telephone', 'no', 'as',' user ',' many disappointed ',' Services', 'Telkomsel', 'Search', 'Provider', 'Goodbye', 'Telkomsel']")</f>
        <v>['service', 'deteriorating', 'signal', 'data', 'super', 'slow', 'telephone', 'no', 'as',' user ',' many disappointed ',' Services', 'Telkomsel', 'Search', 'Provider', 'Goodbye', 'Telkomsel']</v>
      </c>
      <c r="D608" s="3">
        <v>1.0</v>
      </c>
    </row>
    <row r="609" ht="15.75" customHeight="1">
      <c r="A609" s="1">
        <v>607.0</v>
      </c>
      <c r="B609" s="3" t="s">
        <v>610</v>
      </c>
      <c r="C609" s="3" t="str">
        <f>IFERROR(__xludf.DUMMYFUNCTION("GOOGLETRANSLATE(B609,""id"",""en"")"),"['The application', 'good', 'Add', 'method', 'topup', 'game', 'application', 'payment', 'Telkomsel', 'application', 'Google', 'Playstore', ' ']")</f>
        <v>['The application', 'good', 'Add', 'method', 'topup', 'game', 'application', 'payment', 'Telkomsel', 'application', 'Google', 'Playstore', ' ']</v>
      </c>
      <c r="D609" s="3">
        <v>5.0</v>
      </c>
    </row>
    <row r="610" ht="15.75" customHeight="1">
      <c r="A610" s="1">
        <v>608.0</v>
      </c>
      <c r="B610" s="3" t="s">
        <v>611</v>
      </c>
      <c r="C610" s="3" t="str">
        <f>IFERROR(__xludf.DUMMYFUNCTION("GOOGLETRANSLATE(B610,""id"",""en"")"),"['application', 'bad', 'already', 'upgrade', 'version', 'newest', 'error', 'bonus',' daily ',' check ',' already ',' full ',' Take ',' deliberate ',' ']")</f>
        <v>['application', 'bad', 'already', 'upgrade', 'version', 'newest', 'error', 'bonus',' daily ',' check ',' already ',' full ',' Take ',' deliberate ',' ']</v>
      </c>
      <c r="D610" s="3">
        <v>1.0</v>
      </c>
    </row>
    <row r="611" ht="15.75" customHeight="1">
      <c r="A611" s="1">
        <v>609.0</v>
      </c>
      <c r="B611" s="3" t="s">
        <v>612</v>
      </c>
      <c r="C611" s="3" t="str">
        <f>IFERROR(__xludf.DUMMYFUNCTION("GOOGLETRANSLATE(B611,""id"",""en"")"),"['Lemot', 'opened', 'many years', 'use', 'improvement', 'please', 'see', 'pulse', 'quota', 'difficult', 'really', '']")</f>
        <v>['Lemot', 'opened', 'many years', 'use', 'improvement', 'please', 'see', 'pulse', 'quota', 'difficult', 'really', '']</v>
      </c>
      <c r="D611" s="3">
        <v>2.0</v>
      </c>
    </row>
    <row r="612" ht="15.75" customHeight="1">
      <c r="A612" s="1">
        <v>610.0</v>
      </c>
      <c r="B612" s="3" t="s">
        <v>613</v>
      </c>
      <c r="C612" s="3" t="str">
        <f>IFERROR(__xludf.DUMMYFUNCTION("GOOGLETRANSLATE(B612,""id"",""en"")"),"['Buy', 'Package', 'Thinking', 'YouTube', 'Use', 'Loading', 'Tab', 'Home', 'YouTube', 'UDH', 'Mode', 'Plane', ' Restart ',' Turn Off ',' Data ',' Tetep ',' Disappointed ',' ']")</f>
        <v>['Buy', 'Package', 'Thinking', 'YouTube', 'Use', 'Loading', 'Tab', 'Home', 'YouTube', 'UDH', 'Mode', 'Plane', ' Restart ',' Turn Off ',' Data ',' Tetep ',' Disappointed ',' ']</v>
      </c>
      <c r="D612" s="3">
        <v>1.0</v>
      </c>
    </row>
    <row r="613" ht="15.75" customHeight="1">
      <c r="A613" s="1">
        <v>611.0</v>
      </c>
      <c r="B613" s="3" t="s">
        <v>614</v>
      </c>
      <c r="C613" s="3" t="str">
        <f>IFERROR(__xludf.DUMMYFUNCTION("GOOGLETRANSLATE(B613,""id"",""en"")"),"['update', 'good', 'open', 'application', 'difficult', 'connection', 'good', 'beg', 'search', 'solution', 'user', 'happy', ' Thanks', '']")</f>
        <v>['update', 'good', 'open', 'application', 'difficult', 'connection', 'good', 'beg', 'search', 'solution', 'user', 'happy', ' Thanks', '']</v>
      </c>
      <c r="D613" s="3">
        <v>2.0</v>
      </c>
    </row>
    <row r="614" ht="15.75" customHeight="1">
      <c r="A614" s="1">
        <v>612.0</v>
      </c>
      <c r="B614" s="3" t="s">
        <v>615</v>
      </c>
      <c r="C614" s="3" t="str">
        <f>IFERROR(__xludf.DUMMYFUNCTION("GOOGLETRANSLATE(B614,""id"",""en"")"),"['Buy', 'Package', 'Combo', 'Sakti', 'Slow', 'Very', 'Telkomsel', 'Network', 'Lemoooot', 'Oath', 'Raying', 'Really', ' Internet ',' Telkomsel ',' user ',' card ',' Telkomsel ',' already ']")</f>
        <v>['Buy', 'Package', 'Combo', 'Sakti', 'Slow', 'Very', 'Telkomsel', 'Network', 'Lemoooot', 'Oath', 'Raying', 'Really', ' Internet ',' Telkomsel ',' user ',' card ',' Telkomsel ',' already ']</v>
      </c>
      <c r="D614" s="3">
        <v>1.0</v>
      </c>
    </row>
    <row r="615" ht="15.75" customHeight="1">
      <c r="A615" s="1">
        <v>613.0</v>
      </c>
      <c r="B615" s="3" t="s">
        <v>616</v>
      </c>
      <c r="C615" s="3" t="str">
        <f>IFERROR(__xludf.DUMMYFUNCTION("GOOGLETRANSLATE(B615,""id"",""en"")"),"['Delete', 'Application', 'Playstor', 'Use', 'Lma', 'Klok', 'Intention', 'Kayak', 'GNI', 'Complaints',' Help ',' Application ',' Have ',' enter ',' yesterday ',' situ ',' use ', ""]")</f>
        <v>['Delete', 'Application', 'Playstor', 'Use', 'Lma', 'Klok', 'Intention', 'Kayak', 'GNI', 'Complaints',' Help ',' Application ',' Have ',' enter ',' yesterday ',' situ ',' use ', "]</v>
      </c>
      <c r="D615" s="3">
        <v>1.0</v>
      </c>
    </row>
    <row r="616" ht="15.75" customHeight="1">
      <c r="A616" s="1">
        <v>614.0</v>
      </c>
      <c r="B616" s="3" t="s">
        <v>617</v>
      </c>
      <c r="C616" s="3" t="str">
        <f>IFERROR(__xludf.DUMMYFUNCTION("GOOGLETRANSLATE(B616,""id"",""en"")"),"['entry', 'Telkomsel', 'poor', 'the case', 'connection', 'stable', 'network', 'Biak', 'Please', 'reviewed', 'APL', 'Consumen', ' disappointed', '']")</f>
        <v>['entry', 'Telkomsel', 'poor', 'the case', 'connection', 'stable', 'network', 'Biak', 'Please', 'reviewed', 'APL', 'Consumen', ' disappointed', '']</v>
      </c>
      <c r="D616" s="3">
        <v>1.0</v>
      </c>
    </row>
    <row r="617" ht="15.75" customHeight="1">
      <c r="A617" s="1">
        <v>615.0</v>
      </c>
      <c r="B617" s="3" t="s">
        <v>618</v>
      </c>
      <c r="C617" s="3" t="str">
        <f>IFERROR(__xludf.DUMMYFUNCTION("GOOGLETRANSLATE(B617,""id"",""en"")"),"['expensive', 'signal', 'ilang', 'event', 'interesting', 'kayak', 'card', 'next door', 'ramadhan', 'gini', 'event', 'price', ' Write ',' Cut ',' Liat ',' Numbers', 'Nambah', 'Cut', 'Tetep', 'Ajh', 'Gede', 'wkwwk']")</f>
        <v>['expensive', 'signal', 'ilang', 'event', 'interesting', 'kayak', 'card', 'next door', 'ramadhan', 'gini', 'event', 'price', ' Write ',' Cut ',' Liat ',' Numbers', 'Nambah', 'Cut', 'Tetep', 'Ajh', 'Gede', 'wkwwk']</v>
      </c>
      <c r="D617" s="3">
        <v>1.0</v>
      </c>
    </row>
    <row r="618" ht="15.75" customHeight="1">
      <c r="A618" s="1">
        <v>616.0</v>
      </c>
      <c r="B618" s="3" t="s">
        <v>619</v>
      </c>
      <c r="C618" s="3" t="str">
        <f>IFERROR(__xludf.DUMMYFUNCTION("GOOGLETRANSLATE(B618,""id"",""en"")"),"['admin', 'Telkomsel', 'Dear', 'pulse', 'sucked', 'run out', 'quota', 'kayak', 'gini', 'loss',' pulse ',' run out ',' Quota ',' Hbis', 'Naturally', 'Credit', 'Sumpot', 'Quota', 'Credit', 'Sumpot']")</f>
        <v>['admin', 'Telkomsel', 'Dear', 'pulse', 'sucked', 'run out', 'quota', 'kayak', 'gini', 'loss',' pulse ',' run out ',' Quota ',' Hbis', 'Naturally', 'Credit', 'Sumpot', 'Quota', 'Credit', 'Sumpot']</v>
      </c>
      <c r="D618" s="3">
        <v>1.0</v>
      </c>
    </row>
    <row r="619" ht="15.75" customHeight="1">
      <c r="A619" s="1">
        <v>617.0</v>
      </c>
      <c r="B619" s="3" t="s">
        <v>620</v>
      </c>
      <c r="C619" s="3" t="str">
        <f>IFERROR(__xludf.DUMMYFUNCTION("GOOGLETRANSLATE(B619,""id"",""en"")"),"['Telkomsel', 'Application', 'Difficult', 'Open', 'Signal', 'Slow', 'Fix', 'Rate', 'Expensive', 'Live', 'Capital', 'JKT', ' Stayed ',' Region ',' Kingu ',' ']")</f>
        <v>['Telkomsel', 'Application', 'Difficult', 'Open', 'Signal', 'Slow', 'Fix', 'Rate', 'Expensive', 'Live', 'Capital', 'JKT', ' Stayed ',' Region ',' Kingu ',' ']</v>
      </c>
      <c r="D619" s="3">
        <v>1.0</v>
      </c>
    </row>
    <row r="620" ht="15.75" customHeight="1">
      <c r="A620" s="1">
        <v>618.0</v>
      </c>
      <c r="B620" s="3" t="s">
        <v>621</v>
      </c>
      <c r="C620" s="3" t="str">
        <f>IFERROR(__xludf.DUMMYFUNCTION("GOOGLETRANSLATE(B620,""id"",""en"")"),"['Application', 'error', 'times', 'try', 'login', 'quota', 'internet', 'need', 'buy', 'Please', 'assisted']")</f>
        <v>['Application', 'error', 'times', 'try', 'login', 'quota', 'internet', 'need', 'buy', 'Please', 'assisted']</v>
      </c>
      <c r="D620" s="3">
        <v>1.0</v>
      </c>
    </row>
    <row r="621" ht="15.75" customHeight="1">
      <c r="A621" s="1">
        <v>619.0</v>
      </c>
      <c r="B621" s="3" t="s">
        <v>622</v>
      </c>
      <c r="C621" s="3" t="str">
        <f>IFERROR(__xludf.DUMMYFUNCTION("GOOGLETRANSLATE(B621,""id"",""en"")"),"['Application', 'Take', 'Quota', 'Status',' Considered ',' Quota ',' Enter ',' Response ',' Customer ',' Service ',' Help ',' Karna ',' Already ',' Try ',' Help ',' Application ',' Solution ',' Telkomsel ',' Related ',' Claims', 'Quota', ""]")</f>
        <v>['Application', 'Take', 'Quota', 'Status',' Considered ',' Quota ',' Enter ',' Response ',' Customer ',' Service ',' Help ',' Karna ',' Already ',' Try ',' Help ',' Application ',' Solution ',' Telkomsel ',' Related ',' Claims', 'Quota', "]</v>
      </c>
      <c r="D621" s="3">
        <v>1.0</v>
      </c>
    </row>
    <row r="622" ht="15.75" customHeight="1">
      <c r="A622" s="1">
        <v>620.0</v>
      </c>
      <c r="B622" s="3" t="s">
        <v>623</v>
      </c>
      <c r="C622" s="3" t="str">
        <f>IFERROR(__xludf.DUMMYFUNCTION("GOOGLETRANSLATE(B622,""id"",""en"")"),"['Please', 'compete', 'healthy', 'mentang', 'game', 'support', 'operator', 'signal', 'game', 'uglyin', 'open', 'game', ' slow ',' turn ',' etc. ',' concurrently ',' fast ',' ugly ',' play ']")</f>
        <v>['Please', 'compete', 'healthy', 'mentang', 'game', 'support', 'operator', 'signal', 'game', 'uglyin', 'open', 'game', ' slow ',' turn ',' etc. ',' concurrently ',' fast ',' ugly ',' play ']</v>
      </c>
      <c r="D622" s="3">
        <v>1.0</v>
      </c>
    </row>
    <row r="623" ht="15.75" customHeight="1">
      <c r="A623" s="1">
        <v>621.0</v>
      </c>
      <c r="B623" s="3" t="s">
        <v>624</v>
      </c>
      <c r="C623" s="3" t="str">
        <f>IFERROR(__xludf.DUMMYFUNCTION("GOOGLETRANSLATE(B623,""id"",""en"")"),"['Sorry', 'Telkomsel', 'Difficult', 'Accessible', 'Enter', 'Application', 'Menu', 'Inside', 'Appear', 'Appear', 'Posts',' Connection ',' Stable ',' Network ',' Telkomsel ',' Region ',' Good ',' Please ',' Help ',' Difficulty ',' Transaction ',' Purchase '"&amp;",' Package ',' Internet ',' Package ' , 'call', 'thank you', 'his attention', '']")</f>
        <v>['Sorry', 'Telkomsel', 'Difficult', 'Accessible', 'Enter', 'Application', 'Menu', 'Inside', 'Appear', 'Appear', 'Posts',' Connection ',' Stable ',' Network ',' Telkomsel ',' Region ',' Good ',' Please ',' Help ',' Difficulty ',' Transaction ',' Purchase ',' Package ',' Internet ',' Package ' , 'call', 'thank you', 'his attention', '']</v>
      </c>
      <c r="D623" s="3">
        <v>1.0</v>
      </c>
    </row>
    <row r="624" ht="15.75" customHeight="1">
      <c r="A624" s="1">
        <v>622.0</v>
      </c>
      <c r="B624" s="3" t="s">
        <v>625</v>
      </c>
      <c r="C624" s="3" t="str">
        <f>IFERROR(__xludf.DUMMYFUNCTION("GOOGLETRANSLATE(B624,""id"",""en"")"),"['Severe', 'at the same time', 'dependency', 'application', 'skrg', 'difficult', 'accessible', 'connection', 'stable', 'open', 'application', 'browse', ' Streaming ',' Download ',' Current ',' ']")</f>
        <v>['Severe', 'at the same time', 'dependency', 'application', 'skrg', 'difficult', 'accessible', 'connection', 'stable', 'open', 'application', 'browse', ' Streaming ',' Download ',' Current ',' ']</v>
      </c>
      <c r="D624" s="3">
        <v>1.0</v>
      </c>
    </row>
    <row r="625" ht="15.75" customHeight="1">
      <c r="A625" s="1">
        <v>623.0</v>
      </c>
      <c r="B625" s="3" t="s">
        <v>626</v>
      </c>
      <c r="C625" s="3" t="str">
        <f>IFERROR(__xludf.DUMMYFUNCTION("GOOGLETRANSLATE(B625,""id"",""en"")"),"['ugly', 'application', 'MyTelkomsel', 'opened', 'cana', 'UDH', 'refresh', 'many', 'jugak', 'checked', 'quota', 'doang', ' JDI ',' complicated ',' use ',' application ',' already ',' update ',' jugak ',' was asked ',' signal ',' ugly ']")</f>
        <v>['ugly', 'application', 'MyTelkomsel', 'opened', 'cana', 'UDH', 'refresh', 'many', 'jugak', 'checked', 'quota', 'doang', ' JDI ',' complicated ',' use ',' application ',' already ',' update ',' jugak ',' was asked ',' signal ',' ugly ']</v>
      </c>
      <c r="D625" s="3">
        <v>1.0</v>
      </c>
    </row>
    <row r="626" ht="15.75" customHeight="1">
      <c r="A626" s="1">
        <v>624.0</v>
      </c>
      <c r="B626" s="3" t="s">
        <v>627</v>
      </c>
      <c r="C626" s="3" t="str">
        <f>IFERROR(__xludf.DUMMYFUNCTION("GOOGLETRANSLATE(B626,""id"",""en"")"),"['Telkomsel', 'already', 'expensive', 'complicated', 'detrimental', 'kalu', 'already', 'blocking', 'number', 'permanent', 'person', 'system', ' Change ',' Cook ',' Recovery ',' Number ',' Delete ',' Permanent ',' Business', 'chaotic', 'Gara', 'Block', 'Pe"&amp;"rmanent', 'Had']")</f>
        <v>['Telkomsel', 'already', 'expensive', 'complicated', 'detrimental', 'kalu', 'already', 'blocking', 'number', 'permanent', 'person', 'system', ' Change ',' Cook ',' Recovery ',' Number ',' Delete ',' Permanent ',' Business', 'chaotic', 'Gara', 'Block', 'Permanent', 'Had']</v>
      </c>
      <c r="D626" s="3">
        <v>1.0</v>
      </c>
    </row>
    <row r="627" ht="15.75" customHeight="1">
      <c r="A627" s="1">
        <v>625.0</v>
      </c>
      <c r="B627" s="3" t="s">
        <v>628</v>
      </c>
      <c r="C627" s="3" t="str">
        <f>IFERROR(__xludf.DUMMYFUNCTION("GOOGLETRANSLATE(B627,""id"",""en"")"),"['application', 'buy', 'package', 'enter', 'difficult', 'slow', 'please', 'complicated', 'delete', 'dowload', 'application', 'telkom', ' pulse ',' pelangan ',' sucked ']")</f>
        <v>['application', 'buy', 'package', 'enter', 'difficult', 'slow', 'please', 'complicated', 'delete', 'dowload', 'application', 'telkom', ' pulse ',' pelangan ',' sucked ']</v>
      </c>
      <c r="D627" s="3">
        <v>1.0</v>
      </c>
    </row>
    <row r="628" ht="15.75" customHeight="1">
      <c r="A628" s="1">
        <v>626.0</v>
      </c>
      <c r="B628" s="3" t="s">
        <v>629</v>
      </c>
      <c r="C628" s="3" t="str">
        <f>IFERROR(__xludf.DUMMYFUNCTION("GOOGLETRANSLATE(B628,""id"",""en"")"),"['application', 'update', 'after', 'update', 'login', 'automatic', 'slow', 'frequency', 'error', 'ngeselin', 'gontain', 'replace', ' Cover ',' Doang ',' Helpful ',' Consumer ',' ']")</f>
        <v>['application', 'update', 'after', 'update', 'login', 'automatic', 'slow', 'frequency', 'error', 'ngeselin', 'gontain', 'replace', ' Cover ',' Doang ',' Helpful ',' Consumer ',' ']</v>
      </c>
      <c r="D628" s="3">
        <v>1.0</v>
      </c>
    </row>
    <row r="629" ht="15.75" customHeight="1">
      <c r="A629" s="1">
        <v>627.0</v>
      </c>
      <c r="B629" s="3" t="s">
        <v>630</v>
      </c>
      <c r="C629" s="3" t="str">
        <f>IFERROR(__xludf.DUMMYFUNCTION("GOOGLETRANSLATE(B629,""id"",""en"")"),"['Since', 'internet', 'slow', 'number', 'because' cards ',' many years ',' users ',' Telkomsel ',' experience ',' regret ',' subscribe ',' Internet ',' operator ',' Telkomsel ']")</f>
        <v>['Since', 'internet', 'slow', 'number', 'because' cards ',' many years ',' users ',' Telkomsel ',' experience ',' regret ',' subscribe ',' Internet ',' operator ',' Telkomsel ']</v>
      </c>
      <c r="D629" s="3">
        <v>1.0</v>
      </c>
    </row>
    <row r="630" ht="15.75" customHeight="1">
      <c r="A630" s="1">
        <v>628.0</v>
      </c>
      <c r="B630" s="3" t="s">
        <v>631</v>
      </c>
      <c r="C630" s="3" t="str">
        <f>IFERROR(__xludf.DUMMYFUNCTION("GOOGLETRANSLATE(B630,""id"",""en"")"),"['update', 'poor', 'entry', 'connection', 'network', 'stable', 'application', 'kayak', 'so', 'enter', 'fast', 'please', ' Repaired ',' Connection ',' Network ',' Thank you ', ""]")</f>
        <v>['update', 'poor', 'entry', 'connection', 'network', 'stable', 'application', 'kayak', 'so', 'enter', 'fast', 'please', ' Repaired ',' Connection ',' Network ',' Thank you ', "]</v>
      </c>
      <c r="D630" s="3">
        <v>1.0</v>
      </c>
    </row>
    <row r="631" ht="15.75" customHeight="1">
      <c r="A631" s="1">
        <v>629.0</v>
      </c>
      <c r="B631" s="3" t="s">
        <v>632</v>
      </c>
      <c r="C631" s="3" t="str">
        <f>IFERROR(__xludf.DUMMYFUNCTION("GOOGLETRANSLATE(B631,""id"",""en"")"),"['Application', 'Difficult', 'Access',' Login ',' Network ',' Good ',' Application ',' Update ',' Please ',' Keep ',' Performance ',' Best ',' Telkomsel ',' thank ',' love ',' ']")</f>
        <v>['Application', 'Difficult', 'Access',' Login ',' Network ',' Good ',' Application ',' Update ',' Please ',' Keep ',' Performance ',' Best ',' Telkomsel ',' thank ',' love ',' ']</v>
      </c>
      <c r="D631" s="3">
        <v>4.0</v>
      </c>
    </row>
    <row r="632" ht="15.75" customHeight="1">
      <c r="A632" s="1">
        <v>630.0</v>
      </c>
      <c r="B632" s="3" t="s">
        <v>633</v>
      </c>
      <c r="C632" s="3" t="str">
        <f>IFERROR(__xludf.DUMMYFUNCTION("GOOGLETRANSLATE(B632,""id"",""en"")"),"['Sanagt', 'Disappointed', 'Karna', 'Opens',' Application ',' Telkomsel ',' Ngelag ',' Data ',' Cellular ',' Life ',' Disappointed ',' Telkomsel ',' Wear ',' Telkomsel ',' buy ',' quota ',' Different ',' Karna ',' Signal ',' Telkomsel ',' lag ']")</f>
        <v>['Sanagt', 'Disappointed', 'Karna', 'Opens',' Application ',' Telkomsel ',' Ngelag ',' Data ',' Cellular ',' Life ',' Disappointed ',' Telkomsel ',' Wear ',' Telkomsel ',' buy ',' quota ',' Different ',' Karna ',' Signal ',' Telkomsel ',' lag ']</v>
      </c>
      <c r="D632" s="3">
        <v>1.0</v>
      </c>
    </row>
    <row r="633" ht="15.75" customHeight="1">
      <c r="A633" s="1">
        <v>631.0</v>
      </c>
      <c r="B633" s="3" t="s">
        <v>634</v>
      </c>
      <c r="C633" s="3" t="str">
        <f>IFERROR(__xludf.DUMMYFUNCTION("GOOGLETRANSLATE(B633,""id"",""en"")"),"['application', 'slow', 'like', 'strike', 'sometimes',' smooth ',' slow ',' aciscist ',' application ',' ovo ',' etc. ',' rating ',' applied ',' told ',' twiter ',' Facebook ', ""]")</f>
        <v>['application', 'slow', 'like', 'strike', 'sometimes',' smooth ',' slow ',' aciscist ',' application ',' ovo ',' etc. ',' rating ',' applied ',' told ',' twiter ',' Facebook ', "]</v>
      </c>
      <c r="D633" s="3">
        <v>1.0</v>
      </c>
    </row>
    <row r="634" ht="15.75" customHeight="1">
      <c r="A634" s="1">
        <v>632.0</v>
      </c>
      <c r="B634" s="3" t="s">
        <v>635</v>
      </c>
      <c r="C634" s="3" t="str">
        <f>IFERROR(__xludf.DUMMYFUNCTION("GOOGLETRANSLATE(B634,""id"",""en"")"),"['Help', 'Rate', 'Star', 'Satisfied', 'represented', 'Review', 'colleague', 'paying', 'see you', 'destroyed', 'application', 'Doank', ' Down ']")</f>
        <v>['Help', 'Rate', 'Star', 'Satisfied', 'represented', 'Review', 'colleague', 'paying', 'see you', 'destroyed', 'application', 'Doank', ' Down ']</v>
      </c>
      <c r="D634" s="3">
        <v>1.0</v>
      </c>
    </row>
    <row r="635" ht="15.75" customHeight="1">
      <c r="A635" s="1">
        <v>633.0</v>
      </c>
      <c r="B635" s="3" t="s">
        <v>636</v>
      </c>
      <c r="C635" s="3" t="str">
        <f>IFERROR(__xludf.DUMMYFUNCTION("GOOGLETRANSLATE(B635,""id"",""en"")"),"['Severe', 'really', 'APK', 'really', 'Nge', 'Freeze', 'Close', 'right', 'buy', 'quota', 'apk', 'update', ' good ',' gajelas', 'admin', 'developer', 'how', 'work', 'please', 'action', 'continue', '']")</f>
        <v>['Severe', 'really', 'APK', 'really', 'Nge', 'Freeze', 'Close', 'right', 'buy', 'quota', 'apk', 'update', ' good ',' gajelas', 'admin', 'developer', 'how', 'work', 'please', 'action', 'continue', '']</v>
      </c>
      <c r="D635" s="3">
        <v>1.0</v>
      </c>
    </row>
    <row r="636" ht="15.75" customHeight="1">
      <c r="A636" s="1">
        <v>634.0</v>
      </c>
      <c r="B636" s="3" t="s">
        <v>637</v>
      </c>
      <c r="C636" s="3" t="str">
        <f>IFERROR(__xludf.DUMMYFUNCTION("GOOGLETRANSLATE(B636,""id"",""en"")"),"['slow', 'really', 'already', 'mah', 'pulses',' suck ',' weird ',' daily ',' chekin ',' no ',' claim ',' chekin ',' The prize ',' Claim ',' ']")</f>
        <v>['slow', 'really', 'already', 'mah', 'pulses',' suck ',' weird ',' daily ',' chekin ',' no ',' claim ',' chekin ',' The prize ',' Claim ',' ']</v>
      </c>
      <c r="D636" s="3">
        <v>1.0</v>
      </c>
    </row>
    <row r="637" ht="15.75" customHeight="1">
      <c r="A637" s="1">
        <v>635.0</v>
      </c>
      <c r="B637" s="3" t="s">
        <v>638</v>
      </c>
      <c r="C637" s="3" t="str">
        <f>IFERROR(__xludf.DUMMYFUNCTION("GOOGLETRANSLATE(B637,""id"",""en"")"),"['apk', 'difficult', 'open', 'open', 'connection', 'stable', 'network', 'full', 'quota', 'bnyak', 'youtube', 'smooth', ' Benerin ',' Mending ',' APK ',' Telkomsel ',' Kyk ',' Age ',' Etc. ', ""]")</f>
        <v>['apk', 'difficult', 'open', 'open', 'connection', 'stable', 'network', 'full', 'quota', 'bnyak', 'youtube', 'smooth', ' Benerin ',' Mending ',' APK ',' Telkomsel ',' Kyk ',' Age ',' Etc. ', "]</v>
      </c>
      <c r="D637" s="3">
        <v>1.0</v>
      </c>
    </row>
    <row r="638" ht="15.75" customHeight="1">
      <c r="A638" s="1">
        <v>636.0</v>
      </c>
      <c r="B638" s="3" t="s">
        <v>639</v>
      </c>
      <c r="C638" s="3" t="str">
        <f>IFERROR(__xludf.DUMMYFUNCTION("GOOGLETRANSLATE(B638,""id"",""en"")"),"['Telkomoney', 'suitable', 'company', 'application', 'cave', 'package', 'minute', 'call', 'gada', 'wind', 'gada', 'rain', ' pulses', 'cave', 'sucked', 'call', 'the test', 'doang', 'funny thing', 'blm', 'open', 'application', 'cave', 'blm', 'live' , 'Packa"&amp;"ge', 'Credit', 'Sumpot', 'Anying', 'Disappointed', 'Boss',' Star ',' Fix ',' Service ',' Nge ',' Star ',' Performance ',' Services', 'salary', 'free', 'boss',' ngotak ',' little ',' ']")</f>
        <v>['Telkomoney', 'suitable', 'company', 'application', 'cave', 'package', 'minute', 'call', 'gada', 'wind', 'gada', 'rain', ' pulses', 'cave', 'sucked', 'call', 'the test', 'doang', 'funny thing', 'blm', 'open', 'application', 'cave', 'blm', 'live' , 'Package', 'Credit', 'Sumpot', 'Anying', 'Disappointed', 'Boss',' Star ',' Fix ',' Service ',' Nge ',' Star ',' Performance ',' Services', 'salary', 'free', 'boss',' ngotak ',' little ',' ']</v>
      </c>
      <c r="D638" s="3">
        <v>1.0</v>
      </c>
    </row>
    <row r="639" ht="15.75" customHeight="1">
      <c r="A639" s="1">
        <v>637.0</v>
      </c>
      <c r="B639" s="3" t="s">
        <v>640</v>
      </c>
      <c r="C639" s="3" t="str">
        <f>IFERROR(__xludf.DUMMYFUNCTION("GOOGLETRANSLATE(B639,""id"",""en"")"),"['Disappointed', 'Telkomsel', 'price', 'already', 'expensive', 'expensive', 'network', 'stable', 'play', 'game', 'signal', 'ngak', ' Ngellag ',' disappointed ',' really ',' network ',' already ',' broad ',' ngeleg ',' ngeleg ',' connection ',' ']")</f>
        <v>['Disappointed', 'Telkomsel', 'price', 'already', 'expensive', 'expensive', 'network', 'stable', 'play', 'game', 'signal', 'ngak', ' Ngellag ',' disappointed ',' really ',' network ',' already ',' broad ',' ngeleg ',' ngeleg ',' connection ',' ']</v>
      </c>
      <c r="D639" s="3">
        <v>2.0</v>
      </c>
    </row>
    <row r="640" ht="15.75" customHeight="1">
      <c r="A640" s="1">
        <v>638.0</v>
      </c>
      <c r="B640" s="3" t="s">
        <v>641</v>
      </c>
      <c r="C640" s="3" t="str">
        <f>IFERROR(__xludf.DUMMYFUNCTION("GOOGLETRANSLATE(B640,""id"",""en"")"),"['Disappointed', 'Telkomsel', 'quota', 'internet', 'Available', 'GB', 'pulses',' sedop ',' disappointing ',' data ',' internet ',' pulses', ' Suck ',' run out ',' check ',' package ',' available ',' Try ',' reload ',' credit ',' missing ',' disappointing "&amp;"',' pulse ',' take ',' silence ' ]")</f>
        <v>['Disappointed', 'Telkomsel', 'quota', 'internet', 'Available', 'GB', 'pulses',' sedop ',' disappointing ',' data ',' internet ',' pulses', ' Suck ',' run out ',' check ',' package ',' available ',' Try ',' reload ',' credit ',' missing ',' disappointing ',' pulse ',' take ',' silence ' ]</v>
      </c>
      <c r="D640" s="3">
        <v>1.0</v>
      </c>
    </row>
    <row r="641" ht="15.75" customHeight="1">
      <c r="A641" s="1">
        <v>639.0</v>
      </c>
      <c r="B641" s="3" t="s">
        <v>642</v>
      </c>
      <c r="C641" s="3" t="str">
        <f>IFERROR(__xludf.DUMMYFUNCTION("GOOGLETRANSLATE(B641,""id"",""en"")"),"['Sorry', 'star', 'Lower', 'Credit', 'Sumpot', 'Out', 'Internet', 'MyTelkomsel', 'See', 'History', 'Transaction', 'Description', ' sad']")</f>
        <v>['Sorry', 'star', 'Lower', 'Credit', 'Sumpot', 'Out', 'Internet', 'MyTelkomsel', 'See', 'History', 'Transaction', 'Description', ' sad']</v>
      </c>
      <c r="D641" s="3">
        <v>1.0</v>
      </c>
    </row>
    <row r="642" ht="15.75" customHeight="1">
      <c r="A642" s="1">
        <v>640.0</v>
      </c>
      <c r="B642" s="3" t="s">
        <v>643</v>
      </c>
      <c r="C642" s="3" t="str">
        <f>IFERROR(__xludf.DUMMYFUNCTION("GOOGLETRANSLATE(B642,""id"",""en"")"),"['please', 'Telkomsel', 'loss', 'buy', 'quota', 'Gunaiin', 'write', 'unlimited', 'game', 'play', 'game', 'ajg']")</f>
        <v>['please', 'Telkomsel', 'loss', 'buy', 'quota', 'Gunaiin', 'write', 'unlimited', 'game', 'play', 'game', 'ajg']</v>
      </c>
      <c r="D642" s="3">
        <v>1.0</v>
      </c>
    </row>
    <row r="643" ht="15.75" customHeight="1">
      <c r="A643" s="1">
        <v>641.0</v>
      </c>
      <c r="B643" s="3" t="s">
        <v>644</v>
      </c>
      <c r="C643" s="3" t="str">
        <f>IFERROR(__xludf.DUMMYFUNCTION("GOOGLETRANSLATE(B643,""id"",""en"")"),"['gmna', 'skrng', 'Telkomsel', 'check', 'quota', 'difficult', 'connection', 'stable', 'then', 'signal', 'full', 'YouTube', ' Current ',' check ',' quota ',' difficult ',' please ',' repair ']")</f>
        <v>['gmna', 'skrng', 'Telkomsel', 'check', 'quota', 'difficult', 'connection', 'stable', 'then', 'signal', 'full', 'YouTube', ' Current ',' check ',' quota ',' difficult ',' please ',' repair ']</v>
      </c>
      <c r="D643" s="3">
        <v>1.0</v>
      </c>
    </row>
    <row r="644" ht="15.75" customHeight="1">
      <c r="A644" s="1">
        <v>642.0</v>
      </c>
      <c r="B644" s="3" t="s">
        <v>645</v>
      </c>
      <c r="C644" s="3" t="str">
        <f>IFERROR(__xludf.DUMMYFUNCTION("GOOGLETRANSLATE(B644,""id"",""en"")"),"['update', 'the latest', 'finished', 'Install', 'opened', 'application', 'Telkomsel', 'bad', 'hire', 'person', 'person', 'field', ' Application ',' Telkomsel ',' Open ',' ']")</f>
        <v>['update', 'the latest', 'finished', 'Install', 'opened', 'application', 'Telkomsel', 'bad', 'hire', 'person', 'person', 'field', ' Application ',' Telkomsel ',' Open ',' ']</v>
      </c>
      <c r="D644" s="3">
        <v>1.0</v>
      </c>
    </row>
    <row r="645" ht="15.75" customHeight="1">
      <c r="A645" s="1">
        <v>643.0</v>
      </c>
      <c r="B645" s="3" t="s">
        <v>646</v>
      </c>
      <c r="C645" s="3" t="str">
        <f>IFERROR(__xludf.DUMMYFUNCTION("GOOGLETRANSLATE(B645,""id"",""en"")"),"['thanks',' love ',' Telkomsel ',' subscribe ',' many years', 'good', 'ugly', 'network', 'application', 'error', 'buy', 'package', ' Promos', 'Makasi', 'APS', 'Waste', '']")</f>
        <v>['thanks',' love ',' Telkomsel ',' subscribe ',' many years', 'good', 'ugly', 'network', 'application', 'error', 'buy', 'package', ' Promos', 'Makasi', 'APS', 'Waste', '']</v>
      </c>
      <c r="D645" s="3">
        <v>1.0</v>
      </c>
    </row>
    <row r="646" ht="15.75" customHeight="1">
      <c r="A646" s="1">
        <v>644.0</v>
      </c>
      <c r="B646" s="3" t="s">
        <v>647</v>
      </c>
      <c r="C646" s="3" t="str">
        <f>IFERROR(__xludf.DUMMYFUNCTION("GOOGLETRANSLATE(B646,""id"",""en"")"),"['enter', 'stuck', 'menu', 'loading', 'error', 'try', 'again', 'mulu', 'mean', 'how', 'fix', 'Telkomsel', ' Dilapidated ',' package ',' expensive ',' promo ']")</f>
        <v>['enter', 'stuck', 'menu', 'loading', 'error', 'try', 'again', 'mulu', 'mean', 'how', 'fix', 'Telkomsel', ' Dilapidated ',' package ',' expensive ',' promo ']</v>
      </c>
      <c r="D646" s="3">
        <v>1.0</v>
      </c>
    </row>
    <row r="647" ht="15.75" customHeight="1">
      <c r="A647" s="1">
        <v>645.0</v>
      </c>
      <c r="B647" s="3" t="s">
        <v>648</v>
      </c>
      <c r="C647" s="3" t="str">
        <f>IFERROR(__xludf.DUMMYFUNCTION("GOOGLETRANSLATE(B647,""id"",""en"")"),"['Bad', 'Telkomsel', 'boss',' owner ',' Telkomsel ',' employees', 'thinking', 'lucky', 'qualitations',' sample ',' provide ',' package ',' Not bad ',' cheap ',' take ',' apk ',' tekomsel ',' package ',' cheerful ',' telkomsel ',' package ',' expensive ','"&amp;" take ',' really ',' sense ' , 'Dutch', 'Collaborate', 'Indonesia', 'Inherent', 'Quality', 'Service', 'Please', 'Fix', 'Pattern', 'Showing', 'Promo', 'Fake', ' ']")</f>
        <v>['Bad', 'Telkomsel', 'boss',' owner ',' Telkomsel ',' employees', 'thinking', 'lucky', 'qualitations',' sample ',' provide ',' package ',' Not bad ',' cheap ',' take ',' apk ',' tekomsel ',' package ',' cheerful ',' telkomsel ',' package ',' expensive ',' take ',' really ',' sense ' , 'Dutch', 'Collaborate', 'Indonesia', 'Inherent', 'Quality', 'Service', 'Please', 'Fix', 'Pattern', 'Showing', 'Promo', 'Fake', ' ']</v>
      </c>
      <c r="D647" s="3">
        <v>1.0</v>
      </c>
    </row>
    <row r="648" ht="15.75" customHeight="1">
      <c r="A648" s="1">
        <v>646.0</v>
      </c>
      <c r="B648" s="3" t="s">
        <v>649</v>
      </c>
      <c r="C648" s="3" t="str">
        <f>IFERROR(__xludf.DUMMYFUNCTION("GOOGLETRANSLATE(B648,""id"",""en"")"),"['Telkomsel', 'slow', 'pulse', 'quota', 'package', 'data', 'class',' Telkomsel ',' fair ',' expensive ',' difficult ',' signal ',' Please, 'repaired', 'comfort', '']")</f>
        <v>['Telkomsel', 'slow', 'pulse', 'quota', 'package', 'data', 'class',' Telkomsel ',' fair ',' expensive ',' difficult ',' signal ',' Please, 'repaired', 'comfort', '']</v>
      </c>
      <c r="D648" s="3">
        <v>1.0</v>
      </c>
    </row>
    <row r="649" ht="15.75" customHeight="1">
      <c r="A649" s="1">
        <v>647.0</v>
      </c>
      <c r="B649" s="3" t="s">
        <v>650</v>
      </c>
      <c r="C649" s="3" t="str">
        <f>IFERROR(__xludf.DUMMYFUNCTION("GOOGLETRANSLATE(B649,""id"",""en"")"),"['era', 'junior high school', 'Telkomsel', 'replace', 'card', 'taste', 'mah', 'severe', 'really', 'signal', 'sometimes',' missing ',' network ',' edge ',' influential ',' open ',' wrong ',' application ',' pokonya ',' super ',' slow ',' please ',' fix ','"&amp;" quality ',' its network ' , 'love', 'suggestion', 'signal', 'suggestion', 'best', 'change', 'card', 'sim', '']")</f>
        <v>['era', 'junior high school', 'Telkomsel', 'replace', 'card', 'taste', 'mah', 'severe', 'really', 'signal', 'sometimes',' missing ',' network ',' edge ',' influential ',' open ',' wrong ',' application ',' pokonya ',' super ',' slow ',' please ',' fix ',' quality ',' its network ' , 'love', 'suggestion', 'signal', 'suggestion', 'best', 'change', 'card', 'sim', '']</v>
      </c>
      <c r="D649" s="3">
        <v>1.0</v>
      </c>
    </row>
    <row r="650" ht="15.75" customHeight="1">
      <c r="A650" s="1">
        <v>648.0</v>
      </c>
      <c r="B650" s="3" t="s">
        <v>651</v>
      </c>
      <c r="C650" s="3" t="str">
        <f>IFERROR(__xludf.DUMMYFUNCTION("GOOGLETRANSLATE(B650,""id"",""en"")"),"['Contents',' credit ',' Date ',' April ',' buy ',' Package ',' Kombo ',' Sakti ',' Date ',' Credit ',' Should ',' Buy ',' package ',' game ',' max ',' diamond ',' padhal ',' ngg ',' buy ',' package ',' application ',' buy ',' package ',' please ',' clari"&amp;"ty ' , 'Halah', 'UDH', 'Report', 'Tetep', 'Ngg', 'Clarity', 'Veronika', 'Ngg']")</f>
        <v>['Contents',' credit ',' Date ',' April ',' buy ',' Package ',' Kombo ',' Sakti ',' Date ',' Credit ',' Should ',' Buy ',' package ',' game ',' max ',' diamond ',' padhal ',' ngg ',' buy ',' package ',' application ',' buy ',' package ',' please ',' clarity ' , 'Halah', 'UDH', 'Report', 'Tetep', 'Ngg', 'Clarity', 'Veronika', 'Ngg']</v>
      </c>
      <c r="D650" s="3">
        <v>1.0</v>
      </c>
    </row>
    <row r="651" ht="15.75" customHeight="1">
      <c r="A651" s="1">
        <v>649.0</v>
      </c>
      <c r="B651" s="3" t="s">
        <v>652</v>
      </c>
      <c r="C651" s="3" t="str">
        <f>IFERROR(__xludf.DUMMYFUNCTION("GOOGLETRANSLATE(B651,""id"",""en"")"),"['Signal', 'slow', 'Telkomsel', 'lovers',' customer ',' service ',' satisfying ',' update ',' newest ',' application ',' mytelkomsel ',' difficult ',' Loginnya ',' please ',' fix ',' service ']")</f>
        <v>['Signal', 'slow', 'Telkomsel', 'lovers',' customer ',' service ',' satisfying ',' update ',' newest ',' application ',' mytelkomsel ',' difficult ',' Loginnya ',' please ',' fix ',' service ']</v>
      </c>
      <c r="D651" s="3">
        <v>1.0</v>
      </c>
    </row>
    <row r="652" ht="15.75" customHeight="1">
      <c r="A652" s="1">
        <v>650.0</v>
      </c>
      <c r="B652" s="3" t="s">
        <v>653</v>
      </c>
      <c r="C652" s="3" t="str">
        <f>IFERROR(__xludf.DUMMYFUNCTION("GOOGLETRANSLATE(B652,""id"",""en"")"),"['Difficult', 'Package', 'Data', 'Internet', 'Regular', 'Kemendikbud', 'Login', 'Game', 'Online', 'Mohin', 'Overcome', 'Number']")</f>
        <v>['Difficult', 'Package', 'Data', 'Internet', 'Regular', 'Kemendikbud', 'Login', 'Game', 'Online', 'Mohin', 'Overcome', 'Number']</v>
      </c>
      <c r="D652" s="3">
        <v>3.0</v>
      </c>
    </row>
    <row r="653" ht="15.75" customHeight="1">
      <c r="A653" s="1">
        <v>651.0</v>
      </c>
      <c r="B653" s="3" t="s">
        <v>654</v>
      </c>
      <c r="C653" s="3" t="str">
        <f>IFERROR(__xludf.DUMMYFUNCTION("GOOGLETRANSLATE(B653,""id"",""en"")"),"['uda', 'repay', 'closed', 'server', 'uda', 'USA', 'cucu', 'Custamer', 'org', 'nge', 'network', 'see', ' The problem is', 'Custamer', 'Telkomsel', 'Ngeluh', 'taugayg', 'Provide', 'Action', 'continue', 'complaints',' Telkomsel ',' Abia ',' Change ',' card "&amp;"' , '']")</f>
        <v>['uda', 'repay', 'closed', 'server', 'uda', 'USA', 'cucu', 'Custamer', 'org', 'nge', 'network', 'see', ' The problem is', 'Custamer', 'Telkomsel', 'Ngeluh', 'taugayg', 'Provide', 'Action', 'continue', 'complaints',' Telkomsel ',' Abia ',' Change ',' card ' , '']</v>
      </c>
      <c r="D653" s="3">
        <v>1.0</v>
      </c>
    </row>
    <row r="654" ht="15.75" customHeight="1">
      <c r="A654" s="1">
        <v>652.0</v>
      </c>
      <c r="B654" s="3" t="s">
        <v>655</v>
      </c>
      <c r="C654" s="3" t="str">
        <f>IFERROR(__xludf.DUMMYFUNCTION("GOOGLETRANSLATE(B654,""id"",""en"")"),"['Disappointed', 'Package', 'Abis',' right ',' buy ',' Notif ',' pulse ',' many ',' times', 'failed', 'right', 'check', ' pulses', 'whole', 'try', 'sucked', 'pulses',' contents', 'credit', 'succeed', 'really', 'disappointed', 'Telkomsel', 'the network', '"&amp;"as stronger' , 'Rindu', 'Telkomsel', 'Rely on', 'anywhere']")</f>
        <v>['Disappointed', 'Package', 'Abis',' right ',' buy ',' Notif ',' pulse ',' many ',' times', 'failed', 'right', 'check', ' pulses', 'whole', 'try', 'sucked', 'pulses',' contents', 'credit', 'succeed', 'really', 'disappointed', 'Telkomsel', 'the network', 'as stronger' , 'Rindu', 'Telkomsel', 'Rely on', 'anywhere']</v>
      </c>
      <c r="D654" s="3">
        <v>1.0</v>
      </c>
    </row>
    <row r="655" ht="15.75" customHeight="1">
      <c r="A655" s="1">
        <v>653.0</v>
      </c>
      <c r="B655" s="3" t="s">
        <v>656</v>
      </c>
      <c r="C655" s="3" t="str">
        <f>IFERROR(__xludf.DUMMYFUNCTION("GOOGLETRANSLATE(B655,""id"",""en"")"),"['Gara', 'update', 'right', 'dialy', 'check', 'claimed', 'right', 'already', 'update', 'APK', 'status',' Considered ',' Enter ',' quota ',' ']")</f>
        <v>['Gara', 'update', 'right', 'dialy', 'check', 'claimed', 'right', 'already', 'update', 'APK', 'status',' Considered ',' Enter ',' quota ',' ']</v>
      </c>
      <c r="D655" s="3">
        <v>1.0</v>
      </c>
    </row>
    <row r="656" ht="15.75" customHeight="1">
      <c r="A656" s="1">
        <v>654.0</v>
      </c>
      <c r="B656" s="3" t="s">
        <v>657</v>
      </c>
      <c r="C656" s="3" t="str">
        <f>IFERROR(__xludf.DUMMYFUNCTION("GOOGLETRANSLATE(B656,""id"",""en"")"),"['good', 'signal', 'slow', 'severe', 'download', 'application', 'hour', 'ping', 'game', 'package', 'expensive', 'quality', ' signal ',' low ',' mending ',' axis', 'smartfren', 'comparison', 'speed', 'signal', 'provider', 'already', 'package', 'cheap', 'si"&amp;"gnal' , 'Current', 'Jaya']")</f>
        <v>['good', 'signal', 'slow', 'severe', 'download', 'application', 'hour', 'ping', 'game', 'package', 'expensive', 'quality', ' signal ',' low ',' mending ',' axis', 'smartfren', 'comparison', 'speed', 'signal', 'provider', 'already', 'package', 'cheap', 'signal' , 'Current', 'Jaya']</v>
      </c>
      <c r="D656" s="3">
        <v>1.0</v>
      </c>
    </row>
    <row r="657" ht="15.75" customHeight="1">
      <c r="A657" s="1">
        <v>655.0</v>
      </c>
      <c r="B657" s="3" t="s">
        <v>658</v>
      </c>
      <c r="C657" s="3" t="str">
        <f>IFERROR(__xludf.DUMMYFUNCTION("GOOGLETRANSLATE(B657,""id"",""en"")"),"['subscribe', 'package', 'Telkomsel', 'here', 'network', 'slow', 'difficult', 'city', 'please', 'fix', 'area', 'padanh']")</f>
        <v>['subscribe', 'package', 'Telkomsel', 'here', 'network', 'slow', 'difficult', 'city', 'please', 'fix', 'area', 'padanh']</v>
      </c>
      <c r="D657" s="3">
        <v>1.0</v>
      </c>
    </row>
    <row r="658" ht="15.75" customHeight="1">
      <c r="A658" s="1">
        <v>656.0</v>
      </c>
      <c r="B658" s="3" t="s">
        <v>659</v>
      </c>
      <c r="C658" s="3" t="str">
        <f>IFERROR(__xludf.DUMMYFUNCTION("GOOGLETRANSLATE(B658,""id"",""en"")"),"['Telkomsel', 'wear', 'card', 'Telkomsel', 'bonus',' purchase ',' quota ',' internet ',' bberpa ',' friend ',' promo ',' package ',' Internet ',' cheap ',' number ',' expensive ',' purchase ',' package ',' internet ']")</f>
        <v>['Telkomsel', 'wear', 'card', 'Telkomsel', 'bonus',' purchase ',' quota ',' internet ',' bberpa ',' friend ',' promo ',' package ',' Internet ',' cheap ',' number ',' expensive ',' purchase ',' package ',' internet ']</v>
      </c>
      <c r="D658" s="3">
        <v>1.0</v>
      </c>
    </row>
    <row r="659" ht="15.75" customHeight="1">
      <c r="A659" s="1">
        <v>657.0</v>
      </c>
      <c r="B659" s="3" t="s">
        <v>660</v>
      </c>
      <c r="C659" s="3" t="str">
        <f>IFERROR(__xludf.DUMMYFUNCTION("GOOGLETRANSLATE(B659,""id"",""en"")"),"['Moon', 'improvement', 'good', 'Telkomsel', 'replace', 'name', 'Telkomtol', 'admin', 'Tiling', 'Kikik', 'Ristirt', 'Hipi', ' Nyi ']")</f>
        <v>['Moon', 'improvement', 'good', 'Telkomsel', 'replace', 'name', 'Telkomtol', 'admin', 'Tiling', 'Kikik', 'Ristirt', 'Hipi', ' Nyi ']</v>
      </c>
      <c r="D659" s="3">
        <v>1.0</v>
      </c>
    </row>
    <row r="660" ht="15.75" customHeight="1">
      <c r="A660" s="1">
        <v>658.0</v>
      </c>
      <c r="B660" s="3" t="s">
        <v>661</v>
      </c>
      <c r="C660" s="3" t="str">
        <f>IFERROR(__xludf.DUMMYFUNCTION("GOOGLETRANSLATE(B660,""id"",""en"")"),"['In the future', 'Telkomsel', 'bad', 'disappointed', 'special', 'city', 'Medan', 'network', 'bln', 'stable', 'alternating', 'TLPN', ' Customers', 'answers',' neighbors', 'experience', 'network', 'internet', 'disappointed', 'Telkomsel', 'pay attention', '"&amp;"customers']")</f>
        <v>['In the future', 'Telkomsel', 'bad', 'disappointed', 'special', 'city', 'Medan', 'network', 'bln', 'stable', 'alternating', 'TLPN', ' Customers', 'answers',' neighbors', 'experience', 'network', 'internet', 'disappointed', 'Telkomsel', 'pay attention', 'customers']</v>
      </c>
      <c r="D660" s="3">
        <v>1.0</v>
      </c>
    </row>
    <row r="661" ht="15.75" customHeight="1">
      <c r="A661" s="1">
        <v>659.0</v>
      </c>
      <c r="B661" s="3" t="s">
        <v>662</v>
      </c>
      <c r="C661" s="3" t="str">
        <f>IFERROR(__xludf.DUMMYFUNCTION("GOOGLETRANSLATE(B661,""id"",""en"")"),"['network', 'slow', 'card', 'package', 'expensive', 'according to', 'degan', 'quality', '']")</f>
        <v>['network', 'slow', 'card', 'package', 'expensive', 'according to', 'degan', 'quality', '']</v>
      </c>
      <c r="D661" s="3">
        <v>1.0</v>
      </c>
    </row>
    <row r="662" ht="15.75" customHeight="1">
      <c r="A662" s="1">
        <v>660.0</v>
      </c>
      <c r="B662" s="3" t="s">
        <v>663</v>
      </c>
      <c r="C662" s="3" t="str">
        <f>IFERROR(__xludf.DUMMYFUNCTION("GOOGLETRANSLATE(B662,""id"",""en"")"),"['Please', 'repaired', 'network', 'Telkomsel', 'area', 'expensive', 'buy', 'package', 'internet', 'slow', 'in the area', 'post', ' Covid ',' Satisfied ',' Service ',' Telkomsel ',' Nias', 'Sumatran', 'North']")</f>
        <v>['Please', 'repaired', 'network', 'Telkomsel', 'area', 'expensive', 'buy', 'package', 'internet', 'slow', 'in the area', 'post', ' Covid ',' Satisfied ',' Service ',' Telkomsel ',' Nias', 'Sumatran', 'North']</v>
      </c>
      <c r="D662" s="3">
        <v>1.0</v>
      </c>
    </row>
    <row r="663" ht="15.75" customHeight="1">
      <c r="A663" s="1">
        <v>661.0</v>
      </c>
      <c r="B663" s="3" t="s">
        <v>664</v>
      </c>
      <c r="C663" s="3" t="str">
        <f>IFERROR(__xludf.DUMMYFUNCTION("GOOGLETRANSLATE(B663,""id"",""en"")"),"['network', 'error', 'family', 'all', 'Telkomsel', 'era', 'already', 'package', 'data', 'expensive', 'plus',' network ',' "", 'people', 'moved', 'network', 'rich', 'gini', 'boss']")</f>
        <v>['network', 'error', 'family', 'all', 'Telkomsel', 'era', 'already', 'package', 'data', 'expensive', 'plus',' network ',' ", 'people', 'moved', 'network', 'rich', 'gini', 'boss']</v>
      </c>
      <c r="D663" s="3">
        <v>3.0</v>
      </c>
    </row>
    <row r="664" ht="15.75" customHeight="1">
      <c r="A664" s="1">
        <v>662.0</v>
      </c>
      <c r="B664" s="3" t="s">
        <v>665</v>
      </c>
      <c r="C664" s="3" t="str">
        <f>IFERROR(__xludf.DUMMYFUNCTION("GOOGLETRANSLATE(B664,""id"",""en"")"),"['pulse', 'sucked', 'because', 'forget', 'turn off', 'data', 'eat', 'money', 'haram', 'signal', 'rotk', 'slow', ' Ryesel ',' JDI ',' Customer ',' Tsel ',' Disappointed ',' Heavy ',' here ',' Good ',' Jdi ',' rotk ',' Tsel ',' disappoint ',' ']")</f>
        <v>['pulse', 'sucked', 'because', 'forget', 'turn off', 'data', 'eat', 'money', 'haram', 'signal', 'rotk', 'slow', ' Ryesel ',' JDI ',' Customer ',' Tsel ',' Disappointed ',' Heavy ',' here ',' Good ',' Jdi ',' rotk ',' Tsel ',' disappoint ',' ']</v>
      </c>
      <c r="D664" s="3">
        <v>1.0</v>
      </c>
    </row>
    <row r="665" ht="15.75" customHeight="1">
      <c r="A665" s="1">
        <v>663.0</v>
      </c>
      <c r="B665" s="3" t="s">
        <v>666</v>
      </c>
      <c r="C665" s="3" t="str">
        <f>IFERROR(__xludf.DUMMYFUNCTION("GOOGLETRANSLATE(B665,""id"",""en"")"),"['satisfying', 'network', 'stable', 'ngelag', 'see', 'Story', 'muter', 'truss',' great ',' skrg ',' telkomsel ',' back ',' cool ',' play ',' games', 'network', 'error', 'truss',' sometimes', 'star', 'brought', 'star', 'kasi', ""]")</f>
        <v>['satisfying', 'network', 'stable', 'ngelag', 'see', 'Story', 'muter', 'truss',' great ',' skrg ',' telkomsel ',' back ',' cool ',' play ',' games', 'network', 'error', 'truss',' sometimes', 'star', 'brought', 'star', 'kasi', "]</v>
      </c>
      <c r="D665" s="3">
        <v>1.0</v>
      </c>
    </row>
    <row r="666" ht="15.75" customHeight="1">
      <c r="A666" s="1">
        <v>664.0</v>
      </c>
      <c r="B666" s="3" t="s">
        <v>667</v>
      </c>
      <c r="C666" s="3" t="str">
        <f>IFERROR(__xludf.DUMMYFUNCTION("GOOGLETRANSLATE(B666,""id"",""en"")"),"['Digned', 'Tanjung', 'Gold', 'Semarang', 'Signal', 'Telkomsel', 'Bad', 'Severe', 'Cook', 'Lose', 'Network', 'Males',' Telkomsel ',' ']")</f>
        <v>['Digned', 'Tanjung', 'Gold', 'Semarang', 'Signal', 'Telkomsel', 'Bad', 'Severe', 'Cook', 'Lose', 'Network', 'Males',' Telkomsel ',' ']</v>
      </c>
      <c r="D666" s="3">
        <v>1.0</v>
      </c>
    </row>
    <row r="667" ht="15.75" customHeight="1">
      <c r="A667" s="1">
        <v>665.0</v>
      </c>
      <c r="B667" s="3" t="s">
        <v>668</v>
      </c>
      <c r="C667" s="3" t="str">
        <f>IFERROR(__xludf.DUMMYFUNCTION("GOOGLETRANSLATE(B667,""id"",""en"")"),"['', 'Telkomsel', 'Bagus',' bet ',' price ',' quota ',' expensive ',' community ',' like ',' for example ',' internet ',' Aga ',' wasteful ',' comparable ',' Intrnet ',' buy ']")</f>
        <v>['', 'Telkomsel', 'Bagus',' bet ',' price ',' quota ',' expensive ',' community ',' like ',' for example ',' internet ',' Aga ',' wasteful ',' comparable ',' Intrnet ',' buy ']</v>
      </c>
      <c r="D667" s="3">
        <v>4.0</v>
      </c>
    </row>
    <row r="668" ht="15.75" customHeight="1">
      <c r="A668" s="1">
        <v>666.0</v>
      </c>
      <c r="B668" s="3" t="s">
        <v>669</v>
      </c>
      <c r="C668" s="3" t="str">
        <f>IFERROR(__xludf.DUMMYFUNCTION("GOOGLETRANSLATE(B668,""id"",""en"")"),"['network', 'slow', 'slow', 'slow', 'please', 'fix', 'login', 'account', 'application', 'Telkomsel', '']")</f>
        <v>['network', 'slow', 'slow', 'slow', 'please', 'fix', 'login', 'account', 'application', 'Telkomsel', '']</v>
      </c>
      <c r="D668" s="3">
        <v>1.0</v>
      </c>
    </row>
    <row r="669" ht="15.75" customHeight="1">
      <c r="A669" s="1">
        <v>667.0</v>
      </c>
      <c r="B669" s="3" t="s">
        <v>670</v>
      </c>
      <c r="C669" s="3" t="str">
        <f>IFERROR(__xludf.DUMMYFUNCTION("GOOGLETRANSLATE(B669,""id"",""en"")"),"['Help', 'buy', 'exchange', 'data', 'hope', 'package', 'interesting', 'cheap', 'customer', 'feels', '']")</f>
        <v>['Help', 'buy', 'exchange', 'data', 'hope', 'package', 'interesting', 'cheap', 'customer', 'feels', '']</v>
      </c>
      <c r="D669" s="3">
        <v>5.0</v>
      </c>
    </row>
    <row r="670" ht="15.75" customHeight="1">
      <c r="A670" s="1">
        <v>668.0</v>
      </c>
      <c r="B670" s="3" t="s">
        <v>671</v>
      </c>
      <c r="C670" s="3" t="str">
        <f>IFERROR(__xludf.DUMMYFUNCTION("GOOGLETRANSLATE(B670,""id"",""en"")"),"['Install', 'Telkomsel', 'Android', 'Marshmallow', 'EMG', 'Provider', 'Expensive', 'installed', 'Potatoes', 'Canda', 'Potatoes', ""]")</f>
        <v>['Install', 'Telkomsel', 'Android', 'Marshmallow', 'EMG', 'Provider', 'Expensive', 'installed', 'Potatoes', 'Canda', 'Potatoes', "]</v>
      </c>
      <c r="D670" s="3">
        <v>1.0</v>
      </c>
    </row>
    <row r="671" ht="15.75" customHeight="1">
      <c r="A671" s="1">
        <v>669.0</v>
      </c>
      <c r="B671" s="3" t="s">
        <v>672</v>
      </c>
      <c r="C671" s="3" t="str">
        <f>IFERROR(__xludf.DUMMYFUNCTION("GOOGLETRANSLATE(B671,""id"",""en"")"),"['Telkomsel', 'Signal', 'worst', 'in the world', 'Umbar', 'package', 'Murarahan', 'complicated', 'deh', 'lovers',' internet ',' mending ',' axis ',' because 'signal', 'on the corner', 'village', 'friendly', 'compared to', 'Telkomsel', 'pretentious', 'Kasi"&amp;"h', 'cheap', 'service', 'cheap' , 'Move', 'Axis', 'Delete', 'NMR', 'Telkomsel']")</f>
        <v>['Telkomsel', 'Signal', 'worst', 'in the world', 'Umbar', 'package', 'Murarahan', 'complicated', 'deh', 'lovers',' internet ',' mending ',' axis ',' because 'signal', 'on the corner', 'village', 'friendly', 'compared to', 'Telkomsel', 'pretentious', 'Kasih', 'cheap', 'service', 'cheap' , 'Move', 'Axis', 'Delete', 'NMR', 'Telkomsel']</v>
      </c>
      <c r="D671" s="3">
        <v>1.0</v>
      </c>
    </row>
    <row r="672" ht="15.75" customHeight="1">
      <c r="A672" s="1">
        <v>670.0</v>
      </c>
      <c r="B672" s="3" t="s">
        <v>673</v>
      </c>
      <c r="C672" s="3" t="str">
        <f>IFERROR(__xludf.DUMMYFUNCTION("GOOGLETRANSLATE(B672,""id"",""en"")"),"['slow', 'buy', 'package', 'signal', 'combo', 'sakti', 'price', 'already', 'clean', 'cache', 'install', 'reset', ' App ',' restart ',' cellphone ',' deh ',' Telkomsel ',' ']")</f>
        <v>['slow', 'buy', 'package', 'signal', 'combo', 'sakti', 'price', 'already', 'clean', 'cache', 'install', 'reset', ' App ',' restart ',' cellphone ',' deh ',' Telkomsel ',' ']</v>
      </c>
      <c r="D672" s="3">
        <v>1.0</v>
      </c>
    </row>
    <row r="673" ht="15.75" customHeight="1">
      <c r="A673" s="1">
        <v>671.0</v>
      </c>
      <c r="B673" s="3" t="s">
        <v>674</v>
      </c>
      <c r="C673" s="3" t="str">
        <f>IFERROR(__xludf.DUMMYFUNCTION("GOOGLETRANSLATE(B673,""id"",""en"")"),"['Disappointing', 'Telkomsel', 'Sya', 'subscribe', 'card', 'Telkomsel', 'Sya', 'disappointed', 'network', 'slow', 'pulse', 'sucked', ' After ',' data ',' Sya ',' disappointed ',' please ',' Telkomsel ',' fix ',' error ']")</f>
        <v>['Disappointing', 'Telkomsel', 'Sya', 'subscribe', 'card', 'Telkomsel', 'Sya', 'disappointed', 'network', 'slow', 'pulse', 'sucked', ' After ',' data ',' Sya ',' disappointed ',' please ',' Telkomsel ',' fix ',' error ']</v>
      </c>
      <c r="D673" s="3">
        <v>1.0</v>
      </c>
    </row>
    <row r="674" ht="15.75" customHeight="1">
      <c r="A674" s="1">
        <v>672.0</v>
      </c>
      <c r="B674" s="3" t="s">
        <v>675</v>
      </c>
      <c r="C674" s="3" t="str">
        <f>IFERROR(__xludf.DUMMYFUNCTION("GOOGLETRANSLATE(B674,""id"",""en"")"),"['game', 'lag', 'steaming', 'lag', 'watch', 'youtube', 'smooth', 'browsing', 'smooth', 'instagram', 'smooth', 'already', ' Buy ',' expensive ',' lag ',' lag ']")</f>
        <v>['game', 'lag', 'steaming', 'lag', 'watch', 'youtube', 'smooth', 'browsing', 'smooth', 'instagram', 'smooth', 'already', ' Buy ',' expensive ',' lag ',' lag ']</v>
      </c>
      <c r="D674" s="3">
        <v>1.0</v>
      </c>
    </row>
    <row r="675" ht="15.75" customHeight="1">
      <c r="A675" s="1">
        <v>673.0</v>
      </c>
      <c r="B675" s="3" t="s">
        <v>676</v>
      </c>
      <c r="C675" s="3" t="str">
        <f>IFERROR(__xludf.DUMMYFUNCTION("GOOGLETRANSLATE(B675,""id"",""en"")"),"['Telkomsel', 'buy', 'package', 'via', 'pulse', 'credit', 'pulse', 'uda', 'until', 'melted', 'fix', 'bug', ' Customers', 'blur', 'provider', '']")</f>
        <v>['Telkomsel', 'buy', 'package', 'via', 'pulse', 'credit', 'pulse', 'uda', 'until', 'melted', 'fix', 'bug', ' Customers', 'blur', 'provider', '']</v>
      </c>
      <c r="D675" s="3">
        <v>1.0</v>
      </c>
    </row>
    <row r="676" ht="15.75" customHeight="1">
      <c r="A676" s="1">
        <v>674.0</v>
      </c>
      <c r="B676" s="3" t="s">
        <v>677</v>
      </c>
      <c r="C676" s="3" t="str">
        <f>IFERROR(__xludf.DUMMYFUNCTION("GOOGLETRANSLATE(B676,""id"",""en"")"),"['', 'forgiveness',' network ',' Telkomsel ',' buffering ',' forgiveness', 'please', 'fix', 'yes',' yes', 'yes',' Telkomsel ',' severe ',' really ',' signal ',' lose ',' im ',' card ',' package ',' cheap ',' rare ',' really ',' name ',' buffering ',' symp"&amp;"athy ', 'well-known', 'know', 'era', 'good', 'network', 'dilapidated', 'reason']")</f>
        <v>['', 'forgiveness',' network ',' Telkomsel ',' buffering ',' forgiveness', 'please', 'fix', 'yes',' yes', 'yes',' Telkomsel ',' severe ',' really ',' signal ',' lose ',' im ',' card ',' package ',' cheap ',' rare ',' really ',' name ',' buffering ',' sympathy ', 'well-known', 'know', 'era', 'good', 'network', 'dilapidated', 'reason']</v>
      </c>
      <c r="D676" s="3">
        <v>1.0</v>
      </c>
    </row>
    <row r="677" ht="15.75" customHeight="1">
      <c r="A677" s="1">
        <v>675.0</v>
      </c>
      <c r="B677" s="3" t="s">
        <v>678</v>
      </c>
      <c r="C677" s="3" t="str">
        <f>IFERROR(__xludf.DUMMYFUNCTION("GOOGLETRANSLATE(B677,""id"",""en"")"),"['suggestion', 'Add', 'activate', 'Voucher', 'Internet', 'Application', 'MyTelkomsel', 'System', 'Busy', 'Voucher', 'wasted', 'Sia', ' drain', '']")</f>
        <v>['suggestion', 'Add', 'activate', 'Voucher', 'Internet', 'Application', 'MyTelkomsel', 'System', 'Busy', 'Voucher', 'wasted', 'Sia', ' drain', '']</v>
      </c>
      <c r="D677" s="3">
        <v>2.0</v>
      </c>
    </row>
    <row r="678" ht="15.75" customHeight="1">
      <c r="A678" s="1">
        <v>676.0</v>
      </c>
      <c r="B678" s="3" t="s">
        <v>679</v>
      </c>
      <c r="C678" s="3" t="str">
        <f>IFERROR(__xludf.DUMMYFUNCTION("GOOGLETRANSLATE(B678,""id"",""en"")"),"['Provider', 'ugly', 'appeal', 'provider', 'network', 'slow', 'buy', 'quota', 'expensive', 'TLP', 'expensive', 'sms',' expensive ',' all-round ',' expensive ',' already ',' ugly ',' network ',' price ',' sgala ',' ride ',' network ',' ugly ',' really ',' "&amp;"bye ' , 'Telkomsel', '']")</f>
        <v>['Provider', 'ugly', 'appeal', 'provider', 'network', 'slow', 'buy', 'quota', 'expensive', 'TLP', 'expensive', 'sms',' expensive ',' all-round ',' expensive ',' already ',' ugly ',' network ',' price ',' sgala ',' ride ',' network ',' ugly ',' really ',' bye ' , 'Telkomsel', '']</v>
      </c>
      <c r="D678" s="3">
        <v>1.0</v>
      </c>
    </row>
    <row r="679" ht="15.75" customHeight="1">
      <c r="A679" s="1">
        <v>677.0</v>
      </c>
      <c r="B679" s="3" t="s">
        <v>680</v>
      </c>
      <c r="C679" s="3" t="str">
        <f>IFERROR(__xludf.DUMMYFUNCTION("GOOGLETRANSLATE(B679,""id"",""en"")"),"['Tool', 'communication', 'throughout', 'Indonesia', 'State', 'attached to', 'state', 'unity', 'build', 'child', 'nation', 'advanced', ' Midwives', 'Economics',' Education ',' Technology ',' Informed ',' Amin ',' ']")</f>
        <v>['Tool', 'communication', 'throughout', 'Indonesia', 'State', 'attached to', 'state', 'unity', 'build', 'child', 'nation', 'advanced', ' Midwives', 'Economics',' Education ',' Technology ',' Informed ',' Amin ',' ']</v>
      </c>
      <c r="D679" s="3">
        <v>5.0</v>
      </c>
    </row>
    <row r="680" ht="15.75" customHeight="1">
      <c r="A680" s="1">
        <v>678.0</v>
      </c>
      <c r="B680" s="3" t="s">
        <v>681</v>
      </c>
      <c r="C680" s="3" t="str">
        <f>IFERROR(__xludf.DUMMYFUNCTION("GOOGLETRANSLATE(B680,""id"",""en"")"),"['buy', 'package', 'data', 'bbrpa', 'sorry', 'disorder', 'system', 'check', 'connection', 'repeat', 'transaction', 'minute', ' Disappointed ',' gabisa ',' buy ',' package ',' data ',' disorder ',' gajelas', ""]")</f>
        <v>['buy', 'package', 'data', 'bbrpa', 'sorry', 'disorder', 'system', 'check', 'connection', 'repeat', 'transaction', 'minute', ' Disappointed ',' gabisa ',' buy ',' package ',' data ',' disorder ',' gajelas', "]</v>
      </c>
      <c r="D680" s="3">
        <v>2.0</v>
      </c>
    </row>
    <row r="681" ht="15.75" customHeight="1">
      <c r="A681" s="1">
        <v>679.0</v>
      </c>
      <c r="B681" s="3" t="s">
        <v>682</v>
      </c>
      <c r="C681" s="3" t="str">
        <f>IFERROR(__xludf.DUMMYFUNCTION("GOOGLETRANSLATE(B681,""id"",""en"")"),"['Come on', 'Donk', 'Developer', 'APK', 'Telkomsel', 'Like', 'Take', 'Take', 'Pulse', 'People', 'Purchase', 'As appropriate', ' Users', 'Please', 'Ber', 'wise', 'serve', 'service', 'online', 'hopefully', 'trusted', 'community', 'trust', 'blessing', 'life'"&amp;" , '']")</f>
        <v>['Come on', 'Donk', 'Developer', 'APK', 'Telkomsel', 'Like', 'Take', 'Take', 'Pulse', 'People', 'Purchase', 'As appropriate', ' Users', 'Please', 'Ber', 'wise', 'serve', 'service', 'online', 'hopefully', 'trusted', 'community', 'trust', 'blessing', 'life' , '']</v>
      </c>
      <c r="D681" s="3">
        <v>1.0</v>
      </c>
    </row>
    <row r="682" ht="15.75" customHeight="1">
      <c r="A682" s="1">
        <v>680.0</v>
      </c>
      <c r="B682" s="3" t="s">
        <v>683</v>
      </c>
      <c r="C682" s="3" t="str">
        <f>IFERROR(__xludf.DUMMYFUNCTION("GOOGLETRANSLATE(B682,""id"",""en"")"),"['Report', 'boss',' AHIR ',' Network ',' Telkomsel ',' Region ',' Jati ',' Bening ',' Bekasi ',' Sousal ',' already ',' Sunday ',' Down ',' Maen ',' Mobile ',' Legend ',' Boro ',' Gamenya ',' Open ',' Padhal ',' Quota ',' GB ',' CHT ',' Veronika ',' Help "&amp;"' , 'Network', 'Normal', '']")</f>
        <v>['Report', 'boss',' AHIR ',' Network ',' Telkomsel ',' Region ',' Jati ',' Bening ',' Bekasi ',' Sousal ',' already ',' Sunday ',' Down ',' Maen ',' Mobile ',' Legend ',' Boro ',' Gamenya ',' Open ',' Padhal ',' Quota ',' GB ',' CHT ',' Veronika ',' Help ' , 'Network', 'Normal', '']</v>
      </c>
      <c r="D682" s="3">
        <v>1.0</v>
      </c>
    </row>
    <row r="683" ht="15.75" customHeight="1">
      <c r="A683" s="1">
        <v>681.0</v>
      </c>
      <c r="B683" s="3" t="s">
        <v>684</v>
      </c>
      <c r="C683" s="3" t="str">
        <f>IFERROR(__xludf.DUMMYFUNCTION("GOOGLETRANSLATE(B683,""id"",""en"")"),"['process',' purchase ',' package ',' internet ',' bnget ',' failed ',' please ',' notif ',' gagl ',' already ',' berli ',' click ',' Pay ',' hersum ',' order ',' processed ',' signal ',' strong ',' pulse ',' ']")</f>
        <v>['process',' purchase ',' package ',' internet ',' bnget ',' failed ',' please ',' notif ',' gagl ',' already ',' berli ',' click ',' Pay ',' hersum ',' order ',' processed ',' signal ',' strong ',' pulse ',' ']</v>
      </c>
      <c r="D683" s="3">
        <v>2.0</v>
      </c>
    </row>
    <row r="684" ht="15.75" customHeight="1">
      <c r="A684" s="1">
        <v>682.0</v>
      </c>
      <c r="B684" s="3" t="s">
        <v>685</v>
      </c>
      <c r="C684" s="3" t="str">
        <f>IFERROR(__xludf.DUMMYFUNCTION("GOOGLETRANSLATE(B684,""id"",""en"")"),"['Dear', 'Development', 'MyTelkomsel', 'Telkomsel', 'LGI', 'LGI', 'Error', 'TDI', 'Login', 'Game', 'Gabisa', 'TPI', ' turn ',' Ytan ',' Igan ',' etc. ',' TPI ',' Game ',' Gabisa ',' Woi ', ""]")</f>
        <v>['Dear', 'Development', 'MyTelkomsel', 'Telkomsel', 'LGI', 'LGI', 'Error', 'TDI', 'Login', 'Game', 'Gabisa', 'TPI', ' turn ',' Ytan ',' Igan ',' etc. ',' TPI ',' Game ',' Gabisa ',' Woi ', "]</v>
      </c>
      <c r="D684" s="3">
        <v>1.0</v>
      </c>
    </row>
    <row r="685" ht="15.75" customHeight="1">
      <c r="A685" s="1">
        <v>683.0</v>
      </c>
      <c r="B685" s="3" t="s">
        <v>686</v>
      </c>
      <c r="C685" s="3" t="str">
        <f>IFERROR(__xludf.DUMMYFUNCTION("GOOGLETRANSLATE(B685,""id"",""en"")"),"['UDH', 'kapok', 'fix', 'replace', 'card', 'Telkomsel', 'Severe', 'slow', 'subscription', 'package', 'GB', 'active', ' Because ',' the network ',' slow ',' taste ',' Tipu ',' ']")</f>
        <v>['UDH', 'kapok', 'fix', 'replace', 'card', 'Telkomsel', 'Severe', 'slow', 'subscription', 'package', 'GB', 'active', ' Because ',' the network ',' slow ',' taste ',' Tipu ',' ']</v>
      </c>
      <c r="D685" s="3">
        <v>1.0</v>
      </c>
    </row>
    <row r="686" ht="15.75" customHeight="1">
      <c r="A686" s="1">
        <v>684.0</v>
      </c>
      <c r="B686" s="3" t="s">
        <v>687</v>
      </c>
      <c r="C686" s="3" t="str">
        <f>IFERROR(__xludf.DUMMYFUNCTION("GOOGLETRANSLATE(B686,""id"",""en"")"),"['Login', 'Application', 'Padahalsebelum', 'Register', 'NMR', 'then', 'skarang', 'change', 'enter', ""]")</f>
        <v>['Login', 'Application', 'Padahalsebelum', 'Register', 'NMR', 'then', 'skarang', 'change', 'enter', "]</v>
      </c>
      <c r="D686" s="3">
        <v>1.0</v>
      </c>
    </row>
    <row r="687" ht="15.75" customHeight="1">
      <c r="A687" s="1">
        <v>685.0</v>
      </c>
      <c r="B687" s="3" t="s">
        <v>688</v>
      </c>
      <c r="C687" s="3" t="str">
        <f>IFERROR(__xludf.DUMMYFUNCTION("GOOGLETRANSLATE(B687,""id"",""en"")"),"['Dozens',' JDI ',' Customers', 'Telkomsel', 'TPI', 'SKRNG', 'Signal', 'Internet', 'Lemot', 'See', 'Review', 'Bunyak', ' Ksh ',' Star ',' Naturally ',' Lemot ',' Rely on ',' Business', 'Ribet', ""]")</f>
        <v>['Dozens',' JDI ',' Customers', 'Telkomsel', 'TPI', 'SKRNG', 'Signal', 'Internet', 'Lemot', 'See', 'Review', 'Bunyak', ' Ksh ',' Star ',' Naturally ',' Lemot ',' Rely on ',' Business', 'Ribet', "]</v>
      </c>
      <c r="D687" s="3">
        <v>1.0</v>
      </c>
    </row>
    <row r="688" ht="15.75" customHeight="1">
      <c r="A688" s="1">
        <v>686.0</v>
      </c>
      <c r="B688" s="3" t="s">
        <v>689</v>
      </c>
      <c r="C688" s="3" t="str">
        <f>IFERROR(__xludf.DUMMYFUNCTION("GOOGLETRANSLATE(B688,""id"",""en"")"),"['The meaning', 'choice', 'buy', 'quota', 'pulse', 'rb', 'quota', 'internet', 'quota', 'local', 'quota', 'omg', ' quota ',' chat ',' card ',' sympathy ',' expensive ',' buy ',' please ',' money ',' help ',' person ',' people ',' thank you ']")</f>
        <v>['The meaning', 'choice', 'buy', 'quota', 'pulse', 'rb', 'quota', 'internet', 'quota', 'local', 'quota', 'omg', ' quota ',' chat ',' card ',' sympathy ',' expensive ',' buy ',' please ',' money ',' help ',' person ',' people ',' thank you ']</v>
      </c>
      <c r="D688" s="3">
        <v>2.0</v>
      </c>
    </row>
    <row r="689" ht="15.75" customHeight="1">
      <c r="A689" s="1">
        <v>687.0</v>
      </c>
      <c r="B689" s="3" t="s">
        <v>690</v>
      </c>
      <c r="C689" s="3" t="str">
        <f>IFERROR(__xludf.DUMMYFUNCTION("GOOGLETRANSLATE(B689,""id"",""en"")"),"['Hello', 'brother', 'abg', 'please', 'buy', 'package', 'cheerful', 'pulse', 'pulse', 'cut', 'package', 'please', ' older brother', '']")</f>
        <v>['Hello', 'brother', 'abg', 'please', 'buy', 'package', 'cheerful', 'pulse', 'pulse', 'cut', 'package', 'please', ' older brother', '']</v>
      </c>
      <c r="D689" s="3">
        <v>1.0</v>
      </c>
    </row>
    <row r="690" ht="15.75" customHeight="1">
      <c r="A690" s="1">
        <v>688.0</v>
      </c>
      <c r="B690" s="3" t="s">
        <v>691</v>
      </c>
      <c r="C690" s="3" t="str">
        <f>IFERROR(__xludf.DUMMYFUNCTION("GOOGLETRANSLATE(B690,""id"",""en"")"),"['Severe', 'contents',' pulse ',' taunya ',' cut ',' already ',' mottle ',' no ',' squeezed ',' condition ',' data ',' off ',' buy ',' package ',' no ',' pulse ',' no ',' buy ',' pulse ',' cut ',' fasting ',' people ',' angry ',' think ',' squeezed ' , 'l"&amp;"ittle', 'Napa', '']")</f>
        <v>['Severe', 'contents',' pulse ',' taunya ',' cut ',' already ',' mottle ',' no ',' squeezed ',' condition ',' data ',' off ',' buy ',' package ',' no ',' pulse ',' no ',' buy ',' pulse ',' cut ',' fasting ',' people ',' angry ',' think ',' squeezed ' , 'little', 'Napa', '']</v>
      </c>
      <c r="D690" s="3">
        <v>1.0</v>
      </c>
    </row>
    <row r="691" ht="15.75" customHeight="1">
      <c r="A691" s="1">
        <v>689.0</v>
      </c>
      <c r="B691" s="3" t="s">
        <v>692</v>
      </c>
      <c r="C691" s="3" t="str">
        <f>IFERROR(__xludf.DUMMYFUNCTION("GOOGLETRANSLATE(B691,""id"",""en"")"),"['Get', 'promo', 'cheerful', 'GB', 'price', 'thousand', 'bought', 'accessed', 'expiration', 'promo', 'Halooo', 'Sebercanda', ' Telkomsel ',' customer ',' ']")</f>
        <v>['Get', 'promo', 'cheerful', 'GB', 'price', 'thousand', 'bought', 'accessed', 'expiration', 'promo', 'Halooo', 'Sebercanda', ' Telkomsel ',' customer ',' ']</v>
      </c>
      <c r="D691" s="3">
        <v>1.0</v>
      </c>
    </row>
    <row r="692" ht="15.75" customHeight="1">
      <c r="A692" s="1">
        <v>690.0</v>
      </c>
      <c r="B692" s="3" t="s">
        <v>693</v>
      </c>
      <c r="C692" s="3" t="str">
        <f>IFERROR(__xludf.DUMMYFUNCTION("GOOGLETRANSLATE(B692,""id"",""en"")"),"['knapa', 'network', 'slow', 'slow', 'disappointing', 'severe', 'lbih', 'severe', 'network', 'card', 'shy', 'buy', ' quota ',' expensive ',' expensive ',' network ',' good ',' super ',' slow ',' super ',' slow ',' fix ',' service ',' good ',' shy ' , 'Ama"&amp;"', 'card', 'shy', 'axis', 'signal', 'slow', 'slow']")</f>
        <v>['knapa', 'network', 'slow', 'slow', 'disappointing', 'severe', 'lbih', 'severe', 'network', 'card', 'shy', 'buy', ' quota ',' expensive ',' expensive ',' network ',' good ',' super ',' slow ',' super ',' slow ',' fix ',' service ',' good ',' shy ' , 'Ama', 'card', 'shy', 'axis', 'signal', 'slow', 'slow']</v>
      </c>
      <c r="D692" s="3">
        <v>1.0</v>
      </c>
    </row>
    <row r="693" ht="15.75" customHeight="1">
      <c r="A693" s="1">
        <v>691.0</v>
      </c>
      <c r="B693" s="3" t="s">
        <v>694</v>
      </c>
      <c r="C693" s="3" t="str">
        <f>IFERROR(__xludf.DUMMYFUNCTION("GOOGLETRANSLATE(B693,""id"",""en"")"),"['Package', 'GB', 'RB', 'RB', 'Additional', 'Free', 'Nelp', 'Minutes',' Reduced ',' Minutes', 'Signal', 'Slow', ' Repair ',' price ',' package ',' expensive ',' comparable ',' connection ',' internet ',' ']")</f>
        <v>['Package', 'GB', 'RB', 'RB', 'Additional', 'Free', 'Nelp', 'Minutes',' Reduced ',' Minutes', 'Signal', 'Slow', ' Repair ',' price ',' package ',' expensive ',' comparable ',' connection ',' internet ',' ']</v>
      </c>
      <c r="D693" s="3">
        <v>1.0</v>
      </c>
    </row>
    <row r="694" ht="15.75" customHeight="1">
      <c r="A694" s="1">
        <v>692.0</v>
      </c>
      <c r="B694" s="3" t="s">
        <v>695</v>
      </c>
      <c r="C694" s="3" t="str">
        <f>IFERROR(__xludf.DUMMYFUNCTION("GOOGLETRANSLATE(B694,""id"",""en"")"),"['', 'buy', 'package', 'that's where', 'the application', 'error', 'love', 'gift', 'OTP', 'appears',' error ',' buy ',' package ',' number ',' Damn ',' ']")</f>
        <v>['', 'buy', 'package', 'that's where', 'the application', 'error', 'love', 'gift', 'OTP', 'appears',' error ',' buy ',' package ',' number ',' Damn ',' ']</v>
      </c>
      <c r="D694" s="3">
        <v>1.0</v>
      </c>
    </row>
    <row r="695" ht="15.75" customHeight="1">
      <c r="A695" s="1">
        <v>693.0</v>
      </c>
      <c r="B695" s="3" t="s">
        <v>696</v>
      </c>
      <c r="C695" s="3" t="str">
        <f>IFERROR(__xludf.DUMMYFUNCTION("GOOGLETRANSLATE(B695,""id"",""en"")"),"['Telkomsel', 'ugly', 'ugly', 'quota', 'internet', 'slow', 'bet', 'please', 'min', 'benerin', 'cook', 'quota', ' expensive ',' signal ',' ugly ']")</f>
        <v>['Telkomsel', 'ugly', 'ugly', 'quota', 'internet', 'slow', 'bet', 'please', 'min', 'benerin', 'cook', 'quota', ' expensive ',' signal ',' ugly ']</v>
      </c>
      <c r="D695" s="3">
        <v>1.0</v>
      </c>
    </row>
    <row r="696" ht="15.75" customHeight="1">
      <c r="A696" s="1">
        <v>694.0</v>
      </c>
      <c r="B696" s="3" t="s">
        <v>697</v>
      </c>
      <c r="C696" s="3" t="str">
        <f>IFERROR(__xludf.DUMMYFUNCTION("GOOGLETRANSLATE(B696,""id"",""en"")"),"['Ngerti', 'company', 'signal', 'rich', 'Kouta', 'Abis',' Leled ',' Lost ',' High School ',' Provider ',' Ksini ',' Severe ',' signal ',' full ',' rich ',' kouta ',' jeled ',' prnh ',' complement ',' severe ',' please ',' fix ',' serious', 'tmen', 'pda' ,"&amp;" 'Move', 'Doang', 'Nursing', 'Good', 'Jabodetabek', 'Doang', ""]")</f>
        <v>['Ngerti', 'company', 'signal', 'rich', 'Kouta', 'Abis',' Leled ',' Lost ',' High School ',' Provider ',' Ksini ',' Severe ',' signal ',' full ',' rich ',' kouta ',' jeled ',' prnh ',' complement ',' severe ',' please ',' fix ',' serious', 'tmen', 'pda' , 'Move', 'Doang', 'Nursing', 'Good', 'Jabodetabek', 'Doang', "]</v>
      </c>
      <c r="D696" s="3">
        <v>1.0</v>
      </c>
    </row>
    <row r="697" ht="15.75" customHeight="1">
      <c r="A697" s="1">
        <v>695.0</v>
      </c>
      <c r="B697" s="3" t="s">
        <v>698</v>
      </c>
      <c r="C697" s="3" t="str">
        <f>IFERROR(__xludf.DUMMYFUNCTION("GOOGLETRANSLATE(B697,""id"",""en"")"),"['Disappointed', 'Network', 'Telkomsel', 'Open', 'Telegram', 'Connect', 'Uda', 'wheverse', 'complaint', 'His response', 'Good', 'Move', ' Operators', 'seemed', 'strong']")</f>
        <v>['Disappointed', 'Network', 'Telkomsel', 'Open', 'Telegram', 'Connect', 'Uda', 'wheverse', 'complaint', 'His response', 'Good', 'Move', ' Operators', 'seemed', 'strong']</v>
      </c>
      <c r="D697" s="3">
        <v>1.0</v>
      </c>
    </row>
    <row r="698" ht="15.75" customHeight="1">
      <c r="A698" s="1">
        <v>696.0</v>
      </c>
      <c r="B698" s="3" t="s">
        <v>699</v>
      </c>
      <c r="C698" s="3" t="str">
        <f>IFERROR(__xludf.DUMMYFUNCTION("GOOGLETRANSLATE(B698,""id"",""en"")"),"['paraah', 'Beneeer', 'emg', 'Telkomsel', 'skg', 'lemooot', 'therah', 'pdhal', 'signal', 'pool', 'sometimes',' like ',' Lost ',' signal ',' pesi ',' near ',' Toweer ',' nyedoot ',' pulse ',' packagein ',' pakeocket ',' data ',' pool ',' koq ',' Telkomsel "&amp;"' , 'Cut', 'pulse', 'org', 'yak', 'mgk', 'krna', 'behavior', 'keraas', 'wind', 'kagak', 'rival', ""]")</f>
        <v>['paraah', 'Beneeer', 'emg', 'Telkomsel', 'skg', 'lemooot', 'therah', 'pdhal', 'signal', 'pool', 'sometimes',' like ',' Lost ',' signal ',' pesi ',' near ',' Toweer ',' nyedoot ',' pulse ',' packagein ',' pakeocket ',' data ',' pool ',' koq ',' Telkomsel ' , 'Cut', 'pulse', 'org', 'yak', 'mgk', 'krna', 'behavior', 'keraas', 'wind', 'kagak', 'rival', "]</v>
      </c>
      <c r="D698" s="3">
        <v>2.0</v>
      </c>
    </row>
    <row r="699" ht="15.75" customHeight="1">
      <c r="A699" s="1">
        <v>697.0</v>
      </c>
      <c r="B699" s="3" t="s">
        <v>700</v>
      </c>
      <c r="C699" s="3" t="str">
        <f>IFERROR(__xludf.DUMMYFUNCTION("GOOGLETRANSLATE(B699,""id"",""en"")"),"['Forgiveness',' Bang ',' Jago ',' Bang ',' protest ',' Knp ',' I've played ',' Game ',' SIM ',' Telkm ',' Ngleg ',' signal ',' right ',' in ',' game ',' signal ',' good ',' play ',' game ',' NGLEG ']")</f>
        <v>['Forgiveness',' Bang ',' Jago ',' Bang ',' protest ',' Knp ',' I've played ',' Game ',' SIM ',' Telkm ',' Ngleg ',' signal ',' right ',' in ',' game ',' signal ',' good ',' play ',' game ',' NGLEG ']</v>
      </c>
      <c r="D699" s="3">
        <v>1.0</v>
      </c>
    </row>
    <row r="700" ht="15.75" customHeight="1">
      <c r="A700" s="1">
        <v>698.0</v>
      </c>
      <c r="B700" s="3" t="s">
        <v>701</v>
      </c>
      <c r="C700" s="3" t="str">
        <f>IFERROR(__xludf.DUMMYFUNCTION("GOOGLETRANSLATE(B700,""id"",""en"")"),"['Use', 'Tsel', 'Times',' Credit ',' Gatau ',' Cut ',' Quota ',' Nelfon ',' SMS ',' RB ',' Credit ',' Cut ',' Gatau ',' Where ',' night ',' TDR ',' RB ',' right ',' Tomorrow ',' Check ',' Lost ',' Gomlind ',' Gatau ',' Gaada ',' Confirmation ' , 'expendit"&amp;"ure', '']")</f>
        <v>['Use', 'Tsel', 'Times',' Credit ',' Gatau ',' Cut ',' Quota ',' Nelfon ',' SMS ',' RB ',' Credit ',' Cut ',' Gatau ',' Where ',' night ',' TDR ',' RB ',' right ',' Tomorrow ',' Check ',' Lost ',' Gomlind ',' Gatau ',' Gaada ',' Confirmation ' , 'expenditure', '']</v>
      </c>
      <c r="D700" s="3">
        <v>1.0</v>
      </c>
    </row>
    <row r="701" ht="15.75" customHeight="1">
      <c r="A701" s="1">
        <v>699.0</v>
      </c>
      <c r="B701" s="3" t="s">
        <v>702</v>
      </c>
      <c r="C701" s="3" t="str">
        <f>IFERROR(__xludf.DUMMYFUNCTION("GOOGLETRANSLATE(B701,""id"",""en"")"),"['THN', 'Telkomsel', 'Disappointed', 'Telkomsel', 'Slow', 'Keong', 'Walking', 'Change']")</f>
        <v>['THN', 'Telkomsel', 'Disappointed', 'Telkomsel', 'Slow', 'Keong', 'Walking', 'Change']</v>
      </c>
      <c r="D701" s="3">
        <v>1.0</v>
      </c>
    </row>
    <row r="702" ht="15.75" customHeight="1">
      <c r="A702" s="1">
        <v>700.0</v>
      </c>
      <c r="B702" s="3" t="s">
        <v>703</v>
      </c>
      <c r="C702" s="3" t="str">
        <f>IFERROR(__xludf.DUMMYFUNCTION("GOOGLETRANSLATE(B702,""id"",""en"")"),"['LEG', 'Open', 'App', 'appears',' refresh ',' stelh ',' refresh ',' repeated ',' times', 'TTP', 'loading', 'times',' Network ',' stable ', ""]")</f>
        <v>['LEG', 'Open', 'App', 'appears',' refresh ',' stelh ',' refresh ',' repeated ',' times', 'TTP', 'loading', 'times',' Network ',' stable ', "]</v>
      </c>
      <c r="D702" s="3">
        <v>2.0</v>
      </c>
    </row>
    <row r="703" ht="15.75" customHeight="1">
      <c r="A703" s="1">
        <v>701.0</v>
      </c>
      <c r="B703" s="3" t="s">
        <v>704</v>
      </c>
      <c r="C703" s="3" t="str">
        <f>IFERROR(__xludf.DUMMYFUNCTION("GOOGLETRANSLATE(B703,""id"",""en"")"),"['Good', 'easy', 'edit', 'feature', 'point', 'voucher', 'expected', 'redeem', 'point', 'voucher', 'change', 'notification', ' professional ',' loss', 'Points']")</f>
        <v>['Good', 'easy', 'edit', 'feature', 'point', 'voucher', 'expected', 'redeem', 'point', 'voucher', 'change', 'notification', ' professional ',' loss', 'Points']</v>
      </c>
      <c r="D703" s="3">
        <v>1.0</v>
      </c>
    </row>
    <row r="704" ht="15.75" customHeight="1">
      <c r="A704" s="1">
        <v>702.0</v>
      </c>
      <c r="B704" s="3" t="s">
        <v>705</v>
      </c>
      <c r="C704" s="3" t="str">
        <f>IFERROR(__xludf.DUMMYFUNCTION("GOOGLETRANSLATE(B704,""id"",""en"")"),"['', 'card', 'knp', 'siii', 'dlu', 'smooth', 'bet', 'dmn', 'skrg', 'network', 'kek', 'snail', 'quota ',' buy ',' signal ',' meek ',' make ',' telkomsel ',' udh ',' yrs', 'times',' felt ',' network ',' severe ',' suggestion ', 'operator', 'repay', 'network"&amp;"', 'maximum', 'customer', 'kaga', 'card', 'laen', ""]")</f>
        <v>['', 'card', 'knp', 'siii', 'dlu', 'smooth', 'bet', 'dmn', 'skrg', 'network', 'kek', 'snail', 'quota ',' buy ',' signal ',' meek ',' make ',' telkomsel ',' udh ',' yrs', 'times',' felt ',' network ',' severe ',' suggestion ', 'operator', 'repay', 'network', 'maximum', 'customer', 'kaga', 'card', 'laen', "]</v>
      </c>
      <c r="D704" s="3">
        <v>1.0</v>
      </c>
    </row>
    <row r="705" ht="15.75" customHeight="1">
      <c r="A705" s="1">
        <v>703.0</v>
      </c>
      <c r="B705" s="3" t="s">
        <v>706</v>
      </c>
      <c r="C705" s="3" t="str">
        <f>IFERROR(__xludf.DUMMYFUNCTION("GOOGLETRANSLATE(B705,""id"",""en"")"),"['Tsel', 'Dear', 'Use', 'Card', 'Perdana', 'Buy', 'Package', 'Unlimited', 'Kombo', 'Sakti', 'Karna', 'Activity', ' Social ',' stop ',' because ',' buy ',' Package ',' Kombo ',' Sakti ']")</f>
        <v>['Tsel', 'Dear', 'Use', 'Card', 'Perdana', 'Buy', 'Package', 'Unlimited', 'Kombo', 'Sakti', 'Karna', 'Activity', ' Social ',' stop ',' because ',' buy ',' Package ',' Kombo ',' Sakti ']</v>
      </c>
      <c r="D705" s="3">
        <v>1.0</v>
      </c>
    </row>
    <row r="706" ht="15.75" customHeight="1">
      <c r="A706" s="1">
        <v>704.0</v>
      </c>
      <c r="B706" s="3" t="s">
        <v>707</v>
      </c>
      <c r="C706" s="3" t="str">
        <f>IFERROR(__xludf.DUMMYFUNCTION("GOOGLETRANSLATE(B706,""id"",""en"")"),"['lack of', 'star', 'buy', 'pulse', 'link', 'balance', 'link', 'report', 'transaction', 'success',' link ',' sms', ' Telkomsel ',' Payment ',' Success', 'told', 'payment', 'reset', 'right', 'open', 'link', 'balance', 'reduced', 'Try', 'reset' , 'Transacti"&amp;"on', 'SUCCESS', 'Take', 'Balance', 'Link', 'Times', 'Pay', 'Credit', ""]")</f>
        <v>['lack of', 'star', 'buy', 'pulse', 'link', 'balance', 'link', 'report', 'transaction', 'success',' link ',' sms', ' Telkomsel ',' Payment ',' Success', 'told', 'payment', 'reset', 'right', 'open', 'link', 'balance', 'reduced', 'Try', 'reset' , 'Transaction', 'SUCCESS', 'Take', 'Balance', 'Link', 'Times', 'Pay', 'Credit', "]</v>
      </c>
      <c r="D706" s="3">
        <v>1.0</v>
      </c>
    </row>
    <row r="707" ht="15.75" customHeight="1">
      <c r="A707" s="1">
        <v>705.0</v>
      </c>
      <c r="B707" s="3" t="s">
        <v>708</v>
      </c>
      <c r="C707" s="3" t="str">
        <f>IFERROR(__xludf.DUMMYFUNCTION("GOOGLETRANSLATE(B707,""id"",""en"")"),"['noon', 'user', 'card', 'Telkomsel', 'Knp', 'phone', 'pangilan', 'special', 'use', 'pulse', 'regular', 'signal', ' Credit ',' Regular ',' Filled ',' Check ',' Credit ',' Enter ',' Stiap ',' TLP ',' Pangilan ',' Slalu ',' Heaven ',' Ancur ',' Quality ' , "&amp;"'Telkomsel']")</f>
        <v>['noon', 'user', 'card', 'Telkomsel', 'Knp', 'phone', 'pangilan', 'special', 'use', 'pulse', 'regular', 'signal', ' Credit ',' Regular ',' Filled ',' Check ',' Credit ',' Enter ',' Stiap ',' TLP ',' Pangilan ',' Slalu ',' Heaven ',' Ancur ',' Quality ' , 'Telkomsel']</v>
      </c>
      <c r="D707" s="3">
        <v>1.0</v>
      </c>
    </row>
    <row r="708" ht="15.75" customHeight="1">
      <c r="A708" s="1">
        <v>706.0</v>
      </c>
      <c r="B708" s="3" t="s">
        <v>709</v>
      </c>
      <c r="C708" s="3" t="str">
        <f>IFERROR(__xludf.DUMMYFUNCTION("GOOGLETRANSLATE(B708,""id"",""en"")"),"['like', 'use', 'Telkomsel', 'The network', 'smooth', 'Serimg', 'bonus',' gift ',' lottery ',' transaction ',' easy ',' really ',' card ',' card ',' resk ',' pulse ',' regular ',' cut ',' counter ',' android ',' love ',' bgtt ',' dech ',' trimakasih ',' t"&amp;"elkomsel ' ]")</f>
        <v>['like', 'use', 'Telkomsel', 'The network', 'smooth', 'Serimg', 'bonus',' gift ',' lottery ',' transaction ',' easy ',' really ',' card ',' card ',' resk ',' pulse ',' regular ',' cut ',' counter ',' android ',' love ',' bgtt ',' dech ',' trimakasih ',' telkomsel ' ]</v>
      </c>
      <c r="D708" s="3">
        <v>5.0</v>
      </c>
    </row>
    <row r="709" ht="15.75" customHeight="1">
      <c r="A709" s="1">
        <v>707.0</v>
      </c>
      <c r="B709" s="3" t="s">
        <v>710</v>
      </c>
      <c r="C709" s="3" t="str">
        <f>IFERROR(__xludf.DUMMYFUNCTION("GOOGLETRANSLATE(B709,""id"",""en"")"),"['Telkomsel', 'special', 'sympathy', 'decent', 'use', 'signal', 'good', 'lag', 'recommendation', 'mainly', 'wrong', 'fraud', ' Developer ',' Telkomsel ',' Trade ',' Honest ',' Hereafter ',' ']")</f>
        <v>['Telkomsel', 'special', 'sympathy', 'decent', 'use', 'signal', 'good', 'lag', 'recommendation', 'mainly', 'wrong', 'fraud', ' Developer ',' Telkomsel ',' Trade ',' Honest ',' Hereafter ',' ']</v>
      </c>
      <c r="D709" s="3">
        <v>1.0</v>
      </c>
    </row>
    <row r="710" ht="15.75" customHeight="1">
      <c r="A710" s="1">
        <v>708.0</v>
      </c>
      <c r="B710" s="3" t="s">
        <v>711</v>
      </c>
      <c r="C710" s="3" t="str">
        <f>IFERROR(__xludf.DUMMYFUNCTION("GOOGLETRANSLATE(B710,""id"",""en"")"),"['knapa', 'Sis',' already ',' error ',' internet ',' quota ',' reduced ',' signal ',' LTE ',' appears', 'knapa', 'Sis',' ']")</f>
        <v>['knapa', 'Sis',' already ',' error ',' internet ',' quota ',' reduced ',' signal ',' LTE ',' appears', 'knapa', 'Sis',' ']</v>
      </c>
      <c r="D710" s="3">
        <v>3.0</v>
      </c>
    </row>
    <row r="711" ht="15.75" customHeight="1">
      <c r="A711" s="1">
        <v>709.0</v>
      </c>
      <c r="B711" s="3" t="s">
        <v>712</v>
      </c>
      <c r="C711" s="3" t="str">
        <f>IFERROR(__xludf.DUMMYFUNCTION("GOOGLETRANSLATE(B711,""id"",""en"")"),"['Lampung', 'Way', 'right', 'Buay', 'Bahuga', 'Bumiharjo', 'Signal', 'Telkomsel', 'Really', 'Pathetic', 'Where', 'Paketan', ' Expensive ',' signal ',' BURIK ',' Thank "", 'Love', 'Telkomsel', 'God willing', 'invites', 'people', 'Region', 'Change', 'Develo"&amp;"per',""]")</f>
        <v>['Lampung', 'Way', 'right', 'Buay', 'Bahuga', 'Bumiharjo', 'Signal', 'Telkomsel', 'Really', 'Pathetic', 'Where', 'Paketan', ' Expensive ',' signal ',' BURIK ',' Thank ", 'Love', 'Telkomsel', 'God willing', 'invites', 'people', 'Region', 'Change', 'Developer',"]</v>
      </c>
      <c r="D711" s="3">
        <v>1.0</v>
      </c>
    </row>
    <row r="712" ht="15.75" customHeight="1">
      <c r="A712" s="1">
        <v>710.0</v>
      </c>
      <c r="B712" s="3" t="s">
        <v>713</v>
      </c>
      <c r="C712" s="3" t="str">
        <f>IFERROR(__xludf.DUMMYFUNCTION("GOOGLETRANSLATE(B712,""id"",""en"")"),"['', 'Telkomsel', 'package', 'cheap', 'expensive', 'changed', 'Change', 'difficult', 'login', 'enter', 'application', 'Syaa', 'natural ',' spirit ',' level ',' Telkomsel ']")</f>
        <v>['', 'Telkomsel', 'package', 'cheap', 'expensive', 'changed', 'Change', 'difficult', 'login', 'enter', 'application', 'Syaa', 'natural ',' spirit ',' level ',' Telkomsel ']</v>
      </c>
      <c r="D712" s="3">
        <v>1.0</v>
      </c>
    </row>
    <row r="713" ht="15.75" customHeight="1">
      <c r="A713" s="1">
        <v>711.0</v>
      </c>
      <c r="B713" s="3" t="s">
        <v>714</v>
      </c>
      <c r="C713" s="3" t="str">
        <f>IFERROR(__xludf.DUMMYFUNCTION("GOOGLETRANSLATE(B713,""id"",""en"")"),"['Application', 'MyTelkomsel', 'Open', 'Loading', 'Signal', 'Good', 'Access',' Application ',' Buy ',' Package ',' Internet ',' Please ',' Repaired ',' ']")</f>
        <v>['Application', 'MyTelkomsel', 'Open', 'Loading', 'Signal', 'Good', 'Access',' Application ',' Buy ',' Package ',' Internet ',' Please ',' Repaired ',' ']</v>
      </c>
      <c r="D713" s="3">
        <v>1.0</v>
      </c>
    </row>
    <row r="714" ht="15.75" customHeight="1">
      <c r="A714" s="1">
        <v>712.0</v>
      </c>
      <c r="B714" s="3" t="s">
        <v>715</v>
      </c>
      <c r="C714" s="3" t="str">
        <f>IFERROR(__xludf.DUMMYFUNCTION("GOOGLETRANSLATE(B714,""id"",""en"")"),"['Wonder', 'See', 'Telkomsel', 'Bad', 'Bru', 'Fill', 'Credit', 'Package', 'Data', 'Customer', 'User', 'Telkomsel', ' Satisfied with ',' access', 'internet', 'slow', 'please', 'Telkomsel', 'help', 'Customer', 'complaints',' because ',' uncomfortable ',' Te"&amp;"lkomsel ' ]")</f>
        <v>['Wonder', 'See', 'Telkomsel', 'Bad', 'Bru', 'Fill', 'Credit', 'Package', 'Data', 'Customer', 'User', 'Telkomsel', ' Satisfied with ',' access', 'internet', 'slow', 'please', 'Telkomsel', 'help', 'Customer', 'complaints',' because ',' uncomfortable ',' Telkomsel ' ]</v>
      </c>
      <c r="D714" s="3">
        <v>1.0</v>
      </c>
    </row>
    <row r="715" ht="15.75" customHeight="1">
      <c r="A715" s="1">
        <v>713.0</v>
      </c>
      <c r="B715" s="3" t="s">
        <v>716</v>
      </c>
      <c r="C715" s="3" t="str">
        <f>IFERROR(__xludf.DUMMYFUNCTION("GOOGLETRANSLATE(B715,""id"",""en"")"),"['Suck', 'pulse', 'sampek', 'thousand', 'TPI', 'Many', 'times', 'buy', 'anything', 'package', ""]")</f>
        <v>['Suck', 'pulse', 'sampek', 'thousand', 'TPI', 'Many', 'times', 'buy', 'anything', 'package', "]</v>
      </c>
      <c r="D715" s="3">
        <v>2.0</v>
      </c>
    </row>
    <row r="716" ht="15.75" customHeight="1">
      <c r="A716" s="1">
        <v>714.0</v>
      </c>
      <c r="B716" s="3" t="s">
        <v>717</v>
      </c>
      <c r="C716" s="3" t="str">
        <f>IFERROR(__xludf.DUMMYFUNCTION("GOOGLETRANSLATE(B716,""id"",""en"")"),"['network', 'Telkomsel', 'Severe', 'really', 'ugly', 'checked', 'quota', 'gabisa', 'constrained', 'network', 'please', 'Telkomsel', ' Fix ',' network ',' already ',' quota ',' expensive ',' network ',' ugly ',' disappointed ',' customer ',' ']")</f>
        <v>['network', 'Telkomsel', 'Severe', 'really', 'ugly', 'checked', 'quota', 'gabisa', 'constrained', 'network', 'please', 'Telkomsel', ' Fix ',' network ',' already ',' quota ',' expensive ',' network ',' ugly ',' disappointed ',' customer ',' ']</v>
      </c>
      <c r="D716" s="3">
        <v>1.0</v>
      </c>
    </row>
    <row r="717" ht="15.75" customHeight="1">
      <c r="A717" s="1">
        <v>715.0</v>
      </c>
      <c r="B717" s="3" t="s">
        <v>718</v>
      </c>
      <c r="C717" s="3" t="str">
        <f>IFERROR(__xludf.DUMMYFUNCTION("GOOGLETRANSLATE(B717,""id"",""en"")"),"['hey', 'admin', 'telkom', 'package', 'cave', 'gini', 'quota', 'watch', 'ngeleg', 'ngeeleg', 'open', 'ngeeleg', ' Play ',' Game ',' Online ',' Okay ',' Open ',' Ngeeleg ',' Package ',' Where ',' Hah ', ""]")</f>
        <v>['hey', 'admin', 'telkom', 'package', 'cave', 'gini', 'quota', 'watch', 'ngeleg', 'ngeeleg', 'open', 'ngeeleg', ' Play ',' Game ',' Online ',' Okay ',' Open ',' Ngeeleg ',' Package ',' Where ',' Hah ', "]</v>
      </c>
      <c r="D717" s="3">
        <v>2.0</v>
      </c>
    </row>
    <row r="718" ht="15.75" customHeight="1">
      <c r="A718" s="1">
        <v>716.0</v>
      </c>
      <c r="B718" s="3" t="s">
        <v>719</v>
      </c>
      <c r="C718" s="3" t="str">
        <f>IFERROR(__xludf.DUMMYFUNCTION("GOOGLETRANSLATE(B718,""id"",""en"")"),"['Fox', 'Update', 'Login', 'Something', 'Was',' Wrong ',' Mulu ',' APK ',' Telkomsel ',' Heavy ',' Prepared ',' APK ',' operator']")</f>
        <v>['Fox', 'Update', 'Login', 'Something', 'Was',' Wrong ',' Mulu ',' APK ',' Telkomsel ',' Heavy ',' Prepared ',' APK ',' operator']</v>
      </c>
      <c r="D718" s="3">
        <v>1.0</v>
      </c>
    </row>
    <row r="719" ht="15.75" customHeight="1">
      <c r="A719" s="1">
        <v>717.0</v>
      </c>
      <c r="B719" s="3" t="s">
        <v>720</v>
      </c>
      <c r="C719" s="3" t="str">
        <f>IFERROR(__xludf.DUMMYFUNCTION("GOOGLETRANSLATE(B719,""id"",""en"")"),"['Tetiba', 'SIM', 'missing', 'signal', 'signs',' signal ',' disappear ',' quota ',' GB ',' scorched ',' use ',' have ',' ']")</f>
        <v>['Tetiba', 'SIM', 'missing', 'signal', 'signs',' signal ',' disappear ',' quota ',' GB ',' scorched ',' use ',' have ',' ']</v>
      </c>
      <c r="D719" s="3">
        <v>1.0</v>
      </c>
    </row>
    <row r="720" ht="15.75" customHeight="1">
      <c r="A720" s="1">
        <v>718.0</v>
      </c>
      <c r="B720" s="3" t="s">
        <v>721</v>
      </c>
      <c r="C720" s="3" t="str">
        <f>IFERROR(__xludf.DUMMYFUNCTION("GOOGLETRANSLATE(B720,""id"",""en"")"),"['network', 'Telkomsel', 'house', 'difficult', 'really', 'sometimes',' speed ',' internet ',' kb ',' please ',' repaired ',' the network ',' Hopefully ',' customers', 'loyal', 'Telkomsel', 'blur', '']")</f>
        <v>['network', 'Telkomsel', 'house', 'difficult', 'really', 'sometimes',' speed ',' internet ',' kb ',' please ',' repaired ',' the network ',' Hopefully ',' customers', 'loyal', 'Telkomsel', 'blur', '']</v>
      </c>
      <c r="D720" s="3">
        <v>2.0</v>
      </c>
    </row>
    <row r="721" ht="15.75" customHeight="1">
      <c r="A721" s="1">
        <v>719.0</v>
      </c>
      <c r="B721" s="3" t="s">
        <v>722</v>
      </c>
      <c r="C721" s="3" t="str">
        <f>IFERROR(__xludf.DUMMYFUNCTION("GOOGLETRANSLATE(B721,""id"",""en"")"),"['Telkomsel', 'play', 'already', 'buy', 'quota', 'unlimited', 'expensive', 'kagak', 'use', 'trade', 'honest', 'cheat', ' Fasting ',' Nipu ',' Basic ',' Disappointed ',' Telkomsel ',' Come ',' Worth ',' Dipake ',' Yes', 'Buy', 'Quota', 'Unlimited', 'Used' "&amp;", 'quota', 'regular', 'buy', 'expensive', '']")</f>
        <v>['Telkomsel', 'play', 'already', 'buy', 'quota', 'unlimited', 'expensive', 'kagak', 'use', 'trade', 'honest', 'cheat', ' Fasting ',' Nipu ',' Basic ',' Disappointed ',' Telkomsel ',' Come ',' Worth ',' Dipake ',' Yes', 'Buy', 'Quota', 'Unlimited', 'Used' , 'quota', 'regular', 'buy', 'expensive', '']</v>
      </c>
      <c r="D721" s="3">
        <v>1.0</v>
      </c>
    </row>
    <row r="722" ht="15.75" customHeight="1">
      <c r="A722" s="1">
        <v>720.0</v>
      </c>
      <c r="B722" s="3" t="s">
        <v>723</v>
      </c>
      <c r="C722" s="3" t="str">
        <f>IFERROR(__xludf.DUMMYFUNCTION("GOOGLETRANSLATE(B722,""id"",""en"")"),"['Signal', 'Full', 'Ping', 'Play', 'Game', 'Disconnect', 'Connect', 'Package', 'Expensive', 'Quality', 'Kayak', 'Operator', ' Cheap ',' Make ',' Application ',' Seminim ',' Features', 'Features',' Burning ',' Lemot ',' Kayak ',' Gini ',' Depart ',' Custom"&amp;"er ',' Faithful ' , 'disappointment', 'trust', 'check', 'value', 'rating', 'Telkomsell', '']")</f>
        <v>['Signal', 'Full', 'Ping', 'Play', 'Game', 'Disconnect', 'Connect', 'Package', 'Expensive', 'Quality', 'Kayak', 'Operator', ' Cheap ',' Make ',' Application ',' Seminim ',' Features', 'Features',' Burning ',' Lemot ',' Kayak ',' Gini ',' Depart ',' Customer ',' Faithful ' , 'disappointment', 'trust', 'check', 'value', 'rating', 'Telkomsell', '']</v>
      </c>
      <c r="D722" s="3">
        <v>2.0</v>
      </c>
    </row>
    <row r="723" ht="15.75" customHeight="1">
      <c r="A723" s="1">
        <v>721.0</v>
      </c>
      <c r="B723" s="3" t="s">
        <v>724</v>
      </c>
      <c r="C723" s="3" t="str">
        <f>IFERROR(__xludf.DUMMYFUNCTION("GOOGLETRANSLATE(B723,""id"",""en"")"),"['quota', 'GB', 'Daily', 'Ceck', 'enter', 'please', 'explanation', 'Telkomsel', 'strange', 'Telkomsel', ""]")</f>
        <v>['quota', 'GB', 'Daily', 'Ceck', 'enter', 'please', 'explanation', 'Telkomsel', 'strange', 'Telkomsel', "]</v>
      </c>
      <c r="D723" s="3">
        <v>1.0</v>
      </c>
    </row>
    <row r="724" ht="15.75" customHeight="1">
      <c r="A724" s="1">
        <v>722.0</v>
      </c>
      <c r="B724" s="3" t="s">
        <v>725</v>
      </c>
      <c r="C724" s="3" t="str">
        <f>IFERROR(__xludf.DUMMYFUNCTION("GOOGLETRANSLATE(B724,""id"",""en"")"),"['hope', 'Features',' locking ',' pulse ',' user ',' pulse ',' according to ',' expected ',' reduced ',' honest ',' features', 'needed', ' Customers', 'customers',' safe ',' leaving ',' pulses', 'interests',' hope ',' features', 'presented', 'as soon as p"&amp;"ossible', 'thank you']")</f>
        <v>['hope', 'Features',' locking ',' pulse ',' user ',' pulse ',' according to ',' expected ',' reduced ',' honest ',' features', 'needed', ' Customers', 'customers',' safe ',' leaving ',' pulses', 'interests',' hope ',' features', 'presented', 'as soon as possible', 'thank you']</v>
      </c>
      <c r="D724" s="3">
        <v>2.0</v>
      </c>
    </row>
    <row r="725" ht="15.75" customHeight="1">
      <c r="A725" s="1">
        <v>723.0</v>
      </c>
      <c r="B725" s="3" t="s">
        <v>726</v>
      </c>
      <c r="C725" s="3" t="str">
        <f>IFERROR(__xludf.DUMMYFUNCTION("GOOGLETRANSLATE(B725,""id"",""en"")"),"['Telkomsel', 'complaints',' pulses', 'sumps',' until ',' person ',' old ',' angry ',' pulse ',' sumps', 'pulses',' dipake ',' Internet ',' Call ',' Package ',' Credit ',' Reduced ',' Credit ',' Sumpot ',' Please ',' Return ',' Credit ',' Sucked ',' Myste"&amp;"rious', 'Telkomsel' , '']")</f>
        <v>['Telkomsel', 'complaints',' pulses', 'sumps',' until ',' person ',' old ',' angry ',' pulse ',' sumps', 'pulses',' dipake ',' Internet ',' Call ',' Package ',' Credit ',' Reduced ',' Credit ',' Sumpot ',' Please ',' Return ',' Credit ',' Sucked ',' Mysterious', 'Telkomsel' , '']</v>
      </c>
      <c r="D725" s="3">
        <v>1.0</v>
      </c>
    </row>
    <row r="726" ht="15.75" customHeight="1">
      <c r="A726" s="1">
        <v>724.0</v>
      </c>
      <c r="B726" s="3" t="s">
        <v>727</v>
      </c>
      <c r="C726" s="3" t="str">
        <f>IFERROR(__xludf.DUMMYFUNCTION("GOOGLETRANSLATE(B726,""id"",""en"")"),"['staple', 'credit', 'Telkomsel', 'quota', 'package', 'fill in', 'tetep', 'pulse', 'sumps',' many ',' times', 'really', ' network ',' bad ',' pulse ',' run out ',' normal ',' disappointed ',' really ',' ']")</f>
        <v>['staple', 'credit', 'Telkomsel', 'quota', 'package', 'fill in', 'tetep', 'pulse', 'sumps',' many ',' times', 'really', ' network ',' bad ',' pulse ',' run out ',' normal ',' disappointed ',' really ',' ']</v>
      </c>
      <c r="D726" s="3">
        <v>1.0</v>
      </c>
    </row>
    <row r="727" ht="15.75" customHeight="1">
      <c r="A727" s="1">
        <v>725.0</v>
      </c>
      <c r="B727" s="3" t="s">
        <v>728</v>
      </c>
      <c r="C727" s="3" t="str">
        <f>IFERROR(__xludf.DUMMYFUNCTION("GOOGLETRANSLATE(B727,""id"",""en"")"),"['Hallo', 'Telkomsel', 'buy', 'card', 'network', 'internet', 'stable', 'buy', 'data', 'pretty', 'expensive', 'blame', ' Network ',' Masalh ',' Network ',' Internet ',' Telkomsel ',' Bad ',' Upset ',' Network ',' Telkomsel ',' Main ',' Game ',' Down ', ""]")</f>
        <v>['Hallo', 'Telkomsel', 'buy', 'card', 'network', 'internet', 'stable', 'buy', 'data', 'pretty', 'expensive', 'blame', ' Network ',' Masalh ',' Network ',' Internet ',' Telkomsel ',' Bad ',' Upset ',' Network ',' Telkomsel ',' Main ',' Game ',' Down ', "]</v>
      </c>
      <c r="D727" s="3">
        <v>1.0</v>
      </c>
    </row>
    <row r="728" ht="15.75" customHeight="1">
      <c r="A728" s="1">
        <v>726.0</v>
      </c>
      <c r="B728" s="3" t="s">
        <v>729</v>
      </c>
      <c r="C728" s="3" t="str">
        <f>IFERROR(__xludf.DUMMYFUNCTION("GOOGLETRANSLATE(B728,""id"",""en"")"),"['strange', 'subscribe', 'package', 'internet', 'buy', 'pulse', 'run out', 'pay', 'subscribe', 'package', 'internet', 'Telkomsel', ' How ',' menu ',' Unreg ',' sucks', '']")</f>
        <v>['strange', 'subscribe', 'package', 'internet', 'buy', 'pulse', 'run out', 'pay', 'subscribe', 'package', 'internet', 'Telkomsel', ' How ',' menu ',' Unreg ',' sucks', '']</v>
      </c>
      <c r="D728" s="3">
        <v>1.0</v>
      </c>
    </row>
    <row r="729" ht="15.75" customHeight="1">
      <c r="A729" s="1">
        <v>727.0</v>
      </c>
      <c r="B729" s="3" t="s">
        <v>730</v>
      </c>
      <c r="C729" s="3" t="str">
        <f>IFERROR(__xludf.DUMMYFUNCTION("GOOGLETRANSLATE(B729,""id"",""en"")"),"['use', 'Telkomsel', 'disappointed', 'signal', 'difficult', 'slow', 'really', 'hrga', 'quota', 'data', 'already', 'expensive', ' Mending ',' use ',' profider ',' cheap ',' ']")</f>
        <v>['use', 'Telkomsel', 'disappointed', 'signal', 'difficult', 'slow', 'really', 'hrga', 'quota', 'data', 'already', 'expensive', ' Mending ',' use ',' profider ',' cheap ',' ']</v>
      </c>
      <c r="D729" s="3">
        <v>1.0</v>
      </c>
    </row>
    <row r="730" ht="15.75" customHeight="1">
      <c r="A730" s="1">
        <v>728.0</v>
      </c>
      <c r="B730" s="3" t="s">
        <v>731</v>
      </c>
      <c r="C730" s="3" t="str">
        <f>IFERROR(__xludf.DUMMYFUNCTION("GOOGLETRANSLATE(B730,""id"",""en"")"),"[ 'Application', 'ssssssssssssssssssssaaaaaaaaaaaaaaaaaaaaaaaaaaaaaaaaaannnnnnnnnnnnnnnnnnnnnnnnnnnnnnnnngggggggggggggggggggggggggggggggggggaaaaaaaaaaaaaaaaaaaaaaaaaaaaaaaaaaaaaaaaaatttttttttttttttttttttttttttttttttttttttttttttttttttttttttttttttt', 'bbbbb"&amp;"bbbbbbbbbbbbbbbbbbbbbbbbbbbbbbbbbbbbbbbbaaaaaaaaaaaaaaaaaaaaaaaaaaaaaaaaaaaaaaaaggggggggggggggggggggggggggggggggggggggggggggggggggggggggguuuuuuuuuuuuuuuuuuuuuuuuuuuuuuuuuuuuuuuuuuuuuuuussssessssssssssssssssssssssssssssssssssssss', 'regret', 'download', ''"&amp;"]")</f>
        <v>[ 'Application', 'ssssssssssssssssssssaaaaaaaaaaaaaaaaaaaaaaaaaaaaaaaaaannnnnnnnnnnnnnnnnnnnnnnnnnnnnnnnngggggggggggggggggggggggggggggggggggaaaaaaaaaaaaaaaaaaaaaaaaaaaaaaaaaaaaaaaaaatttttttttttttttttttttttttttttttttttttttttttttttttttttttttttttttt', 'bbbbbbbbbbbbbbbbbbbbbbbbbbbbbbbbbbbbbbbbbbbbbaaaaaaaaaaaaaaaaaaaaaaaaaaaaaaaaaaaaaaaaggggggggggggggggggggggggggggggggggggggggggggggggggggggggguuuuuuuuuuuuuuuuuuuuuuuuuuuuuuuuuuuuuuuuuuuuuuuussssessssssssssssssssssssssssssssssssssssss', 'regret', 'download', '']</v>
      </c>
      <c r="D730" s="3">
        <v>5.0</v>
      </c>
    </row>
    <row r="731" ht="15.75" customHeight="1">
      <c r="A731" s="1">
        <v>729.0</v>
      </c>
      <c r="B731" s="3" t="s">
        <v>732</v>
      </c>
      <c r="C731" s="3" t="str">
        <f>IFERROR(__xludf.DUMMYFUNCTION("GOOGLETRANSLATE(B731,""id"",""en"")"),"['already', 'pay', 'expensive', 'signal', 'slow', 'expensive', 'signal', 'bagusan', 'provider', 'strong', 'download', 'Telkomsel', ' Open ',' application ',' Telkomsel ',' slow ',' Ampunn ',' ']")</f>
        <v>['already', 'pay', 'expensive', 'signal', 'slow', 'expensive', 'signal', 'bagusan', 'provider', 'strong', 'download', 'Telkomsel', ' Open ',' application ',' Telkomsel ',' slow ',' Ampunn ',' ']</v>
      </c>
      <c r="D731" s="3">
        <v>1.0</v>
      </c>
    </row>
    <row r="732" ht="15.75" customHeight="1">
      <c r="A732" s="1">
        <v>730.0</v>
      </c>
      <c r="B732" s="3" t="s">
        <v>733</v>
      </c>
      <c r="C732" s="3" t="str">
        <f>IFERROR(__xludf.DUMMYFUNCTION("GOOGLETRANSLATE(B732,""id"",""en"")"),"['Season', 'really', 'service', 'response', 'already', 'gtu', 'finished', 'can', 'quota', 'hazak', 'denotified', 'description', ' already ',' entry ',' quota ',' checked ',' zonkkkkkk ',' ']")</f>
        <v>['Season', 'really', 'service', 'response', 'already', 'gtu', 'finished', 'can', 'quota', 'hazak', 'denotified', 'description', ' already ',' entry ',' quota ',' checked ',' zonkkkkkk ',' ']</v>
      </c>
      <c r="D732" s="3">
        <v>1.0</v>
      </c>
    </row>
    <row r="733" ht="15.75" customHeight="1">
      <c r="A733" s="1">
        <v>731.0</v>
      </c>
      <c r="B733" s="3" t="s">
        <v>734</v>
      </c>
      <c r="C733" s="3" t="str">
        <f>IFERROR(__xludf.DUMMYFUNCTION("GOOGLETRANSLATE(B733,""id"",""en"")"),"['Satisfied', 'Service', 'Check', 'Claim', 'Gift', 'Check', 'Credit', 'Cut', 'Gift', 'Accept', 'There', 'Description', ' Thanks', 'Nambah', 'Season', 'told', 'Wait', 'Clock', 'Sampek', 'Enter', 'Customer', 'Disappointed', 'Thank you']")</f>
        <v>['Satisfied', 'Service', 'Check', 'Claim', 'Gift', 'Check', 'Credit', 'Cut', 'Gift', 'Accept', 'There', 'Description', ' Thanks', 'Nambah', 'Season', 'told', 'Wait', 'Clock', 'Sampek', 'Enter', 'Customer', 'Disappointed', 'Thank you']</v>
      </c>
      <c r="D733" s="3">
        <v>1.0</v>
      </c>
    </row>
    <row r="734" ht="15.75" customHeight="1">
      <c r="A734" s="1">
        <v>732.0</v>
      </c>
      <c r="B734" s="3" t="s">
        <v>735</v>
      </c>
      <c r="C734" s="3" t="str">
        <f>IFERROR(__xludf.DUMMYFUNCTION("GOOGLETRANSLATE(B734,""id"",""en"")"),"['Karuan', 'Reward', 'Data', 'Results',' Check ',' Daily ',' Points', 'Credit', 'Cut "",' ']")</f>
        <v>['Karuan', 'Reward', 'Data', 'Results',' Check ',' Daily ',' Points', 'Credit', 'Cut ",' ']</v>
      </c>
      <c r="D734" s="3">
        <v>1.0</v>
      </c>
    </row>
    <row r="735" ht="15.75" customHeight="1">
      <c r="A735" s="1">
        <v>733.0</v>
      </c>
      <c r="B735" s="3" t="s">
        <v>736</v>
      </c>
      <c r="C735" s="3" t="str">
        <f>IFERROR(__xludf.DUMMYFUNCTION("GOOGLETRANSLATE(B735,""id"",""en"")"),"['update', 'price', 'package', 'quota', 'expensive', 'honest', 'mind', 'price', 'package', 'please', 'held', 'price', ' Package ',' economical ',' affordable ',' thank you ']")</f>
        <v>['update', 'price', 'package', 'quota', 'expensive', 'honest', 'mind', 'price', 'package', 'please', 'held', 'price', ' Package ',' economical ',' affordable ',' thank you ']</v>
      </c>
      <c r="D735" s="3">
        <v>1.0</v>
      </c>
    </row>
    <row r="736" ht="15.75" customHeight="1">
      <c r="A736" s="1">
        <v>734.0</v>
      </c>
      <c r="B736" s="3" t="s">
        <v>737</v>
      </c>
      <c r="C736" s="3" t="str">
        <f>IFERROR(__xludf.DUMMYFUNCTION("GOOGLETRANSLATE(B736,""id"",""en"")"),"['Honest', 'Disappointed', 'Telkomsel', 'Knp', 'Price', 'Package', 'Nambah', 'Expensive', 'Unlimited', 'Maxx', 'Unlimited', 'Please', ' TELKOM ',' Balikin ',' Price ',' Unlimited ',' Maxx ',' Unlimited ',' Soschat ',' Game ',' Tiktok ',' YouTube ',' sosme"&amp;"d ',' Please ',' Behind ' , '']")</f>
        <v>['Honest', 'Disappointed', 'Telkomsel', 'Knp', 'Price', 'Package', 'Nambah', 'Expensive', 'Unlimited', 'Maxx', 'Unlimited', 'Please', ' TELKOM ',' Balikin ',' Price ',' Unlimited ',' Maxx ',' Unlimited ',' Soschat ',' Game ',' Tiktok ',' YouTube ',' sosmed ',' Please ',' Behind ' , '']</v>
      </c>
      <c r="D736" s="3">
        <v>1.0</v>
      </c>
    </row>
    <row r="737" ht="15.75" customHeight="1">
      <c r="A737" s="1">
        <v>735.0</v>
      </c>
      <c r="B737" s="3" t="s">
        <v>738</v>
      </c>
      <c r="C737" s="3" t="str">
        <f>IFERROR(__xludf.DUMMYFUNCTION("GOOGLETRANSLATE(B737,""id"",""en"")"),"['Telkomsel', 'Gblok', 'buy', 'package', 'expensive', 'signal', 'idiot', 'kouta', 'colong', 'lankak', 'package', 'buy', ' Expensive ',' brosing ',' swear ',' bankrupt ', ""]")</f>
        <v>['Telkomsel', 'Gblok', 'buy', 'package', 'expensive', 'signal', 'idiot', 'kouta', 'colong', 'lankak', 'package', 'buy', ' Expensive ',' brosing ',' swear ',' bankrupt ', "]</v>
      </c>
      <c r="D737" s="3">
        <v>1.0</v>
      </c>
    </row>
    <row r="738" ht="15.75" customHeight="1">
      <c r="A738" s="1">
        <v>736.0</v>
      </c>
      <c r="B738" s="3" t="s">
        <v>739</v>
      </c>
      <c r="C738" s="3" t="str">
        <f>IFERROR(__xludf.DUMMYFUNCTION("GOOGLETRANSLATE(B738,""id"",""en"")"),"['times', 'sms', 'notification', 'receipt', 'package', 'pulse', 'truncated', 'buy', 'package', 'tempo', 'purchase', 'run out']")</f>
        <v>['times', 'sms', 'notification', 'receipt', 'package', 'pulse', 'truncated', 'buy', 'package', 'tempo', 'purchase', 'run out']</v>
      </c>
      <c r="D738" s="3">
        <v>4.0</v>
      </c>
    </row>
    <row r="739" ht="15.75" customHeight="1">
      <c r="A739" s="1">
        <v>737.0</v>
      </c>
      <c r="B739" s="3" t="s">
        <v>740</v>
      </c>
      <c r="C739" s="3" t="str">
        <f>IFERROR(__xludf.DUMMYFUNCTION("GOOGLETRANSLATE(B739,""id"",""en"")"),"['use', 'bad', 'network', 'price', 'quota', 'fix', 'network', 'raise', 'price', 'quota', 'shy', 'shy', ' Shame ',' no ',' ']")</f>
        <v>['use', 'bad', 'network', 'price', 'quota', 'fix', 'network', 'raise', 'price', 'quota', 'shy', 'shy', ' Shame ',' no ',' ']</v>
      </c>
      <c r="D739" s="3">
        <v>2.0</v>
      </c>
    </row>
    <row r="740" ht="15.75" customHeight="1">
      <c r="A740" s="1">
        <v>738.0</v>
      </c>
      <c r="B740" s="3" t="s">
        <v>741</v>
      </c>
      <c r="C740" s="3" t="str">
        <f>IFERROR(__xludf.DUMMYFUNCTION("GOOGLETRANSLATE(B740,""id"",""en"")"),"['Update', 'bad', 'access',' Conectec ',' Signal ',' Lanjar ',' Daily ',' Daily ',' Check ',' Error ',' Can't ',' Open ',' Cave ',' abil ',' prize ',' Telkomsel ',' skrng ', ""]")</f>
        <v>['Update', 'bad', 'access',' Conectec ',' Signal ',' Lanjar ',' Daily ',' Daily ',' Check ',' Error ',' Can't ',' Open ',' Cave ',' abil ',' prize ',' Telkomsel ',' skrng ', "]</v>
      </c>
      <c r="D740" s="3">
        <v>1.0</v>
      </c>
    </row>
    <row r="741" ht="15.75" customHeight="1">
      <c r="A741" s="1">
        <v>739.0</v>
      </c>
      <c r="B741" s="3" t="s">
        <v>742</v>
      </c>
      <c r="C741" s="3" t="str">
        <f>IFERROR(__xludf.DUMMYFUNCTION("GOOGLETRANSLATE(B741,""id"",""en"")"),"['Use', 'MyTelkomsel', 'pulse', 'leftover', 'run out', 'the rest', 'empty', 'report', 'pulse', 'run out', 'customer', 'disappointed']")</f>
        <v>['Use', 'MyTelkomsel', 'pulse', 'leftover', 'run out', 'the rest', 'empty', 'report', 'pulse', 'run out', 'customer', 'disappointed']</v>
      </c>
      <c r="D741" s="3">
        <v>2.0</v>
      </c>
    </row>
    <row r="742" ht="15.75" customHeight="1">
      <c r="A742" s="1">
        <v>740.0</v>
      </c>
      <c r="B742" s="3" t="s">
        <v>743</v>
      </c>
      <c r="C742" s="3" t="str">
        <f>IFERROR(__xludf.DUMMYFUNCTION("GOOGLETRANSLATE(B742,""id"",""en"")"),"['useful', 'application', 'ugly', 'functioning', 'package', 'games',' buy ',' leftover ',' cave ',' use ',' game ',' pulse ',' Thousands', 'Sumpot', 'Out', 'Card', 'Application', 'Quality', 'Please', 'Uda', 'Use', 'Card', 'Telkomsel', 'Measons',' Cook ' ,"&amp;" 'Kayak', 'gini', 'system', 'play', 'suck', 'pulse', 'situ', 'luck', 'loss']")</f>
        <v>['useful', 'application', 'ugly', 'functioning', 'package', 'games',' buy ',' leftover ',' cave ',' use ',' game ',' pulse ',' Thousands', 'Sumpot', 'Out', 'Card', 'Application', 'Quality', 'Please', 'Uda', 'Use', 'Card', 'Telkomsel', 'Measons',' Cook ' , 'Kayak', 'gini', 'system', 'play', 'suck', 'pulse', 'situ', 'luck', 'loss']</v>
      </c>
      <c r="D742" s="3">
        <v>1.0</v>
      </c>
    </row>
    <row r="743" ht="15.75" customHeight="1">
      <c r="A743" s="1">
        <v>741.0</v>
      </c>
      <c r="B743" s="3" t="s">
        <v>744</v>
      </c>
      <c r="C743" s="3" t="str">
        <f>IFERROR(__xludf.DUMMYFUNCTION("GOOGLETRANSLATE(B743,""id"",""en"")"),"['hard', 'difficult', 'entry', 'entry', 'said', 'network', 'stable', 'stable', 'what', 'bossssss',' network ',' user ',' redmi ',' not ',' pro ',' try ',' open ',' youtube ',' smooth ',' network ',' play ',' pub ',' good ',' network ',' please ' , 'bossss"&amp;"sss', 'fix', 'because', 'mamakai', 'card', 'Telkomsel']")</f>
        <v>['hard', 'difficult', 'entry', 'entry', 'said', 'network', 'stable', 'stable', 'what', 'bossssss',' network ',' user ',' redmi ',' not ',' pro ',' try ',' open ',' youtube ',' smooth ',' network ',' play ',' pub ',' good ',' network ',' please ' , 'bosssssss', 'fix', 'because', 'mamakai', 'card', 'Telkomsel']</v>
      </c>
      <c r="D743" s="3">
        <v>1.0</v>
      </c>
    </row>
    <row r="744" ht="15.75" customHeight="1">
      <c r="A744" s="1">
        <v>742.0</v>
      </c>
      <c r="B744" s="3" t="s">
        <v>745</v>
      </c>
      <c r="C744" s="3" t="str">
        <f>IFERROR(__xludf.DUMMYFUNCTION("GOOGLETRANSLATE(B744,""id"",""en"")"),"['suggest', 'just', 'price', 'package', 'ride', 'try', 'program', 'berdia', 'Tangarin', 'plsa', 'free', 'point', ' Fill ',' reset ',' fair ',' consumer ',' satisfied ',' network ',' internet ',' fix ',' smkin ',' slow ',' makasi ']")</f>
        <v>['suggest', 'just', 'price', 'package', 'ride', 'try', 'program', 'berdia', 'Tangarin', 'plsa', 'free', 'point', ' Fill ',' reset ',' fair ',' consumer ',' satisfied ',' network ',' internet ',' fix ',' smkin ',' slow ',' makasi ']</v>
      </c>
      <c r="D744" s="3">
        <v>5.0</v>
      </c>
    </row>
    <row r="745" ht="15.75" customHeight="1">
      <c r="A745" s="1">
        <v>743.0</v>
      </c>
      <c r="B745" s="3" t="s">
        <v>746</v>
      </c>
      <c r="C745" s="3" t="str">
        <f>IFERROR(__xludf.DUMMYFUNCTION("GOOGLETRANSLATE(B745,""id"",""en"")"),"['go bankrupt', 'home', 'me', 'near', 'tower', 'Telkomsel', 'signal', 'rich', 'snail', 'signal', 'traveling', 'really', ' I ',' complain ',' repairs', 'response', 'rich', 'complained', 'brand', 'rich', 'sad']")</f>
        <v>['go bankrupt', 'home', 'me', 'near', 'tower', 'Telkomsel', 'signal', 'rich', 'snail', 'signal', 'traveling', 'really', ' I ',' complain ',' repairs', 'response', 'rich', 'complained', 'brand', 'rich', 'sad']</v>
      </c>
      <c r="D745" s="3">
        <v>1.0</v>
      </c>
    </row>
    <row r="746" ht="15.75" customHeight="1">
      <c r="A746" s="1">
        <v>744.0</v>
      </c>
      <c r="B746" s="3" t="s">
        <v>747</v>
      </c>
      <c r="C746" s="3" t="str">
        <f>IFERROR(__xludf.DUMMYFUNCTION("GOOGLETRANSLATE(B746,""id"",""en"")"),"['quota', 'expensive', 'signal', 'BURIK', 'please', 'fix', 'signal', 'jngan', 'just', 'eagle', 'promo', 'TPI', ' Tinyak ',' BURIK ',' price ',' quota ',' expensive ',' cook ',' class', 'Telkomsel', 'network', 'Where', 'TPI', 'signal', 'bad' , '']")</f>
        <v>['quota', 'expensive', 'signal', 'BURIK', 'please', 'fix', 'signal', 'jngan', 'just', 'eagle', 'promo', 'TPI', ' Tinyak ',' BURIK ',' price ',' quota ',' expensive ',' cook ',' class', 'Telkomsel', 'network', 'Where', 'TPI', 'signal', 'bad' , '']</v>
      </c>
      <c r="D746" s="3">
        <v>2.0</v>
      </c>
    </row>
    <row r="747" ht="15.75" customHeight="1">
      <c r="A747" s="1">
        <v>745.0</v>
      </c>
      <c r="B747" s="3" t="s">
        <v>748</v>
      </c>
      <c r="C747" s="3" t="str">
        <f>IFERROR(__xludf.DUMMYFUNCTION("GOOGLETRANSLATE(B747,""id"",""en"")"),"['Not bad', 'good', 'TPI', 'signal', 'steady', 'sometimes',' sometimes', 'down', 'sudden', 'annoyed', 'sometimes',' login ',' signal ',' missing ']")</f>
        <v>['Not bad', 'good', 'TPI', 'signal', 'steady', 'sometimes',' sometimes', 'down', 'sudden', 'annoyed', 'sometimes',' login ',' signal ',' missing ']</v>
      </c>
      <c r="D747" s="3">
        <v>4.0</v>
      </c>
    </row>
    <row r="748" ht="15.75" customHeight="1">
      <c r="A748" s="1">
        <v>746.0</v>
      </c>
      <c r="B748" s="3" t="s">
        <v>749</v>
      </c>
      <c r="C748" s="3" t="str">
        <f>IFERROR(__xludf.DUMMYFUNCTION("GOOGLETRANSLATE(B748,""id"",""en"")"),"['', 'Star', 'down', 'star', 'signal', 'forgiveness',' deh ',' right ',' stable ',' game ',' online ',' train ',' patience ',' member ',' platinum ',' replace ',' provider ',' please ',' level ',' network ',' special ',' area ',' district ',' bekasi ',' s"&amp;"wamp ', 'bat']")</f>
        <v>['', 'Star', 'down', 'star', 'signal', 'forgiveness',' deh ',' right ',' stable ',' game ',' online ',' train ',' patience ',' member ',' platinum ',' replace ',' provider ',' please ',' level ',' network ',' special ',' area ',' district ',' bekasi ',' swamp ', 'bat']</v>
      </c>
      <c r="D748" s="3">
        <v>3.0</v>
      </c>
    </row>
    <row r="749" ht="15.75" customHeight="1">
      <c r="A749" s="1">
        <v>747.0</v>
      </c>
      <c r="B749" s="3" t="s">
        <v>750</v>
      </c>
      <c r="C749" s="3" t="str">
        <f>IFERROR(__xludf.DUMMYFUNCTION("GOOGLETRANSLATE(B749,""id"",""en"")"),"['Disappointed', 'Telkomsel', 'internet', 'slow', 'price', 'quota', 'expensive', 'users', 'Telkomsel', 'love', 'paketan', 'cheap' Users', 'loyal', 'Telkomsel', 'many years',' love ',' price ',' quota ',' expensive ',' internet ',' slow ',' disappointed ',"&amp;"' oath ']")</f>
        <v>['Disappointed', 'Telkomsel', 'internet', 'slow', 'price', 'quota', 'expensive', 'users', 'Telkomsel', 'love', 'paketan', 'cheap' Users', 'loyal', 'Telkomsel', 'many years',' love ',' price ',' quota ',' expensive ',' internet ',' slow ',' disappointed ',' oath ']</v>
      </c>
      <c r="D749" s="3">
        <v>1.0</v>
      </c>
    </row>
    <row r="750" ht="15.75" customHeight="1">
      <c r="A750" s="1">
        <v>748.0</v>
      </c>
      <c r="B750" s="3" t="s">
        <v>751</v>
      </c>
      <c r="C750" s="3" t="str">
        <f>IFERROR(__xludf.DUMMYFUNCTION("GOOGLETRANSLATE(B750,""id"",""en"")"),"['WOI', 'Telkomsel', 'Package', 'Data', 'Affairs', 'Internet', 'Current', 'Severe', 'Ngak', 'Service', 'Her Day', 'Good' Most ',' day ',' slow ',' strategy ',' trade ',' addicted ',' eat ',' money ',' haram ',' results', 'ngadalin', 'pelangan', 'stupid' ,"&amp;" 'please', 'explanation', 'change', 'language', 'contact', 'blame', 'device', 'disappointed', 'Bukn', ""]")</f>
        <v>['WOI', 'Telkomsel', 'Package', 'Data', 'Affairs', 'Internet', 'Current', 'Severe', 'Ngak', 'Service', 'Her Day', 'Good' Most ',' day ',' slow ',' strategy ',' trade ',' addicted ',' eat ',' money ',' haram ',' results', 'ngadalin', 'pelangan', 'stupid' , 'please', 'explanation', 'change', 'language', 'contact', 'blame', 'device', 'disappointed', 'Bukn', "]</v>
      </c>
      <c r="D750" s="3">
        <v>1.0</v>
      </c>
    </row>
    <row r="751" ht="15.75" customHeight="1">
      <c r="A751" s="1">
        <v>749.0</v>
      </c>
      <c r="B751" s="3" t="s">
        <v>752</v>
      </c>
      <c r="C751" s="3" t="str">
        <f>IFERROR(__xludf.DUMMYFUNCTION("GOOGLETRANSLATE(B751,""id"",""en"")"),"['Network', 'Telkomsel', 'Karuan', 'Mending', 'Card', 'as fast as',' Telkom ',' smooth ',' Rich ',' Telkomsel ',' The network ',' pig ',' Down ',' Severe ',' Telkomsel ',' Telkomsel ',' Geresal ']")</f>
        <v>['Network', 'Telkomsel', 'Karuan', 'Mending', 'Card', 'as fast as',' Telkom ',' smooth ',' Rich ',' Telkomsel ',' The network ',' pig ',' Down ',' Severe ',' Telkomsel ',' Telkomsel ',' Geresal ']</v>
      </c>
      <c r="D751" s="3">
        <v>1.0</v>
      </c>
    </row>
    <row r="752" ht="15.75" customHeight="1">
      <c r="A752" s="1">
        <v>750.0</v>
      </c>
      <c r="B752" s="3" t="s">
        <v>753</v>
      </c>
      <c r="C752" s="3" t="str">
        <f>IFERROR(__xludf.DUMMYFUNCTION("GOOGLETRANSLATE(B752,""id"",""en"")"),"['Sorry', 'Update', 'Telkomsel', 'Times',' Good ',' Karna ',' Enter ',' Loading ',' Loading ',' HBis', 'Update', 'Times',' Nge ',' Bag ',' Thank you ', ""]")</f>
        <v>['Sorry', 'Update', 'Telkomsel', 'Times',' Good ',' Karna ',' Enter ',' Loading ',' Loading ',' HBis', 'Update', 'Times',' Nge ',' Bag ',' Thank you ', "]</v>
      </c>
      <c r="D752" s="3">
        <v>1.0</v>
      </c>
    </row>
    <row r="753" ht="15.75" customHeight="1">
      <c r="A753" s="1">
        <v>751.0</v>
      </c>
      <c r="B753" s="3" t="s">
        <v>754</v>
      </c>
      <c r="C753" s="3" t="str">
        <f>IFERROR(__xludf.DUMMYFUNCTION("GOOGLETRANSLATE(B753,""id"",""en"")"),"['Suggestion', 'Customer', 'Telkomsel', 'Pantengin', 'Application', 'Check', 'Regular', 'Cutting', 'Quotes',' Personal ',' Tired ',' Locking ',' Stop ',' use ',' quota ',' Telkomsel ',' Search ',' operator ',' contents', 'direct', 'zero', 'a month', 'left"&amp;"', 'GB', 'thank' , 'Love', 'Trying', 'Best', 'Violation', 'Cutting', 'Quota', 'Really']")</f>
        <v>['Suggestion', 'Customer', 'Telkomsel', 'Pantengin', 'Application', 'Check', 'Regular', 'Cutting', 'Quotes',' Personal ',' Tired ',' Locking ',' Stop ',' use ',' quota ',' Telkomsel ',' Search ',' operator ',' contents', 'direct', 'zero', 'a month', 'left', 'GB', 'thank' , 'Love', 'Trying', 'Best', 'Violation', 'Cutting', 'Quota', 'Really']</v>
      </c>
      <c r="D753" s="3">
        <v>1.0</v>
      </c>
    </row>
    <row r="754" ht="15.75" customHeight="1">
      <c r="A754" s="1">
        <v>752.0</v>
      </c>
      <c r="B754" s="3" t="s">
        <v>755</v>
      </c>
      <c r="C754" s="3" t="str">
        <f>IFERROR(__xludf.DUMMYFUNCTION("GOOGLETRANSLATE(B754,""id"",""en"")"),"['heiiiiiiii', 'Telkomselll', 'how', 'signal', 'anjlebbb', 'ilang', 'ilang', 'annoying', 'keceawa', 'severe', 'subscription', 'really', ' Facilities', 'kyk', 'gini', 'pay', 'expensive', 'emotion', 'acute', '']")</f>
        <v>['heiiiiiiii', 'Telkomselll', 'how', 'signal', 'anjlebbb', 'ilang', 'ilang', 'annoying', 'keceawa', 'severe', 'subscription', 'really', ' Facilities', 'kyk', 'gini', 'pay', 'expensive', 'emotion', 'acute', '']</v>
      </c>
      <c r="D754" s="3">
        <v>1.0</v>
      </c>
    </row>
    <row r="755" ht="15.75" customHeight="1">
      <c r="A755" s="1">
        <v>753.0</v>
      </c>
      <c r="B755" s="3" t="s">
        <v>756</v>
      </c>
      <c r="C755" s="3" t="str">
        <f>IFERROR(__xludf.DUMMYFUNCTION("GOOGLETRANSLATE(B755,""id"",""en"")"),"['advanced', 'internet', 'Strees',' signal ',' ugly ',' Telkomsel ',' application ',' possession ',' myxl ',' delete ',' package ',' quota ',' already ',' obsolete ',' believe ',' quota ',' Indonesia ',' most ',' package ',' obsolete ',' provider ',' shou"&amp;"ld ',' check ',' goggle ',' play ' , 'Store', 'Look', 'Live', 'Chat', 'Twitter', '']")</f>
        <v>['advanced', 'internet', 'Strees',' signal ',' ugly ',' Telkomsel ',' application ',' possession ',' myxl ',' delete ',' package ',' quota ',' already ',' obsolete ',' believe ',' quota ',' Indonesia ',' most ',' package ',' obsolete ',' provider ',' should ',' check ',' goggle ',' play ' , 'Store', 'Look', 'Live', 'Chat', 'Twitter', '']</v>
      </c>
      <c r="D755" s="3">
        <v>1.0</v>
      </c>
    </row>
    <row r="756" ht="15.75" customHeight="1">
      <c r="A756" s="1">
        <v>754.0</v>
      </c>
      <c r="B756" s="3" t="s">
        <v>757</v>
      </c>
      <c r="C756" s="3" t="str">
        <f>IFERROR(__xludf.DUMMYFUNCTION("GOOGLETRANSLATE(B756,""id"",""en"")"),"['Domicile', 'Region', 'Serang', 'Banten', 'Signal', 'Internet', 'Bad', 'home', 'Tower', 'Tower', 'Telkomsel', 'friend', ' Feel ',' complaints', 'signal', 'internet', 'Telkomsel', 'bad', '']")</f>
        <v>['Domicile', 'Region', 'Serang', 'Banten', 'Signal', 'Internet', 'Bad', 'home', 'Tower', 'Tower', 'Telkomsel', 'friend', ' Feel ',' complaints', 'signal', 'internet', 'Telkomsel', 'bad', '']</v>
      </c>
      <c r="D756" s="3">
        <v>3.0</v>
      </c>
    </row>
    <row r="757" ht="15.75" customHeight="1">
      <c r="A757" s="1">
        <v>755.0</v>
      </c>
      <c r="B757" s="3" t="s">
        <v>758</v>
      </c>
      <c r="C757" s="3" t="str">
        <f>IFERROR(__xludf.DUMMYFUNCTION("GOOGLETRANSLATE(B757,""id"",""en"")"),"['Please', 'Telkomsel', 'Dear', 'Network', 'Rotten', 'Severe', 'oath', 'already', 'a week', 'play', 'ping', 'ping', ' Normal ',' please ',' repaired ', ""]")</f>
        <v>['Please', 'Telkomsel', 'Dear', 'Network', 'Rotten', 'Severe', 'oath', 'already', 'a week', 'play', 'ping', 'ping', ' Normal ',' please ',' repaired ', "]</v>
      </c>
      <c r="D757" s="3">
        <v>5.0</v>
      </c>
    </row>
    <row r="758" ht="15.75" customHeight="1">
      <c r="A758" s="1">
        <v>756.0</v>
      </c>
      <c r="B758" s="3" t="s">
        <v>759</v>
      </c>
      <c r="C758" s="3" t="str">
        <f>IFERROR(__xludf.DUMMYFUNCTION("GOOGLETRANSLATE(B758,""id"",""en"")"),"['Quality', 'signal', 'stabilan', 'signal', 'bad', 'bad', 'speed', 'internet', 'slow', 'set', 'price', 'quality', ' good ',' provider ',' aware ',' condition ',' repaired ',' closing ',' Telkomsel ',' compete ',' provider ',' hope ',' fix ',' region ',' S"&amp;"ulawesi ' , 'North', 'Bitung']")</f>
        <v>['Quality', 'signal', 'stabilan', 'signal', 'bad', 'bad', 'speed', 'internet', 'slow', 'set', 'price', 'quality', ' good ',' provider ',' aware ',' condition ',' repaired ',' closing ',' Telkomsel ',' compete ',' provider ',' hope ',' fix ',' region ',' Sulawesi ' , 'North', 'Bitung']</v>
      </c>
      <c r="D758" s="3">
        <v>1.0</v>
      </c>
    </row>
    <row r="759" ht="15.75" customHeight="1">
      <c r="A759" s="1">
        <v>757.0</v>
      </c>
      <c r="B759" s="3" t="s">
        <v>760</v>
      </c>
      <c r="C759" s="3" t="str">
        <f>IFERROR(__xludf.DUMMYFUNCTION("GOOGLETRANSLATE(B759,""id"",""en"")"),"['', 'use', 'Telkomsel', 'smooth', 'Satisfied', 'so', 'annoyed', 'signal', 'stable', 'call', 'difficult', 'pingin', 'moved ',' operator ',' forced ',' love ',' star ',' ']")</f>
        <v>['', 'use', 'Telkomsel', 'smooth', 'Satisfied', 'so', 'annoyed', 'signal', 'stable', 'call', 'difficult', 'pingin', 'moved ',' operator ',' forced ',' love ',' star ',' ']</v>
      </c>
      <c r="D759" s="3">
        <v>2.0</v>
      </c>
    </row>
    <row r="760" ht="15.75" customHeight="1">
      <c r="A760" s="1">
        <v>758.0</v>
      </c>
      <c r="B760" s="3" t="s">
        <v>761</v>
      </c>
      <c r="C760" s="3" t="str">
        <f>IFERROR(__xludf.DUMMYFUNCTION("GOOGLETRANSLATE(B760,""id"",""en"")"),"['Come', 'smooth', 'threat', 'network', 'internet', 'slow', 'Satisfied', '']")</f>
        <v>['Come', 'smooth', 'threat', 'network', 'internet', 'slow', 'Satisfied', '']</v>
      </c>
      <c r="D760" s="3">
        <v>1.0</v>
      </c>
    </row>
    <row r="761" ht="15.75" customHeight="1">
      <c r="A761" s="1">
        <v>759.0</v>
      </c>
      <c r="B761" s="3" t="s">
        <v>762</v>
      </c>
      <c r="C761" s="3" t="str">
        <f>IFERROR(__xludf.DUMMYFUNCTION("GOOGLETRANSLATE(B761,""id"",""en"")"),"['already', 'upgrade', 'can', 'bonus',' quota ',' hi ',' telkomsel ',' already ',' love ',' star ',' tlong ',' enter ',' White ',' List ',' Pelangement ',' Telkomsel ',' Can ',' Promo ',' Quota ',' Please ', ""]")</f>
        <v>['already', 'upgrade', 'can', 'bonus',' quota ',' hi ',' telkomsel ',' already ',' love ',' star ',' tlong ',' enter ',' White ',' List ',' Pelangement ',' Telkomsel ',' Can ',' Promo ',' Quota ',' Please ', "]</v>
      </c>
      <c r="D761" s="3">
        <v>1.0</v>
      </c>
    </row>
    <row r="762" ht="15.75" customHeight="1">
      <c r="A762" s="1">
        <v>760.0</v>
      </c>
      <c r="B762" s="3" t="s">
        <v>763</v>
      </c>
      <c r="C762" s="3" t="str">
        <f>IFERROR(__xludf.DUMMYFUNCTION("GOOGLETRANSLATE(B762,""id"",""en"")"),"['please', 'Telkomsel', 'here', 'signal', 'gajelas',' oath ',' Males', 'really', 'cave', 'telkomsel', 'already', 'salespeople', ' cave ',' signal ',' telkom ',' little ',' little ',' ilang ',' network ',' please ',' convenience ',' customer ',' telkomsel "&amp;"',' access', 'internet' , 'fast', 'fix', 'delay', 'delay', 'bangse', '']")</f>
        <v>['please', 'Telkomsel', 'here', 'signal', 'gajelas',' oath ',' Males', 'really', 'cave', 'telkomsel', 'already', 'salespeople', ' cave ',' signal ',' telkom ',' little ',' little ',' ilang ',' network ',' please ',' convenience ',' customer ',' telkomsel ',' access', 'internet' , 'fast', 'fix', 'delay', 'delay', 'bangse', '']</v>
      </c>
      <c r="D762" s="3">
        <v>1.0</v>
      </c>
    </row>
    <row r="763" ht="15.75" customHeight="1">
      <c r="A763" s="1">
        <v>761.0</v>
      </c>
      <c r="B763" s="3" t="s">
        <v>764</v>
      </c>
      <c r="C763" s="3" t="str">
        <f>IFERROR(__xludf.DUMMYFUNCTION("GOOGLETRANSLATE(B763,""id"",""en"")"),"['Disappointed', 'buy', 'package', 'internet', 'Telkomsel', 'payment', 'link', 'balance', 'link', 'truncated', 'package', 'internet', ' Belom ',' Enter ',' Telkomsel ',' History ',' Transaction ',' Purchase ',' Package ',' Internet ',' Belom ',' Enter ','"&amp;" please ',' help ',' complain ' , 'response']")</f>
        <v>['Disappointed', 'buy', 'package', 'internet', 'Telkomsel', 'payment', 'link', 'balance', 'link', 'truncated', 'package', 'internet', ' Belom ',' Enter ',' Telkomsel ',' History ',' Transaction ',' Purchase ',' Package ',' Internet ',' Belom ',' Enter ',' please ',' help ',' complain ' , 'response']</v>
      </c>
      <c r="D763" s="3">
        <v>1.0</v>
      </c>
    </row>
    <row r="764" ht="15.75" customHeight="1">
      <c r="A764" s="1">
        <v>762.0</v>
      </c>
      <c r="B764" s="3" t="s">
        <v>765</v>
      </c>
      <c r="C764" s="3" t="str">
        <f>IFERROR(__xludf.DUMMYFUNCTION("GOOGLETRANSLATE(B764,""id"",""en"")"),"['Telkomsel', 'slow', 'Telkomsel', 'Damaged', 'Report', 'Repair', 'Telkomsel', 'Damaged', 'Rip', 'Telkomsel', 'Telkomsel', 'Lemot']")</f>
        <v>['Telkomsel', 'slow', 'Telkomsel', 'Damaged', 'Report', 'Repair', 'Telkomsel', 'Damaged', 'Rip', 'Telkomsel', 'Telkomsel', 'Lemot']</v>
      </c>
      <c r="D764" s="3">
        <v>1.0</v>
      </c>
    </row>
    <row r="765" ht="15.75" customHeight="1">
      <c r="A765" s="1">
        <v>763.0</v>
      </c>
      <c r="B765" s="3" t="s">
        <v>766</v>
      </c>
      <c r="C765" s="3" t="str">
        <f>IFERROR(__xludf.DUMMYFUNCTION("GOOGLETRANSLATE(B765,""id"",""en"")"),"['min', 'signal', 'already', 'a year', 'last', 'ugly', 'package', 'expensive', 'exact', 'city', 'Cibatu', 'district', ' Garut ',' province ',' answered ',' village ',' kertajaya ',' good ',' here ',' no ',' fix it ',' ']")</f>
        <v>['min', 'signal', 'already', 'a year', 'last', 'ugly', 'package', 'expensive', 'exact', 'city', 'Cibatu', 'district', ' Garut ',' province ',' answered ',' village ',' kertajaya ',' good ',' here ',' no ',' fix it ',' ']</v>
      </c>
      <c r="D765" s="3">
        <v>3.0</v>
      </c>
    </row>
    <row r="766" ht="15.75" customHeight="1">
      <c r="A766" s="1">
        <v>764.0</v>
      </c>
      <c r="B766" s="3" t="s">
        <v>767</v>
      </c>
      <c r="C766" s="3" t="str">
        <f>IFERROR(__xludf.DUMMYFUNCTION("GOOGLETRANSLATE(B766,""id"",""en"")"),"['cheap', 'cheap', 'anjirrrrr', 'knp', 'star', 'comment', 'good', 'Telkomsel', 'Sang', 'network', 'cheap', ""]")</f>
        <v>['cheap', 'cheap', 'anjirrrrr', 'knp', 'star', 'comment', 'good', 'Telkomsel', 'Sang', 'network', 'cheap', "]</v>
      </c>
      <c r="D766" s="3">
        <v>1.0</v>
      </c>
    </row>
    <row r="767" ht="15.75" customHeight="1">
      <c r="A767" s="1">
        <v>765.0</v>
      </c>
      <c r="B767" s="3" t="s">
        <v>768</v>
      </c>
      <c r="C767" s="3" t="str">
        <f>IFERROR(__xludf.DUMMYFUNCTION("GOOGLETRANSLATE(B767,""id"",""en"")"),"['application', 'heavy', 'open', 'application', 'connection', 'stable', 'check', 'quota', 'forgiveness',' please ',' fix ',' application ',' ']")</f>
        <v>['application', 'heavy', 'open', 'application', 'connection', 'stable', 'check', 'quota', 'forgiveness',' please ',' fix ',' application ',' ']</v>
      </c>
      <c r="D767" s="3">
        <v>2.0</v>
      </c>
    </row>
    <row r="768" ht="15.75" customHeight="1">
      <c r="A768" s="1">
        <v>766.0</v>
      </c>
      <c r="B768" s="3" t="s">
        <v>769</v>
      </c>
      <c r="C768" s="3" t="str">
        <f>IFERROR(__xludf.DUMMYFUNCTION("GOOGLETRANSLATE(B768,""id"",""en"")"),"['updated', 'Application', 'Bad', 'Network', 'Good', 'Difficult', 'Buy', 'Package', 'Application', 'Open', 'Application', 'Leet', ' ']")</f>
        <v>['updated', 'Application', 'Bad', 'Network', 'Good', 'Difficult', 'Buy', 'Package', 'Application', 'Open', 'Application', 'Leet', ' ']</v>
      </c>
      <c r="D768" s="3">
        <v>1.0</v>
      </c>
    </row>
    <row r="769" ht="15.75" customHeight="1">
      <c r="A769" s="1">
        <v>767.0</v>
      </c>
      <c r="B769" s="3" t="s">
        <v>770</v>
      </c>
      <c r="C769" s="3" t="str">
        <f>IFERROR(__xludf.DUMMYFUNCTION("GOOGLETRANSLATE(B769,""id"",""en"")"),"['LEG', 'Network', 'smooth', 'right', 'Open', 'APK', 'Temomksem', 'written', 'Try', 'please', 'Gerena', 'repaired', ' The graphics ',' made ',' door ',' so "", 'suggestion', '']")</f>
        <v>['LEG', 'Network', 'smooth', 'right', 'Open', 'APK', 'Temomksem', 'written', 'Try', 'please', 'Gerena', 'repaired', ' The graphics ',' made ',' door ',' so ", 'suggestion', '']</v>
      </c>
      <c r="D769" s="3">
        <v>1.0</v>
      </c>
    </row>
    <row r="770" ht="15.75" customHeight="1">
      <c r="A770" s="1">
        <v>768.0</v>
      </c>
      <c r="B770" s="3" t="s">
        <v>771</v>
      </c>
      <c r="C770" s="3" t="str">
        <f>IFERROR(__xludf.DUMMYFUNCTION("GOOGLETRANSLATE(B770,""id"",""en"")"),"['Sorry', 'min', 'service', 'telkom', 'enhanced', 'min', 'area', 'inaugurated', 'complex', 'area', 'remote', 'sya', ' Access', 'internet', 'it's',' slow ',' difficult ',' send ',' task ',' suggestion ',' min ',' at the level ',' his web ',' cheap ',' the "&amp;"package ' , 'Min', 'wkwkwkwk']")</f>
        <v>['Sorry', 'min', 'service', 'telkom', 'enhanced', 'min', 'area', 'inaugurated', 'complex', 'area', 'remote', 'sya', ' Access', 'internet', 'it's',' slow ',' difficult ',' send ',' task ',' suggestion ',' min ',' at the level ',' his web ',' cheap ',' the package ' , 'Min', 'wkwkwkwk']</v>
      </c>
      <c r="D770" s="3">
        <v>5.0</v>
      </c>
    </row>
    <row r="771" ht="15.75" customHeight="1">
      <c r="A771" s="1">
        <v>769.0</v>
      </c>
      <c r="B771" s="3" t="s">
        <v>772</v>
      </c>
      <c r="C771" s="3" t="str">
        <f>IFERROR(__xludf.DUMMYFUNCTION("GOOGLETRANSLATE(B771,""id"",""en"")"),"['Customer', 'loyal', 'Telkomsel', 'given', 'promo', 'quota', 'cheap', 'kouta', 'already', 'expensive', 'remained', 'taiklah', ' Note ',' Ngadain ',' Package ',' Promo ',' Love ',' Buy ',' Package ',' Monthly ',' Tomorrow ',' Promo ',' Taiklah ', ""]")</f>
        <v>['Customer', 'loyal', 'Telkomsel', 'given', 'promo', 'quota', 'cheap', 'kouta', 'already', 'expensive', 'remained', 'taiklah', ' Note ',' Ngadain ',' Package ',' Promo ',' Love ',' Buy ',' Package ',' Monthly ',' Tomorrow ',' Promo ',' Taiklah ', "]</v>
      </c>
      <c r="D771" s="3">
        <v>1.0</v>
      </c>
    </row>
    <row r="772" ht="15.75" customHeight="1">
      <c r="A772" s="1">
        <v>770.0</v>
      </c>
      <c r="B772" s="3" t="s">
        <v>773</v>
      </c>
      <c r="C772" s="3" t="str">
        <f>IFERROR(__xludf.DUMMYFUNCTION("GOOGLETRANSLATE(B772,""id"",""en"")"),"['Telkomsel', 'Kasi', 'promotion', 'cheerful', 'apply', 'until', 'date', 'April', 'date', 'pulse', 'rbu', 'buy', ' package ',' cheerful ',' yesterday ',' package ',' UDH ',' bought ',' junior high school ',' skrng ',' blm ',' enter ',' pket ',' udh ',' fi"&amp;"nished ' , 'kah', 'or', 'gmn', 'pls', 'chick', 'promo', 'msh', 'road', 'sorry', 'star', 'dlu', '']")</f>
        <v>['Telkomsel', 'Kasi', 'promotion', 'cheerful', 'apply', 'until', 'date', 'April', 'date', 'pulse', 'rbu', 'buy', ' package ',' cheerful ',' yesterday ',' package ',' UDH ',' bought ',' junior high school ',' skrng ',' blm ',' enter ',' pket ',' udh ',' finished ' , 'kah', 'or', 'gmn', 'pls', 'chick', 'promo', 'msh', 'road', 'sorry', 'star', 'dlu', '']</v>
      </c>
      <c r="D772" s="3">
        <v>1.0</v>
      </c>
    </row>
    <row r="773" ht="15.75" customHeight="1">
      <c r="A773" s="1">
        <v>771.0</v>
      </c>
      <c r="B773" s="3" t="s">
        <v>774</v>
      </c>
      <c r="C773" s="3" t="str">
        <f>IFERROR(__xludf.DUMMYFUNCTION("GOOGLETRANSLATE(B773,""id"",""en"")"),"['Sorry', 'knapa', 'buy', 'package', 'GB', 'RB', 'promo', 'msih', 'pulse', 'already', 'method', 'payment', ' processed ',' TPI ',' ttep ',' love ',' solution ',' UDH ',' Yesterday ']")</f>
        <v>['Sorry', 'knapa', 'buy', 'package', 'GB', 'RB', 'promo', 'msih', 'pulse', 'already', 'method', 'payment', ' processed ',' TPI ',' ttep ',' love ',' solution ',' UDH ',' Yesterday ']</v>
      </c>
      <c r="D773" s="3">
        <v>3.0</v>
      </c>
    </row>
    <row r="774" ht="15.75" customHeight="1">
      <c r="A774" s="1">
        <v>772.0</v>
      </c>
      <c r="B774" s="3" t="s">
        <v>775</v>
      </c>
      <c r="C774" s="3" t="str">
        <f>IFERROR(__xludf.DUMMYFUNCTION("GOOGLETRANSLATE(B774,""id"",""en"")"),"['Offered', 'moved', 'card', 'hello', 'migration', 'expenses',' expensive ',' feel ',' upgrade ',' speed ',' internet ',' migration ',' Best ',' Bad ',' Operator ']")</f>
        <v>['Offered', 'moved', 'card', 'hello', 'migration', 'expenses',' expensive ',' feel ',' upgrade ',' speed ',' internet ',' migration ',' Best ',' Bad ',' Operator ']</v>
      </c>
      <c r="D774" s="3">
        <v>1.0</v>
      </c>
    </row>
    <row r="775" ht="15.75" customHeight="1">
      <c r="A775" s="1">
        <v>773.0</v>
      </c>
      <c r="B775" s="3" t="s">
        <v>776</v>
      </c>
      <c r="C775" s="3" t="str">
        <f>IFERROR(__xludf.DUMMYFUNCTION("GOOGLETRANSLATE(B775,""id"",""en"")"),"['Brain', 'already', 'SUCCESS', 'CLAIM', 'Grtis',' BBW ',' SMS ',' System ',' Busy ',' Points', 'Restore', 'Check', ' Credit ',' Najis', 'Sebeginikah', 'Telkomsel', 'Search', 'Money', 'Haram']")</f>
        <v>['Brain', 'already', 'SUCCESS', 'CLAIM', 'Grtis',' BBW ',' SMS ',' System ',' Busy ',' Points', 'Restore', 'Check', ' Credit ',' Najis', 'Sebeginikah', 'Telkomsel', 'Search', 'Money', 'Haram']</v>
      </c>
      <c r="D775" s="3">
        <v>1.0</v>
      </c>
    </row>
    <row r="776" ht="15.75" customHeight="1">
      <c r="A776" s="1">
        <v>774.0</v>
      </c>
      <c r="B776" s="3" t="s">
        <v>777</v>
      </c>
      <c r="C776" s="3" t="str">
        <f>IFERROR(__xludf.DUMMYFUNCTION("GOOGLETRANSLATE(B776,""id"",""en"")"),"['application', 'garbage', 'developer', 'application', 'easy', 'user', 'application', 'text', 'check', 'connection', 'try', 'network', ' Good ',' situ ',' intention ',' application ',' ']")</f>
        <v>['application', 'garbage', 'developer', 'application', 'easy', 'user', 'application', 'text', 'check', 'connection', 'try', 'network', ' Good ',' situ ',' intention ',' application ',' ']</v>
      </c>
      <c r="D776" s="3">
        <v>1.0</v>
      </c>
    </row>
    <row r="777" ht="15.75" customHeight="1">
      <c r="A777" s="1">
        <v>775.0</v>
      </c>
      <c r="B777" s="3" t="s">
        <v>778</v>
      </c>
      <c r="C777" s="3" t="str">
        <f>IFERROR(__xludf.DUMMYFUNCTION("GOOGLETRANSLATE(B777,""id"",""en"")"),"['Suggestion', 'Telkomsel', 'special', 'user', 'loyal', 'Telkomsel', 'please', 'pay attention', 'appreciation', 'price', 'special', 'package', ' Data ',' internet ',' seam ',' user ',' trimakasih ', ""]")</f>
        <v>['Suggestion', 'Telkomsel', 'special', 'user', 'loyal', 'Telkomsel', 'please', 'pay attention', 'appreciation', 'price', 'special', 'package', ' Data ',' internet ',' seam ',' user ',' trimakasih ', "]</v>
      </c>
      <c r="D777" s="3">
        <v>4.0</v>
      </c>
    </row>
    <row r="778" ht="15.75" customHeight="1">
      <c r="A778" s="1">
        <v>776.0</v>
      </c>
      <c r="B778" s="3" t="s">
        <v>779</v>
      </c>
      <c r="C778" s="3" t="str">
        <f>IFERROR(__xludf.DUMMYFUNCTION("GOOGLETRANSLATE(B778,""id"",""en"")"),"['Bener', 'Telkomsel', 'contents',' plsa ',' right ',' see ',' date ',' rb ',' pdhal ',' turn ',' list ',' cheap ',' Pdhal ',' Msih ',' Tlong ',' Operator ',' Becus', 'Sruh', 'Donload', 'Application', 'Useful', 'Kyak', 'Gini', ""]")</f>
        <v>['Bener', 'Telkomsel', 'contents',' plsa ',' right ',' see ',' date ',' rb ',' pdhal ',' turn ',' list ',' cheap ',' Pdhal ',' Msih ',' Tlong ',' Operator ',' Becus', 'Sruh', 'Donload', 'Application', 'Useful', 'Kyak', 'Gini', "]</v>
      </c>
      <c r="D778" s="3">
        <v>1.0</v>
      </c>
    </row>
    <row r="779" ht="15.75" customHeight="1">
      <c r="A779" s="1">
        <v>777.0</v>
      </c>
      <c r="B779" s="3" t="s">
        <v>780</v>
      </c>
      <c r="C779" s="3" t="str">
        <f>IFERROR(__xludf.DUMMYFUNCTION("GOOGLETRANSLATE(B779,""id"",""en"")"),"['', 'Telkomsel', 'APK', 'Min', 'think', 'people', 'Indonesia', 'BHS', 'English', 'Cobala', 'Mind', 'klw', 'orng ',' Indonesia ',' BHS ',' English ',' APK ',' Try ',' have ',' Language ',' Country ',' Orng ',' donabling ',' APK ',' Nga ', 'dizzy', '']")</f>
        <v>['', 'Telkomsel', 'APK', 'Min', 'think', 'people', 'Indonesia', 'BHS', 'English', 'Cobala', 'Mind', 'klw', 'orng ',' Indonesia ',' BHS ',' English ',' APK ',' Try ',' have ',' Language ',' Country ',' Orng ',' donabling ',' APK ',' Nga ', 'dizzy', '']</v>
      </c>
      <c r="D779" s="3">
        <v>1.0</v>
      </c>
    </row>
    <row r="780" ht="15.75" customHeight="1">
      <c r="A780" s="1">
        <v>778.0</v>
      </c>
      <c r="B780" s="3" t="s">
        <v>781</v>
      </c>
      <c r="C780" s="3" t="str">
        <f>IFERROR(__xludf.DUMMYFUNCTION("GOOGLETRANSLATE(B780,""id"",""en"")"),"['knp', 'buy', 'pulse', 'drained', 'Telkomsel', 'dripping', 'pulses', ""]")</f>
        <v>['knp', 'buy', 'pulse', 'drained', 'Telkomsel', 'dripping', 'pulses', "]</v>
      </c>
      <c r="D780" s="3">
        <v>1.0</v>
      </c>
    </row>
    <row r="781" ht="15.75" customHeight="1">
      <c r="A781" s="1">
        <v>779.0</v>
      </c>
      <c r="B781" s="3" t="s">
        <v>782</v>
      </c>
      <c r="C781" s="3" t="str">
        <f>IFERROR(__xludf.DUMMYFUNCTION("GOOGLETRANSLATE(B781,""id"",""en"")"),"['Please', 'Team', 'Telkomesel', 'Fix', 'Network', 'Telkomsel', 'Region', 'Fence', 'Mountain', 'Kab', 'Lahat', 'Suamatera', ' South ',' Karna ',' Territory ',' Sopport ',' Network ',' Please ',' Fix ',' User ',' Satisfied ',' Wear ',' Card ',' Telkomsel '"&amp;",' Thank ' , 'love']")</f>
        <v>['Please', 'Team', 'Telkomesel', 'Fix', 'Network', 'Telkomsel', 'Region', 'Fence', 'Mountain', 'Kab', 'Lahat', 'Suamatera', ' South ',' Karna ',' Territory ',' Sopport ',' Network ',' Please ',' Fix ',' User ',' Satisfied ',' Wear ',' Card ',' Telkomsel ',' Thank ' , 'love']</v>
      </c>
      <c r="D781" s="3">
        <v>4.0</v>
      </c>
    </row>
    <row r="782" ht="15.75" customHeight="1">
      <c r="A782" s="1">
        <v>780.0</v>
      </c>
      <c r="B782" s="3" t="s">
        <v>783</v>
      </c>
      <c r="C782" s="3" t="str">
        <f>IFERROR(__xludf.DUMMYFUNCTION("GOOGLETRANSLATE(B782,""id"",""en"")"),"['Disappointed', 'times', 'package', 'swadya', 'gourjek', 'stable', 'klen', 'community', 'application', 'people', 'blood']")</f>
        <v>['Disappointed', 'times', 'package', 'swadya', 'gourjek', 'stable', 'klen', 'community', 'application', 'people', 'blood']</v>
      </c>
      <c r="D782" s="3">
        <v>1.0</v>
      </c>
    </row>
    <row r="783" ht="15.75" customHeight="1">
      <c r="A783" s="1">
        <v>781.0</v>
      </c>
      <c r="B783" s="3" t="s">
        <v>784</v>
      </c>
      <c r="C783" s="3" t="str">
        <f>IFERROR(__xludf.DUMMYFUNCTION("GOOGLETRANSLATE(B783,""id"",""en"")"),"['Since', 'Update', 'Claim', 'Daily', 'Check', 'Troubled', 'Check', 'Reward', 'System', 'Page', 'Daily', 'Check', ' "", 'check', 'automatic', 'Considered', 'automatic', 'gift', 'regret', 'update', 'times', '']")</f>
        <v>['Since', 'Update', 'Claim', 'Daily', 'Check', 'Troubled', 'Check', 'Reward', 'System', 'Page', 'Daily', 'Check', ' ", 'check', 'automatic', 'Considered', 'automatic', 'gift', 'regret', 'update', 'times', '']</v>
      </c>
      <c r="D783" s="3">
        <v>1.0</v>
      </c>
    </row>
    <row r="784" ht="15.75" customHeight="1">
      <c r="A784" s="1">
        <v>782.0</v>
      </c>
      <c r="B784" s="3" t="s">
        <v>785</v>
      </c>
      <c r="C784" s="3" t="str">
        <f>IFERROR(__xludf.DUMMYFUNCTION("GOOGLETRANSLATE(B784,""id"",""en"")"),"['Telkomsel', 'teach', 'buy', 'package', 'lapse', 'youtube', 'unlimited', 'for' streaming ',' youtube ',' hour ',' package ',' quota ',' main ',' reduced ',' drastically ',' then ',' use ',' buy ',' Package ',' YouTube ',' base ',' cheater ',' Telkomsel '"&amp;",' cheater ' ]")</f>
        <v>['Telkomsel', 'teach', 'buy', 'package', 'lapse', 'youtube', 'unlimited', 'for' streaming ',' youtube ',' hour ',' package ',' quota ',' main ',' reduced ',' drastically ',' then ',' use ',' buy ',' Package ',' YouTube ',' base ',' cheater ',' Telkomsel ',' cheater ' ]</v>
      </c>
      <c r="D784" s="3">
        <v>1.0</v>
      </c>
    </row>
    <row r="785" ht="15.75" customHeight="1">
      <c r="A785" s="1">
        <v>783.0</v>
      </c>
      <c r="B785" s="3" t="s">
        <v>786</v>
      </c>
      <c r="C785" s="3" t="str">
        <f>IFERROR(__xludf.DUMMYFUNCTION("GOOGLETRANSLATE(B785,""id"",""en"")"),"['Kayak', 'gini', 'cook', 'buy', 'package', 'unlimited', 'cma', 'use', 'locally', 'buy', 'location', 'district', ' District ',' Tetep ',' use ',' locally ',' trick ',' sales', 'great', 'detrimental', 'Castamer', 'loyal', 'use', 'tekomsel']")</f>
        <v>['Kayak', 'gini', 'cook', 'buy', 'package', 'unlimited', 'cma', 'use', 'locally', 'buy', 'location', 'district', ' District ',' Tetep ',' use ',' locally ',' trick ',' sales', 'great', 'detrimental', 'Castamer', 'loyal', 'use', 'tekomsel']</v>
      </c>
      <c r="D785" s="3">
        <v>1.0</v>
      </c>
    </row>
    <row r="786" ht="15.75" customHeight="1">
      <c r="A786" s="1">
        <v>784.0</v>
      </c>
      <c r="B786" s="3" t="s">
        <v>787</v>
      </c>
      <c r="C786" s="3" t="str">
        <f>IFERROR(__xludf.DUMMYFUNCTION("GOOGLETRANSLATE(B786,""id"",""en"")"),"['strange', 'sometimes',' menu ',' daily ',' check ',' application ',' sometimes', 'disappear', 'news',' update ',' update ',' use ',' Repair ',' Telkomsel ']")</f>
        <v>['strange', 'sometimes',' menu ',' daily ',' check ',' application ',' sometimes', 'disappear', 'news',' update ',' update ',' use ',' Repair ',' Telkomsel ']</v>
      </c>
      <c r="D786" s="3">
        <v>1.0</v>
      </c>
    </row>
    <row r="787" ht="15.75" customHeight="1">
      <c r="A787" s="1">
        <v>785.0</v>
      </c>
      <c r="B787" s="3" t="s">
        <v>788</v>
      </c>
      <c r="C787" s="3" t="str">
        <f>IFERROR(__xludf.DUMMYFUNCTION("GOOGLETRANSLATE(B787,""id"",""en"")"),"['signal', 'ugly', 'already', 'phone', 'operator', 'ugly', 'network', 'gmn', 'change', 'card', 'prime', 'moved', ' Next to ',' ckckckc ']")</f>
        <v>['signal', 'ugly', 'already', 'phone', 'operator', 'ugly', 'network', 'gmn', 'change', 'card', 'prime', 'moved', ' Next to ',' ckckckc ']</v>
      </c>
      <c r="D787" s="3">
        <v>1.0</v>
      </c>
    </row>
    <row r="788" ht="15.75" customHeight="1">
      <c r="A788" s="1">
        <v>786.0</v>
      </c>
      <c r="B788" s="3" t="s">
        <v>789</v>
      </c>
      <c r="C788" s="3" t="str">
        <f>IFERROR(__xludf.DUMMYFUNCTION("GOOGLETRANSLATE(B788,""id"",""en"")"),"['signal', 'sympathy', 'package', 'expensive', 'play', 'signal', 'Masi', 'down', 'disappointed', 'really', 'use', 'sympathy', ' ']")</f>
        <v>['signal', 'sympathy', 'package', 'expensive', 'play', 'signal', 'Masi', 'down', 'disappointed', 'really', 'use', 'sympathy', ' ']</v>
      </c>
      <c r="D788" s="3">
        <v>1.0</v>
      </c>
    </row>
    <row r="789" ht="15.75" customHeight="1">
      <c r="A789" s="1">
        <v>787.0</v>
      </c>
      <c r="B789" s="3" t="s">
        <v>790</v>
      </c>
      <c r="C789" s="3" t="str">
        <f>IFERROR(__xludf.DUMMYFUNCTION("GOOGLETRANSLATE(B789,""id"",""en"")"),"['min', 'please', 'repaired', 'already', 'updated', 'entered', 'said', 'busy', 'severe', 'buy', 'package', 'something', ' Went ',' Wroong ',' his writing ',' ']")</f>
        <v>['min', 'please', 'repaired', 'already', 'updated', 'entered', 'said', 'busy', 'severe', 'buy', 'package', 'something', ' Went ',' Wroong ',' his writing ',' ']</v>
      </c>
      <c r="D789" s="3">
        <v>1.0</v>
      </c>
    </row>
    <row r="790" ht="15.75" customHeight="1">
      <c r="A790" s="1">
        <v>788.0</v>
      </c>
      <c r="B790" s="3" t="s">
        <v>791</v>
      </c>
      <c r="C790" s="3" t="str">
        <f>IFERROR(__xludf.DUMMYFUNCTION("GOOGLETRANSLATE(B790,""id"",""en"")"),"['ask', 'network', 'internet', 'sometimes',' like ',' ilang ',' proof ',' play ',' game ',' like ',' ilang ',' connection ',' Lost ',' deh ',' game ', ""]")</f>
        <v>['ask', 'network', 'internet', 'sometimes',' like ',' ilang ',' proof ',' play ',' game ',' like ',' ilang ',' connection ',' Lost ',' deh ',' game ', "]</v>
      </c>
      <c r="D790" s="3">
        <v>2.0</v>
      </c>
    </row>
    <row r="791" ht="15.75" customHeight="1">
      <c r="A791" s="1">
        <v>789.0</v>
      </c>
      <c r="B791" s="3" t="s">
        <v>792</v>
      </c>
      <c r="C791" s="3" t="str">
        <f>IFERROR(__xludf.DUMMYFUNCTION("GOOGLETRANSLATE(B791,""id"",""en"")"),"['knp', 'signal', 'Telkomsel', 'down', 'down', 'login', 'game', 'open', 'youtube', 'muter', 'gmna', 'Telkomsel', ' Ramadan ',' signal ',' please ',' as soon as possible ',' repaired ',' interrupted ',' activities', 'people', 'card', 'Telkomsel', 'work', '"&amp;"online', 'online' ]")</f>
        <v>['knp', 'signal', 'Telkomsel', 'down', 'down', 'login', 'game', 'open', 'youtube', 'muter', 'gmna', 'Telkomsel', ' Ramadan ',' signal ',' please ',' as soon as possible ',' repaired ',' interrupted ',' activities', 'people', 'card', 'Telkomsel', 'work', 'online', 'online' ]</v>
      </c>
      <c r="D791" s="3">
        <v>1.0</v>
      </c>
    </row>
    <row r="792" ht="15.75" customHeight="1">
      <c r="A792" s="1">
        <v>790.0</v>
      </c>
      <c r="B792" s="3" t="s">
        <v>793</v>
      </c>
      <c r="C792" s="3" t="str">
        <f>IFERROR(__xludf.DUMMYFUNCTION("GOOGLETRANSLATE(B792,""id"",""en"")"),"['Star', 'annoyed', 'times',' contents', 'pulse', 'because', 'you', 'promotion', 'package', 'package', 'clock', 'you', ' Process', 'You', 'Have', 'Wait', 'Clock', 'You', 'Think', 'Cuman', 'Dumped', 'You', 'Is',' Gabisa ',' You ' , 'promotionin', 'package'"&amp;", 'continuous', 'noisy', 'notif', '']")</f>
        <v>['Star', 'annoyed', 'times',' contents', 'pulse', 'because', 'you', 'promotion', 'package', 'package', 'clock', 'you', ' Process', 'You', 'Have', 'Wait', 'Clock', 'You', 'Think', 'Cuman', 'Dumped', 'You', 'Is',' Gabisa ',' You ' , 'promotionin', 'package', 'continuous', 'noisy', 'notif', '']</v>
      </c>
      <c r="D792" s="3">
        <v>1.0</v>
      </c>
    </row>
    <row r="793" ht="15.75" customHeight="1">
      <c r="A793" s="1">
        <v>791.0</v>
      </c>
      <c r="B793" s="3" t="s">
        <v>794</v>
      </c>
      <c r="C793" s="3" t="str">
        <f>IFERROR(__xludf.DUMMYFUNCTION("GOOGLETRANSLATE(B793,""id"",""en"")"),"['application', 'heavy', 'slow', 'error', 'use', 'signal', 'wifi', 'slow', 'signal', 'slow', 'open', 'application', ' Current ',' application ',' MyTelokmsel ',' slow ',' error ',' already ',' complain ',' kayak ',' gini ',' progress', 'customer', 'blur',"&amp;" ""]")</f>
        <v>['application', 'heavy', 'slow', 'error', 'use', 'signal', 'wifi', 'slow', 'signal', 'slow', 'open', 'application', ' Current ',' application ',' MyTelokmsel ',' slow ',' error ',' already ',' complain ',' kayak ',' gini ',' progress', 'customer', 'blur', "]</v>
      </c>
      <c r="D793" s="3">
        <v>1.0</v>
      </c>
    </row>
    <row r="794" ht="15.75" customHeight="1">
      <c r="A794" s="1">
        <v>792.0</v>
      </c>
      <c r="B794" s="3" t="s">
        <v>795</v>
      </c>
      <c r="C794" s="3" t="str">
        <f>IFERROR(__xludf.DUMMYFUNCTION("GOOGLETRANSLATE(B794,""id"",""en"")"),"['Experience', 'Fun', 'Telkomsel', 'Affairs',' Mobile ',' Terimaksih ',' Telkomsel ',' Bravo ',' Notes', 'Please', 'Sinyal', 'Enhanced', ' Comfort ',' Customer ',' ']")</f>
        <v>['Experience', 'Fun', 'Telkomsel', 'Affairs',' Mobile ',' Terimaksih ',' Telkomsel ',' Bravo ',' Notes', 'Please', 'Sinyal', 'Enhanced', ' Comfort ',' Customer ',' ']</v>
      </c>
      <c r="D794" s="3">
        <v>5.0</v>
      </c>
    </row>
    <row r="795" ht="15.75" customHeight="1">
      <c r="A795" s="1">
        <v>793.0</v>
      </c>
      <c r="B795" s="3" t="s">
        <v>796</v>
      </c>
      <c r="C795" s="3" t="str">
        <f>IFERROR(__xludf.DUMMYFUNCTION("GOOGLETRANSLATE(B795,""id"",""en"")"),"['proud', 'Telkomsel', 'skrg', 'maintain', 'connection', 'colleague', 'Telkomsel', 'Please', 'please', 'increase', 'quality', 'network', ' Regions', 'Kalistrian', 'Tajurhalang', 'Bogor', 'Bogor', 'City', 'Shy', ""]")</f>
        <v>['proud', 'Telkomsel', 'skrg', 'maintain', 'connection', 'colleague', 'Telkomsel', 'Please', 'please', 'increase', 'quality', 'network', ' Regions', 'Kalistrian', 'Tajurhalang', 'Bogor', 'Bogor', 'City', 'Shy', "]</v>
      </c>
      <c r="D795" s="3">
        <v>1.0</v>
      </c>
    </row>
    <row r="796" ht="15.75" customHeight="1">
      <c r="A796" s="1">
        <v>794.0</v>
      </c>
      <c r="B796" s="3" t="s">
        <v>797</v>
      </c>
      <c r="C796" s="3" t="str">
        <f>IFERROR(__xludf.DUMMYFUNCTION("GOOGLETRANSLATE(B796,""id"",""en"")"),"['application', 'error', 'difficult', 'open', 'uninstall', 'install', 'reset', 'difficult', 'open', 'Telkomsel', 'application', 'model', ' Ginian ',' Severe ',' ']")</f>
        <v>['application', 'error', 'difficult', 'open', 'uninstall', 'install', 'reset', 'difficult', 'open', 'Telkomsel', 'application', 'model', ' Ginian ',' Severe ',' ']</v>
      </c>
      <c r="D796" s="3">
        <v>1.0</v>
      </c>
    </row>
    <row r="797" ht="15.75" customHeight="1">
      <c r="A797" s="1">
        <v>795.0</v>
      </c>
      <c r="B797" s="3" t="s">
        <v>798</v>
      </c>
      <c r="C797" s="3" t="str">
        <f>IFERROR(__xludf.DUMMYFUNCTION("GOOGLETRANSLATE(B797,""id"",""en"")"),"['', 'Telkomsel', 'Bagus', 'Timutin', 'progress', 'era', 'modern', 'area', 'tingal', 'lost', 'network', 'internet', "" ]")</f>
        <v>['', 'Telkomsel', 'Bagus', 'Timutin', 'progress', 'era', 'modern', 'area', 'tingal', 'lost', 'network', 'internet', " ]</v>
      </c>
      <c r="D797" s="3">
        <v>2.0</v>
      </c>
    </row>
    <row r="798" ht="15.75" customHeight="1">
      <c r="A798" s="1">
        <v>796.0</v>
      </c>
      <c r="B798" s="3" t="s">
        <v>799</v>
      </c>
      <c r="C798" s="3" t="str">
        <f>IFERROR(__xludf.DUMMYFUNCTION("GOOGLETRANSLATE(B798,""id"",""en"")"),"['Package', 'Combo', 'Sakti', 'Unlimited', 'Sakti', 'Provider', 'Next', 'Bebhrpa', 'BLN', 'Move', 'Telkomsel', 'Interested', ' Package ',' Combo ',' Sakti ',' unlimited ',' interesting ',' affordable ',' wandering ',' unlimited ',' apply ',' application '"&amp;",' unlimited ',' limit ',' use ' , 'Naturally', 'Different', 'Provider', 'Combo', 'Sakti', 'Unlimited', 'Application', 'Applies',' Limit ',' Use ',' Fair ',' Telkomsel ',' Provider ',' ']")</f>
        <v>['Package', 'Combo', 'Sakti', 'Unlimited', 'Sakti', 'Provider', 'Next', 'Bebhrpa', 'BLN', 'Move', 'Telkomsel', 'Interested', ' Package ',' Combo ',' Sakti ',' unlimited ',' interesting ',' affordable ',' wandering ',' unlimited ',' apply ',' application ',' unlimited ',' limit ',' use ' , 'Naturally', 'Different', 'Provider', 'Combo', 'Sakti', 'Unlimited', 'Application', 'Applies',' Limit ',' Use ',' Fair ',' Telkomsel ',' Provider ',' ']</v>
      </c>
      <c r="D798" s="3">
        <v>4.0</v>
      </c>
    </row>
    <row r="799" ht="15.75" customHeight="1">
      <c r="A799" s="1">
        <v>797.0</v>
      </c>
      <c r="B799" s="3" t="s">
        <v>800</v>
      </c>
      <c r="C799" s="3" t="str">
        <f>IFERROR(__xludf.DUMMYFUNCTION("GOOGLETRANSLATE(B799,""id"",""en"")"),"['Satisfying', 'Since', 'Update', 'Application', 'Karuan', 'Something', 'Went', 'Wrong', 'Unstable', 'Conection', 'Network', ' stable']")</f>
        <v>['Satisfying', 'Since', 'Update', 'Application', 'Karuan', 'Something', 'Went', 'Wrong', 'Unstable', 'Conection', 'Network', ' stable']</v>
      </c>
      <c r="D799" s="3">
        <v>1.0</v>
      </c>
    </row>
    <row r="800" ht="15.75" customHeight="1">
      <c r="A800" s="1">
        <v>798.0</v>
      </c>
      <c r="B800" s="3" t="s">
        <v>801</v>
      </c>
      <c r="C800" s="3" t="str">
        <f>IFERROR(__xludf.DUMMYFUNCTION("GOOGLETRANSLATE(B800,""id"",""en"")"),"['sorry', 'package', 'GB', 'unlimited', 'used', 'open', 'social', 'media', 'chat', 'slow', 'unlimited', 'user', ' Cards', 'Telkomsel', '']")</f>
        <v>['sorry', 'package', 'GB', 'unlimited', 'used', 'open', 'social', 'media', 'chat', 'slow', 'unlimited', 'user', ' Cards', 'Telkomsel', '']</v>
      </c>
      <c r="D800" s="3">
        <v>2.0</v>
      </c>
    </row>
    <row r="801" ht="15.75" customHeight="1">
      <c r="A801" s="1">
        <v>799.0</v>
      </c>
      <c r="B801" s="3" t="s">
        <v>802</v>
      </c>
      <c r="C801" s="3" t="str">
        <f>IFERROR(__xludf.DUMMYFUNCTION("GOOGLETRANSLATE(B801,""id"",""en"")"),"['Bonus',' Daily ',' Check ',' GB ',' LGI ',' LGI ',' Alias', 'already', 'lbh', 'Dri', 'Skli', 'Reasons',' system ',' busy ',' please ',' try ',' try ',' lgi ',' gmn ',' features', 'claim', 'already', 'gbsa', 'click', 'ngadu' , 'Application', 'Help', 'Tel"&amp;"komsel', 'jwban', 'Connect', 'tratata', 'see', 'Playstore', 'victim', 'I've,' told ',' Ngadu ',' Email ',' Mna ',' Jwaban ',' Critanya ',' GMN ',' Telkomsel ',' Application ',' CMA ',' Narik ',' Fortunately ',' GTU ',' Ngepain ',' Cape ' , 'bukain', 'appl"&amp;"ication', 'bwt', 'check', 'nge', 'hope', 'empty']")</f>
        <v>['Bonus',' Daily ',' Check ',' GB ',' LGI ',' LGI ',' Alias', 'already', 'lbh', 'Dri', 'Skli', 'Reasons',' system ',' busy ',' please ',' try ',' try ',' lgi ',' gmn ',' features', 'claim', 'already', 'gbsa', 'click', 'ngadu' , 'Application', 'Help', 'Telkomsel', 'jwban', 'Connect', 'tratata', 'see', 'Playstore', 'victim', 'I've,' told ',' Ngadu ',' Email ',' Mna ',' Jwaban ',' Critanya ',' GMN ',' Telkomsel ',' Application ',' CMA ',' Narik ',' Fortunately ',' GTU ',' Ngepain ',' Cape ' , 'bukain', 'application', 'bwt', 'check', 'nge', 'hope', 'empty']</v>
      </c>
      <c r="D801" s="3">
        <v>1.0</v>
      </c>
    </row>
    <row r="802" ht="15.75" customHeight="1">
      <c r="A802" s="1">
        <v>800.0</v>
      </c>
      <c r="B802" s="3" t="s">
        <v>803</v>
      </c>
      <c r="C802" s="3" t="str">
        <f>IFERROR(__xludf.DUMMYFUNCTION("GOOGLETRANSLATE(B802,""id"",""en"")"),"['apk', 'test', 'patience', 'quality', 'network', 'good', 'open', 'apk', 'ngelike', 'open', 'please', 'repay', ' Min ',' love ',' star ',' ']")</f>
        <v>['apk', 'test', 'patience', 'quality', 'network', 'good', 'open', 'apk', 'ngelike', 'open', 'please', 'repay', ' Min ',' love ',' star ',' ']</v>
      </c>
      <c r="D802" s="3">
        <v>1.0</v>
      </c>
    </row>
    <row r="803" ht="15.75" customHeight="1">
      <c r="A803" s="1">
        <v>801.0</v>
      </c>
      <c r="B803" s="3" t="s">
        <v>804</v>
      </c>
      <c r="C803" s="3" t="str">
        <f>IFERROR(__xludf.DUMMYFUNCTION("GOOGLETRANSLATE(B803,""id"",""en"")"),"['Dark', 'System', 'Telkomsel', 'Migration', 'Easy', 'Card', 'Card', 'Hello', 'Online', 'Decide', 'Contract', 'Turn Off', ' cards', 'Hello', 'mandatory', 'GraPARI', 'online', 'ngakak', 'stupidity', 'system', 'fear', 'sin', 'nuduh', 'fraud', 'afraid' , 'si"&amp;"n', 'value', 'core', 'forced', 'pay', 'card', 'Hello', 'use', 'card', 'waste', 'bill', 'walk', ' cards', 'died', 'disconnected', 'contract', '']")</f>
        <v>['Dark', 'System', 'Telkomsel', 'Migration', 'Easy', 'Card', 'Card', 'Hello', 'Online', 'Decide', 'Contract', 'Turn Off', ' cards', 'Hello', 'mandatory', 'GraPARI', 'online', 'ngakak', 'stupidity', 'system', 'fear', 'sin', 'nuduh', 'fraud', 'afraid' , 'sin', 'value', 'core', 'forced', 'pay', 'card', 'Hello', 'use', 'card', 'waste', 'bill', 'walk', ' cards', 'died', 'disconnected', 'contract', '']</v>
      </c>
      <c r="D803" s="3">
        <v>1.0</v>
      </c>
    </row>
    <row r="804" ht="15.75" customHeight="1">
      <c r="A804" s="1">
        <v>802.0</v>
      </c>
      <c r="B804" s="3" t="s">
        <v>805</v>
      </c>
      <c r="C804" s="3" t="str">
        <f>IFERROR(__xludf.DUMMYFUNCTION("GOOGLETRANSLATE(B804,""id"",""en"")"),"['Oppo', 'Open', 'Application', 'Telkomsel', 'Loading', 'Very', 'Nyampe', 'Minutes',' Open ',' Application ',' Current ',' Jaya ',' network ',' please ',' responded ',' repaired ',' bug ',' tks']")</f>
        <v>['Oppo', 'Open', 'Application', 'Telkomsel', 'Loading', 'Very', 'Nyampe', 'Minutes',' Open ',' Application ',' Current ',' Jaya ',' network ',' please ',' responded ',' repaired ',' bug ',' tks']</v>
      </c>
      <c r="D804" s="3">
        <v>1.0</v>
      </c>
    </row>
    <row r="805" ht="15.75" customHeight="1">
      <c r="A805" s="1">
        <v>803.0</v>
      </c>
      <c r="B805" s="3" t="s">
        <v>806</v>
      </c>
      <c r="C805" s="3" t="str">
        <f>IFERROR(__xludf.DUMMYFUNCTION("GOOGLETRANSLATE(B805,""id"",""en"")"),"['', 'Ngerti', 'Telkomsel', 'people', 'language', 'planet', 'emng', 'language', 'human', 'example', 'axis',' use ',' easy ',' Language ',' Indonesia ',' salute ',' deh ',' axis']")</f>
        <v>['', 'Ngerti', 'Telkomsel', 'people', 'language', 'planet', 'emng', 'language', 'human', 'example', 'axis',' use ',' easy ',' Language ',' Indonesia ',' salute ',' deh ',' axis']</v>
      </c>
      <c r="D805" s="3">
        <v>1.0</v>
      </c>
    </row>
    <row r="806" ht="15.75" customHeight="1">
      <c r="A806" s="1">
        <v>804.0</v>
      </c>
      <c r="B806" s="3" t="s">
        <v>807</v>
      </c>
      <c r="C806" s="3" t="str">
        <f>IFERROR(__xludf.DUMMYFUNCTION("GOOGLETRANSLATE(B806,""id"",""en"")"),"['Recommended', 'sms',' banking ',' expensive ',' buy ',' package ',' quota ',' expensive ',' entrepreneur ',' people ',' rich ',' expensive ',' See ',' work ',' right ',' pasan ',' enjoy ',' product ',' own ',' hard ',' forgiveness']")</f>
        <v>['Recommended', 'sms',' banking ',' expensive ',' buy ',' package ',' quota ',' expensive ',' entrepreneur ',' people ',' rich ',' expensive ',' See ',' work ',' right ',' pasan ',' enjoy ',' product ',' own ',' hard ',' forgiveness']</v>
      </c>
      <c r="D806" s="3">
        <v>1.0</v>
      </c>
    </row>
    <row r="807" ht="15.75" customHeight="1">
      <c r="A807" s="1">
        <v>805.0</v>
      </c>
      <c r="B807" s="3" t="s">
        <v>808</v>
      </c>
      <c r="C807" s="3" t="str">
        <f>IFERROR(__xludf.DUMMYFUNCTION("GOOGLETRANSLATE(B807,""id"",""en"")"),"['Disappointed', 'Telkomsel', 'Buy', 'Package', 'Stay', 'Unlimited', 'YouTube', 'Wear', 'Use', 'Package', 'Credit', 'Drinking', ' Maksut ',' Bangsatttt ',' Kalok ',' Morotin ',' People ',' Engage ',' a little ',' You ',' Operator ']")</f>
        <v>['Disappointed', 'Telkomsel', 'Buy', 'Package', 'Stay', 'Unlimited', 'YouTube', 'Wear', 'Use', 'Package', 'Credit', 'Drinking', ' Maksut ',' Bangsatttt ',' Kalok ',' Morotin ',' People ',' Engage ',' a little ',' You ',' Operator ']</v>
      </c>
      <c r="D807" s="3">
        <v>1.0</v>
      </c>
    </row>
    <row r="808" ht="15.75" customHeight="1">
      <c r="A808" s="1">
        <v>806.0</v>
      </c>
      <c r="B808" s="3" t="s">
        <v>809</v>
      </c>
      <c r="C808" s="3" t="str">
        <f>IFERROR(__xludf.DUMMYFUNCTION("GOOGLETRANSLATE(B808,""id"",""en"")"),"['update', 'application', 'times',' redeem ',' point ',' check ',' daily ',' quota ',' hafiah ',' enter ',' please ',' contact ',' LWT ',' TPI ',' BLM ',' Solution ',' MHN ',' Assisted ',' TKS ', ""]")</f>
        <v>['update', 'application', 'times',' redeem ',' point ',' check ',' daily ',' quota ',' hafiah ',' enter ',' please ',' contact ',' LWT ',' TPI ',' BLM ',' Solution ',' MHN ',' Assisted ',' TKS ', "]</v>
      </c>
      <c r="D808" s="3">
        <v>1.0</v>
      </c>
    </row>
    <row r="809" ht="15.75" customHeight="1">
      <c r="A809" s="1">
        <v>807.0</v>
      </c>
      <c r="B809" s="3" t="s">
        <v>810</v>
      </c>
      <c r="C809" s="3" t="str">
        <f>IFERROR(__xludf.DUMMYFUNCTION("GOOGLETRANSLATE(B809,""id"",""en"")"),"['Disappointed', 'application', 'bad', 'pulses',' buy ',' package ',' internet ',' night ',' worth ',' thousand ',' notification ',' process', ' Failed ',' pulses', 'already', 'hilang']")</f>
        <v>['Disappointed', 'application', 'bad', 'pulses',' buy ',' package ',' internet ',' night ',' worth ',' thousand ',' notification ',' process', ' Failed ',' pulses', 'already', 'hilang']</v>
      </c>
      <c r="D809" s="3">
        <v>1.0</v>
      </c>
    </row>
    <row r="810" ht="15.75" customHeight="1">
      <c r="A810" s="1">
        <v>808.0</v>
      </c>
      <c r="B810" s="3" t="s">
        <v>811</v>
      </c>
      <c r="C810" s="3" t="str">
        <f>IFERROR(__xludf.DUMMYFUNCTION("GOOGLETRANSLATE(B810,""id"",""en"")"),"['How', 'Restore', 'System', 'Boss',' Paje ',' Application ',' Application ',' Bins', 'Times',' Enter ',' Told ',' Reload ',' truss', 'already', 'updated', 'ngak', 'entry', 'wrong', 'boss',' corona ',' the application ',' problematic ',' continued ',' tha"&amp;"nk you ',' kaka ' ]")</f>
        <v>['How', 'Restore', 'System', 'Boss',' Paje ',' Application ',' Application ',' Bins', 'Times',' Enter ',' Told ',' Reload ',' truss', 'already', 'updated', 'ngak', 'entry', 'wrong', 'boss',' corona ',' the application ',' problematic ',' continued ',' thank you ',' kaka ' ]</v>
      </c>
      <c r="D810" s="3">
        <v>1.0</v>
      </c>
    </row>
    <row r="811" ht="15.75" customHeight="1">
      <c r="A811" s="1">
        <v>809.0</v>
      </c>
      <c r="B811" s="3" t="s">
        <v>812</v>
      </c>
      <c r="C811" s="3" t="str">
        <f>IFERROR(__xludf.DUMMYFUNCTION("GOOGLETRANSLATE(B811,""id"",""en"")"),"['Claim', 'Gift', 'Daily', 'Check', 'Claimed', 'Failed', 'Button', 'Repeat', 'Claim', 'Turned Off', 'As if', 'Program', ' Tipu ',' ']")</f>
        <v>['Claim', 'Gift', 'Daily', 'Check', 'Claimed', 'Failed', 'Button', 'Repeat', 'Claim', 'Turned Off', 'As if', 'Program', ' Tipu ',' ']</v>
      </c>
      <c r="D811" s="3">
        <v>1.0</v>
      </c>
    </row>
    <row r="812" ht="15.75" customHeight="1">
      <c r="A812" s="1">
        <v>810.0</v>
      </c>
      <c r="B812" s="3" t="s">
        <v>813</v>
      </c>
      <c r="C812" s="3" t="str">
        <f>IFERROR(__xludf.DUMMYFUNCTION("GOOGLETRANSLATE(B812,""id"",""en"")"),"['already', 'claims',' gift ',' daily ',' check ',' already ',' entry ',' sms', 'gift', 'open', 'app', 'Telkomsel', ' Open ',' app ',' pulse ',' suck ',' gift ',' quota ',' program ',' daily ',' chekin ',' sms', 'doang', 'disappointed', ""]")</f>
        <v>['already', 'claims',' gift ',' daily ',' check ',' already ',' entry ',' sms', 'gift', 'open', 'app', 'Telkomsel', ' Open ',' app ',' pulse ',' suck ',' gift ',' quota ',' program ',' daily ',' chekin ',' sms', 'doang', 'disappointed', "]</v>
      </c>
      <c r="D812" s="3">
        <v>2.0</v>
      </c>
    </row>
    <row r="813" ht="15.75" customHeight="1">
      <c r="A813" s="1">
        <v>811.0</v>
      </c>
      <c r="B813" s="3" t="s">
        <v>814</v>
      </c>
      <c r="C813" s="3" t="str">
        <f>IFERROR(__xludf.DUMMYFUNCTION("GOOGLETRANSLATE(B813,""id"",""en"")"),"['Meng', 'active', 'package', 'combo', 'thousand', 'free', 'sosmed', 'sosmed', 'quota', 'main', 'reduced', 'trus',' The point is', 'unlimited', 'sosmed', '']")</f>
        <v>['Meng', 'active', 'package', 'combo', 'thousand', 'free', 'sosmed', 'sosmed', 'quota', 'main', 'reduced', 'trus',' The point is', 'unlimited', 'sosmed', '']</v>
      </c>
      <c r="D813" s="3">
        <v>3.0</v>
      </c>
    </row>
    <row r="814" ht="15.75" customHeight="1">
      <c r="A814" s="1">
        <v>812.0</v>
      </c>
      <c r="B814" s="3" t="s">
        <v>815</v>
      </c>
      <c r="C814" s="3" t="str">
        <f>IFERROR(__xludf.DUMMYFUNCTION("GOOGLETRANSLATE(B814,""id"",""en"")"),"['Telkomsel', 'buy', 'package', 'internet', 'local', 'access',' activation ',' activation ',' right ',' check ',' pulse ',' stay ',' Bismillah ',' Congratulations', 'Live', 'Telkomsel', 'Move', 'Fleet', '']")</f>
        <v>['Telkomsel', 'buy', 'package', 'internet', 'local', 'access',' activation ',' activation ',' right ',' check ',' pulse ',' stay ',' Bismillah ',' Congratulations', 'Live', 'Telkomsel', 'Move', 'Fleet', '']</v>
      </c>
      <c r="D814" s="3">
        <v>1.0</v>
      </c>
    </row>
    <row r="815" ht="15.75" customHeight="1">
      <c r="A815" s="1">
        <v>813.0</v>
      </c>
      <c r="B815" s="3" t="s">
        <v>816</v>
      </c>
      <c r="C815" s="3" t="str">
        <f>IFERROR(__xludf.DUMMYFUNCTION("GOOGLETRANSLATE(B815,""id"",""en"")"),"['Good', 'makes it easy', 'buy', 'package', 'gift', 'interesting', 'succeed', 'check', 'thank you', 'Telkomsel', 'hope', 'forward', ' Jaya ',' ']")</f>
        <v>['Good', 'makes it easy', 'buy', 'package', 'gift', 'interesting', 'succeed', 'check', 'thank you', 'Telkomsel', 'hope', 'forward', ' Jaya ',' ']</v>
      </c>
      <c r="D815" s="3">
        <v>5.0</v>
      </c>
    </row>
    <row r="816" ht="15.75" customHeight="1">
      <c r="A816" s="1">
        <v>814.0</v>
      </c>
      <c r="B816" s="3" t="s">
        <v>817</v>
      </c>
      <c r="C816" s="3" t="str">
        <f>IFERROR(__xludf.DUMMYFUNCTION("GOOGLETRANSLATE(B816,""id"",""en"")"),"['enter', 'data', 'enter', 'data', 'wifi', 'enter', 'data', 'telkomsel', 'pulse', 'main', 'out', 'entered', ' Telkomsel ',' Enter ',' Data ',' HRUS ',' Data ',' Telkomsel ',' Severe ',' Sia ',' Upgrade ',' Card ',' Enter ',' Telkomsel ',' Ryesel ' ]")</f>
        <v>['enter', 'data', 'enter', 'data', 'wifi', 'enter', 'data', 'telkomsel', 'pulse', 'main', 'out', 'entered', ' Telkomsel ',' Enter ',' Data ',' HRUS ',' Data ',' Telkomsel ',' Severe ',' Sia ',' Upgrade ',' Card ',' Enter ',' Telkomsel ',' Ryesel ' ]</v>
      </c>
      <c r="D816" s="3">
        <v>1.0</v>
      </c>
    </row>
    <row r="817" ht="15.75" customHeight="1">
      <c r="A817" s="1">
        <v>815.0</v>
      </c>
      <c r="B817" s="3" t="s">
        <v>818</v>
      </c>
      <c r="C817" s="3" t="str">
        <f>IFERROR(__xludf.DUMMYFUNCTION("GOOGLETRANSLATE(B817,""id"",""en"")"),"['Min', 'really', 'disruption', 'unlimited', 'max', 'for', 'Please', 'Increase', 'The network', 'lag', 'lag', 'Please', ' Return ',' Package ',' Unlimited ',' Max ',' Karna ',' Pandemic ',' Price ',' Package ',' Please ',' Elevate ',' Participation ',' Te"&amp;"lkomsel ',' Overcoming ' , 'Network', 'Castle', 'Package', 'Unlimited', 'Max', 'Thank you', '']")</f>
        <v>['Min', 'really', 'disruption', 'unlimited', 'max', 'for', 'Please', 'Increase', 'The network', 'lag', 'lag', 'Please', ' Return ',' Package ',' Unlimited ',' Max ',' Karna ',' Pandemic ',' Price ',' Package ',' Please ',' Elevate ',' Participation ',' Telkomsel ',' Overcoming ' , 'Network', 'Castle', 'Package', 'Unlimited', 'Max', 'Thank you', '']</v>
      </c>
      <c r="D817" s="3">
        <v>3.0</v>
      </c>
    </row>
    <row r="818" ht="15.75" customHeight="1">
      <c r="A818" s="1">
        <v>816.0</v>
      </c>
      <c r="B818" s="3" t="s">
        <v>819</v>
      </c>
      <c r="C818" s="3" t="str">
        <f>IFERROR(__xludf.DUMMYFUNCTION("GOOGLETRANSLATE(B818,""id"",""en"")"),"['cheater', 'play', 'game', 'Sumpot', 'quota', 'main', 'first', 'play', 'quota', 'game', 'signal', 'like', ' Move ',' move ',' user ',' blame ',' signal ',' ugly ',' million ',' times', 'restart', 'brain', 'Atik', 'signal', 'degok' , 'operator', 'number',"&amp;" 'operator', 'bad', 'signal', '']")</f>
        <v>['cheater', 'play', 'game', 'Sumpot', 'quota', 'main', 'first', 'play', 'quota', 'game', 'signal', 'like', ' Move ',' move ',' user ',' blame ',' signal ',' ugly ',' million ',' times', 'restart', 'brain', 'Atik', 'signal', 'degok' , 'operator', 'number', 'operator', 'bad', 'signal', '']</v>
      </c>
      <c r="D818" s="3">
        <v>1.0</v>
      </c>
    </row>
    <row r="819" ht="15.75" customHeight="1">
      <c r="A819" s="1">
        <v>817.0</v>
      </c>
      <c r="B819" s="3" t="s">
        <v>820</v>
      </c>
      <c r="C819" s="3" t="str">
        <f>IFERROR(__xludf.DUMMYFUNCTION("GOOGLETRANSLATE(B819,""id"",""en"")"),"['misl', 'package', 'data', 'pulse', 'leftover', 'realized', 'sekli', 'check', 'pulse', 'lngsung', 'hbis',' reduced ',' Padhal ',' Package ',' DAT ',' Unlimited ',' Nlfon ',' Free ',' SMS ',' Free ',' Snaw ',' Time ',' Credit ',' Kyk ',' Tuyul ' , 'buy', "&amp;"'package', 'sllu', 'right', 'in', 'lot', 'loss',' network ',' super ',' lemoooooot ',' so ',' sound ',' In ',' heart ']")</f>
        <v>['misl', 'package', 'data', 'pulse', 'leftover', 'realized', 'sekli', 'check', 'pulse', 'lngsung', 'hbis',' reduced ',' Padhal ',' Package ',' DAT ',' Unlimited ',' Nlfon ',' Free ',' SMS ',' Free ',' Snaw ',' Time ',' Credit ',' Kyk ',' Tuyul ' , 'buy', 'package', 'sllu', 'right', 'in', 'lot', 'loss',' network ',' super ',' lemoooooot ',' so ',' sound ',' In ',' heart ']</v>
      </c>
      <c r="D819" s="3">
        <v>1.0</v>
      </c>
    </row>
    <row r="820" ht="15.75" customHeight="1">
      <c r="A820" s="1">
        <v>818.0</v>
      </c>
      <c r="B820" s="3" t="s">
        <v>821</v>
      </c>
      <c r="C820" s="3" t="str">
        <f>IFERROR(__xludf.DUMMYFUNCTION("GOOGLETRANSLATE(B820,""id"",""en"")"),"['contents',' package ',' data ',' voucher ',' canaaa ',' times', 'contents',' writing ',' operator ',' busy ',' why ',' do ',' Watch ',' YouTube ',' price ',' voucher ',' Not bad ',' expensive ',' ']")</f>
        <v>['contents',' package ',' data ',' voucher ',' canaaa ',' times', 'contents',' writing ',' operator ',' busy ',' why ',' do ',' Watch ',' YouTube ',' price ',' voucher ',' Not bad ',' expensive ',' ']</v>
      </c>
      <c r="D820" s="3">
        <v>2.0</v>
      </c>
    </row>
    <row r="821" ht="15.75" customHeight="1">
      <c r="A821" s="1">
        <v>819.0</v>
      </c>
      <c r="B821" s="3" t="s">
        <v>822</v>
      </c>
      <c r="C821" s="3" t="str">
        <f>IFERROR(__xludf.DUMMYFUNCTION("GOOGLETRANSLATE(B821,""id"",""en"")"),"['Need', 'process',' Perfect ',' past ',' shortcomings', 'deficiencies',' message ',' upgrade ',' package ',' cheap ',' missing ',' please ',' Help ',' Prok ',' Prok ',' Prok ', ""]")</f>
        <v>['Need', 'process',' Perfect ',' past ',' shortcomings', 'deficiencies',' message ',' upgrade ',' package ',' cheap ',' missing ',' please ',' Help ',' Prok ',' Prok ',' Prok ', "]</v>
      </c>
      <c r="D821" s="3">
        <v>4.0</v>
      </c>
    </row>
    <row r="822" ht="15.75" customHeight="1">
      <c r="A822" s="1">
        <v>820.0</v>
      </c>
      <c r="B822" s="3" t="s">
        <v>823</v>
      </c>
      <c r="C822" s="3" t="str">
        <f>IFERROR(__xludf.DUMMYFUNCTION("GOOGLETRANSLATE(B822,""id"",""en"")"),"['Telkomsel', 'UDH', 'THN', 'KARNA', 'Network', 'Okay', 'Package', 'Expensive', 'Karna', 'Network', 'Okay', 'Koq', ' Marih ',' Price ',' Package ',' Expensive ',' Network ',' Goblokkk ',' Kouta ',' Lemot ',' Forgiveness', 'Mending', 'Change', 'Card', 'Lae"&amp;"n' , 'tired', 'Telkomsel', 'srkng', 'mah', ""]")</f>
        <v>['Telkomsel', 'UDH', 'THN', 'KARNA', 'Network', 'Okay', 'Package', 'Expensive', 'Karna', 'Network', 'Okay', 'Koq', ' Marih ',' Price ',' Package ',' Expensive ',' Network ',' Goblokkk ',' Kouta ',' Lemot ',' Forgiveness', 'Mending', 'Change', 'Card', 'Laen' , 'tired', 'Telkomsel', 'srkng', 'mah', "]</v>
      </c>
      <c r="D822" s="3">
        <v>1.0</v>
      </c>
    </row>
    <row r="823" ht="15.75" customHeight="1">
      <c r="A823" s="1">
        <v>821.0</v>
      </c>
      <c r="B823" s="3" t="s">
        <v>824</v>
      </c>
      <c r="C823" s="3" t="str">
        <f>IFERROR(__xludf.DUMMYFUNCTION("GOOGLETRANSLATE(B823,""id"",""en"")"),"['super', 'lemooooot', 'koq', 'improvement', 'already', 'many years',' supr ',' slow ',' application ',' ajib ',' fast ',' kayak ',' YouTube ',' axis', 'fast', 'kpmen', 'customer', 'read', ""]")</f>
        <v>['super', 'lemooooot', 'koq', 'improvement', 'already', 'many years',' supr ',' slow ',' application ',' ajib ',' fast ',' kayak ',' YouTube ',' axis', 'fast', 'kpmen', 'customer', 'read', "]</v>
      </c>
      <c r="D823" s="3">
        <v>1.0</v>
      </c>
    </row>
    <row r="824" ht="15.75" customHeight="1">
      <c r="A824" s="1">
        <v>822.0</v>
      </c>
      <c r="B824" s="3" t="s">
        <v>825</v>
      </c>
      <c r="C824" s="3" t="str">
        <f>IFERROR(__xludf.DUMMYFUNCTION("GOOGLETRANSLATE(B824,""id"",""en"")"),"['consistent', 'actually', 'active', 'grace', 'card', 'sympathy', 'March', 'tnggl', 'contents',' reset ',' sudh ',' bongko ',' Dead ',' TNGGL ',' April ',' Try ',' Service ',' Telkomsel ',' Nearest ',' Say "", 'Dead', 'Total', 'Telkomsel',""]")</f>
        <v>['consistent', 'actually', 'active', 'grace', 'card', 'sympathy', 'March', 'tnggl', 'contents',' reset ',' sudh ',' bongko ',' Dead ',' TNGGL ',' April ',' Try ',' Service ',' Telkomsel ',' Nearest ',' Say ", 'Dead', 'Total', 'Telkomsel',"]</v>
      </c>
      <c r="D824" s="3">
        <v>1.0</v>
      </c>
    </row>
    <row r="825" ht="15.75" customHeight="1">
      <c r="A825" s="1">
        <v>823.0</v>
      </c>
      <c r="B825" s="3" t="s">
        <v>826</v>
      </c>
      <c r="C825" s="3" t="str">
        <f>IFERROR(__xludf.DUMMYFUNCTION("GOOGLETRANSLATE(B825,""id"",""en"")"),"['Reduce', 'star', 'Claim', 'Bonus',' Check ',' Sometimes', 'Failed', 'Credit', 'Points',' Restore ',' Bonus', 'Lost', ' "", 'BSA', 'Claim', 'Sia', 'Sia', 'Collecting', 'Stamp',""]")</f>
        <v>['Reduce', 'star', 'Claim', 'Bonus',' Check ',' Sometimes', 'Failed', 'Credit', 'Points',' Restore ',' Bonus', 'Lost', ' ", 'BSA', 'Claim', 'Sia', 'Sia', 'Collecting', 'Stamp',"]</v>
      </c>
      <c r="D825" s="3">
        <v>3.0</v>
      </c>
    </row>
    <row r="826" ht="15.75" customHeight="1">
      <c r="A826" s="1">
        <v>824.0</v>
      </c>
      <c r="B826" s="3" t="s">
        <v>827</v>
      </c>
      <c r="C826" s="3" t="str">
        <f>IFERROR(__xludf.DUMMYFUNCTION("GOOGLETRANSLATE(B826,""id"",""en"")"),"['Telkomsel', 'cheap', 'cheap', 'package', 'expensive', 'network', 'slow', 'quality', 'speed', 'network', 'different', 'operator', ' cheap ',' price ',' affordable ',' for example ',' indoosat ',' smartfren ',' stay ',' city ',' pekanbaru ',' network ',' "&amp;"telkom ',' slow ',' bar ' , 'Network', 'full', 'already', 'Try', 'Telkomsel', 'prioritizes',' results', 'Darpda', 'convenience', 'user', 'hopefully', 'complaint', ' Accept ',' Thank you ', ""]")</f>
        <v>['Telkomsel', 'cheap', 'cheap', 'package', 'expensive', 'network', 'slow', 'quality', 'speed', 'network', 'different', 'operator', ' cheap ',' price ',' affordable ',' for example ',' indoosat ',' smartfren ',' stay ',' city ',' pekanbaru ',' network ',' telkom ',' slow ',' bar ' , 'Network', 'full', 'already', 'Try', 'Telkomsel', 'prioritizes',' results', 'Darpda', 'convenience', 'user', 'hopefully', 'complaint', ' Accept ',' Thank you ', "]</v>
      </c>
      <c r="D826" s="3">
        <v>1.0</v>
      </c>
    </row>
    <row r="827" ht="15.75" customHeight="1">
      <c r="A827" s="1">
        <v>825.0</v>
      </c>
      <c r="B827" s="3" t="s">
        <v>828</v>
      </c>
      <c r="C827" s="3" t="str">
        <f>IFERROR(__xludf.DUMMYFUNCTION("GOOGLETRANSLATE(B827,""id"",""en"")"),"['', 'Thank you', 'Telkomsel', 'Service', 'Best', 'Wear', 'Card', 'Telkomsel', 'Prepaid', 'Taun', 'Switch', 'Telkomsel', 'Hello ',' Post ',' Pay ',' Far ',' Satisfied ',' Thank you ', ""]")</f>
        <v>['', 'Thank you', 'Telkomsel', 'Service', 'Best', 'Wear', 'Card', 'Telkomsel', 'Prepaid', 'Taun', 'Switch', 'Telkomsel', 'Hello ',' Post ',' Pay ',' Far ',' Satisfied ',' Thank you ', "]</v>
      </c>
      <c r="D827" s="3">
        <v>5.0</v>
      </c>
    </row>
    <row r="828" ht="15.75" customHeight="1">
      <c r="A828" s="1">
        <v>826.0</v>
      </c>
      <c r="B828" s="3" t="s">
        <v>829</v>
      </c>
      <c r="C828" s="3" t="str">
        <f>IFERROR(__xludf.DUMMYFUNCTION("GOOGLETRANSLATE(B828,""id"",""en"")"),"['aseeeeem', 'paaiit', 'list', 'package', 'quota', 'msh', 'giga', 'sucked', 'pulse', 'name', 'fooling', 'signal', ' ugly ',' leftover ',' plsa ',' safe ',' comfortable ',' lbh ',' moved ',' neighbor ',' ']")</f>
        <v>['aseeeeem', 'paaiit', 'list', 'package', 'quota', 'msh', 'giga', 'sucked', 'pulse', 'name', 'fooling', 'signal', ' ugly ',' leftover ',' plsa ',' safe ',' comfortable ',' lbh ',' moved ',' neighbor ',' ']</v>
      </c>
      <c r="D828" s="3">
        <v>1.0</v>
      </c>
    </row>
    <row r="829" ht="15.75" customHeight="1">
      <c r="A829" s="1">
        <v>827.0</v>
      </c>
      <c r="B829" s="3" t="s">
        <v>830</v>
      </c>
      <c r="C829" s="3" t="str">
        <f>IFERROR(__xludf.DUMMYFUNCTION("GOOGLETRANSLATE(B829,""id"",""en"")"),"['Telkomsel', 'in the area', 'Javanese', 'special', 'city', 'Demak', 'signal', 'slow', 'network', 'Full', 'TPI', 'slow', ' like ',' then ',' moved ',' network ',' gtu ',' already ',' kouta ',' expensive ',' network ',' beres', 'please', 'updated', 'networ"&amp;"k' , 'especially', 'City', 'Demak', 'Java', ""]")</f>
        <v>['Telkomsel', 'in the area', 'Javanese', 'special', 'city', 'Demak', 'signal', 'slow', 'network', 'Full', 'TPI', 'slow', ' like ',' then ',' moved ',' network ',' gtu ',' already ',' kouta ',' expensive ',' network ',' beres', 'please', 'updated', 'network' , 'especially', 'City', 'Demak', 'Java', "]</v>
      </c>
      <c r="D829" s="3">
        <v>1.0</v>
      </c>
    </row>
    <row r="830" ht="15.75" customHeight="1">
      <c r="A830" s="1">
        <v>828.0</v>
      </c>
      <c r="B830" s="3" t="s">
        <v>831</v>
      </c>
      <c r="C830" s="3" t="str">
        <f>IFERROR(__xludf.DUMMYFUNCTION("GOOGLETRANSLATE(B830,""id"",""en"")"),"['Telkomsel', 'slow', 'network', 'full', 'quota', 'open', 'youtube', 'muter', '']")</f>
        <v>['Telkomsel', 'slow', 'network', 'full', 'quota', 'open', 'youtube', 'muter', '']</v>
      </c>
      <c r="D830" s="3">
        <v>1.0</v>
      </c>
    </row>
    <row r="831" ht="15.75" customHeight="1">
      <c r="A831" s="1">
        <v>829.0</v>
      </c>
      <c r="B831" s="3" t="s">
        <v>832</v>
      </c>
      <c r="C831" s="3" t="str">
        <f>IFERROR(__xludf.DUMMYFUNCTION("GOOGLETRANSLATE(B831,""id"",""en"")"),"['Open', 'Tiktok', 'Play', 'Game', 'Pubg', 'Mobile', 'Etc.', 'Disconnect', 'Disconnect', 'Network', 'Internet', 'Telkomsel', ' Network ',' Internet ',' Telkomsel ',' Disconnected ',' Disconnect ',' Network ',' Internet ',' Telkomsel ', ""]")</f>
        <v>['Open', 'Tiktok', 'Play', 'Game', 'Pubg', 'Mobile', 'Etc.', 'Disconnect', 'Disconnect', 'Network', 'Internet', 'Telkomsel', ' Network ',' Internet ',' Telkomsel ',' Disconnected ',' Disconnect ',' Network ',' Internet ',' Telkomsel ', "]</v>
      </c>
      <c r="D831" s="3">
        <v>2.0</v>
      </c>
    </row>
    <row r="832" ht="15.75" customHeight="1">
      <c r="A832" s="1">
        <v>830.0</v>
      </c>
      <c r="B832" s="3" t="s">
        <v>833</v>
      </c>
      <c r="C832" s="3" t="str">
        <f>IFERROR(__xludf.DUMMYFUNCTION("GOOGLETRANSLATE(B832,""id"",""en"")"),"['Sorry', 'pulse', 'rb', 'right', 'check', 'buy', 'package', 'pulse', 'contents',' nsp ',' call ',' pulse ',' run out ',' suck ',' reverse ',' pulse ',' rb ',' suck ',' times', 'error', 'fix', 'spirit', 'mimin', 'update', 'error' , 'Sorry', 'comment', 'ru"&amp;"de', 'reply', ""]")</f>
        <v>['Sorry', 'pulse', 'rb', 'right', 'check', 'buy', 'package', 'pulse', 'contents',' nsp ',' call ',' pulse ',' run out ',' suck ',' reverse ',' pulse ',' rb ',' suck ',' times', 'error', 'fix', 'spirit', 'mimin', 'update', 'error' , 'Sorry', 'comment', 'rude', 'reply', "]</v>
      </c>
      <c r="D832" s="3">
        <v>3.0</v>
      </c>
    </row>
    <row r="833" ht="15.75" customHeight="1">
      <c r="A833" s="1">
        <v>831.0</v>
      </c>
      <c r="B833" s="3" t="s">
        <v>834</v>
      </c>
      <c r="C833" s="3" t="str">
        <f>IFERROR(__xludf.DUMMYFUNCTION("GOOGLETRANSLATE(B833,""id"",""en"")"),"['Sorry', 'min', 'ask', 'right', 'abis',' buy ',' card ',' quota ',' udh ',' list ',' quota ',' dipake ',' Buy ',' Loss', 'Loss',' Card ',' Telkomsel ',' Very ',' Truss', 'Network', 'Difficult', 'DHLH', ""]")</f>
        <v>['Sorry', 'min', 'ask', 'right', 'abis',' buy ',' card ',' quota ',' udh ',' list ',' quota ',' dipake ',' Buy ',' Loss', 'Loss',' Card ',' Telkomsel ',' Very ',' Truss', 'Network', 'Difficult', 'DHLH', "]</v>
      </c>
      <c r="D833" s="3">
        <v>1.0</v>
      </c>
    </row>
    <row r="834" ht="15.75" customHeight="1">
      <c r="A834" s="1">
        <v>832.0</v>
      </c>
      <c r="B834" s="3" t="s">
        <v>835</v>
      </c>
      <c r="C834" s="3" t="str">
        <f>IFERROR(__xludf.DUMMYFUNCTION("GOOGLETRANSLATE(B834,""id"",""en"")"),"['card', 'expensive', 'voucher', 'lapse', 'already', 'expensive', 'network', 'disorder', 'many years',' make ',' absurb ',' network ',' Disorders', 'Please', 'Sorry', 'Impertness',' Success', 'Disruption', 'Good', 'Luck', 'In the future', ""]")</f>
        <v>['card', 'expensive', 'voucher', 'lapse', 'already', 'expensive', 'network', 'disorder', 'many years',' make ',' absurb ',' network ',' Disorders', 'Please', 'Sorry', 'Impertness',' Success', 'Disruption', 'Good', 'Luck', 'In the future', "]</v>
      </c>
      <c r="D834" s="3">
        <v>1.0</v>
      </c>
    </row>
    <row r="835" ht="15.75" customHeight="1">
      <c r="A835" s="1">
        <v>833.0</v>
      </c>
      <c r="B835" s="3" t="s">
        <v>836</v>
      </c>
      <c r="C835" s="3" t="str">
        <f>IFERROR(__xludf.DUMMYFUNCTION("GOOGLETRANSLATE(B835,""id"",""en"")"),"['idiot', 'quality', 'internet', 'kek', 'garbage', 'regret', 'buy', 'quota', 'Telkomsel', 'price', 'doang', 'expensive', ' quality ',' internet ',' cheap ']")</f>
        <v>['idiot', 'quality', 'internet', 'kek', 'garbage', 'regret', 'buy', 'quota', 'Telkomsel', 'price', 'doang', 'expensive', ' quality ',' internet ',' cheap ']</v>
      </c>
      <c r="D835" s="3">
        <v>2.0</v>
      </c>
    </row>
    <row r="836" ht="15.75" customHeight="1">
      <c r="A836" s="1">
        <v>834.0</v>
      </c>
      <c r="B836" s="3" t="s">
        <v>837</v>
      </c>
      <c r="C836" s="3" t="str">
        <f>IFERROR(__xludf.DUMMYFUNCTION("GOOGLETRANSLATE(B836,""id"",""en"")"),"['Disappointed', 'Telkomsel', 'Package', 'Internet', 'Only', 'Combo', 'Unlimited', 'Unlimited', 'Kekeke', 'Tetep', 'Combo', 'Unlim', ' Unlimited ',' Disappointed ']")</f>
        <v>['Disappointed', 'Telkomsel', 'Package', 'Internet', 'Only', 'Combo', 'Unlimited', 'Unlimited', 'Kekeke', 'Tetep', 'Combo', 'Unlim', ' Unlimited ',' Disappointed ']</v>
      </c>
      <c r="D836" s="3">
        <v>3.0</v>
      </c>
    </row>
    <row r="837" ht="15.75" customHeight="1">
      <c r="A837" s="1">
        <v>835.0</v>
      </c>
      <c r="B837" s="3" t="s">
        <v>838</v>
      </c>
      <c r="C837" s="3" t="str">
        <f>IFERROR(__xludf.DUMMYFUNCTION("GOOGLETRANSLATE(B837,""id"",""en"")"),"['check', 'right', 'claim', 'gift', 'notification', 'network', 'error', 'tip', 'end', 'package', 'gift', 'enter', ' already ',' events', 'rich', 'gini', 'actually', 'intention', 'gave', 'gift']")</f>
        <v>['check', 'right', 'claim', 'gift', 'notification', 'network', 'error', 'tip', 'end', 'package', 'gift', 'enter', ' already ',' events', 'rich', 'gini', 'actually', 'intention', 'gave', 'gift']</v>
      </c>
      <c r="D837" s="3">
        <v>3.0</v>
      </c>
    </row>
    <row r="838" ht="15.75" customHeight="1">
      <c r="A838" s="1">
        <v>836.0</v>
      </c>
      <c r="B838" s="3" t="s">
        <v>839</v>
      </c>
      <c r="C838" s="3" t="str">
        <f>IFERROR(__xludf.DUMMYFUNCTION("GOOGLETRANSLATE(B838,""id"",""en"")"),"['How', 'Telkomsel', 'buy', 'package', 'gabisa', 'update', 'good', 'bad', 'kayak', 'eager', 'update']")</f>
        <v>['How', 'Telkomsel', 'buy', 'package', 'gabisa', 'update', 'good', 'bad', 'kayak', 'eager', 'update']</v>
      </c>
      <c r="D838" s="3">
        <v>1.0</v>
      </c>
    </row>
    <row r="839" ht="15.75" customHeight="1">
      <c r="A839" s="1">
        <v>837.0</v>
      </c>
      <c r="B839" s="3" t="s">
        <v>840</v>
      </c>
      <c r="C839" s="3" t="str">
        <f>IFERROR(__xludf.DUMMYFUNCTION("GOOGLETRANSLATE(B839,""id"",""en"")"),"['buy', 'package', 'MyTelkomsel', 'skrg', 'old', 'android', 'install', 'forced', 'use', 'login', 'difficult', 'error', ' Please 'repair']")</f>
        <v>['buy', 'package', 'MyTelkomsel', 'skrg', 'old', 'android', 'install', 'forced', 'use', 'login', 'difficult', 'error', ' Please 'repair']</v>
      </c>
      <c r="D839" s="3">
        <v>3.0</v>
      </c>
    </row>
    <row r="840" ht="15.75" customHeight="1">
      <c r="A840" s="1">
        <v>838.0</v>
      </c>
      <c r="B840" s="3" t="s">
        <v>841</v>
      </c>
      <c r="C840" s="3" t="str">
        <f>IFERROR(__xludf.DUMMYFUNCTION("GOOGLETRANSLATE(B840,""id"",""en"")"),"['min', 'card', 'promo', 'package', 'unlimited', 'use', 'card', 'buy', 'package', 'unlimited', 'list', 'number', ' card ',' Bedain ',' that's', 'promo', 'package', '']")</f>
        <v>['min', 'card', 'promo', 'package', 'unlimited', 'use', 'card', 'buy', 'package', 'unlimited', 'list', 'number', ' card ',' Bedain ',' that's', 'promo', 'package', '']</v>
      </c>
      <c r="D840" s="3">
        <v>3.0</v>
      </c>
    </row>
    <row r="841" ht="15.75" customHeight="1">
      <c r="A841" s="1">
        <v>839.0</v>
      </c>
      <c r="B841" s="3" t="s">
        <v>842</v>
      </c>
      <c r="C841" s="3" t="str">
        <f>IFERROR(__xludf.DUMMYFUNCTION("GOOGLETRANSLATE(B841,""id"",""en"")"),"['Garut', 'Since', 'Slalu', 'Telkomsel', 'Changed', 'Mind', 'Tuk', 'Change', 'Card', 'Karna', 'Signal', 'Data', ' Telkomsel ',' ugly ',' really ',' please ',' good ',' customer ',' blur ',' Telkomsel ',' signal ',' jelekkkkkkk ',' bangetttttttt ']")</f>
        <v>['Garut', 'Since', 'Slalu', 'Telkomsel', 'Changed', 'Mind', 'Tuk', 'Change', 'Card', 'Karna', 'Signal', 'Data', ' Telkomsel ',' ugly ',' really ',' please ',' good ',' customer ',' blur ',' Telkomsel ',' signal ',' jelekkkkkkk ',' bangetttttttt ']</v>
      </c>
      <c r="D841" s="3">
        <v>1.0</v>
      </c>
    </row>
    <row r="842" ht="15.75" customHeight="1">
      <c r="A842" s="1">
        <v>840.0</v>
      </c>
      <c r="B842" s="3" t="s">
        <v>843</v>
      </c>
      <c r="C842" s="3" t="str">
        <f>IFERROR(__xludf.DUMMYFUNCTION("GOOGLETRANSLATE(B842,""id"",""en"")"),"['Telkomsel', 'Network', 'Disappointing', 'Nelfon', 'Macem', 'Life', 'Forest', 'Gini', 'Telkomsel', 'Customers',' Faithful ',' Run ',' Nelfon ',' It's', 'Severe', 'Disappointed', 'Telkomsel', '']")</f>
        <v>['Telkomsel', 'Network', 'Disappointing', 'Nelfon', 'Macem', 'Life', 'Forest', 'Gini', 'Telkomsel', 'Customers',' Faithful ',' Run ',' Nelfon ',' It's', 'Severe', 'Disappointed', 'Telkomsel', '']</v>
      </c>
      <c r="D842" s="3">
        <v>1.0</v>
      </c>
    </row>
    <row r="843" ht="15.75" customHeight="1">
      <c r="A843" s="1">
        <v>841.0</v>
      </c>
      <c r="B843" s="3" t="s">
        <v>844</v>
      </c>
      <c r="C843" s="3" t="str">
        <f>IFERROR(__xludf.DUMMYFUNCTION("GOOGLETRANSLATE(B843,""id"",""en"")"),"['Disappointed', 'signal', 'overnight', 'improved', 'severe', 'improvement', 'signal', 'disappointed', 'subscribe', 'Telkomsel']")</f>
        <v>['Disappointed', 'signal', 'overnight', 'improved', 'severe', 'improvement', 'signal', 'disappointed', 'subscribe', 'Telkomsel']</v>
      </c>
      <c r="D843" s="3">
        <v>1.0</v>
      </c>
    </row>
    <row r="844" ht="15.75" customHeight="1">
      <c r="A844" s="1">
        <v>842.0</v>
      </c>
      <c r="B844" s="3" t="s">
        <v>845</v>
      </c>
      <c r="C844" s="3" t="str">
        <f>IFERROR(__xludf.DUMMYFUNCTION("GOOGLETRANSLATE(B844,""id"",""en"")"),"['Telkomsel', 'Healthy', 'Network', 'City', 'Denpasar', 'Life', 'Forest', 'Severe', 'Signal', 'Lost', 'APK', 'Telkomsel', ' Slow ',' deliberate ',' search ',' provider ',' expensive ',' quality ',' parahhh ',' your customer ',' blur ',' disappointed ',' '"&amp;"]")</f>
        <v>['Telkomsel', 'Healthy', 'Network', 'City', 'Denpasar', 'Life', 'Forest', 'Severe', 'Signal', 'Lost', 'APK', 'Telkomsel', ' Slow ',' deliberate ',' search ',' provider ',' expensive ',' quality ',' parahhh ',' your customer ',' blur ',' disappointed ',' ']</v>
      </c>
      <c r="D844" s="3">
        <v>1.0</v>
      </c>
    </row>
    <row r="845" ht="15.75" customHeight="1">
      <c r="A845" s="1">
        <v>843.0</v>
      </c>
      <c r="B845" s="3" t="s">
        <v>846</v>
      </c>
      <c r="C845" s="3" t="str">
        <f>IFERROR(__xludf.DUMMYFUNCTION("GOOGLETRANSLATE(B845,""id"",""en"")"),"['Signal', 'Cicayur', 'Tangerang', 'ugly', 'Down', 'Rain', 'PDHL', 'Telkomsel', 'No', 'Network', 'Strong', 'Colloiled', ' ']")</f>
        <v>['Signal', 'Cicayur', 'Tangerang', 'ugly', 'Down', 'Rain', 'PDHL', 'Telkomsel', 'No', 'Network', 'Strong', 'Colloiled', ' ']</v>
      </c>
      <c r="D845" s="3">
        <v>2.0</v>
      </c>
    </row>
    <row r="846" ht="15.75" customHeight="1">
      <c r="A846" s="1">
        <v>844.0</v>
      </c>
      <c r="B846" s="3" t="s">
        <v>847</v>
      </c>
      <c r="C846" s="3" t="str">
        <f>IFERROR(__xludf.DUMMYFUNCTION("GOOGLETRANSLATE(B846,""id"",""en"")"),"['Sorry', 'min', 'use', 'already', 'buy', 'quota', 'contents',' pulse ',' udh ',' me ',' update ',' nggk ',' Nggk ',' entered ',' Please ',' Help ',' Min ',' I ',' Kasih ',' Reting ',' I ',' Satisfied ',' I ',' Buy ',' quota ' , 'Please', 'fast', 'min']")</f>
        <v>['Sorry', 'min', 'use', 'already', 'buy', 'quota', 'contents',' pulse ',' udh ',' me ',' update ',' nggk ',' Nggk ',' entered ',' Please ',' Help ',' Min ',' I ',' Kasih ',' Reting ',' I ',' Satisfied ',' I ',' Buy ',' quota ' , 'Please', 'fast', 'min']</v>
      </c>
      <c r="D846" s="3">
        <v>5.0</v>
      </c>
    </row>
    <row r="847" ht="15.75" customHeight="1">
      <c r="A847" s="1">
        <v>845.0</v>
      </c>
      <c r="B847" s="3" t="s">
        <v>848</v>
      </c>
      <c r="C847" s="3" t="str">
        <f>IFERROR(__xludf.DUMMYFUNCTION("GOOGLETRANSLATE(B847,""id"",""en"")"),"['update', 'error', 'operator', 'use', 'here', 'BERES', 'Bener', 'service', 'already', 'fares',' Customize ',' price ',' expensive ',' quality ',' service ',' good ',' price ',' expensive ',' quality ',' dilapidated ',' ']")</f>
        <v>['update', 'error', 'operator', 'use', 'here', 'BERES', 'Bener', 'service', 'already', 'fares',' Customize ',' price ',' expensive ',' quality ',' service ',' good ',' price ',' expensive ',' quality ',' dilapidated ',' ']</v>
      </c>
      <c r="D847" s="3">
        <v>2.0</v>
      </c>
    </row>
    <row r="848" ht="15.75" customHeight="1">
      <c r="A848" s="1">
        <v>846.0</v>
      </c>
      <c r="B848" s="3" t="s">
        <v>849</v>
      </c>
      <c r="C848" s="3" t="str">
        <f>IFERROR(__xludf.DUMMYFUNCTION("GOOGLETRANSLATE(B848,""id"",""en"")"),"['Credit', 'Reduced', 'Activity', 'Log', 'Application', 'Time', 'Use', 'Prime', 'Disappointed', 'Anyway', 'Kapok', ""]")</f>
        <v>['Credit', 'Reduced', 'Activity', 'Log', 'Application', 'Time', 'Use', 'Prime', 'Disappointed', 'Anyway', 'Kapok', "]</v>
      </c>
      <c r="D848" s="3">
        <v>1.0</v>
      </c>
    </row>
    <row r="849" ht="15.75" customHeight="1">
      <c r="A849" s="1">
        <v>847.0</v>
      </c>
      <c r="B849" s="3" t="s">
        <v>850</v>
      </c>
      <c r="C849" s="3" t="str">
        <f>IFERROR(__xludf.DUMMYFUNCTION("GOOGLETRANSLATE(B849,""id"",""en"")"),"['', 'application', 'open', 'Telkomsel', 'connection', 'just', 'uninstall', 'install', 'reset', 'change', 'application', 'brokenkkkkk', "" ]")</f>
        <v>['', 'application', 'open', 'Telkomsel', 'connection', 'just', 'uninstall', 'install', 'reset', 'change', 'application', 'brokenkkkkk', " ]</v>
      </c>
      <c r="D849" s="3">
        <v>1.0</v>
      </c>
    </row>
    <row r="850" ht="15.75" customHeight="1">
      <c r="A850" s="1">
        <v>848.0</v>
      </c>
      <c r="B850" s="3" t="s">
        <v>851</v>
      </c>
      <c r="C850" s="3" t="str">
        <f>IFERROR(__xludf.DUMMYFUNCTION("GOOGLETRANSLATE(B850,""id"",""en"")"),"['Please', 'Sis',' activated ',' package ',' cheerful ',' pulse ',' price ',' purchase ',' there ',' printed ',' processed ',' reset ',' Many ',' times', 'please', 'accelerated', 'Sis', ""]")</f>
        <v>['Please', 'Sis',' activated ',' package ',' cheerful ',' pulse ',' price ',' purchase ',' there ',' printed ',' processed ',' reset ',' Many ',' times', 'please', 'accelerated', 'Sis', "]</v>
      </c>
      <c r="D850" s="3">
        <v>2.0</v>
      </c>
    </row>
    <row r="851" ht="15.75" customHeight="1">
      <c r="A851" s="1">
        <v>849.0</v>
      </c>
      <c r="B851" s="3" t="s">
        <v>852</v>
      </c>
      <c r="C851" s="3" t="str">
        <f>IFERROR(__xludf.DUMMYFUNCTION("GOOGLETRANSLATE(B851,""id"",""en"")"),"['experience', 'sympathy', 'disappointing', 'difficult', 'signal', 'stay', 'urban', 'grapari', 'slow', 'sympathy']")</f>
        <v>['experience', 'sympathy', 'disappointing', 'difficult', 'signal', 'stay', 'urban', 'grapari', 'slow', 'sympathy']</v>
      </c>
      <c r="D851" s="3">
        <v>1.0</v>
      </c>
    </row>
    <row r="852" ht="15.75" customHeight="1">
      <c r="A852" s="1">
        <v>850.0</v>
      </c>
      <c r="B852" s="3" t="s">
        <v>853</v>
      </c>
      <c r="C852" s="3" t="str">
        <f>IFERROR(__xludf.DUMMYFUNCTION("GOOGLETRANSLATE(B852,""id"",""en"")"),"['Ramadhan', 'NOT', 'Telkomsel', 'Improved', 'Network', 'Bad', 'Ramdhan', 'Network', 'already', 'Error', 'right', 'Ramdhan', ' destroyed ',' hadeuuuhhhh ',' repay ',' network ',' the application ',' error ', ""]")</f>
        <v>['Ramadhan', 'NOT', 'Telkomsel', 'Improved', 'Network', 'Bad', 'Ramdhan', 'Network', 'already', 'Error', 'right', 'Ramdhan', ' destroyed ',' hadeuuuhhhh ',' repay ',' network ',' the application ',' error ', "]</v>
      </c>
      <c r="D852" s="3">
        <v>1.0</v>
      </c>
    </row>
    <row r="853" ht="15.75" customHeight="1">
      <c r="A853" s="1">
        <v>851.0</v>
      </c>
      <c r="B853" s="3" t="s">
        <v>854</v>
      </c>
      <c r="C853" s="3" t="str">
        <f>IFERROR(__xludf.DUMMYFUNCTION("GOOGLETRANSLATE(B853,""id"",""en"")"),"['Please', 'level', 'quality', 'remembrance', 'quota', 'run out', 'no', 'pulse', 'main', 'out', 'network', 'AHIR', ' Ahir ',' ugly ',' chart ',' good ',' signal ',' ugly ',' thank you ', ""]")</f>
        <v>['Please', 'level', 'quality', 'remembrance', 'quota', 'run out', 'no', 'pulse', 'main', 'out', 'network', 'AHIR', ' Ahir ',' ugly ',' chart ',' good ',' signal ',' ugly ',' thank you ', "]</v>
      </c>
      <c r="D853" s="3">
        <v>1.0</v>
      </c>
    </row>
    <row r="854" ht="15.75" customHeight="1">
      <c r="A854" s="1">
        <v>852.0</v>
      </c>
      <c r="B854" s="3" t="s">
        <v>855</v>
      </c>
      <c r="C854" s="3" t="str">
        <f>IFERROR(__xludf.DUMMYFUNCTION("GOOGLETRANSLATE(B854,""id"",""en"")"),"['Daily', 'Check', 'Belom', 'Claimed', 'Quota', 'GB', 'Considered', 'How', 'Choose', 'Claim', 'Claim', 'Bonus',' tricks', 'Hadehh', 'Severe', 'Telkomsel', 'price', 'expensive', 'network', 'according to', 'bonus',' check ',' bye ',' thanks', ""]")</f>
        <v>['Daily', 'Check', 'Belom', 'Claimed', 'Quota', 'GB', 'Considered', 'How', 'Choose', 'Claim', 'Claim', 'Bonus',' tricks', 'Hadehh', 'Severe', 'Telkomsel', 'price', 'expensive', 'network', 'according to', 'bonus',' check ',' bye ',' thanks', "]</v>
      </c>
      <c r="D854" s="3">
        <v>1.0</v>
      </c>
    </row>
    <row r="855" ht="15.75" customHeight="1">
      <c r="A855" s="1">
        <v>853.0</v>
      </c>
      <c r="B855" s="3" t="s">
        <v>856</v>
      </c>
      <c r="C855" s="3" t="str">
        <f>IFERROR(__xludf.DUMMYFUNCTION("GOOGLETRANSLATE(B855,""id"",""en"")"),"['number', 'down', 'Mulu', 'Most', 'online', 'school', 'online', 'bad', 'Telkomsel', 'moved', 'ditchain', 'people', ' expensive ',' disorder ',' Mulu ',' magabut ',' work ', ""]")</f>
        <v>['number', 'down', 'Mulu', 'Most', 'online', 'school', 'online', 'bad', 'Telkomsel', 'moved', 'ditchain', 'people', ' expensive ',' disorder ',' Mulu ',' magabut ',' work ', "]</v>
      </c>
      <c r="D855" s="3">
        <v>1.0</v>
      </c>
    </row>
    <row r="856" ht="15.75" customHeight="1">
      <c r="A856" s="1">
        <v>854.0</v>
      </c>
      <c r="B856" s="3" t="s">
        <v>857</v>
      </c>
      <c r="C856" s="3" t="str">
        <f>IFERROR(__xludf.DUMMYFUNCTION("GOOGLETRANSLATE(B856,""id"",""en"")"),"['Please', 'Fix', 'Quality', 'Network', 'Package', 'Expensive', 'Network', 'Super', 'Bad', 'Region', 'City', 'Network', ' Quality ',' network ',' bad ',' feasible ',' condition ',' network ',' please ',' fix ',' shy ',' in ',' ']")</f>
        <v>['Please', 'Fix', 'Quality', 'Network', 'Package', 'Expensive', 'Network', 'Super', 'Bad', 'Region', 'City', 'Network', ' Quality ',' network ',' bad ',' feasible ',' condition ',' network ',' please ',' fix ',' shy ',' in ',' ']</v>
      </c>
      <c r="D856" s="3">
        <v>1.0</v>
      </c>
    </row>
    <row r="857" ht="15.75" customHeight="1">
      <c r="A857" s="1">
        <v>855.0</v>
      </c>
      <c r="B857" s="3" t="s">
        <v>858</v>
      </c>
      <c r="C857" s="3" t="str">
        <f>IFERROR(__xludf.DUMMYFUNCTION("GOOGLETRANSLATE(B857,""id"",""en"")"),"['Telkomsel', 'troubling', 'network', 'strong', 'that's',' asw ',' mending ',' network ',' slow ',' buy ',' package ',' expensive ',' expensive ',' slow ',' play ',' game ',' difficult ',' open ',' application ',' difficult ',' network ',' telkomsel ',' m"&amp;"ending ',' closed ',' office ' , 'Mending', 'Move', 'Telkomnyet']")</f>
        <v>['Telkomsel', 'troubling', 'network', 'strong', 'that's',' asw ',' mending ',' network ',' slow ',' buy ',' package ',' expensive ',' expensive ',' slow ',' play ',' game ',' difficult ',' open ',' application ',' difficult ',' network ',' telkomsel ',' mending ',' closed ',' office ' , 'Mending', 'Move', 'Telkomnyet']</v>
      </c>
      <c r="D857" s="3">
        <v>1.0</v>
      </c>
    </row>
    <row r="858" ht="15.75" customHeight="1">
      <c r="A858" s="1">
        <v>856.0</v>
      </c>
      <c r="B858" s="3" t="s">
        <v>859</v>
      </c>
      <c r="C858" s="3" t="str">
        <f>IFERROR(__xludf.DUMMYFUNCTION("GOOGLETRANSLATE(B858,""id"",""en"")"),"['BUMN', 'service', 'customer', 'satisfying', 'price', 'expensive', 'acelan', 'ignore', 'review', 'respond', 'to send', ' Complaints', 'Email', 'Telkomsel', 'already', 'really', 'send', 'Telkomsel', 'results',' zero ',' network ',' difficult ',' forced ' "&amp;", 'Telkomsel', 'Karna', 'Region', 'Operator', 'Telkomsel', 'Andai', 'Operator', 'Im', 'Smartfren', 'AXIS', 'Mending', 'Telkomsel', ' signal ',' lol ']")</f>
        <v>['BUMN', 'service', 'customer', 'satisfying', 'price', 'expensive', 'acelan', 'ignore', 'review', 'respond', 'to send', ' Complaints', 'Email', 'Telkomsel', 'already', 'really', 'send', 'Telkomsel', 'results',' zero ',' network ',' difficult ',' forced ' , 'Telkomsel', 'Karna', 'Region', 'Operator', 'Telkomsel', 'Andai', 'Operator', 'Im', 'Smartfren', 'AXIS', 'Mending', 'Telkomsel', ' signal ',' lol ']</v>
      </c>
      <c r="D858" s="3">
        <v>1.0</v>
      </c>
    </row>
    <row r="859" ht="15.75" customHeight="1">
      <c r="A859" s="1">
        <v>857.0</v>
      </c>
      <c r="B859" s="3" t="s">
        <v>860</v>
      </c>
      <c r="C859" s="3" t="str">
        <f>IFERROR(__xludf.DUMMYFUNCTION("GOOGLETRANSLATE(B859,""id"",""en"")"),"['Please', 'help', 'times', 'enter', 'app', 'Telkomsel', 'repeat', 'times', 'try', 'please', 'info', ""]")</f>
        <v>['Please', 'help', 'times', 'enter', 'app', 'Telkomsel', 'repeat', 'times', 'try', 'please', 'info', "]</v>
      </c>
      <c r="D859" s="3">
        <v>1.0</v>
      </c>
    </row>
    <row r="860" ht="15.75" customHeight="1">
      <c r="A860" s="1">
        <v>858.0</v>
      </c>
      <c r="B860" s="3" t="s">
        <v>861</v>
      </c>
      <c r="C860" s="3" t="str">
        <f>IFERROR(__xludf.DUMMYFUNCTION("GOOGLETRANSLATE(B860,""id"",""en"")"),"['Sinyal', 'Severe', 'Change', 'Provider', 'Liat', 'complaints',' Diplaystore ',' answer ',' response ',' boring ',' stale ',' solution ',' ']")</f>
        <v>['Sinyal', 'Severe', 'Change', 'Provider', 'Liat', 'complaints',' Diplaystore ',' answer ',' response ',' boring ',' stale ',' solution ',' ']</v>
      </c>
      <c r="D860" s="3">
        <v>1.0</v>
      </c>
    </row>
    <row r="861" ht="15.75" customHeight="1">
      <c r="A861" s="1">
        <v>859.0</v>
      </c>
      <c r="B861" s="3" t="s">
        <v>862</v>
      </c>
      <c r="C861" s="3" t="str">
        <f>IFERROR(__xludf.DUMMYFUNCTION("GOOGLETRANSLATE(B861,""id"",""en"")"),"['What', 'quota', 'fill in', 'leftover', 'GB', 'Medsos',' Etc. ',' Chat ',' Local ',' Data ',' Unlimited ',' Please ',' repair', '']")</f>
        <v>['What', 'quota', 'fill in', 'leftover', 'GB', 'Medsos',' Etc. ',' Chat ',' Local ',' Data ',' Unlimited ',' Please ',' repair', '']</v>
      </c>
      <c r="D861" s="3">
        <v>1.0</v>
      </c>
    </row>
    <row r="862" ht="15.75" customHeight="1">
      <c r="A862" s="1">
        <v>860.0</v>
      </c>
      <c r="B862" s="3" t="s">
        <v>863</v>
      </c>
      <c r="C862" s="3" t="str">
        <f>IFERROR(__xludf.DUMMYFUNCTION("GOOGLETRANSLATE(B862,""id"",""en"")"),"['ask', 'pulse', 'sumps',' sape ',' kek ',' yaa ',' already ',' see ',' google ',' package ',' stop ',' unreg ',' Press ','A', 'Package', '']")</f>
        <v>['ask', 'pulse', 'sumps',' sape ',' kek ',' yaa ',' already ',' see ',' google ',' package ',' stop ',' unreg ',' Press ','A', 'Package', '']</v>
      </c>
      <c r="D862" s="3">
        <v>1.0</v>
      </c>
    </row>
    <row r="863" ht="15.75" customHeight="1">
      <c r="A863" s="1">
        <v>861.0</v>
      </c>
      <c r="B863" s="3" t="s">
        <v>864</v>
      </c>
      <c r="C863" s="3" t="str">
        <f>IFERROR(__xludf.DUMMYFUNCTION("GOOGLETRANSLATE(B863,""id"",""en"")"),"['date', 'contents',' pulse ',' run out ',' pdhal ',' used ',' fund ',' buy ',' pulse ',' msk ',' lost ',' told ',' Change ',' Simcard ',' Loop ',' Telkomsel ',' BGM ',' Moving ',' Number ',' Looper ',' Saying ',' Move ',' App ',' Loper ',' Bner ' , 'Telk"&amp;"om', ""]")</f>
        <v>['date', 'contents',' pulse ',' run out ',' pdhal ',' used ',' fund ',' buy ',' pulse ',' msk ',' lost ',' told ',' Change ',' Simcard ',' Loop ',' Telkomsel ',' BGM ',' Moving ',' Number ',' Looper ',' Saying ',' Move ',' App ',' Loper ',' Bner ' , 'Telkom', "]</v>
      </c>
      <c r="D863" s="3">
        <v>2.0</v>
      </c>
    </row>
    <row r="864" ht="15.75" customHeight="1">
      <c r="A864" s="1">
        <v>862.0</v>
      </c>
      <c r="B864" s="3" t="s">
        <v>865</v>
      </c>
      <c r="C864" s="3" t="str">
        <f>IFERROR(__xludf.DUMMYFUNCTION("GOOGLETRANSLATE(B864,""id"",""en"")"),"['application', 'broken', 'signal', 'fit', 'enter', 'apk', 'wrote', 'load', 'reset', 'many', 'times',' refresh ',' signal ',' update ',' server ',' down ']")</f>
        <v>['application', 'broken', 'signal', 'fit', 'enter', 'apk', 'wrote', 'load', 'reset', 'many', 'times',' refresh ',' signal ',' update ',' server ',' down ']</v>
      </c>
      <c r="D864" s="3">
        <v>1.0</v>
      </c>
    </row>
    <row r="865" ht="15.75" customHeight="1">
      <c r="A865" s="1">
        <v>863.0</v>
      </c>
      <c r="B865" s="3" t="s">
        <v>866</v>
      </c>
      <c r="C865" s="3" t="str">
        <f>IFERROR(__xludf.DUMMYFUNCTION("GOOGLETRANSLATE(B865,""id"",""en"")"),"['ugly', 'application', 'network', 'udan', 'slow', 'application', 'telkomsel', 'follow', 'change', 'kasi', 'star', 'kasi', ' star', '']")</f>
        <v>['ugly', 'application', 'network', 'udan', 'slow', 'application', 'telkomsel', 'follow', 'change', 'kasi', 'star', 'kasi', ' star', '']</v>
      </c>
      <c r="D865" s="3">
        <v>1.0</v>
      </c>
    </row>
    <row r="866" ht="15.75" customHeight="1">
      <c r="A866" s="1">
        <v>864.0</v>
      </c>
      <c r="B866" s="3" t="s">
        <v>867</v>
      </c>
      <c r="C866" s="3" t="str">
        <f>IFERROR(__xludf.DUMMYFUNCTION("GOOGLETRANSLATE(B866,""id"",""en"")"),"['regret', 'Package', 'GB', 'Please', 'Turns',' Package ',' Out ',' Telkomsel ',' No ',' Package ',' Please ',' Money ',' Please ',' Balikin ',' a week ',' Telkomsel ', ""]")</f>
        <v>['regret', 'Package', 'GB', 'Please', 'Turns',' Package ',' Out ',' Telkomsel ',' No ',' Package ',' Please ',' Money ',' Please ',' Balikin ',' a week ',' Telkomsel ', "]</v>
      </c>
      <c r="D866" s="3">
        <v>1.0</v>
      </c>
    </row>
    <row r="867" ht="15.75" customHeight="1">
      <c r="A867" s="1">
        <v>865.0</v>
      </c>
      <c r="B867" s="3" t="s">
        <v>868</v>
      </c>
      <c r="C867" s="3" t="str">
        <f>IFERROR(__xludf.DUMMYFUNCTION("GOOGLETRANSLATE(B867,""id"",""en"")"),"['expensive', 'quota', 'Telkomsel', 'already', 'pandemic', 'please', 'buy', 'card', 'direct', 'expensive', 'price']")</f>
        <v>['expensive', 'quota', 'Telkomsel', 'already', 'pandemic', 'please', 'buy', 'card', 'direct', 'expensive', 'price']</v>
      </c>
      <c r="D867" s="3">
        <v>1.0</v>
      </c>
    </row>
    <row r="868" ht="15.75" customHeight="1">
      <c r="A868" s="1">
        <v>866.0</v>
      </c>
      <c r="B868" s="3" t="s">
        <v>869</v>
      </c>
      <c r="C868" s="3" t="str">
        <f>IFERROR(__xludf.DUMMYFUNCTION("GOOGLETRANSLATE(B868,""id"",""en"")"),"['knapa', 'open', 'min', 'force', 'close', 'times',' open ',' auto ',' jammed ',' total ',' cellphone ',' oppo ',' RAM ',' Try ',' Install ',' reset ',' result ',' open ',' already ',' a week ',' loo ',' please ',' update ',' because 'price' , 'Via', 'dia"&amp;"l', 'expensive', 'via', 'application', 'please', 'fix']")</f>
        <v>['knapa', 'open', 'min', 'force', 'close', 'times',' open ',' auto ',' jammed ',' total ',' cellphone ',' oppo ',' RAM ',' Try ',' Install ',' reset ',' result ',' open ',' already ',' a week ',' loo ',' please ',' update ',' because 'price' , 'Via', 'dial', 'expensive', 'via', 'application', 'please', 'fix']</v>
      </c>
      <c r="D868" s="3">
        <v>1.0</v>
      </c>
    </row>
    <row r="869" ht="15.75" customHeight="1">
      <c r="A869" s="1">
        <v>867.0</v>
      </c>
      <c r="B869" s="3" t="s">
        <v>870</v>
      </c>
      <c r="C869" s="3" t="str">
        <f>IFERROR(__xludf.DUMMYFUNCTION("GOOGLETRANSLATE(B869,""id"",""en"")"),"['pulse', 'lost', 'truncated', 'package', 'data', 'wifi', 'home', 'send', 'email', 'complaint', 'response', 'disappointed']")</f>
        <v>['pulse', 'lost', 'truncated', 'package', 'data', 'wifi', 'home', 'send', 'email', 'complaint', 'response', 'disappointed']</v>
      </c>
      <c r="D869" s="3">
        <v>1.0</v>
      </c>
    </row>
    <row r="870" ht="15.75" customHeight="1">
      <c r="A870" s="1">
        <v>868.0</v>
      </c>
      <c r="B870" s="3" t="s">
        <v>871</v>
      </c>
      <c r="C870" s="3" t="str">
        <f>IFERROR(__xludf.DUMMYFUNCTION("GOOGLETRANSLATE(B870,""id"",""en"")"),"['bad', 'network', 'good', 'already', 'member', 'Platinum', 'Diamon', 'Males',' contents', 'credit', 'Males',' like ',' Upset ',' Play ',' Game ',' Upload ',' Upload ',' Speed ​​',' Cuman ',' KG ',' Cuman ',' Customer ',' Disappointed ',' Quality ',' Netw"&amp;"ork ' , 'Bad', 'use', 'smartfren', 'internet', 'Telkomsel', 'just', 'verification', 'account', '']")</f>
        <v>['bad', 'network', 'good', 'already', 'member', 'Platinum', 'Diamon', 'Males',' contents', 'credit', 'Males',' like ',' Upset ',' Play ',' Game ',' Upload ',' Upload ',' Speed ​​',' Cuman ',' KG ',' Cuman ',' Customer ',' Disappointed ',' Quality ',' Network ' , 'Bad', 'use', 'smartfren', 'internet', 'Telkomsel', 'just', 'verification', 'account', '']</v>
      </c>
      <c r="D870" s="3">
        <v>1.0</v>
      </c>
    </row>
    <row r="871" ht="15.75" customHeight="1">
      <c r="A871" s="1">
        <v>869.0</v>
      </c>
      <c r="B871" s="3" t="s">
        <v>872</v>
      </c>
      <c r="C871" s="3" t="str">
        <f>IFERROR(__xludf.DUMMYFUNCTION("GOOGLETRANSLATE(B871,""id"",""en"")"),"['already', 'Maxtream', 'Ganool', 'Disney', 'slow', 'sucked', 'quota', 'sucked', 'space', 'right', 'open', 'application', ' right ',' watching ',' quota ',' special ',' myth ',' myth ',' cheap ',' ']")</f>
        <v>['already', 'Maxtream', 'Ganool', 'Disney', 'slow', 'sucked', 'quota', 'sucked', 'space', 'right', 'open', 'application', ' right ',' watching ',' quota ',' special ',' myth ',' myth ',' cheap ',' ']</v>
      </c>
      <c r="D871" s="3">
        <v>4.0</v>
      </c>
    </row>
    <row r="872" ht="15.75" customHeight="1">
      <c r="A872" s="1">
        <v>870.0</v>
      </c>
      <c r="B872" s="3" t="s">
        <v>873</v>
      </c>
      <c r="C872" s="3" t="str">
        <f>IFERROR(__xludf.DUMMYFUNCTION("GOOGLETRANSLATE(B872,""id"",""en"")"),"['Lumping', 'Vocher', 'Package', 'GB', 'Meet', 'Telkomsel', 'GB', 'Package', 'remaining', 'charging', 'Package', 'Lost', ' Ngak ',' update ',' peaches', '']")</f>
        <v>['Lumping', 'Vocher', 'Package', 'GB', 'Meet', 'Telkomsel', 'GB', 'Package', 'remaining', 'charging', 'Package', 'Lost', ' Ngak ',' update ',' peaches', '']</v>
      </c>
      <c r="D872" s="3">
        <v>1.0</v>
      </c>
    </row>
    <row r="873" ht="15.75" customHeight="1">
      <c r="A873" s="1">
        <v>871.0</v>
      </c>
      <c r="B873" s="3" t="s">
        <v>874</v>
      </c>
      <c r="C873" s="3" t="str">
        <f>IFERROR(__xludf.DUMMYFUNCTION("GOOGLETRANSLATE(B873,""id"",""en"")"),"['UDH', 'fill in', 'pulse', 'bbrp', 'times',' pulse ',' hbis', 'pdhl', 'package', 'GB', 'lbh', 'number', ' Sumpot ',' until ',' Hbis', 'leftover', 'disappointed', 'buy', 'credit', 'blm', 'hbis',' mslh ',' okay ',' kdg ',' can ' , 'Log', '']")</f>
        <v>['UDH', 'fill in', 'pulse', 'bbrp', 'times',' pulse ',' hbis', 'pdhl', 'package', 'GB', 'lbh', 'number', ' Sumpot ',' until ',' Hbis', 'leftover', 'disappointed', 'buy', 'credit', 'blm', 'hbis',' mslh ',' okay ',' kdg ',' can ' , 'Log', '']</v>
      </c>
      <c r="D873" s="3">
        <v>3.0</v>
      </c>
    </row>
    <row r="874" ht="15.75" customHeight="1">
      <c r="A874" s="1">
        <v>872.0</v>
      </c>
      <c r="B874" s="3" t="s">
        <v>875</v>
      </c>
      <c r="C874" s="3" t="str">
        <f>IFERROR(__xludf.DUMMYFUNCTION("GOOGLETRANSLATE(B874,""id"",""en"")"),"['Zzwassalamualaikum', 'Congratulations',' Morning ',' Child ',' Class', 'Hopefully', 'Dalm', 'Protection', 'Allah', 'SWT', 'Health', 'Samatan', ' Following ',' Learning ',' Congratulations', 'Maintain', 'Worship', 'Fast', 'Hopefully', 'Worship', 'Thighs'"&amp;",' Beripatganda ',' Sizih ',' Allah ',' SWT ' , 'Friday', 'April', 'Continue', 'learners',' Pjok ',' noted ',' Sebelarari ',' AKA ',' Send ',' The material ',' finished ',' noted ',' His job ',' Janga ',' ']")</f>
        <v>['Zzwassalamualaikum', 'Congratulations',' Morning ',' Child ',' Class', 'Hopefully', 'Dalm', 'Protection', 'Allah', 'SWT', 'Health', 'Samatan', ' Following ',' Learning ',' Congratulations', 'Maintain', 'Worship', 'Fast', 'Hopefully', 'Worship', 'Thighs',' Beripatganda ',' Sizih ',' Allah ',' SWT ' , 'Friday', 'April', 'Continue', 'learners',' Pjok ',' noted ',' Sebelarari ',' AKA ',' Send ',' The material ',' finished ',' noted ',' His job ',' Janga ',' ']</v>
      </c>
      <c r="D874" s="3">
        <v>4.0</v>
      </c>
    </row>
    <row r="875" ht="15.75" customHeight="1">
      <c r="A875" s="1">
        <v>873.0</v>
      </c>
      <c r="B875" s="3" t="s">
        <v>876</v>
      </c>
      <c r="C875" s="3" t="str">
        <f>IFERROR(__xludf.DUMMYFUNCTION("GOOGLETRANSLATE(B875,""id"",""en"")"),"['Buy', 'Package', 'YouTube', 'Open', 'right', 'Open', 'YouTube', 'hope', 'Telkomsel', 'Application', 'System', 'Planggan', ' disappointed ',' thank ',' love ']")</f>
        <v>['Buy', 'Package', 'YouTube', 'Open', 'right', 'Open', 'YouTube', 'hope', 'Telkomsel', 'Application', 'System', 'Planggan', ' disappointed ',' thank ',' love ']</v>
      </c>
      <c r="D875" s="3">
        <v>3.0</v>
      </c>
    </row>
    <row r="876" ht="15.75" customHeight="1">
      <c r="A876" s="1">
        <v>874.0</v>
      </c>
      <c r="B876" s="3" t="s">
        <v>877</v>
      </c>
      <c r="C876" s="3" t="str">
        <f>IFERROR(__xludf.DUMMYFUNCTION("GOOGLETRANSLATE(B876,""id"",""en"")"),"['suck', 'pulse', 'call', 'telephone', 'sms',' package ',' data ',' pulse ',' suck ',' rb ',' sms', 'Telkomsel', ' package ',' internet ',' package ',' GB ',' Please ',' repaired ',' suck ',' pulse ',' person ',' udh ',' tens', 'Telkomsel', 'good' , 'ugly"&amp;"', 'pulse', 'sucked', 'trs', ""]")</f>
        <v>['suck', 'pulse', 'call', 'telephone', 'sms',' package ',' data ',' pulse ',' suck ',' rb ',' sms', 'Telkomsel', ' package ',' internet ',' package ',' GB ',' Please ',' repaired ',' suck ',' pulse ',' person ',' udh ',' tens', 'Telkomsel', 'good' , 'ugly', 'pulse', 'sucked', 'trs', "]</v>
      </c>
      <c r="D876" s="3">
        <v>1.0</v>
      </c>
    </row>
    <row r="877" ht="15.75" customHeight="1">
      <c r="A877" s="1">
        <v>875.0</v>
      </c>
      <c r="B877" s="3" t="s">
        <v>878</v>
      </c>
      <c r="C877" s="3" t="str">
        <f>IFERROR(__xludf.DUMMYFUNCTION("GOOGLETRANSLATE(B877,""id"",""en"")"),"['network', 'sympathy', 'internet', 'slow', 'really', 'location', 'sumatera', 'south', 'kelurahan', 'sukomoro', 'sub-district', 'talang', ' Coconut ',' Banyuasin ',' already ',' week ',' signal ',' internet ',' disappears', 'inhibits',' activity ',' ank '"&amp;",' school ',' online ',' ']")</f>
        <v>['network', 'sympathy', 'internet', 'slow', 'really', 'location', 'sumatera', 'south', 'kelurahan', 'sukomoro', 'sub-district', 'talang', ' Coconut ',' Banyuasin ',' already ',' week ',' signal ',' internet ',' disappears', 'inhibits',' activity ',' ank ',' school ',' online ',' ']</v>
      </c>
      <c r="D877" s="3">
        <v>1.0</v>
      </c>
    </row>
    <row r="878" ht="15.75" customHeight="1">
      <c r="A878" s="1">
        <v>876.0</v>
      </c>
      <c r="B878" s="3" t="s">
        <v>879</v>
      </c>
      <c r="C878" s="3" t="str">
        <f>IFERROR(__xludf.DUMMYFUNCTION("GOOGLETRANSLATE(B878,""id"",""en"")"),"['Network', 'pulp', 'play', 'games',' network ',' like ',' missing ',' Telkomsel ',' NGasi ',' service ',' good ',' prayer ',' Hopefully ',' users', 'Telkomsel', 'Move', 'Provider', 'Next to', 'Network', 'Lost', 'Kayak', 'Telkomsel', 'Price', 'Expensive',"&amp;" 'Appropriate' , 'Network', 'BURIK']")</f>
        <v>['Network', 'pulp', 'play', 'games',' network ',' like ',' missing ',' Telkomsel ',' NGasi ',' service ',' good ',' prayer ',' Hopefully ',' users', 'Telkomsel', 'Move', 'Provider', 'Next to', 'Network', 'Lost', 'Kayak', 'Telkomsel', 'Price', 'Expensive', 'Appropriate' , 'Network', 'BURIK']</v>
      </c>
      <c r="D878" s="3">
        <v>1.0</v>
      </c>
    </row>
    <row r="879" ht="15.75" customHeight="1">
      <c r="A879" s="1">
        <v>877.0</v>
      </c>
      <c r="B879" s="3" t="s">
        <v>880</v>
      </c>
      <c r="C879" s="3" t="str">
        <f>IFERROR(__xludf.DUMMYFUNCTION("GOOGLETRANSLATE(B879,""id"",""en"")"),"['Download', 'application', 'enter', 'times',' enter ',' upgrade ',' repeat ',' reset ',' enter ',' please ',' fix ',' application ',' Delete ',' ']")</f>
        <v>['Download', 'application', 'enter', 'times',' enter ',' upgrade ',' repeat ',' reset ',' enter ',' please ',' fix ',' application ',' Delete ',' ']</v>
      </c>
      <c r="D879" s="3">
        <v>1.0</v>
      </c>
    </row>
    <row r="880" ht="15.75" customHeight="1">
      <c r="A880" s="1">
        <v>878.0</v>
      </c>
      <c r="B880" s="3" t="s">
        <v>881</v>
      </c>
      <c r="C880" s="3" t="str">
        <f>IFERROR(__xludf.DUMMYFUNCTION("GOOGLETRANSLATE(B880,""id"",""en"")"),"['already', 'gatau', 'network', 'slow', 'really', 'quota', 'access',' application ',' youtube ',' browsing ',' etc. ',' slow ',' Really ',' its network ',' Please ',' repaired ',' as soon as possible ',' accessed ',' and then ',' send ',' file ',' really "&amp;"',' Please ',' as soon as possible, 'repaired' , 'Discussed', 'because', 'some interests', 'related', 'connection', 'internet', 'hope', 'fast', 'repaired', 'network', ""]")</f>
        <v>['already', 'gatau', 'network', 'slow', 'really', 'quota', 'access',' application ',' youtube ',' browsing ',' etc. ',' slow ',' Really ',' its network ',' Please ',' repaired ',' as soon as possible ',' accessed ',' and then ',' send ',' file ',' really ',' Please ',' as soon as possible, 'repaired' , 'Discussed', 'because', 'some interests', 'related', 'connection', 'internet', 'hope', 'fast', 'repaired', 'network', "]</v>
      </c>
      <c r="D880" s="3">
        <v>1.0</v>
      </c>
    </row>
    <row r="881" ht="15.75" customHeight="1">
      <c r="A881" s="1">
        <v>879.0</v>
      </c>
      <c r="B881" s="3" t="s">
        <v>882</v>
      </c>
      <c r="C881" s="3" t="str">
        <f>IFERROR(__xludf.DUMMYFUNCTION("GOOGLETRANSLATE(B881,""id"",""en"")"),"['paraaah', 'udh', 'Cape', 'check', 'hri', 'right', 'claim', 'gift', 'failed', 'trs',' blgnya ',' lgi ',' improvement ',' system ',' dtgg ',' clock ',' tpi ',' udh ',' claim ',' gift ',' msh ',' fail ',' trs', 'can', 'dklaim' , 'reset', 'prize', 'Angus', "&amp;"'GTU', '']")</f>
        <v>['paraaah', 'udh', 'Cape', 'check', 'hri', 'right', 'claim', 'gift', 'failed', 'trs',' blgnya ',' lgi ',' improvement ',' system ',' dtgg ',' clock ',' tpi ',' udh ',' claim ',' gift ',' msh ',' fail ',' trs', 'can', 'dklaim' , 'reset', 'prize', 'Angus', 'GTU', '']</v>
      </c>
      <c r="D881" s="3">
        <v>1.0</v>
      </c>
    </row>
    <row r="882" ht="15.75" customHeight="1">
      <c r="A882" s="1">
        <v>880.0</v>
      </c>
      <c r="B882" s="3" t="s">
        <v>883</v>
      </c>
      <c r="C882" s="3" t="str">
        <f>IFERROR(__xludf.DUMMYFUNCTION("GOOGLETRANSLATE(B882,""id"",""en"")"),"['contents',' pulse ',' rb ',' rb ',' heart ',' buy ',' combo ',' sakti ',' GB ',' open ',' application ',' tsel ',' Credit ',' RB ',' Lost ',' Package ',' OMG ',' Purchase ',' Disappointed ',' Application ']")</f>
        <v>['contents',' pulse ',' rb ',' rb ',' heart ',' buy ',' combo ',' sakti ',' GB ',' open ',' application ',' tsel ',' Credit ',' RB ',' Lost ',' Package ',' OMG ',' Purchase ',' Disappointed ',' Application ']</v>
      </c>
      <c r="D882" s="3">
        <v>1.0</v>
      </c>
    </row>
    <row r="883" ht="15.75" customHeight="1">
      <c r="A883" s="1">
        <v>881.0</v>
      </c>
      <c r="B883" s="3" t="s">
        <v>884</v>
      </c>
      <c r="C883" s="3" t="str">
        <f>IFERROR(__xludf.DUMMYFUNCTION("GOOGLETRANSLATE(B883,""id"",""en"")"),"['Severe', 'after', 'update', 'error', 'already', 'refresh', 'many', 'ttap', 'error', 'every time', 'times',' run out ',' Check ',' Claims', 'Failed', 'then', 'Tlong', 'Dwaki Fix', 'System', 'Error', ""]")</f>
        <v>['Severe', 'after', 'update', 'error', 'already', 'refresh', 'many', 'ttap', 'error', 'every time', 'times',' run out ',' Check ',' Claims', 'Failed', 'then', 'Tlong', 'Dwaki Fix', 'System', 'Error', "]</v>
      </c>
      <c r="D883" s="3">
        <v>1.0</v>
      </c>
    </row>
    <row r="884" ht="15.75" customHeight="1">
      <c r="A884" s="1">
        <v>882.0</v>
      </c>
      <c r="B884" s="3" t="s">
        <v>885</v>
      </c>
      <c r="C884" s="3" t="str">
        <f>IFERROR(__xludf.DUMMYFUNCTION("GOOGLETRANSLATE(B884,""id"",""en"")"),"['haiiii', 'Telkomsel', 'expensive', 'buy', 'package', 'quota', 'daaaannnn', 'subscription', 'error', 'telkomsel', 'chat', 'loding', ' Mulu ',' padhal ',' quota ',' courier ',' difficult ',' chat ',' gara ',' telkomsel ',' error ',' mulu ',' nnton ',' you"&amp;"tube ',' lodiiiiiiing ' , 'night', 'signal', 'ilang', 'Mulu', '']")</f>
        <v>['haiiii', 'Telkomsel', 'expensive', 'buy', 'package', 'quota', 'daaaannnn', 'subscription', 'error', 'telkomsel', 'chat', 'loding', ' Mulu ',' padhal ',' quota ',' courier ',' difficult ',' chat ',' gara ',' telkomsel ',' error ',' mulu ',' nnton ',' youtube ',' lodiiiiiiing ' , 'night', 'signal', 'ilang', 'Mulu', '']</v>
      </c>
      <c r="D884" s="3">
        <v>1.0</v>
      </c>
    </row>
    <row r="885" ht="15.75" customHeight="1">
      <c r="A885" s="1">
        <v>883.0</v>
      </c>
      <c r="B885" s="3" t="s">
        <v>886</v>
      </c>
      <c r="C885" s="3" t="str">
        <f>IFERROR(__xludf.DUMMYFUNCTION("GOOGLETRANSLATE(B885,""id"",""en"")"),"['annoyed', 'times',' leftover ',' package ',' midnight ',' left ',' eat ',' credit ',' activate ',' package ',' clock ',' enter ',' Notifications', 'Non', 'Non', 'Package', 'Instant', 'Credit', 'Cutting', 'RB', 'System', 'Working', 'Tsel', 'Bangsat', ""]")</f>
        <v>['annoyed', 'times',' leftover ',' package ',' midnight ',' left ',' eat ',' credit ',' activate ',' package ',' clock ',' enter ',' Notifications', 'Non', 'Non', 'Package', 'Instant', 'Credit', 'Cutting', 'RB', 'System', 'Working', 'Tsel', 'Bangsat', "]</v>
      </c>
      <c r="D885" s="3">
        <v>1.0</v>
      </c>
    </row>
    <row r="886" ht="15.75" customHeight="1">
      <c r="A886" s="1">
        <v>884.0</v>
      </c>
      <c r="B886" s="3" t="s">
        <v>887</v>
      </c>
      <c r="C886" s="3" t="str">
        <f>IFERROR(__xludf.DUMMYFUNCTION("GOOGLETRANSLATE(B886,""id"",""en"")"),"['package', 'sahur', 'deleted', 'package', 'night', 'deleted', 'already', 'signal', 'naek', 'down', 'package', 'expensive', ' The menu ',' no ',' buy ',' Delete ',' System ',' Update ',' expensive ',' Doank ',' Service ',' Key ',' Gini ',' Fasting ',' Fas"&amp;"ting ' , 'package', 'sahur', 'package', 'night', 'removed', 'hilarious', 'star', 'love', 'star', ""]")</f>
        <v>['package', 'sahur', 'deleted', 'package', 'night', 'deleted', 'already', 'signal', 'naek', 'down', 'package', 'expensive', ' The menu ',' no ',' buy ',' Delete ',' System ',' Update ',' expensive ',' Doank ',' Service ',' Key ',' Gini ',' Fasting ',' Fasting ' , 'package', 'sahur', 'package', 'night', 'removed', 'hilarious', 'star', 'love', 'star', "]</v>
      </c>
      <c r="D886" s="3">
        <v>1.0</v>
      </c>
    </row>
    <row r="887" ht="15.75" customHeight="1">
      <c r="A887" s="1">
        <v>885.0</v>
      </c>
      <c r="B887" s="3" t="s">
        <v>888</v>
      </c>
      <c r="C887" s="3" t="str">
        <f>IFERROR(__xludf.DUMMYFUNCTION("GOOGLETRANSLATE(B887,""id"",""en"")"),"['buk', 'Telkomsel', 'inconscious',' points', 'missing', 'difficult', 'times',' enter ',' error ',' intention ',' apk ',' mending ',' complicated']")</f>
        <v>['buk', 'Telkomsel', 'inconscious',' points', 'missing', 'difficult', 'times',' enter ',' error ',' intention ',' apk ',' mending ',' complicated']</v>
      </c>
      <c r="D887" s="3">
        <v>1.0</v>
      </c>
    </row>
    <row r="888" ht="15.75" customHeight="1">
      <c r="A888" s="1">
        <v>886.0</v>
      </c>
      <c r="B888" s="3" t="s">
        <v>889</v>
      </c>
      <c r="C888" s="3" t="str">
        <f>IFERROR(__xludf.DUMMYFUNCTION("GOOGLETRANSLATE(B888,""id"",""en"")"),"['Open', 'APK', 'MyTelkomsel', 'Network', 'Error', 'Loading', 'Try', 'Many', 'times',' That's', 'Connection', 'Stable', ' network ',' smooth ',' already ',' delete ',' chache ',' gimna ',' chat ',' veronika ',' karna ',' error ',' right ',' finished ',' u"&amp;"pdate ' , 'Gini', '']")</f>
        <v>['Open', 'APK', 'MyTelkomsel', 'Network', 'Error', 'Loading', 'Try', 'Many', 'times',' That's', 'Connection', 'Stable', ' network ',' smooth ',' already ',' delete ',' chache ',' gimna ',' chat ',' veronika ',' karna ',' error ',' right ',' finished ',' update ' , 'Gini', '']</v>
      </c>
      <c r="D888" s="3">
        <v>1.0</v>
      </c>
    </row>
    <row r="889" ht="15.75" customHeight="1">
      <c r="A889" s="1">
        <v>887.0</v>
      </c>
      <c r="B889" s="3" t="s">
        <v>890</v>
      </c>
      <c r="C889" s="3" t="str">
        <f>IFERROR(__xludf.DUMMYFUNCTION("GOOGLETRANSLATE(B889,""id"",""en"")"),"['Check', 'Daily', 'Check', 'Claim', 'Jerjadi', 'Disruption', 'System', 'Sia', 'Sia', 'Check', 'Please', 'Telkomsel', ' Compensation ',' Disruption ',' System ',' ']")</f>
        <v>['Check', 'Daily', 'Check', 'Claim', 'Jerjadi', 'Disruption', 'System', 'Sia', 'Sia', 'Check', 'Please', 'Telkomsel', ' Compensation ',' Disruption ',' System ',' ']</v>
      </c>
      <c r="D889" s="3">
        <v>1.0</v>
      </c>
    </row>
    <row r="890" ht="15.75" customHeight="1">
      <c r="A890" s="1">
        <v>888.0</v>
      </c>
      <c r="B890" s="3" t="s">
        <v>891</v>
      </c>
      <c r="C890" s="3" t="str">
        <f>IFERROR(__xludf.DUMMYFUNCTION("GOOGLETRANSLATE(B890,""id"",""en"")"),"['The application', 'ugly', 'system', 'purchase', 'game', 'profitable', 'Telkomsel', 'configuration', 'data', 'game', 'striking', 'squeeze', ' customer']")</f>
        <v>['The application', 'ugly', 'system', 'purchase', 'game', 'profitable', 'Telkomsel', 'configuration', 'data', 'game', 'striking', 'squeeze', ' customer']</v>
      </c>
      <c r="D890" s="3">
        <v>1.0</v>
      </c>
    </row>
    <row r="891" ht="15.75" customHeight="1">
      <c r="A891" s="1">
        <v>889.0</v>
      </c>
      <c r="B891" s="3" t="s">
        <v>892</v>
      </c>
      <c r="C891" s="3" t="str">
        <f>IFERROR(__xludf.DUMMYFUNCTION("GOOGLETRANSLATE(B891,""id"",""en"")"),"['wanted', 'star', 'network', 'slow', 'price', 'slow', 'Bukak', 'Telkomsel', 'like', 'Severe', 'Segeur', 'Raying', ' Buy ',' Paketan ',' Telkomsel ']")</f>
        <v>['wanted', 'star', 'network', 'slow', 'price', 'slow', 'Bukak', 'Telkomsel', 'like', 'Severe', 'Segeur', 'Raying', ' Buy ',' Paketan ',' Telkomsel ']</v>
      </c>
      <c r="D891" s="3">
        <v>1.0</v>
      </c>
    </row>
    <row r="892" ht="15.75" customHeight="1">
      <c r="A892" s="1">
        <v>890.0</v>
      </c>
      <c r="B892" s="3" t="s">
        <v>893</v>
      </c>
      <c r="C892" s="3" t="str">
        <f>IFERROR(__xludf.DUMMYFUNCTION("GOOGLETRANSLATE(B892,""id"",""en"")"),"['Tissue', 'Telkomsel', 'Kian', 'Ancur', 'Sorry', 'Telkomsel', 'Comfortable', 'Network', 'Price', 'Expensive', 'Decline', 'Price', ' expensive ',' thank ',' love ',' Telkomsel ']")</f>
        <v>['Tissue', 'Telkomsel', 'Kian', 'Ancur', 'Sorry', 'Telkomsel', 'Comfortable', 'Network', 'Price', 'Expensive', 'Decline', 'Price', ' expensive ',' thank ',' love ',' Telkomsel ']</v>
      </c>
      <c r="D892" s="3">
        <v>1.0</v>
      </c>
    </row>
    <row r="893" ht="15.75" customHeight="1">
      <c r="A893" s="1">
        <v>891.0</v>
      </c>
      <c r="B893" s="3" t="s">
        <v>894</v>
      </c>
      <c r="C893" s="3" t="str">
        <f>IFERROR(__xludf.DUMMYFUNCTION("GOOGLETRANSLATE(B893,""id"",""en"")"),"['satisfying', 'contents',' pulse ',' bonus', 'monetary', 'buy', 'package', 'leftover', 'pulse', 'regular', 'knp', 'sms',' His writing ',' Access', 'Internet', 'Non', 'Non', 'Package', 'Info', 'Tsel', 'Data', 'Rates',' Save ',' Buy ',' Package ' , 'Intern"&amp;"et', 'Tsel', 'Check', 'Application', 'Telkomsel', 'Credit', 'Regular', 'I mean', ""]")</f>
        <v>['satisfying', 'contents',' pulse ',' bonus', 'monetary', 'buy', 'package', 'leftover', 'pulse', 'regular', 'knp', 'sms',' His writing ',' Access', 'Internet', 'Non', 'Non', 'Package', 'Info', 'Tsel', 'Data', 'Rates',' Save ',' Buy ',' Package ' , 'Internet', 'Tsel', 'Check', 'Application', 'Telkomsel', 'Credit', 'Regular', 'I mean', "]</v>
      </c>
      <c r="D893" s="3">
        <v>1.0</v>
      </c>
    </row>
    <row r="894" ht="15.75" customHeight="1">
      <c r="A894" s="1">
        <v>892.0</v>
      </c>
      <c r="B894" s="3" t="s">
        <v>895</v>
      </c>
      <c r="C894" s="3" t="str">
        <f>IFERROR(__xludf.DUMMYFUNCTION("GOOGLETRANSLATE(B894,""id"",""en"")"),"['Telkomsel', 'Dear', 'Please', 'The Network', 'Ituloh', 'The City', 'Live', 'Signal', 'Outback', 'Forest', 'Welort', 'Greget', ' "", 'Telkomsel', 'Dahlah', 'Tomorrow', 'Auto', 'Change', 'card', 'Males', 'card', 'Telkomsel', 'already', 'pakenya', 'broken'"&amp;" , 'I think', 'point', 'good', 'blah', 'blah', 'blah', 'ad', 'original', 'zonk', 'regret', 'price', 'expensive', ' times', 'signal', 'Hauhau', '']")</f>
        <v>['Telkomsel', 'Dear', 'Please', 'The Network', 'Ituloh', 'The City', 'Live', 'Signal', 'Outback', 'Forest', 'Welort', 'Greget', ' ", 'Telkomsel', 'Dahlah', 'Tomorrow', 'Auto', 'Change', 'card', 'Males', 'card', 'Telkomsel', 'already', 'pakenya', 'broken' , 'I think', 'point', 'good', 'blah', 'blah', 'blah', 'ad', 'original', 'zonk', 'regret', 'price', 'expensive', ' times', 'signal', 'Hauhau', '']</v>
      </c>
      <c r="D894" s="3">
        <v>1.0</v>
      </c>
    </row>
    <row r="895" ht="15.75" customHeight="1">
      <c r="A895" s="1">
        <v>893.0</v>
      </c>
      <c r="B895" s="3" t="s">
        <v>896</v>
      </c>
      <c r="C895" s="3" t="str">
        <f>IFERROR(__xludf.DUMMYFUNCTION("GOOGLETRANSLATE(B895,""id"",""en"")"),"['Dear', 'Telkomsel', 'signal', 'good', 'yesterday', 'tetring', 'laptop', 'signal', 'kenceng', 'really', 'skrg', 'slow', ' open ',' email ',' and ',' download ',' document ',' email ',' via ',' laptop ',' hard ',' forgiveness', 'please', 'fix', 'open' , '"&amp;"Via', 'laptop', 'difficult', 'Allah', ""]")</f>
        <v>['Dear', 'Telkomsel', 'signal', 'good', 'yesterday', 'tetring', 'laptop', 'signal', 'kenceng', 'really', 'skrg', 'slow', ' open ',' email ',' and ',' download ',' document ',' email ',' via ',' laptop ',' hard ',' forgiveness', 'please', 'fix', 'open' , 'Via', 'laptop', 'difficult', 'Allah', "]</v>
      </c>
      <c r="D895" s="3">
        <v>1.0</v>
      </c>
    </row>
    <row r="896" ht="15.75" customHeight="1">
      <c r="A896" s="1">
        <v>894.0</v>
      </c>
      <c r="B896" s="3" t="s">
        <v>897</v>
      </c>
      <c r="C896" s="3" t="str">
        <f>IFERROR(__xludf.DUMMYFUNCTION("GOOGLETRANSLATE(B896,""id"",""en"")"),"['sympathy', 'signal', 'good', 'try', 'signal', 'severe', 'ugly', 'really', 'good', 'rather', 'brand', 'competitor', ' Hopefully ',' Change ',' In the future ',' Thank you ']")</f>
        <v>['sympathy', 'signal', 'good', 'try', 'signal', 'severe', 'ugly', 'really', 'good', 'rather', 'brand', 'competitor', ' Hopefully ',' Change ',' In the future ',' Thank you ']</v>
      </c>
      <c r="D896" s="3">
        <v>1.0</v>
      </c>
    </row>
    <row r="897" ht="15.75" customHeight="1">
      <c r="A897" s="1">
        <v>895.0</v>
      </c>
      <c r="B897" s="3" t="s">
        <v>898</v>
      </c>
      <c r="C897" s="3" t="str">
        <f>IFERROR(__xludf.DUMMYFUNCTION("GOOGLETRANSLATE(B897,""id"",""en"")"),"['In the area', 'Housing', 'Charm', 'Kahuripan', 'Kecamatan', 'Kelapa', 'Nunggal', 'County', 'Bogor', 'Sometimes',' Signalny ',' Please, 'plus', 'Tower', 'Signal', 'BLM', 'Region', 'Thank', 'Love', 'Telkomsel', ""]")</f>
        <v>['In the area', 'Housing', 'Charm', 'Kahuripan', 'Kecamatan', 'Kelapa', 'Nunggal', 'County', 'Bogor', 'Sometimes',' Signalny ',' Please, 'plus', 'Tower', 'Signal', 'BLM', 'Region', 'Thank', 'Love', 'Telkomsel', "]</v>
      </c>
      <c r="D897" s="3">
        <v>4.0</v>
      </c>
    </row>
    <row r="898" ht="15.75" customHeight="1">
      <c r="A898" s="1">
        <v>896.0</v>
      </c>
      <c r="B898" s="3" t="s">
        <v>899</v>
      </c>
      <c r="C898" s="3" t="str">
        <f>IFERROR(__xludf.DUMMYFUNCTION("GOOGLETRANSLATE(B898,""id"",""en"")"),"['What's',' network ',' the widest ',' best ',' package ',' inetnya ',' expensive ',' down ',' network ',' ugly ',' stay ',' city ',' batam ',' love ',' star ',' star ',' empty ',' love ',' star ',' empty ',' so ',' thank ',' love ', ""]")</f>
        <v>['What's',' network ',' the widest ',' best ',' package ',' inetnya ',' expensive ',' down ',' network ',' ugly ',' stay ',' city ',' batam ',' love ',' star ',' star ',' empty ',' love ',' star ',' empty ',' so ',' thank ',' love ', "]</v>
      </c>
      <c r="D898" s="3">
        <v>1.0</v>
      </c>
    </row>
    <row r="899" ht="15.75" customHeight="1">
      <c r="A899" s="1">
        <v>897.0</v>
      </c>
      <c r="B899" s="3" t="s">
        <v>900</v>
      </c>
      <c r="C899" s="3" t="str">
        <f>IFERROR(__xludf.DUMMYFUNCTION("GOOGLETRANSLATE(B899,""id"",""en"")"),"['Sya', 'UDH', 'PKE', 'Telkomsel', 'Recommended', 'Play', 'Game', 'Online', 'AXIS', 'Stable', 'Telkomsel', 'Signal', ' Buluk ',' BURIK ',' expensive ',' Doank ',' Quality ',' noooollll ']")</f>
        <v>['Sya', 'UDH', 'PKE', 'Telkomsel', 'Recommended', 'Play', 'Game', 'Online', 'AXIS', 'Stable', 'Telkomsel', 'Signal', ' Buluk ',' BURIK ',' expensive ',' Doank ',' Quality ',' noooollll ']</v>
      </c>
      <c r="D899" s="3">
        <v>5.0</v>
      </c>
    </row>
    <row r="900" ht="15.75" customHeight="1">
      <c r="A900" s="1">
        <v>898.0</v>
      </c>
      <c r="B900" s="3" t="s">
        <v>901</v>
      </c>
      <c r="C900" s="3" t="str">
        <f>IFERROR(__xludf.DUMMYFUNCTION("GOOGLETRANSLATE(B900,""id"",""en"")"),"['Telkomsel', 'damn', 'klw', 'network', 'slow', 'pulse', 'custumer', 'eaten', 'malaj', 'bilalamg', 'data', 'non', ' package ',' package ',' internet ',' pulse ',' suck ',' Telkomsel ',' sane ',' ngak ',' subscription ',' many years', 'system', 'fix', 'pul"&amp;"ses' , 'eat', 'you', 'buy', 'pulse', 'ngak', 'money', 'star', 'zero', 'ngak', 'severe', 'pulses',' killed ',' Package ',' destroyed ',' Telkomsel ',' Bangsatt ', ""]")</f>
        <v>['Telkomsel', 'damn', 'klw', 'network', 'slow', 'pulse', 'custumer', 'eaten', 'malaj', 'bilalamg', 'data', 'non', ' package ',' package ',' internet ',' pulse ',' suck ',' Telkomsel ',' sane ',' ngak ',' subscription ',' many years', 'system', 'fix', 'pulses' , 'eat', 'you', 'buy', 'pulse', 'ngak', 'money', 'star', 'zero', 'ngak', 'severe', 'pulses',' killed ',' Package ',' destroyed ',' Telkomsel ',' Bangsatt ', "]</v>
      </c>
      <c r="D900" s="3">
        <v>1.0</v>
      </c>
    </row>
    <row r="901" ht="15.75" customHeight="1">
      <c r="A901" s="1">
        <v>899.0</v>
      </c>
      <c r="B901" s="3" t="s">
        <v>902</v>
      </c>
      <c r="C901" s="3" t="str">
        <f>IFERROR(__xludf.DUMMYFUNCTION("GOOGLETRANSLATE(B901,""id"",""en"")"),"['expensive', 'doang', 'package', 'signal', 'destroyed', 'work', 'hampered', 'spam', 'star', 'Telkomsel', 'tomorrow', 'replace', ' cards', 'Break', 'stupid', 'fraud', 'public', 'name', 'bankrupt', 'until', 'until', 'signal', 'destroyed', 'gini']")</f>
        <v>['expensive', 'doang', 'package', 'signal', 'destroyed', 'work', 'hampered', 'spam', 'star', 'Telkomsel', 'tomorrow', 'replace', ' cards', 'Break', 'stupid', 'fraud', 'public', 'name', 'bankrupt', 'until', 'until', 'signal', 'destroyed', 'gini']</v>
      </c>
      <c r="D901" s="3">
        <v>1.0</v>
      </c>
    </row>
    <row r="902" ht="15.75" customHeight="1">
      <c r="A902" s="1">
        <v>900.0</v>
      </c>
      <c r="B902" s="3" t="s">
        <v>903</v>
      </c>
      <c r="C902" s="3" t="str">
        <f>IFERROR(__xludf.DUMMYFUNCTION("GOOGLETRANSLATE(B902,""id"",""en"")"),"['Telkomsel', 'obstacles',' network ',' disappointing ',' please ',' Benerin ',' network ',' buy ',' quota ',' expensive ',' disappointed ',' interests', ' Online ',' Disturbed ',' Karna ',' Network ',' Disruption ']")</f>
        <v>['Telkomsel', 'obstacles',' network ',' disappointing ',' please ',' Benerin ',' network ',' buy ',' quota ',' expensive ',' disappointed ',' interests', ' Online ',' Disturbed ',' Karna ',' Network ',' Disruption ']</v>
      </c>
      <c r="D902" s="3">
        <v>1.0</v>
      </c>
    </row>
    <row r="903" ht="15.75" customHeight="1">
      <c r="A903" s="1">
        <v>901.0</v>
      </c>
      <c r="B903" s="3" t="s">
        <v>904</v>
      </c>
      <c r="C903" s="3" t="str">
        <f>IFERROR(__xludf.DUMMYFUNCTION("GOOGLETRANSLATE(B903,""id"",""en"")"),"['network', 'my area', 'home', 'home', 'signal', 'bad', 'lazy', 'rain', 'home', 'please', 'sympathy', 'improve', ' Change ',' Operator ',' ']")</f>
        <v>['network', 'my area', 'home', 'home', 'signal', 'bad', 'lazy', 'rain', 'home', 'please', 'sympathy', 'improve', ' Change ',' Operator ',' ']</v>
      </c>
      <c r="D903" s="3">
        <v>1.0</v>
      </c>
    </row>
    <row r="904" ht="15.75" customHeight="1">
      <c r="A904" s="1">
        <v>902.0</v>
      </c>
      <c r="B904" s="3" t="s">
        <v>905</v>
      </c>
      <c r="C904" s="3" t="str">
        <f>IFERROR(__xludf.DUMMYFUNCTION("GOOGLETRANSLATE(B904,""id"",""en"")"),"['Network', 'that's',' error ',' please ',' Telkomsel ',' improvement ',' system ',' network ',' interrupted ',' use ',' service ',' Telkomsel ',' thank you']")</f>
        <v>['Network', 'that's',' error ',' please ',' Telkomsel ',' improvement ',' system ',' network ',' interrupted ',' use ',' service ',' Telkomsel ',' thank you']</v>
      </c>
      <c r="D904" s="3">
        <v>3.0</v>
      </c>
    </row>
    <row r="905" ht="15.75" customHeight="1">
      <c r="A905" s="1">
        <v>903.0</v>
      </c>
      <c r="B905" s="3" t="s">
        <v>906</v>
      </c>
      <c r="C905" s="3" t="str">
        <f>IFERROR(__xludf.DUMMYFUNCTION("GOOGLETRANSLATE(B905,""id"",""en"")"),"['', 'off', 'mode', 'plane', 'already', 'tetep', 'no', 'influence', 'speed', 'network', 'smooth', 'play', 'game ',' Current ',' Watch ',' Wait ',' Clock ',' Play ',' lag ',' Season ',' Day ',' Litu ',' Disappointed ', ""]")</f>
        <v>['', 'off', 'mode', 'plane', 'already', 'tetep', 'no', 'influence', 'speed', 'network', 'smooth', 'play', 'game ',' Current ',' Watch ',' Wait ',' Clock ',' Play ',' lag ',' Season ',' Day ',' Litu ',' Disappointed ', "]</v>
      </c>
      <c r="D905" s="3">
        <v>1.0</v>
      </c>
    </row>
    <row r="906" ht="15.75" customHeight="1">
      <c r="A906" s="1">
        <v>904.0</v>
      </c>
      <c r="B906" s="3" t="s">
        <v>907</v>
      </c>
      <c r="C906" s="3" t="str">
        <f>IFERROR(__xludf.DUMMYFUNCTION("GOOGLETRANSLATE(B906,""id"",""en"")"),"['confused', 'Telkomsel', 'The application', 'difficult', 'opened', 'system', 'error', 'please', 'Telkomsel', 'Attention', 'his products',' Satisfied ',' Criticism ',' User ',' Material ',' Evaluation ']")</f>
        <v>['confused', 'Telkomsel', 'The application', 'difficult', 'opened', 'system', 'error', 'please', 'Telkomsel', 'Attention', 'his products',' Satisfied ',' Criticism ',' User ',' Material ',' Evaluation ']</v>
      </c>
      <c r="D906" s="3">
        <v>1.0</v>
      </c>
    </row>
    <row r="907" ht="15.75" customHeight="1">
      <c r="A907" s="1">
        <v>905.0</v>
      </c>
      <c r="B907" s="3" t="s">
        <v>908</v>
      </c>
      <c r="C907" s="3" t="str">
        <f>IFERROR(__xludf.DUMMYFUNCTION("GOOGLETRANSLATE(B907,""id"",""en"")"),"['Please', 'repaired', 'network', 'in the area', 'market', 'Kaler', 'Ujung', 'Berung', 'City', 'Bandung', 'in the area', 'signal', ' Telkomsel ',' Bad ',' Signal ',' Region ',' Meter ',' Road ',' Raya ',' Main ',' Nasution ', ""]")</f>
        <v>['Please', 'repaired', 'network', 'in the area', 'market', 'Kaler', 'Ujung', 'Berung', 'City', 'Bandung', 'in the area', 'signal', ' Telkomsel ',' Bad ',' Signal ',' Region ',' Meter ',' Road ',' Raya ',' Main ',' Nasution ', "]</v>
      </c>
      <c r="D907" s="3">
        <v>5.0</v>
      </c>
    </row>
    <row r="908" ht="15.75" customHeight="1">
      <c r="A908" s="1">
        <v>906.0</v>
      </c>
      <c r="B908" s="3" t="s">
        <v>909</v>
      </c>
      <c r="C908" s="3" t="str">
        <f>IFERROR(__xludf.DUMMYFUNCTION("GOOGLETRANSLATE(B908,""id"",""en"")"),"['LEG', 'intention', 'help', 'chase', 'profit', 'Telkomsel', 'severe', 'really', 'mending', 'moved', 'operator']")</f>
        <v>['LEG', 'intention', 'help', 'chase', 'profit', 'Telkomsel', 'severe', 'really', 'mending', 'moved', 'operator']</v>
      </c>
      <c r="D908" s="3">
        <v>1.0</v>
      </c>
    </row>
    <row r="909" ht="15.75" customHeight="1">
      <c r="A909" s="1">
        <v>907.0</v>
      </c>
      <c r="B909" s="3" t="s">
        <v>910</v>
      </c>
      <c r="C909" s="3" t="str">
        <f>IFERROR(__xludf.DUMMYFUNCTION("GOOGLETRANSLATE(B909,""id"",""en"")"),"['already', 'buy', 'kouta', 'to', 'youtube', 'right', 'open', 'youtube', 'pulse', 'sucked', 'run out', 'sms',' Telkomsel ',' access', 'internet', 'tariff', 'non', 'package', 'package', 'buy', 'use']")</f>
        <v>['already', 'buy', 'kouta', 'to', 'youtube', 'right', 'open', 'youtube', 'pulse', 'sucked', 'run out', 'sms',' Telkomsel ',' access', 'internet', 'tariff', 'non', 'package', 'package', 'buy', 'use']</v>
      </c>
      <c r="D909" s="3">
        <v>1.0</v>
      </c>
    </row>
    <row r="910" ht="15.75" customHeight="1">
      <c r="A910" s="1">
        <v>908.0</v>
      </c>
      <c r="B910" s="3" t="s">
        <v>911</v>
      </c>
      <c r="C910" s="3" t="str">
        <f>IFERROR(__xludf.DUMMYFUNCTION("GOOGLETRANSLATE(B910,""id"",""en"")"),"['already', 'buy', 'kouta', 'to', 'youtube', 'right', 'open', 'youtube', 'pulse', 'sucked', 'run out', 'sms',' Telkomsel ',' access', 'internet', 'tariff', 'non', 'package', 'package', 'buy', 'use', 'please', 'Telkomsel', 'explanation']")</f>
        <v>['already', 'buy', 'kouta', 'to', 'youtube', 'right', 'open', 'youtube', 'pulse', 'sucked', 'run out', 'sms',' Telkomsel ',' access', 'internet', 'tariff', 'non', 'package', 'package', 'buy', 'use', 'please', 'Telkomsel', 'explanation']</v>
      </c>
      <c r="D910" s="3">
        <v>1.0</v>
      </c>
    </row>
    <row r="911" ht="15.75" customHeight="1">
      <c r="A911" s="1">
        <v>909.0</v>
      </c>
      <c r="B911" s="3" t="s">
        <v>912</v>
      </c>
      <c r="C911" s="3" t="str">
        <f>IFERROR(__xludf.DUMMYFUNCTION("GOOGLETRANSLATE(B911,""id"",""en"")"),"['Telkomsel', 'Dear', 'Please', 'Network', 'Fix', 'Price', 'Quota', 'Expensive', 'Customize', 'Quality', 'Lemot', 'Thanks',' ']")</f>
        <v>['Telkomsel', 'Dear', 'Please', 'Network', 'Fix', 'Price', 'Quota', 'Expensive', 'Customize', 'Quality', 'Lemot', 'Thanks',' ']</v>
      </c>
      <c r="D911" s="3">
        <v>2.0</v>
      </c>
    </row>
    <row r="912" ht="15.75" customHeight="1">
      <c r="A912" s="1">
        <v>910.0</v>
      </c>
      <c r="B912" s="3" t="s">
        <v>913</v>
      </c>
      <c r="C912" s="3" t="str">
        <f>IFERROR(__xludf.DUMMYFUNCTION("GOOGLETRANSLATE(B912,""id"",""en"")"),"['user', 'tsel', 'yrs',' surprised ',' see ',' condition ',' network ',' Telkomsel ',' bad ',' care ',' price ',' developer ',' Can be able to 'buy', 'conducted', 'network', 'city', 'slow', 'forgiveness', 'price', 'exorbitant', 'quality', 'trash', 'conten"&amp;"ts', 'pulses' , 'thousand', 'package', 'internet', 'quality', 'garbage', 'speed', 'internet', 'max', 'kb', 'cuihh', 'moved', 'operator', ' feel like ',' stupid ',' stupid ',' ']")</f>
        <v>['user', 'tsel', 'yrs',' surprised ',' see ',' condition ',' network ',' Telkomsel ',' bad ',' care ',' price ',' developer ',' Can be able to 'buy', 'conducted', 'network', 'city', 'slow', 'forgiveness', 'price', 'exorbitant', 'quality', 'trash', 'contents', 'pulses' , 'thousand', 'package', 'internet', 'quality', 'garbage', 'speed', 'internet', 'max', 'kb', 'cuihh', 'moved', 'operator', ' feel like ',' stupid ',' stupid ',' ']</v>
      </c>
      <c r="D912" s="3">
        <v>1.0</v>
      </c>
    </row>
    <row r="913" ht="15.75" customHeight="1">
      <c r="A913" s="1">
        <v>911.0</v>
      </c>
      <c r="B913" s="3" t="s">
        <v>914</v>
      </c>
      <c r="C913" s="3" t="str">
        <f>IFERROR(__xludf.DUMMYFUNCTION("GOOGLETRANSLATE(B913,""id"",""en"")"),"['Min', 'sheer', 'network', 'drop', 'already', 'hub', 'reply', 'disappointed', 'Skli', ""]")</f>
        <v>['Min', 'sheer', 'network', 'drop', 'already', 'hub', 'reply', 'disappointed', 'Skli', "]</v>
      </c>
      <c r="D913" s="3">
        <v>1.0</v>
      </c>
    </row>
    <row r="914" ht="15.75" customHeight="1">
      <c r="A914" s="1">
        <v>912.0</v>
      </c>
      <c r="B914" s="3" t="s">
        <v>915</v>
      </c>
      <c r="C914" s="3" t="str">
        <f>IFERROR(__xludf.DUMMYFUNCTION("GOOGLETRANSLATE(B914,""id"",""en"")"),"['The application', 'ugly', 'boong', 'yahahhahayuk', 'oapalaepalalpeleappalepel']")</f>
        <v>['The application', 'ugly', 'boong', 'yahahhahayuk', 'oapalaepalalpeleappalepel']</v>
      </c>
      <c r="D914" s="3">
        <v>1.0</v>
      </c>
    </row>
    <row r="915" ht="15.75" customHeight="1">
      <c r="A915" s="1">
        <v>913.0</v>
      </c>
      <c r="B915" s="3" t="s">
        <v>916</v>
      </c>
      <c r="C915" s="3" t="str">
        <f>IFERROR(__xludf.DUMMYFUNCTION("GOOGLETRANSLATE(B915,""id"",""en"")"),"['Severe', 'Gara', 'Signal', 'Slow', 'zero', 'Koma', 'd siteu', 'work', 'dkota', 'pdhl', 'job', 'input', ' Report ',' survey ',' handled ',' slow ',' building ',' multilevel ', ""]")</f>
        <v>['Severe', 'Gara', 'Signal', 'Slow', 'zero', 'Koma', 'd siteu', 'work', 'dkota', 'pdhl', 'job', 'input', ' Report ',' survey ',' handled ',' slow ',' building ',' multilevel ', "]</v>
      </c>
      <c r="D915" s="3">
        <v>1.0</v>
      </c>
    </row>
    <row r="916" ht="15.75" customHeight="1">
      <c r="A916" s="1">
        <v>914.0</v>
      </c>
      <c r="B916" s="3" t="s">
        <v>917</v>
      </c>
      <c r="C916" s="3" t="str">
        <f>IFERROR(__xludf.DUMMYFUNCTION("GOOGLETRANSLATE(B916,""id"",""en"")"),"['Really', 'Posts',' Connection ',' Stable ',' Click ',' Try ',' Open ',' Application ',' Wear ',' Signal ',' Full ',' Bar ',' Please ',' Fix ',' Quality ',' Signal ',' Stable ',' ']")</f>
        <v>['Really', 'Posts',' Connection ',' Stable ',' Click ',' Try ',' Open ',' Application ',' Wear ',' Signal ',' Full ',' Bar ',' Please ',' Fix ',' Quality ',' Signal ',' Stable ',' ']</v>
      </c>
      <c r="D916" s="3">
        <v>2.0</v>
      </c>
    </row>
    <row r="917" ht="15.75" customHeight="1">
      <c r="A917" s="1">
        <v>915.0</v>
      </c>
      <c r="B917" s="3" t="s">
        <v>918</v>
      </c>
      <c r="C917" s="3" t="str">
        <f>IFERROR(__xludf.DUMMYFUNCTION("GOOGLETRANSLATE(B917,""id"",""en"")"),"['Dear', 'Telkomsel', 'intention', 'promo', 'cheerful', 'ngellag', 'network', 'appears',' what ',' make ',' cheerful ',' network ',' Mulu ',' Line ',' Sometimes', 'Network', 'Sampe', 'Lost', 'Region', 'City', 'Network', 'Operator', 'Seburuk', 'Disappointe"&amp;"d', 'already' , 'Telkomsel', 'Please', 'Follow', 'Tigapanah', 'Kab', 'Karo', 'Sumatran', 'North', ""]")</f>
        <v>['Dear', 'Telkomsel', 'intention', 'promo', 'cheerful', 'ngellag', 'network', 'appears',' what ',' make ',' cheerful ',' network ',' Mulu ',' Line ',' Sometimes', 'Network', 'Sampe', 'Lost', 'Region', 'City', 'Network', 'Operator', 'Seburuk', 'Disappointed', 'already' , 'Telkomsel', 'Please', 'Follow', 'Tigapanah', 'Kab', 'Karo', 'Sumatran', 'North', "]</v>
      </c>
      <c r="D917" s="3">
        <v>1.0</v>
      </c>
    </row>
    <row r="918" ht="15.75" customHeight="1">
      <c r="A918" s="1">
        <v>916.0</v>
      </c>
      <c r="B918" s="3" t="s">
        <v>919</v>
      </c>
      <c r="C918" s="3" t="str">
        <f>IFERROR(__xludf.DUMMYFUNCTION("GOOGLETRANSLATE(B918,""id"",""en"")"),"['Application', 'JDI', 'error', 'entered', 'Mulu', 'yes',' pingin ',' buy ',' package ',' dalem ',' application ',' please ',' Fix ',' as soon as possible ',' thank ',' love ',' ']")</f>
        <v>['Application', 'JDI', 'error', 'entered', 'Mulu', 'yes',' pingin ',' buy ',' package ',' dalem ',' application ',' please ',' Fix ',' as soon as possible ',' thank ',' love ',' ']</v>
      </c>
      <c r="D918" s="3">
        <v>1.0</v>
      </c>
    </row>
    <row r="919" ht="15.75" customHeight="1">
      <c r="A919" s="1">
        <v>917.0</v>
      </c>
      <c r="B919" s="3" t="s">
        <v>920</v>
      </c>
      <c r="C919" s="3" t="str">
        <f>IFERROR(__xludf.DUMMYFUNCTION("GOOGLETRANSLATE(B919,""id"",""en"")"),"['times',' check ',' pulse ',' quota ',' internet ',' opened ',' click ',' directly ',' open ',' no ',' satisfying ',' signa ',' Telkomsel ',' Safe ',' Safe ',' Wrong ',' System ',' ']")</f>
        <v>['times',' check ',' pulse ',' quota ',' internet ',' opened ',' click ',' directly ',' open ',' no ',' satisfying ',' signa ',' Telkomsel ',' Safe ',' Safe ',' Wrong ',' System ',' ']</v>
      </c>
      <c r="D919" s="3">
        <v>5.0</v>
      </c>
    </row>
    <row r="920" ht="15.75" customHeight="1">
      <c r="A920" s="1">
        <v>918.0</v>
      </c>
      <c r="B920" s="3" t="s">
        <v>921</v>
      </c>
      <c r="C920" s="3" t="str">
        <f>IFERROR(__xludf.DUMMYFUNCTION("GOOGLETRANSLATE(B920,""id"",""en"")"),"['Telkomsel', 'Price', 'Package', 'Expensive', 'Network', 'Loading', 'Disconnect', 'Disconnect', 'Bilanh', 'Telkomsel', 'Network', 'Squeezer', ' Society ',' prioritizes', 'Network', 'Axis',' Network ',' Telkomsel ',' stable ', ""]")</f>
        <v>['Telkomsel', 'Price', 'Package', 'Expensive', 'Network', 'Loading', 'Disconnect', 'Disconnect', 'Bilanh', 'Telkomsel', 'Network', 'Squeezer', ' Society ',' prioritizes', 'Network', 'Axis',' Network ',' Telkomsel ',' stable ', "]</v>
      </c>
      <c r="D920" s="3">
        <v>1.0</v>
      </c>
    </row>
    <row r="921" ht="15.75" customHeight="1">
      <c r="A921" s="1">
        <v>919.0</v>
      </c>
      <c r="B921" s="3" t="s">
        <v>922</v>
      </c>
      <c r="C921" s="3" t="str">
        <f>IFERROR(__xludf.DUMMYFUNCTION("GOOGLETRANSLATE(B921,""id"",""en"")"),"['Exchange', 'Point', 'weird', 'get', 'Point', 'used', 'Please', 'repair', 'hope', 'fake', 'contents',' pulses', ' Point ',' Samacity ',' already ',' network ',' Telkomsel ',' slow ',' maintenance ',' fix ',' Jangn ',' disappointed ',' users', 'Telkomsel'"&amp;", ""]")</f>
        <v>['Exchange', 'Point', 'weird', 'get', 'Point', 'used', 'Please', 'repair', 'hope', 'fake', 'contents',' pulses', ' Point ',' Samacity ',' already ',' network ',' Telkomsel ',' slow ',' maintenance ',' fix ',' Jangn ',' disappointed ',' users', 'Telkomsel', "]</v>
      </c>
      <c r="D921" s="3">
        <v>1.0</v>
      </c>
    </row>
    <row r="922" ht="15.75" customHeight="1">
      <c r="A922" s="1">
        <v>920.0</v>
      </c>
      <c r="B922" s="3" t="s">
        <v>923</v>
      </c>
      <c r="C922" s="3" t="str">
        <f>IFERROR(__xludf.DUMMYFUNCTION("GOOGLETRANSLATE(B922,""id"",""en"")"),"['Gajelas', 'Tide', 'Package', 'Payment', 'Process', 'Process', 'Try', 'Lebaran', 'Goat', 'Auto', 'Uniinstal', ""]")</f>
        <v>['Gajelas', 'Tide', 'Package', 'Payment', 'Process', 'Process', 'Try', 'Lebaran', 'Goat', 'Auto', 'Uniinstal', "]</v>
      </c>
      <c r="D922" s="3">
        <v>5.0</v>
      </c>
    </row>
    <row r="923" ht="15.75" customHeight="1">
      <c r="A923" s="1">
        <v>921.0</v>
      </c>
      <c r="B923" s="3" t="s">
        <v>924</v>
      </c>
      <c r="C923" s="3" t="str">
        <f>IFERROR(__xludf.DUMMYFUNCTION("GOOGLETRANSLATE(B923,""id"",""en"")"),"['Telkomsel', 'Taik', 'Network', 'Good', 'Internet', 'Disconnect', 'Just', 'Phone', 'Operator', 'Asked', 'Network', 'Disconnect', ' Turn off ',' Child ',' Satan ']")</f>
        <v>['Telkomsel', 'Taik', 'Network', 'Good', 'Internet', 'Disconnect', 'Just', 'Phone', 'Operator', 'Asked', 'Network', 'Disconnect', ' Turn off ',' Child ',' Satan ']</v>
      </c>
      <c r="D923" s="3">
        <v>1.0</v>
      </c>
    </row>
    <row r="924" ht="15.75" customHeight="1">
      <c r="A924" s="1">
        <v>922.0</v>
      </c>
      <c r="B924" s="3" t="s">
        <v>925</v>
      </c>
      <c r="C924" s="3" t="str">
        <f>IFERROR(__xludf.DUMMYFUNCTION("GOOGLETRANSLATE(B924,""id"",""en"")"),"['Taken', 'Setau', 'use', 'Telkomsel', 'pulseku', 'sumps',' notification ',' quota ',' internet ',' sometimes', 'slow', 'no', ' compensation ',' money ',' money ',' pulseku ',' sucked ',' vain ',' vain ',' count ',' second ',' rb ',' lost ',' repeated ','"&amp;" total ' , 'loss',' JT ',' credit ',' taken ',' pulseku ',' count ',' second ',' directly ',' run out ',' pulses', 'compensation', 'blessed', ' free ',' no ']")</f>
        <v>['Taken', 'Setau', 'use', 'Telkomsel', 'pulseku', 'sumps',' notification ',' quota ',' internet ',' sometimes', 'slow', 'no', ' compensation ',' money ',' money ',' pulseku ',' sucked ',' vain ',' vain ',' count ',' second ',' rb ',' lost ',' repeated ',' total ' , 'loss',' JT ',' credit ',' taken ',' pulseku ',' count ',' second ',' directly ',' run out ',' pulses', 'compensation', 'blessed', ' free ',' no ']</v>
      </c>
      <c r="D924" s="3">
        <v>1.0</v>
      </c>
    </row>
    <row r="925" ht="15.75" customHeight="1">
      <c r="A925" s="1">
        <v>923.0</v>
      </c>
      <c r="B925" s="3" t="s">
        <v>926</v>
      </c>
      <c r="C925" s="3" t="str">
        <f>IFERROR(__xludf.DUMMYFUNCTION("GOOGLETRANSLATE(B925,""id"",""en"")"),"['Please', 'fix', 'stay', 'signal', 'Sometimes',' missing ',' waiting ',' move ',' located ',' smooth ',' stay ',' missing ',' Sirek ']")</f>
        <v>['Please', 'fix', 'stay', 'signal', 'Sometimes',' missing ',' waiting ',' move ',' located ',' smooth ',' stay ',' missing ',' Sirek ']</v>
      </c>
      <c r="D925" s="3">
        <v>4.0</v>
      </c>
    </row>
    <row r="926" ht="15.75" customHeight="1">
      <c r="A926" s="1">
        <v>924.0</v>
      </c>
      <c r="B926" s="3" t="s">
        <v>927</v>
      </c>
      <c r="C926" s="3" t="str">
        <f>IFERROR(__xludf.DUMMYFUNCTION("GOOGLETRANSLATE(B926,""id"",""en"")"),"['already', 'Telkomsel', 'times',' tried ',' unlimited ',' max ',' internet ',' slow ',' really ',' apk ',' doang ',' smooth ',' And then ',' loading ',' really ',' see ',' status', 'person', 'APK', 'Loading', 'complaint', 'Veronica', 'help', 'the problem"&amp;"', 'leftover' , 'quota', 'GB', 'until', 'yes',' Doang ',' APK ',' NOT ',' Wait ',' Wait ',' Match ',' Already ',' Ngikutin ',' Instructions', 'TTP', 'Help', 'Gini', 'mah', 'Keku', 'Family', 'Gunain', 'Telkomsel', ""]")</f>
        <v>['already', 'Telkomsel', 'times',' tried ',' unlimited ',' max ',' internet ',' slow ',' really ',' apk ',' doang ',' smooth ',' And then ',' loading ',' really ',' see ',' status', 'person', 'APK', 'Loading', 'complaint', 'Veronica', 'help', 'the problem', 'leftover' , 'quota', 'GB', 'until', 'yes',' Doang ',' APK ',' NOT ',' Wait ',' Wait ',' Match ',' Already ',' Ngikutin ',' Instructions', 'TTP', 'Help', 'Gini', 'mah', 'Keku', 'Family', 'Gunain', 'Telkomsel', "]</v>
      </c>
      <c r="D926" s="3">
        <v>1.0</v>
      </c>
    </row>
    <row r="927" ht="15.75" customHeight="1">
      <c r="A927" s="1">
        <v>925.0</v>
      </c>
      <c r="B927" s="3" t="s">
        <v>928</v>
      </c>
      <c r="C927" s="3" t="str">
        <f>IFERROR(__xludf.DUMMYFUNCTION("GOOGLETRANSLATE(B927,""id"",""en"")"),"['Please', 'Telkomsel', 'Network', 'Region', 'Kenpa', 'Disorders',' Inhibits', 'Activities',' Please ',' Customize ',' DGAN ',' Price ',' Package ',' buy ',' ']")</f>
        <v>['Please', 'Telkomsel', 'Network', 'Region', 'Kenpa', 'Disorders',' Inhibits', 'Activities',' Please ',' Customize ',' DGAN ',' Price ',' Package ',' buy ',' ']</v>
      </c>
      <c r="D927" s="3">
        <v>3.0</v>
      </c>
    </row>
    <row r="928" ht="15.75" customHeight="1">
      <c r="A928" s="1">
        <v>926.0</v>
      </c>
      <c r="B928" s="3" t="s">
        <v>929</v>
      </c>
      <c r="C928" s="3" t="str">
        <f>IFERROR(__xludf.DUMMYFUNCTION("GOOGLETRANSLATE(B928,""id"",""en"")"),"['Please', 'fix', 'quality', 'network', 'work', 'all-round', 'online', 'shopping', 'Oline', 'transaction', 'money', 'online', ' annoying ',' disturbance ',' Jariian ',' on 'on', 'package', 'use', 'Telkomsel', 'quality', 'kemuninan', 'switch', 'operator', "&amp;"""]")</f>
        <v>['Please', 'fix', 'quality', 'network', 'work', 'all-round', 'online', 'shopping', 'Oline', 'transaction', 'money', 'online', ' annoying ',' disturbance ',' Jariian ',' on 'on', 'package', 'use', 'Telkomsel', 'quality', 'kemuninan', 'switch', 'operator', "]</v>
      </c>
      <c r="D928" s="3">
        <v>1.0</v>
      </c>
    </row>
    <row r="929" ht="15.75" customHeight="1">
      <c r="A929" s="1">
        <v>927.0</v>
      </c>
      <c r="B929" s="3" t="s">
        <v>930</v>
      </c>
      <c r="C929" s="3" t="str">
        <f>IFERROR(__xludf.DUMMYFUNCTION("GOOGLETRANSLATE(B929,""id"",""en"")"),"['Telkomsel', 'Satisfied', 'Delete', 'Application', 'Enter', 'Number', 'Registered', 'Please', 'Explanation', 'Telkomsel', ""]")</f>
        <v>['Telkomsel', 'Satisfied', 'Delete', 'Application', 'Enter', 'Number', 'Registered', 'Please', 'Explanation', 'Telkomsel', "]</v>
      </c>
      <c r="D929" s="3">
        <v>2.0</v>
      </c>
    </row>
    <row r="930" ht="15.75" customHeight="1">
      <c r="A930" s="1">
        <v>928.0</v>
      </c>
      <c r="B930" s="3" t="s">
        <v>931</v>
      </c>
      <c r="C930" s="3" t="str">
        <f>IFERROR(__xludf.DUMMYFUNCTION("GOOGLETRANSLATE(B930,""id"",""en"")"),"['Network', 'Severe', 'plus',' buy ',' psket ',' promo ',' cheerful ',' already ',' contents', 'pulse', 'ber', 'times',' Bahakan ',' UDH ',' Fill ',' Credit ',' Price ',' Package ',' SMS ',' Notification ',' appears ',' already ',' week ',' can ',' becaus"&amp;"e 'because' , 'Package', 'promo', 'packageyg', 'direct', 'notif', 'reply', 'cape', 'wait', ""]")</f>
        <v>['Network', 'Severe', 'plus',' buy ',' psket ',' promo ',' cheerful ',' already ',' contents', 'pulse', 'ber', 'times',' Bahakan ',' UDH ',' Fill ',' Credit ',' Price ',' Package ',' SMS ',' Notification ',' appears ',' already ',' week ',' can ',' because 'because' , 'Package', 'promo', 'packageyg', 'direct', 'notif', 'reply', 'cape', 'wait', "]</v>
      </c>
      <c r="D930" s="3">
        <v>3.0</v>
      </c>
    </row>
    <row r="931" ht="15.75" customHeight="1">
      <c r="A931" s="1">
        <v>929.0</v>
      </c>
      <c r="B931" s="3" t="s">
        <v>932</v>
      </c>
      <c r="C931" s="3" t="str">
        <f>IFERROR(__xludf.DUMMYFUNCTION("GOOGLETRANSLATE(B931,""id"",""en"")"),"['complaining', 'purchase', 'package', 'internet', 'telephone', 'region', 'Papua', 'expensive', 'different', 'region', 'card', 'prime', ' The package is', 'Price', 'Different', 'Telkomsel', 'Please', 'Response', 'Thank you', ""]")</f>
        <v>['complaining', 'purchase', 'package', 'internet', 'telephone', 'region', 'Papua', 'expensive', 'different', 'region', 'card', 'prime', ' The package is', 'Price', 'Different', 'Telkomsel', 'Please', 'Response', 'Thank you', "]</v>
      </c>
      <c r="D931" s="3">
        <v>1.0</v>
      </c>
    </row>
    <row r="932" ht="15.75" customHeight="1">
      <c r="A932" s="1">
        <v>930.0</v>
      </c>
      <c r="B932" s="3" t="s">
        <v>933</v>
      </c>
      <c r="C932" s="3" t="str">
        <f>IFERROR(__xludf.DUMMYFUNCTION("GOOGLETRANSLATE(B932,""id"",""en"")"),"['Telkomsel', 'Please', 'repay', 'network', 'user', 'card', 'Telkomsel', 'already', 'use', 'felt', 'network', 'slow', ' Severe ',' Rich ',' Gini ',' Please ',' Mengikin ',' Min ',' Customer ',' Disappointed ',' Terimaksih ', ""]")</f>
        <v>['Telkomsel', 'Please', 'repay', 'network', 'user', 'card', 'Telkomsel', 'already', 'use', 'felt', 'network', 'slow', ' Severe ',' Rich ',' Gini ',' Please ',' Mengikin ',' Min ',' Customer ',' Disappointed ',' Terimaksih ', "]</v>
      </c>
      <c r="D932" s="3">
        <v>1.0</v>
      </c>
    </row>
    <row r="933" ht="15.75" customHeight="1">
      <c r="A933" s="1">
        <v>931.0</v>
      </c>
      <c r="B933" s="3" t="s">
        <v>934</v>
      </c>
      <c r="C933" s="3" t="str">
        <f>IFERROR(__xludf.DUMMYFUNCTION("GOOGLETRANSLATE(B933,""id"",""en"")"),"['signal', 'Telkomsel', 'card', 'Hello', 'disorder', 'fair', 'city', 'signal', 'slow', 'slow', 'lose', 'product', ' Next to ',' price ',' cheap ',' ']")</f>
        <v>['signal', 'Telkomsel', 'card', 'Hello', 'disorder', 'fair', 'city', 'signal', 'slow', 'slow', 'lose', 'product', ' Next to ',' price ',' cheap ',' ']</v>
      </c>
      <c r="D933" s="3">
        <v>1.0</v>
      </c>
    </row>
    <row r="934" ht="15.75" customHeight="1">
      <c r="A934" s="1">
        <v>932.0</v>
      </c>
      <c r="B934" s="3" t="s">
        <v>935</v>
      </c>
      <c r="C934" s="3" t="str">
        <f>IFERROR(__xludf.DUMMYFUNCTION("GOOGLETRANSLATE(B934,""id"",""en"")"),"['Telkomsel', 'buy', 'package', 'promo', 'apply', 'package', 'the application', 'troublesome', 'buy', 'package', 'processed', 'buy', ' Package ',' garbage ']")</f>
        <v>['Telkomsel', 'buy', 'package', 'promo', 'apply', 'package', 'the application', 'troublesome', 'buy', 'package', 'processed', 'buy', ' Package ',' garbage ']</v>
      </c>
      <c r="D934" s="3">
        <v>1.0</v>
      </c>
    </row>
    <row r="935" ht="15.75" customHeight="1">
      <c r="A935" s="1">
        <v>933.0</v>
      </c>
      <c r="B935" s="3" t="s">
        <v>936</v>
      </c>
      <c r="C935" s="3" t="str">
        <f>IFERROR(__xludf.DUMMYFUNCTION("GOOGLETRANSLATE(B935,""id"",""en"")"),"['Get', 'SMS', 'promo', 'package', 'data', 'Telkomsel', 'turn', 'right', 'click', 'access',' promo ',' then ',' Telkomsel ',' Send ',' SMS ',' PROMO ']")</f>
        <v>['Get', 'SMS', 'promo', 'package', 'data', 'Telkomsel', 'turn', 'right', 'click', 'access',' promo ',' then ',' Telkomsel ',' Send ',' SMS ',' PROMO ']</v>
      </c>
      <c r="D935" s="3">
        <v>1.0</v>
      </c>
    </row>
    <row r="936" ht="15.75" customHeight="1">
      <c r="A936" s="1">
        <v>934.0</v>
      </c>
      <c r="B936" s="3" t="s">
        <v>937</v>
      </c>
      <c r="C936" s="3" t="str">
        <f>IFERROR(__xludf.DUMMYFUNCTION("GOOGLETRANSLATE(B936,""id"",""en"")"),"['Comment', 'Package', 'Kemendikbud', 'Application', 'Telkomsel', 'Since', 'Package', 'Ministry of Education and Culture', 'People', 'Package', 'Profitable', 'Paketan', ' Increases', 'Package', 'Causes',' Low ',' Connection ',' User ',' Package ',' Minist"&amp;"ry of Education and Culture ',' Usability ',' Learning ',' Open ',' Google ',' Link ' , 'YouTube', 'Learning', 'Shipped', 'Teacher', 'Download', 'Video', 'Learning', 'Lemot', '']")</f>
        <v>['Comment', 'Package', 'Kemendikbud', 'Application', 'Telkomsel', 'Since', 'Package', 'Ministry of Education and Culture', 'People', 'Package', 'Profitable', 'Paketan', ' Increases', 'Package', 'Causes',' Low ',' Connection ',' User ',' Package ',' Ministry of Education and Culture ',' Usability ',' Learning ',' Open ',' Google ',' Link ' , 'YouTube', 'Learning', 'Shipped', 'Teacher', 'Download', 'Video', 'Learning', 'Lemot', '']</v>
      </c>
      <c r="D936" s="3">
        <v>2.0</v>
      </c>
    </row>
    <row r="937" ht="15.75" customHeight="1">
      <c r="A937" s="1">
        <v>935.0</v>
      </c>
      <c r="B937" s="3" t="s">
        <v>938</v>
      </c>
      <c r="C937" s="3" t="str">
        <f>IFERROR(__xludf.DUMMYFUNCTION("GOOGLETRANSLATE(B937,""id"",""en"")"),"['woiii', 'please', 'min', 'already', 'buy', 'package', 'cheerful', 'GB', 'already', 'buy', 'enter', 'package', ' Cheerful ',' pulse ',' reduced ',' according to ',' payment ',' package ',' cheerful ',' ']")</f>
        <v>['woiii', 'please', 'min', 'already', 'buy', 'package', 'cheerful', 'GB', 'already', 'buy', 'enter', 'package', ' Cheerful ',' pulse ',' reduced ',' according to ',' payment ',' package ',' cheerful ',' ']</v>
      </c>
      <c r="D937" s="3">
        <v>5.0</v>
      </c>
    </row>
    <row r="938" ht="15.75" customHeight="1">
      <c r="A938" s="1">
        <v>936.0</v>
      </c>
      <c r="B938" s="3" t="s">
        <v>939</v>
      </c>
      <c r="C938" s="3" t="str">
        <f>IFERROR(__xludf.DUMMYFUNCTION("GOOGLETRANSLATE(B938,""id"",""en"")"),"['Hi', 'info', 'Dark', 'mode', 'APP', 'MyTelkomsel', 'Android', 'Default', 'Posts',' Application ',' Menu ',' Edit ',' mode ',' theme ',' color ',' adjusted ',' user ',' beg ',' repaired ',' thankyou ']")</f>
        <v>['Hi', 'info', 'Dark', 'mode', 'APP', 'MyTelkomsel', 'Android', 'Default', 'Posts',' Application ',' Menu ',' Edit ',' mode ',' theme ',' color ',' adjusted ',' user ',' beg ',' repaired ',' thankyou ']</v>
      </c>
      <c r="D938" s="3">
        <v>2.0</v>
      </c>
    </row>
    <row r="939" ht="15.75" customHeight="1">
      <c r="A939" s="1">
        <v>937.0</v>
      </c>
      <c r="B939" s="3" t="s">
        <v>940</v>
      </c>
      <c r="C939" s="3" t="str">
        <f>IFERROR(__xludf.DUMMYFUNCTION("GOOGLETRANSLATE(B939,""id"",""en"")"),"['Week', 'Tlfon', 'Operator', 'Nanyin', 'Network', 'Tetep', 'Internet', 'Leled', 'YouTube', 'Buffering', 'Open', 'Google', ' Say it ',' report ',' processed ',' tungu ',' UDH ',' BLN ',' Tetep ',' Leled ',' Udh ',' intention ',' compete ',' provider ',' m"&amp;"nding ' , 'ilangin', 'Telkomsel', 'face', 'earth', 'shy', 'in', 'price', 'package', 'expensive', 'speed', 'blood', 'hope', ' Read ',' followed up ', ""]")</f>
        <v>['Week', 'Tlfon', 'Operator', 'Nanyin', 'Network', 'Tetep', 'Internet', 'Leled', 'YouTube', 'Buffering', 'Open', 'Google', ' Say it ',' report ',' processed ',' tungu ',' UDH ',' BLN ',' Tetep ',' Leled ',' Udh ',' intention ',' compete ',' provider ',' mnding ' , 'ilangin', 'Telkomsel', 'face', 'earth', 'shy', 'in', 'price', 'package', 'expensive', 'speed', 'blood', 'hope', ' Read ',' followed up ', "]</v>
      </c>
      <c r="D939" s="3">
        <v>1.0</v>
      </c>
    </row>
    <row r="940" ht="15.75" customHeight="1">
      <c r="A940" s="1">
        <v>938.0</v>
      </c>
      <c r="B940" s="3" t="s">
        <v>941</v>
      </c>
      <c r="C940" s="3" t="str">
        <f>IFERROR(__xludf.DUMMYFUNCTION("GOOGLETRANSLATE(B940,""id"",""en"")"),"['Telkomsel', 'win', 'name', 'ugly', 'times',' network ',' play ',' mobile ',' legend ',' ugly ',' the network ',' please ',' Repaired ',' sickening ',' ']")</f>
        <v>['Telkomsel', 'win', 'name', 'ugly', 'times',' network ',' play ',' mobile ',' legend ',' ugly ',' the network ',' please ',' Repaired ',' sickening ',' ']</v>
      </c>
      <c r="D940" s="3">
        <v>1.0</v>
      </c>
    </row>
    <row r="941" ht="15.75" customHeight="1">
      <c r="A941" s="1">
        <v>939.0</v>
      </c>
      <c r="B941" s="3" t="s">
        <v>942</v>
      </c>
      <c r="C941" s="3" t="str">
        <f>IFERROR(__xludf.DUMMYFUNCTION("GOOGLETRANSLATE(B941,""id"",""en"")"),"['Gausah', 'Daily', 'check', 'Gamau', 'loss',' price ',' package ',' exorbitant ',' signal ',' bad ',' already ',' bankrupt ',' finger']")</f>
        <v>['Gausah', 'Daily', 'check', 'Gamau', 'loss',' price ',' package ',' exorbitant ',' signal ',' bad ',' already ',' bankrupt ',' finger']</v>
      </c>
      <c r="D941" s="3">
        <v>1.0</v>
      </c>
    </row>
    <row r="942" ht="15.75" customHeight="1">
      <c r="A942" s="1">
        <v>940.0</v>
      </c>
      <c r="B942" s="3" t="s">
        <v>943</v>
      </c>
      <c r="C942" s="3" t="str">
        <f>IFERROR(__xludf.DUMMYFUNCTION("GOOGLETRANSLATE(B942,""id"",""en"")"),"['Fraud', 'Please', 'Sorry', 'already', 'Daily', 'Check', 'Reward', 'Quota', 'GB', 'All', 'Network', 'Claim', ' Credit ',' truncated ',' notification ',' quota ',' enter ',' pulp ', ""]")</f>
        <v>['Fraud', 'Please', 'Sorry', 'already', 'Daily', 'Check', 'Reward', 'Quota', 'GB', 'All', 'Network', 'Claim', ' Credit ',' truncated ',' notification ',' quota ',' enter ',' pulp ', "]</v>
      </c>
      <c r="D942" s="3">
        <v>1.0</v>
      </c>
    </row>
    <row r="943" ht="15.75" customHeight="1">
      <c r="A943" s="1">
        <v>941.0</v>
      </c>
      <c r="B943" s="3" t="s">
        <v>944</v>
      </c>
      <c r="C943" s="3" t="str">
        <f>IFERROR(__xludf.DUMMYFUNCTION("GOOGLETRANSLATE(B943,""id"",""en"")"),"['Basic', 'application', 'extortion', 'Langgsung', 'fill in', 'credit', 'Oorb', 'forget', 'turn it off', 'data', 'ngk', 'minutes',' Credit ',' Langgsung ',' zero ',' Season ',' really ',' Telkomsel ']")</f>
        <v>['Basic', 'application', 'extortion', 'Langgsung', 'fill in', 'credit', 'Oorb', 'forget', 'turn it off', 'data', 'ngk', 'minutes',' Credit ',' Langgsung ',' zero ',' Season ',' really ',' Telkomsel ']</v>
      </c>
      <c r="D943" s="3">
        <v>1.0</v>
      </c>
    </row>
    <row r="944" ht="15.75" customHeight="1">
      <c r="A944" s="1">
        <v>942.0</v>
      </c>
      <c r="B944" s="3" t="s">
        <v>945</v>
      </c>
      <c r="C944" s="3" t="str">
        <f>IFERROR(__xludf.DUMMYFUNCTION("GOOGLETRANSLATE(B944,""id"",""en"")"),"['dilapidated', 'service', 'Telkomsel', 'refresh', 'open', 'slow', 'dilapidated', 'quality', 'good', 'disloyal', 'suck', 'cellphone', ' Overcome ',' Download ',' application ']")</f>
        <v>['dilapidated', 'service', 'Telkomsel', 'refresh', 'open', 'slow', 'dilapidated', 'quality', 'good', 'disloyal', 'suck', 'cellphone', ' Overcome ',' Download ',' application ']</v>
      </c>
      <c r="D944" s="3">
        <v>1.0</v>
      </c>
    </row>
    <row r="945" ht="15.75" customHeight="1">
      <c r="A945" s="1">
        <v>943.0</v>
      </c>
      <c r="B945" s="3" t="s">
        <v>946</v>
      </c>
      <c r="C945" s="3" t="str">
        <f>IFERROR(__xludf.DUMMYFUNCTION("GOOGLETRANSLATE(B945,""id"",""en"")"),"['Network', 'ugly', 'really', 'already', 'desperate', 'buy', 'package', 'expensive', 'expensive', 'network', 'difficult', 'down', ' Prices', 'Packages',' Customize ',' Services', 'Network', 'Closed', 'Skapan', 'People', 'Loss',' ']")</f>
        <v>['Network', 'ugly', 'really', 'already', 'desperate', 'buy', 'package', 'expensive', 'expensive', 'network', 'difficult', 'down', ' Prices', 'Packages',' Customize ',' Services', 'Network', 'Closed', 'Skapan', 'People', 'Loss',' ']</v>
      </c>
      <c r="D945" s="3">
        <v>1.0</v>
      </c>
    </row>
    <row r="946" ht="15.75" customHeight="1">
      <c r="A946" s="1">
        <v>944.0</v>
      </c>
      <c r="B946" s="3" t="s">
        <v>947</v>
      </c>
      <c r="C946" s="3" t="str">
        <f>IFERROR(__xludf.DUMMYFUNCTION("GOOGLETRANSLATE(B946,""id"",""en"")"),"['apk', 'help', 'makes it easy', 'disappointed', 'ligh to', 'Telkomsel', 'please', 'game', 'max', 'fix', 'buy', 'package', ' gamemax ',' use ',' play ',' game ',' package ',' buy ',' redabile ',' access', 'game', 'printed', 'package', '']")</f>
        <v>['apk', 'help', 'makes it easy', 'disappointed', 'ligh to', 'Telkomsel', 'please', 'game', 'max', 'fix', 'buy', 'package', ' gamemax ',' use ',' play ',' game ',' package ',' buy ',' redabile ',' access', 'game', 'printed', 'package', '']</v>
      </c>
      <c r="D946" s="3">
        <v>2.0</v>
      </c>
    </row>
    <row r="947" ht="15.75" customHeight="1">
      <c r="A947" s="1">
        <v>945.0</v>
      </c>
      <c r="B947" s="3" t="s">
        <v>948</v>
      </c>
      <c r="C947" s="3" t="str">
        <f>IFERROR(__xludf.DUMMYFUNCTION("GOOGLETRANSLATE(B947,""id"",""en"")"),"['Star', 'Star', 'Package', 'Gamemax', 'Telkomsel', 'Play', 'Pub', 'Login', 'Doang', 'Package', 'Gamemax', 'already', ' Play ',' pub ',' love ',' Star ', ""]")</f>
        <v>['Star', 'Star', 'Package', 'Gamemax', 'Telkomsel', 'Play', 'Pub', 'Login', 'Doang', 'Package', 'Gamemax', 'already', ' Play ',' pub ',' love ',' Star ', "]</v>
      </c>
      <c r="D947" s="3">
        <v>3.0</v>
      </c>
    </row>
    <row r="948" ht="15.75" customHeight="1">
      <c r="A948" s="1">
        <v>946.0</v>
      </c>
      <c r="B948" s="3" t="s">
        <v>949</v>
      </c>
      <c r="C948" s="3" t="str">
        <f>IFERROR(__xludf.DUMMYFUNCTION("GOOGLETRANSLATE(B948,""id"",""en"")"),"['monthly', 'application', 'difficult', 'no', 'opened', 'login', 'login', 'truuuus',' open ',' mah ',' kaga ',' delete ',' Install ',' reset ',' no ',' uninstall ',' service ',' ngejokelin ',' nich ',' Telkomsel ',' ']")</f>
        <v>['monthly', 'application', 'difficult', 'no', 'opened', 'login', 'login', 'truuuus',' open ',' mah ',' kaga ',' delete ',' Install ',' reset ',' no ',' uninstall ',' service ',' ngejokelin ',' nich ',' Telkomsel ',' ']</v>
      </c>
      <c r="D948" s="3">
        <v>5.0</v>
      </c>
    </row>
    <row r="949" ht="15.75" customHeight="1">
      <c r="A949" s="1">
        <v>947.0</v>
      </c>
      <c r="B949" s="3" t="s">
        <v>950</v>
      </c>
      <c r="C949" s="3" t="str">
        <f>IFERROR(__xludf.DUMMYFUNCTION("GOOGLETRANSLATE(B949,""id"",""en"")"),"['Download', 'Loading', 'Try', 'Loading', 'Network', 'Good', 'Troubled', 'Times',' Download ',' Open it ',' Loading ',' Buy ',' Successful ',' told ',' Waiting ',' Times', 'Application', 'Good', 'Help', 'Performance', 'Decreases',' Please ',' Repaired ', "&amp;"""]")</f>
        <v>['Download', 'Loading', 'Try', 'Loading', 'Network', 'Good', 'Troubled', 'Times',' Download ',' Open it ',' Loading ',' Buy ',' Successful ',' told ',' Waiting ',' Times', 'Application', 'Good', 'Help', 'Performance', 'Decreases',' Please ',' Repaired ', "]</v>
      </c>
      <c r="D949" s="3">
        <v>1.0</v>
      </c>
    </row>
    <row r="950" ht="15.75" customHeight="1">
      <c r="A950" s="1">
        <v>948.0</v>
      </c>
      <c r="B950" s="3" t="s">
        <v>951</v>
      </c>
      <c r="C950" s="3" t="str">
        <f>IFERROR(__xludf.DUMMYFUNCTION("GOOGLETRANSLATE(B950,""id"",""en"")"),"['fenifu', 'quota', 'conference', 'use', 'application', 'zoom', 'sucked', 'quota', 'regular', 'main', 'pulse', 'the next', ' Lost ',' sucked ',' run out ',' quota ',' main ',' active ', ""]")</f>
        <v>['fenifu', 'quota', 'conference', 'use', 'application', 'zoom', 'sucked', 'quota', 'regular', 'main', 'pulse', 'the next', ' Lost ',' sucked ',' run out ',' quota ',' main ',' active ', "]</v>
      </c>
      <c r="D950" s="3">
        <v>1.0</v>
      </c>
    </row>
    <row r="951" ht="15.75" customHeight="1">
      <c r="A951" s="1">
        <v>949.0</v>
      </c>
      <c r="B951" s="3" t="s">
        <v>952</v>
      </c>
      <c r="C951" s="3" t="str">
        <f>IFERROR(__xludf.DUMMYFUNCTION("GOOGLETRANSLATE(B951,""id"",""en"")"),"['Excuse', 'just', 'love', 'Telkomsel', 'reduce', 'nature', 'autism', 'just', 'Kasi', 'info', 'Kasian', 'people', ' Ngeluh ',' signal ',' Telkomsel ',' just ',' nyimakin ',' region ',' doang ',' be used ',' suggestion ',' beg ',' autism ',' less', 'kasian"&amp;"' , 'Provider', 'Ngeluh']")</f>
        <v>['Excuse', 'just', 'love', 'Telkomsel', 'reduce', 'nature', 'autism', 'just', 'Kasi', 'info', 'Kasian', 'people', ' Ngeluh ',' signal ',' Telkomsel ',' just ',' nyimakin ',' region ',' doang ',' be used ',' suggestion ',' beg ',' autism ',' less', 'kasian' , 'Provider', 'Ngeluh']</v>
      </c>
      <c r="D951" s="3">
        <v>1.0</v>
      </c>
    </row>
    <row r="952" ht="15.75" customHeight="1">
      <c r="A952" s="1">
        <v>950.0</v>
      </c>
      <c r="B952" s="3" t="s">
        <v>953</v>
      </c>
      <c r="C952" s="3" t="str">
        <f>IFERROR(__xludf.DUMMYFUNCTION("GOOGLETRANSLATE(B952,""id"",""en"")"),"['Excuse', 'sorry', 'comment', 'package', 'problematic', 'problematic', 'package', 'application', 'Telkomsel', 'user', 'Telkomsel', 'thank you', ' ']")</f>
        <v>['Excuse', 'sorry', 'comment', 'package', 'problematic', 'problematic', 'package', 'application', 'Telkomsel', 'user', 'Telkomsel', 'thank you', ' ']</v>
      </c>
      <c r="D952" s="3">
        <v>5.0</v>
      </c>
    </row>
    <row r="953" ht="15.75" customHeight="1">
      <c r="A953" s="1">
        <v>951.0</v>
      </c>
      <c r="B953" s="3" t="s">
        <v>954</v>
      </c>
      <c r="C953" s="3" t="str">
        <f>IFERROR(__xludf.DUMMYFUNCTION("GOOGLETRANSLATE(B953,""id"",""en"")"),"['System', 'Error', 'How', 'Cook', 'Already', 'Try', 'Activein', 'Voucher', 'Telkomsel', 'Gabisa', 'His writing', 'Sorry', ' system ',' busy ',' Try ',' please ',' repaired ', ""]")</f>
        <v>['System', 'Error', 'How', 'Cook', 'Already', 'Try', 'Activein', 'Voucher', 'Telkomsel', 'Gabisa', 'His writing', 'Sorry', ' system ',' busy ',' Try ',' please ',' repaired ', "]</v>
      </c>
      <c r="D953" s="3">
        <v>1.0</v>
      </c>
    </row>
    <row r="954" ht="15.75" customHeight="1">
      <c r="A954" s="1">
        <v>952.0</v>
      </c>
      <c r="B954" s="3" t="s">
        <v>955</v>
      </c>
      <c r="C954" s="3" t="str">
        <f>IFERROR(__xludf.DUMMYFUNCTION("GOOGLETRANSLATE(B954,""id"",""en"")"),"['application', 'silly', 'buy', 'package', 'gabisa', 'yakali', 'press',' button ',' buy ',' refresh ',' mulu ',' application ',' Emang ',' Becus', 'Kea', 'Gini', ""]")</f>
        <v>['application', 'silly', 'buy', 'package', 'gabisa', 'yakali', 'press',' button ',' buy ',' refresh ',' mulu ',' application ',' Emang ',' Becus', 'Kea', 'Gini', "]</v>
      </c>
      <c r="D954" s="3">
        <v>1.0</v>
      </c>
    </row>
    <row r="955" ht="15.75" customHeight="1">
      <c r="A955" s="1">
        <v>953.0</v>
      </c>
      <c r="B955" s="3" t="s">
        <v>956</v>
      </c>
      <c r="C955" s="3" t="str">
        <f>IFERROR(__xludf.DUMMYFUNCTION("GOOGLETRANSLATE(B955,""id"",""en"")"),"['plis',' security ',' pulse ',' plus', 'package', 'run out', 'expiration', 'pulse', 'suck', 'logic', 'kek', 'me', ' buy ',' quota ',' daily ',' clock ',' noon ',' clock ',' morning ',' run out ',' scorched ',' pulse ',' me ',' imagine ',' position ' , 'I"&amp;"', 'how', 'replace', 'loss',' card ',' axis', 'etc.', 'security', 'where', 'quota', 'finished', 'pulses',' Sumpot ',' said ',' network ',' fast ',' level ',' security ',' safety ',' pulse ',' think ']")</f>
        <v>['plis',' security ',' pulse ',' plus', 'package', 'run out', 'expiration', 'pulse', 'suck', 'logic', 'kek', 'me', ' buy ',' quota ',' daily ',' clock ',' noon ',' clock ',' morning ',' run out ',' scorched ',' pulse ',' me ',' imagine ',' position ' , 'I', 'how', 'replace', 'loss',' card ',' axis', 'etc.', 'security', 'where', 'quota', 'finished', 'pulses',' Sumpot ',' said ',' network ',' fast ',' level ',' security ',' safety ',' pulse ',' think ']</v>
      </c>
      <c r="D955" s="3">
        <v>1.0</v>
      </c>
    </row>
    <row r="956" ht="15.75" customHeight="1">
      <c r="A956" s="1">
        <v>954.0</v>
      </c>
      <c r="B956" s="3" t="s">
        <v>957</v>
      </c>
      <c r="C956" s="3" t="str">
        <f>IFERROR(__xludf.DUMMYFUNCTION("GOOGLETRANSLATE(B956,""id"",""en"")"),"['Bonus', 'Check', 'Report', 'Center', 'Help', 'Response', 'Response', 'Werb', 'Network', 'Teeima', 'Love']")</f>
        <v>['Bonus', 'Check', 'Report', 'Center', 'Help', 'Response', 'Response', 'Werb', 'Network', 'Teeima', 'Love']</v>
      </c>
      <c r="D956" s="3">
        <v>1.0</v>
      </c>
    </row>
    <row r="957" ht="15.75" customHeight="1">
      <c r="A957" s="1">
        <v>955.0</v>
      </c>
      <c r="B957" s="3" t="s">
        <v>958</v>
      </c>
      <c r="C957" s="3" t="str">
        <f>IFERROR(__xludf.DUMMYFUNCTION("GOOGLETRANSLATE(B957,""id"",""en"")"),"['oath', 'disappointed', 'heavy', 'Telkomsel', 'price', 'expensive', 'network', 'bad', 'complete', 'Telkomsel', 'managed', 'loss',' Pahala ',' Holy ',' Ramadhan ',' Pokonya ',' Worst ',' Very ',' Card ', ""]")</f>
        <v>['oath', 'disappointed', 'heavy', 'Telkomsel', 'price', 'expensive', 'network', 'bad', 'complete', 'Telkomsel', 'managed', 'loss',' Pahala ',' Holy ',' Ramadhan ',' Pokonya ',' Worst ',' Very ',' Card ', "]</v>
      </c>
      <c r="D957" s="3">
        <v>1.0</v>
      </c>
    </row>
    <row r="958" ht="15.75" customHeight="1">
      <c r="A958" s="1">
        <v>956.0</v>
      </c>
      <c r="B958" s="3" t="s">
        <v>959</v>
      </c>
      <c r="C958" s="3" t="str">
        <f>IFERROR(__xludf.DUMMYFUNCTION("GOOGLETRANSLATE(B958,""id"",""en"")"),"['APK', 'Telkomsel', 'here', 'Daily', 'Chek', 'Elor', 'Claim', 'Login', 'Collect', 'Quota', 'Voucher', 'Enter', ' ']")</f>
        <v>['APK', 'Telkomsel', 'here', 'Daily', 'Chek', 'Elor', 'Claim', 'Login', 'Collect', 'Quota', 'Voucher', 'Enter', ' ']</v>
      </c>
      <c r="D958" s="3">
        <v>1.0</v>
      </c>
    </row>
    <row r="959" ht="15.75" customHeight="1">
      <c r="A959" s="1">
        <v>957.0</v>
      </c>
      <c r="B959" s="3" t="s">
        <v>960</v>
      </c>
      <c r="C959" s="3" t="str">
        <f>IFERROR(__xludf.DUMMYFUNCTION("GOOGLETRANSLATE(B959,""id"",""en"")"),"['quota', 'unlimited', 'max', 'soschat', 'video', 'gms',' unlimited ',' quota ',' run out ',' no ',' internet ',' so ',' Unlimited ',' name ',' ']")</f>
        <v>['quota', 'unlimited', 'max', 'soschat', 'video', 'gms',' unlimited ',' quota ',' run out ',' no ',' internet ',' so ',' Unlimited ',' name ',' ']</v>
      </c>
      <c r="D959" s="3">
        <v>1.0</v>
      </c>
    </row>
    <row r="960" ht="15.75" customHeight="1">
      <c r="A960" s="1">
        <v>958.0</v>
      </c>
      <c r="B960" s="3" t="s">
        <v>961</v>
      </c>
      <c r="C960" s="3" t="str">
        <f>IFERROR(__xludf.DUMMYFUNCTION("GOOGLETRANSLATE(B960,""id"",""en"")"),"['Not bad', 'bonus', 'check', 'ing', 'promo', 'package', 'out', 'promo', 'GB', 'price', 'price', ""]")</f>
        <v>['Not bad', 'bonus', 'check', 'ing', 'promo', 'package', 'out', 'promo', 'GB', 'price', 'price', "]</v>
      </c>
      <c r="D960" s="3">
        <v>5.0</v>
      </c>
    </row>
    <row r="961" ht="15.75" customHeight="1">
      <c r="A961" s="1">
        <v>959.0</v>
      </c>
      <c r="B961" s="3" t="s">
        <v>962</v>
      </c>
      <c r="C961" s="3" t="str">
        <f>IFERROR(__xludf.DUMMYFUNCTION("GOOGLETRANSLATE(B961,""id"",""en"")"),"['application', 'Yesterday', 'contents',' pulse ',' truzz ',' buy ',' package ',' cheerful ',' GB ',' for ',' automatic ',' pulses', ' Stayed ',' run out ',' internet ',' eat ',' credit ',' buy ',' package ',' trick ',' kek ',' gini ',' truzz ']")</f>
        <v>['application', 'Yesterday', 'contents',' pulse ',' truzz ',' buy ',' package ',' cheerful ',' GB ',' for ',' automatic ',' pulses', ' Stayed ',' run out ',' internet ',' eat ',' credit ',' buy ',' package ',' trick ',' kek ',' gini ',' truzz ']</v>
      </c>
      <c r="D961" s="3">
        <v>1.0</v>
      </c>
    </row>
    <row r="962" ht="15.75" customHeight="1">
      <c r="A962" s="1">
        <v>960.0</v>
      </c>
      <c r="B962" s="3" t="s">
        <v>963</v>
      </c>
      <c r="C962" s="3" t="str">
        <f>IFERROR(__xludf.DUMMYFUNCTION("GOOGLETRANSLATE(B962,""id"",""en"")"),"['Thank you', 'Telkomsel', 'help', 'purchase', 'package', 'promo', 'interesting', 'increase', 'quality', 'trimakasih', ""]")</f>
        <v>['Thank you', 'Telkomsel', 'help', 'purchase', 'package', 'promo', 'interesting', 'increase', 'quality', 'trimakasih', "]</v>
      </c>
      <c r="D962" s="3">
        <v>5.0</v>
      </c>
    </row>
    <row r="963" ht="15.75" customHeight="1">
      <c r="A963" s="1">
        <v>961.0</v>
      </c>
      <c r="B963" s="3" t="s">
        <v>964</v>
      </c>
      <c r="C963" s="3" t="str">
        <f>IFERROR(__xludf.DUMMYFUNCTION("GOOGLETRANSLATE(B963,""id"",""en"")"),"['application', 'Telkomsel', 'aka', 'broken', 'tlg', 'application', '']")</f>
        <v>['application', 'Telkomsel', 'aka', 'broken', 'tlg', 'application', '']</v>
      </c>
      <c r="D963" s="3">
        <v>1.0</v>
      </c>
    </row>
    <row r="964" ht="15.75" customHeight="1">
      <c r="A964" s="1">
        <v>962.0</v>
      </c>
      <c r="B964" s="3" t="s">
        <v>965</v>
      </c>
      <c r="C964" s="3" t="str">
        <f>IFERROR(__xludf.DUMMYFUNCTION("GOOGLETRANSLATE(B964,""id"",""en"")"),"['Please', 'Region', 'Cinere', 'Dragus',' The Network ',' Class', 'Telkomsel', 'Lost', 'Network', 'Thre', 'Rich', 'Gini', ' Change ',' card ',' Ajalah ',' Package ',' Ama ',' Package ',' Thre ',' Different ',' Price ',' Kasi ',' Masi ',' Kaegini ',' Stop "&amp;"' , 'Customer', 'Telkomsel', '']")</f>
        <v>['Please', 'Region', 'Cinere', 'Dragus',' The Network ',' Class', 'Telkomsel', 'Lost', 'Network', 'Thre', 'Rich', 'Gini', ' Change ',' card ',' Ajalah ',' Package ',' Ama ',' Package ',' Thre ',' Different ',' Price ',' Kasi ',' Masi ',' Kaegini ',' Stop ' , 'Customer', 'Telkomsel', '']</v>
      </c>
      <c r="D964" s="3">
        <v>2.0</v>
      </c>
    </row>
    <row r="965" ht="15.75" customHeight="1">
      <c r="A965" s="1">
        <v>963.0</v>
      </c>
      <c r="B965" s="3" t="s">
        <v>966</v>
      </c>
      <c r="C965" s="3" t="str">
        <f>IFERROR(__xludf.DUMMYFUNCTION("GOOGLETRANSLATE(B965,""id"",""en"")"),"['APK', 'SNGT', 'satisfying', 'Login', 'Mnta', 'Verif', 'troublesome', 'Useful', 'bot', 'as great', 'provider', 'neighbor', ' Miris', 'LBH', 'obsolete', 'APK']")</f>
        <v>['APK', 'SNGT', 'satisfying', 'Login', 'Mnta', 'Verif', 'troublesome', 'Useful', 'bot', 'as great', 'provider', 'neighbor', ' Miris', 'LBH', 'obsolete', 'APK']</v>
      </c>
      <c r="D965" s="3">
        <v>1.0</v>
      </c>
    </row>
    <row r="966" ht="15.75" customHeight="1">
      <c r="A966" s="1">
        <v>964.0</v>
      </c>
      <c r="B966" s="3" t="s">
        <v>967</v>
      </c>
      <c r="C966" s="3" t="str">
        <f>IFERROR(__xludf.DUMMYFUNCTION("GOOGLETRANSLATE(B966,""id"",""en"")"),"['The application', 'error', 'network', 'stable', 'right', 'enter', 'APK', 'network', 'stable', 'right', 'daily', 'check', ' How ',' Min ',' Please ',' Help ',' ']")</f>
        <v>['The application', 'error', 'network', 'stable', 'right', 'enter', 'APK', 'network', 'stable', 'right', 'daily', 'check', ' How ',' Min ',' Please ',' Help ',' ']</v>
      </c>
      <c r="D966" s="3">
        <v>3.0</v>
      </c>
    </row>
    <row r="967" ht="15.75" customHeight="1">
      <c r="A967" s="1">
        <v>965.0</v>
      </c>
      <c r="B967" s="3" t="s">
        <v>968</v>
      </c>
      <c r="C967" s="3" t="str">
        <f>IFERROR(__xludf.DUMMYFUNCTION("GOOGLETRANSLATE(B967,""id"",""en"")"),"['Sis',' Sorry ',' ask ',' buy ',' package ',' internet ',' GB ',' package ',' smooth ',' right ',' enter ',' game ',' Nge ',' lag ',' oath ',' ngegulating ',' really ',' play ',' restart ',' cellphone ']")</f>
        <v>['Sis',' Sorry ',' ask ',' buy ',' package ',' internet ',' GB ',' package ',' smooth ',' right ',' enter ',' game ',' Nge ',' lag ',' oath ',' ngegulating ',' really ',' play ',' restart ',' cellphone ']</v>
      </c>
      <c r="D967" s="3">
        <v>3.0</v>
      </c>
    </row>
    <row r="968" ht="15.75" customHeight="1">
      <c r="A968" s="1">
        <v>966.0</v>
      </c>
      <c r="B968" s="3" t="s">
        <v>969</v>
      </c>
      <c r="C968" s="3" t="str">
        <f>IFERROR(__xludf.DUMMYFUNCTION("GOOGLETRANSLATE(B968,""id"",""en"")"),"['Stupid', 'Application', 'Open', 'Asik', 'Load', 'Ulaang', 'Package', 'Promo', 'Kantel', 'Description', 'Process',' Booooooo ',' BoooDooo ',' ']")</f>
        <v>['Stupid', 'Application', 'Open', 'Asik', 'Load', 'Ulaang', 'Package', 'Promo', 'Kantel', 'Description', 'Process',' Booooooo ',' BoooDooo ',' ']</v>
      </c>
      <c r="D968" s="3">
        <v>1.0</v>
      </c>
    </row>
    <row r="969" ht="15.75" customHeight="1">
      <c r="A969" s="1">
        <v>967.0</v>
      </c>
      <c r="B969" s="3" t="s">
        <v>970</v>
      </c>
      <c r="C969" s="3" t="str">
        <f>IFERROR(__xludf.DUMMYFUNCTION("GOOGLETRANSLATE(B969,""id"",""en"")"),"['special', 'user', 'game', 'online', 'mending', 'moved', 'card', 'signal', 'Telkomsel', 'Severe', 'broken', 'add', ' Severe ',' signal ',' ngilance ',' strange ',' doang ',' here ',' kapok ',' buy ',' package ',' rb ']")</f>
        <v>['special', 'user', 'game', 'online', 'mending', 'moved', 'card', 'signal', 'Telkomsel', 'Severe', 'broken', 'add', ' Severe ',' signal ',' ngilance ',' strange ',' doang ',' here ',' kapok ',' buy ',' package ',' rb ']</v>
      </c>
      <c r="D969" s="3">
        <v>1.0</v>
      </c>
    </row>
    <row r="970" ht="15.75" customHeight="1">
      <c r="A970" s="1">
        <v>968.0</v>
      </c>
      <c r="B970" s="3" t="s">
        <v>971</v>
      </c>
      <c r="C970" s="3" t="str">
        <f>IFERROR(__xludf.DUMMYFUNCTION("GOOGLETRANSLATE(B970,""id"",""en"")"),"['Item', 'expensive', 'goods',' quality ',' good ',' because ',' money ',' money ',' lie ',' times', 'money', 'ngebohyin', ' package ',' quota ',' expensive ',' quality ',' poor ',' fixs', 'disappointed', 'cave']")</f>
        <v>['Item', 'expensive', 'goods',' quality ',' good ',' because ',' money ',' money ',' lie ',' times', 'money', 'ngebohyin', ' package ',' quota ',' expensive ',' quality ',' poor ',' fixs', 'disappointed', 'cave']</v>
      </c>
      <c r="D970" s="3">
        <v>1.0</v>
      </c>
    </row>
    <row r="971" ht="15.75" customHeight="1">
      <c r="A971" s="1">
        <v>969.0</v>
      </c>
      <c r="B971" s="3" t="s">
        <v>972</v>
      </c>
      <c r="C971" s="3" t="str">
        <f>IFERROR(__xludf.DUMMYFUNCTION("GOOGLETRANSLATE(B971,""id"",""en"")"),"['Telkomsel', 'Good', 'Package', 'Sya', 'GB', 'Original', 'Season', 'Network', 'Nidak', 'The difference', 'Sya', 'call', ' operator ',' told ',' mode ',' plane ',' then ',' tetep ',' no ',' then ',' card ',' problem ',' taaaeeekkkklahhh ',' answer ',' con"&amp;"voluted ' , 'butt', ""]")</f>
        <v>['Telkomsel', 'Good', 'Package', 'Sya', 'GB', 'Original', 'Season', 'Network', 'Nidak', 'The difference', 'Sya', 'call', ' operator ',' told ',' mode ',' plane ',' then ',' tetep ',' no ',' then ',' card ',' problem ',' taaaeeekkkklahhh ',' answer ',' convoluted ' , 'butt', "]</v>
      </c>
      <c r="D971" s="3">
        <v>1.0</v>
      </c>
    </row>
    <row r="972" ht="15.75" customHeight="1">
      <c r="A972" s="1">
        <v>970.0</v>
      </c>
      <c r="B972" s="3" t="s">
        <v>973</v>
      </c>
      <c r="C972" s="3" t="str">
        <f>IFERROR(__xludf.DUMMYFUNCTION("GOOGLETRANSLATE(B972,""id"",""en"")"),"['lag', 'times',' matched ',' Nge ',' Game ',' Over ',' Use ',' Network ',' Nasty ',' Emotion ',' Discard ',' Discard ',' money ',' buy ',' package ',' play ',' emotions', 'uda', 'team', 'kid', 'ngellag', 'fantasy', 'want', 'banging', 'people' ]")</f>
        <v>['lag', 'times',' matched ',' Nge ',' Game ',' Over ',' Use ',' Network ',' Nasty ',' Emotion ',' Discard ',' Discard ',' money ',' buy ',' package ',' play ',' emotions', 'uda', 'team', 'kid', 'ngellag', 'fantasy', 'want', 'banging', 'people' ]</v>
      </c>
      <c r="D972" s="3">
        <v>1.0</v>
      </c>
    </row>
    <row r="973" ht="15.75" customHeight="1">
      <c r="A973" s="1">
        <v>971.0</v>
      </c>
      <c r="B973" s="3" t="s">
        <v>974</v>
      </c>
      <c r="C973" s="3" t="str">
        <f>IFERROR(__xludf.DUMMYFUNCTION("GOOGLETRANSLATE(B973,""id"",""en"")"),"['Registered', 'right', 'check', 'quota', 'log', 'right', 'send', 'link', 'lwat', 'sms',' none ',' sms', ' Link ',' cellphone ',' ']")</f>
        <v>['Registered', 'right', 'check', 'quota', 'log', 'right', 'send', 'link', 'lwat', 'sms',' none ',' sms', ' Link ',' cellphone ',' ']</v>
      </c>
      <c r="D973" s="3">
        <v>1.0</v>
      </c>
    </row>
    <row r="974" ht="15.75" customHeight="1">
      <c r="A974" s="1">
        <v>972.0</v>
      </c>
      <c r="B974" s="3" t="s">
        <v>975</v>
      </c>
      <c r="C974" s="3" t="str">
        <f>IFERROR(__xludf.DUMMYFUNCTION("GOOGLETRANSLATE(B974,""id"",""en"")"),"['Here', 'Network', 'Telkomsel', 'Slow', 'Please', 'Repaired', 'Customer', 'Disappointed', 'Truss',' Hopefully ',' Telkomsel ',' Forward ',' In the future ',' Trims', ""]")</f>
        <v>['Here', 'Network', 'Telkomsel', 'Slow', 'Please', 'Repaired', 'Customer', 'Disappointed', 'Truss',' Hopefully ',' Telkomsel ',' Forward ',' In the future ',' Trims', "]</v>
      </c>
      <c r="D974" s="3">
        <v>3.0</v>
      </c>
    </row>
    <row r="975" ht="15.75" customHeight="1">
      <c r="A975" s="1">
        <v>973.0</v>
      </c>
      <c r="B975" s="3" t="s">
        <v>976</v>
      </c>
      <c r="C975" s="3" t="str">
        <f>IFERROR(__xludf.DUMMYFUNCTION("GOOGLETRANSLATE(B975,""id"",""en"")"),"['', 'operator', 'network', 'TelkomTod', 'disorder', 'rustic', 'feel', 'price', 'package', 'expensive', 'according to', 'economy', 'package ',' Daily ',' cheap ',' quality ',' network ',' play ',' games', 'TelkomTod', 'Hujad', 'Caci', 'Maki', 'disorder', "&amp;"'TNX', '']")</f>
        <v>['', 'operator', 'network', 'TelkomTod', 'disorder', 'rustic', 'feel', 'price', 'package', 'expensive', 'according to', 'economy', 'package ',' Daily ',' cheap ',' quality ',' network ',' play ',' games', 'TelkomTod', 'Hujad', 'Caci', 'Maki', 'disorder', 'TNX', '']</v>
      </c>
      <c r="D975" s="3">
        <v>1.0</v>
      </c>
    </row>
    <row r="976" ht="15.75" customHeight="1">
      <c r="A976" s="1">
        <v>974.0</v>
      </c>
      <c r="B976" s="3" t="s">
        <v>977</v>
      </c>
      <c r="C976" s="3" t="str">
        <f>IFERROR(__xludf.DUMMYFUNCTION("GOOGLETRANSLATE(B976,""id"",""en"")"),"['Error', 'what', 'buy', 'package', 'promo', 'udh', 'buy', 'package', 'promo', 'vain', 'sia', 'buy', ' Credit ',' Disappointed ']")</f>
        <v>['Error', 'what', 'buy', 'package', 'promo', 'udh', 'buy', 'package', 'promo', 'vain', 'sia', 'buy', ' Credit ',' Disappointed ']</v>
      </c>
      <c r="D976" s="3">
        <v>2.0</v>
      </c>
    </row>
    <row r="977" ht="15.75" customHeight="1">
      <c r="A977" s="1">
        <v>975.0</v>
      </c>
      <c r="B977" s="3" t="s">
        <v>978</v>
      </c>
      <c r="C977" s="3" t="str">
        <f>IFERROR(__xludf.DUMMYFUNCTION("GOOGLETRANSLATE(B977,""id"",""en"")"),"['Hello', 'Telkomsel', 'network', 'slow', 'network', 'Telkomsel', 'silent', 'salary', 'blind', 'fix', 'customer', 'pay', ' Wacana ',' reply ',' chat ',' Telkomsel ',' Play ',' Store ']")</f>
        <v>['Hello', 'Telkomsel', 'network', 'slow', 'network', 'Telkomsel', 'silent', 'salary', 'blind', 'fix', 'customer', 'pay', ' Wacana ',' reply ',' chat ',' Telkomsel ',' Play ',' Store ']</v>
      </c>
      <c r="D977" s="3">
        <v>1.0</v>
      </c>
    </row>
    <row r="978" ht="15.75" customHeight="1">
      <c r="A978" s="1">
        <v>976.0</v>
      </c>
      <c r="B978" s="3" t="s">
        <v>979</v>
      </c>
      <c r="C978" s="3" t="str">
        <f>IFERROR(__xludf.DUMMYFUNCTION("GOOGLETRANSLATE(B978,""id"",""en"")"),"['', 'special', 'cheerful', 'GB', 'RB', 'buy', 'process',' ampe ',' full moon ',' hadeehhh ',' tsel ',' emang ',' like ',' Semena ',' mentang ',' SIM ',' Uda ',' entered ',' criteria ',' dpat ',' promo ',' appeared ',' donk ',' promo ',' sdg ', 'Dlm', 'pr"&amp;"ogress', 'package', 'data', 'tsel', 'expensive', 'promo', 'kyak', 'cheerful', 'mending', 'provider', '']")</f>
        <v>['', 'special', 'cheerful', 'GB', 'RB', 'buy', 'process',' ampe ',' full moon ',' hadeehhh ',' tsel ',' emang ',' like ',' Semena ',' mentang ',' SIM ',' Uda ',' entered ',' criteria ',' dpat ',' promo ',' appeared ',' donk ',' promo ',' sdg ', 'Dlm', 'progress', 'package', 'data', 'tsel', 'expensive', 'promo', 'kyak', 'cheerful', 'mending', 'provider', '']</v>
      </c>
      <c r="D978" s="3">
        <v>1.0</v>
      </c>
    </row>
    <row r="979" ht="15.75" customHeight="1">
      <c r="A979" s="1">
        <v>977.0</v>
      </c>
      <c r="B979" s="3" t="s">
        <v>980</v>
      </c>
      <c r="C979" s="3" t="str">
        <f>IFERROR(__xludf.DUMMYFUNCTION("GOOGLETRANSLATE(B979,""id"",""en"")"),"['convenience', 'use', 'Since', 'Makai', 'APK', 'MyTelkomsel', 'Easy', 'Easy', 'Dlm', 'Buy', 'Package', 'Easy', ' Check ',' contents', 'card', 'kouta', 'free', 'check', 'signal', 'network', 'area', 'smooth', 'smooth', 'prah', 'slow' , 'Trima', 'ksh', 'myt"&amp;"elkomsel']")</f>
        <v>['convenience', 'use', 'Since', 'Makai', 'APK', 'MyTelkomsel', 'Easy', 'Easy', 'Dlm', 'Buy', 'Package', 'Easy', ' Check ',' contents', 'card', 'kouta', 'free', 'check', 'signal', 'network', 'area', 'smooth', 'smooth', 'prah', 'slow' , 'Trima', 'ksh', 'mytelkomsel']</v>
      </c>
      <c r="D979" s="3">
        <v>5.0</v>
      </c>
    </row>
    <row r="980" ht="15.75" customHeight="1">
      <c r="A980" s="1">
        <v>978.0</v>
      </c>
      <c r="B980" s="3" t="s">
        <v>981</v>
      </c>
      <c r="C980" s="3" t="str">
        <f>IFERROR(__xludf.DUMMYFUNCTION("GOOGLETRANSLATE(B980,""id"",""en"")"),"['told', 'Download', 'Telkomsel', 'Uninstall', 'Install', 'Uninstall', 'LGI', 'ehh', 'Login', 'sendin', 'via', 'sms',' Click ',' Link ',' Invalid ',' Severe ',' Very ',' The Application ']")</f>
        <v>['told', 'Download', 'Telkomsel', 'Uninstall', 'Install', 'Uninstall', 'LGI', 'ehh', 'Login', 'sendin', 'via', 'sms',' Click ',' Link ',' Invalid ',' Severe ',' Very ',' The Application ']</v>
      </c>
      <c r="D980" s="3">
        <v>1.0</v>
      </c>
    </row>
    <row r="981" ht="15.75" customHeight="1">
      <c r="A981" s="1">
        <v>979.0</v>
      </c>
      <c r="B981" s="3" t="s">
        <v>982</v>
      </c>
      <c r="C981" s="3" t="str">
        <f>IFERROR(__xludf.DUMMYFUNCTION("GOOGLETRANSLATE(B981,""id"",""en"")"),"['idiot', 'signal', 'kagak', 'google', 'meet', 'mulu', 'send', 'chat', 'difficult', 'browsing', 'difficult', 'streaming', ' difficult ',' use ',' idiot ',' expensive ',' doang ',' development ',' gave ',' rating ',' star ',' minus', 'cave', 'love']")</f>
        <v>['idiot', 'signal', 'kagak', 'google', 'meet', 'mulu', 'send', 'chat', 'difficult', 'browsing', 'difficult', 'streaming', ' difficult ',' use ',' idiot ',' expensive ',' doang ',' development ',' gave ',' rating ',' star ',' minus', 'cave', 'love']</v>
      </c>
      <c r="D981" s="3">
        <v>1.0</v>
      </c>
    </row>
    <row r="982" ht="15.75" customHeight="1">
      <c r="A982" s="1">
        <v>980.0</v>
      </c>
      <c r="B982" s="3" t="s">
        <v>983</v>
      </c>
      <c r="C982" s="3" t="str">
        <f>IFERROR(__xludf.DUMMYFUNCTION("GOOGLETRANSLATE(B982,""id"",""en"")"),"['fill', 'credit', 'pulses',' ilang ',' no ',' time ',' pulse ',' ilang ',' regret ',' fill ',' pulse ',' it's better ',' Change ',' card ',' right ',' developer ',' love ',' solution ', ""]")</f>
        <v>['fill', 'credit', 'pulses',' ilang ',' no ',' time ',' pulse ',' ilang ',' regret ',' fill ',' pulse ',' it's better ',' Change ',' card ',' right ',' developer ',' love ',' solution ', "]</v>
      </c>
      <c r="D982" s="3">
        <v>1.0</v>
      </c>
    </row>
    <row r="983" ht="15.75" customHeight="1">
      <c r="A983" s="1">
        <v>981.0</v>
      </c>
      <c r="B983" s="3" t="s">
        <v>984</v>
      </c>
      <c r="C983" s="3" t="str">
        <f>IFERROR(__xludf.DUMMYFUNCTION("GOOGLETRANSLATE(B983,""id"",""en"")"),"['quota', 'run out', 'the enactment', 'promo', 'cheap', 'right', 'quota', 'run out', 'validated', 'price', 'quota', 'direct', ' Auto ',' Mehong ',' Horrified ',' AUTO ',' IM ',' ']")</f>
        <v>['quota', 'run out', 'the enactment', 'promo', 'cheap', 'right', 'quota', 'run out', 'validated', 'price', 'quota', 'direct', ' Auto ',' Mehong ',' Horrified ',' AUTO ',' IM ',' ']</v>
      </c>
      <c r="D983" s="3">
        <v>1.0</v>
      </c>
    </row>
    <row r="984" ht="15.75" customHeight="1">
      <c r="A984" s="1">
        <v>982.0</v>
      </c>
      <c r="B984" s="3" t="s">
        <v>985</v>
      </c>
      <c r="C984" s="3" t="str">
        <f>IFERROR(__xludf.DUMMYFUNCTION("GOOGLETRANSLATE(B984,""id"",""en"")"),"['ugly', 'the application', 'signal', 'cellphone', 'bar', 'open', 'story', 'muter', 'watch', 'youtube', 'buffering', 'no', ' Netting ',' Price ',' UDH ',' Cheap ',' Quality ',' Connection ',' Cheap ',' ']")</f>
        <v>['ugly', 'the application', 'signal', 'cellphone', 'bar', 'open', 'story', 'muter', 'watch', 'youtube', 'buffering', 'no', ' Netting ',' Price ',' UDH ',' Cheap ',' Quality ',' Connection ',' Cheap ',' ']</v>
      </c>
      <c r="D984" s="3">
        <v>1.0</v>
      </c>
    </row>
    <row r="985" ht="15.75" customHeight="1">
      <c r="A985" s="1">
        <v>983.0</v>
      </c>
      <c r="B985" s="3" t="s">
        <v>986</v>
      </c>
      <c r="C985" s="3" t="str">
        <f>IFERROR(__xludf.DUMMYFUNCTION("GOOGLETRANSLATE(B985,""id"",""en"")"),"['Telkomsel', 'emang', 'provider', 'haram', 'friendly', 'yes',' quota ',' kemdikbud ',' subsidy ',' filled ',' pulse ',' pulses', ' Direct ',' run out ',' Dihatain ',' Data ',' yes', 'privider', 'ngemis',' ngemis', 'coffers',' pundi ',' rupiah ',' rich ',"&amp;"' that's' , 'shy', 'already', 'wasteful', 'network', 'stable', 'thief', 'pulse', 'different', 'tri', 'features',' save ',' pulses', ' quota ',' out ',' take ',' pulse ',' already ',' play ',' game ',' stable ',' network ',' bar ',' stable ',' TSL ', ""]")</f>
        <v>['Telkomsel', 'emang', 'provider', 'haram', 'friendly', 'yes',' quota ',' kemdikbud ',' subsidy ',' filled ',' pulse ',' pulses', ' Direct ',' run out ',' Dihatain ',' Data ',' yes', 'privider', 'ngemis',' ngemis', 'coffers',' pundi ',' rupiah ',' rich ',' that's' , 'shy', 'already', 'wasteful', 'network', 'stable', 'thief', 'pulse', 'different', 'tri', 'features',' save ',' pulses', ' quota ',' out ',' take ',' pulse ',' already ',' play ',' game ',' stable ',' network ',' bar ',' stable ',' TSL ', "]</v>
      </c>
      <c r="D985" s="3">
        <v>1.0</v>
      </c>
    </row>
    <row r="986" ht="15.75" customHeight="1">
      <c r="A986" s="1">
        <v>984.0</v>
      </c>
      <c r="B986" s="3" t="s">
        <v>987</v>
      </c>
      <c r="C986" s="3" t="str">
        <f>IFERROR(__xludf.DUMMYFUNCTION("GOOGLETRANSLATE(B986,""id"",""en"")"),"['Honey', 'company', 'robbers', 'program', 'offered', 'to' you ',' tube ',' unlimited ',' buy ',' success ',' use ',' a day ',' tomorrow ',' used ',' pulse ',' leftover ',' robbed ',' run out ',' lived ',' rupiah ',' heart ',' lho ',' business', 'the worl"&amp;"d' , 'Stlh', 'finish', '']")</f>
        <v>['Honey', 'company', 'robbers', 'program', 'offered', 'to' you ',' tube ',' unlimited ',' buy ',' success ',' use ',' a day ',' tomorrow ',' used ',' pulse ',' leftover ',' robbed ',' run out ',' lived ',' rupiah ',' heart ',' lho ',' business', 'the world' , 'Stlh', 'finish', '']</v>
      </c>
      <c r="D986" s="3">
        <v>1.0</v>
      </c>
    </row>
    <row r="987" ht="15.75" customHeight="1">
      <c r="A987" s="1">
        <v>985.0</v>
      </c>
      <c r="B987" s="3" t="s">
        <v>988</v>
      </c>
      <c r="C987" s="3" t="str">
        <f>IFERROR(__xludf.DUMMYFUNCTION("GOOGLETRANSLATE(B987,""id"",""en"")"),"['Application', 'enter', 'UDH', 'enter', 'number', 'PKE', 'number', 'Jga', 'ngeselin', 'really']")</f>
        <v>['Application', 'enter', 'UDH', 'enter', 'number', 'PKE', 'number', 'Jga', 'ngeselin', 'really']</v>
      </c>
      <c r="D987" s="3">
        <v>1.0</v>
      </c>
    </row>
    <row r="988" ht="15.75" customHeight="1">
      <c r="A988" s="1">
        <v>986.0</v>
      </c>
      <c r="B988" s="3" t="s">
        <v>989</v>
      </c>
      <c r="C988" s="3" t="str">
        <f>IFERROR(__xludf.DUMMYFUNCTION("GOOGLETRANSLATE(B988,""id"",""en"")"),"['Credit', 'Reduced', 'Package', 'Kouta', 'Fraud', 'Credit', 'Detinent', 'Koutaa', 'Used', 'Already', 'No', 'Package', ' Telkomsel ',' I ',' Bye ']")</f>
        <v>['Credit', 'Reduced', 'Package', 'Kouta', 'Fraud', 'Credit', 'Detinent', 'Koutaa', 'Used', 'Already', 'No', 'Package', ' Telkomsel ',' I ',' Bye ']</v>
      </c>
      <c r="D988" s="3">
        <v>1.0</v>
      </c>
    </row>
    <row r="989" ht="15.75" customHeight="1">
      <c r="A989" s="1">
        <v>987.0</v>
      </c>
      <c r="B989" s="3" t="s">
        <v>990</v>
      </c>
      <c r="C989" s="3" t="str">
        <f>IFERROR(__xludf.DUMMYFUNCTION("GOOGLETRANSLATE(B989,""id"",""en"")"),"['Sorry', 'Min', 'Min', 'Read', 'Language', 'Language', 'BHS', 'English', 'Please', 'Present', 'Language', 'Indonesia' application ',' read ',' understand ',' application ',' sorry ',' min ',' love ',' star ',' star ',' probably ',' bhs', 'Indonesia', '']")</f>
        <v>['Sorry', 'Min', 'Min', 'Read', 'Language', 'Language', 'BHS', 'English', 'Please', 'Present', 'Language', 'Indonesia' application ',' read ',' understand ',' application ',' sorry ',' min ',' love ',' star ',' star ',' probably ',' bhs', 'Indonesia', '']</v>
      </c>
      <c r="D989" s="3">
        <v>3.0</v>
      </c>
    </row>
    <row r="990" ht="15.75" customHeight="1">
      <c r="A990" s="1">
        <v>988.0</v>
      </c>
      <c r="B990" s="3" t="s">
        <v>991</v>
      </c>
      <c r="C990" s="3" t="str">
        <f>IFERROR(__xludf.DUMMYFUNCTION("GOOGLETRANSLATE(B990,""id"",""en"")"),"['connection', 'rotten', 'equivalent', 'provider', 'expensive', 'contents',' voucher ',' quota ',' disorder ',' mulu ',' right ',' telkomshit ',' Come ',' ugly ',' connection ',' internet ',' kayak ',' provider ',' amateur ']")</f>
        <v>['connection', 'rotten', 'equivalent', 'provider', 'expensive', 'contents',' voucher ',' quota ',' disorder ',' mulu ',' right ',' telkomshit ',' Come ',' ugly ',' connection ',' internet ',' kayak ',' provider ',' amateur ']</v>
      </c>
      <c r="D990" s="3">
        <v>1.0</v>
      </c>
    </row>
    <row r="991" ht="15.75" customHeight="1">
      <c r="A991" s="1">
        <v>989.0</v>
      </c>
      <c r="B991" s="3" t="s">
        <v>992</v>
      </c>
      <c r="C991" s="3" t="str">
        <f>IFERROR(__xludf.DUMMYFUNCTION("GOOGLETRANSLATE(B991,""id"",""en"")"),"['Application', 'Update', 'Quality', 'Trash', 'Eat', 'Kouta', 'Try', 'Telkomsel', 'Learning', 'Service', 'Decent', 'Customer', ' Light ',' SNGT ',' Disappointed ',' Telkomsel ',' Place ',' Network ',' Telkomsel ',' Praying ',' Makai ',' Telkomsel ',' Chan"&amp;"ge ',' Improvement ',' Service ' , 'Acceleration', 'network', 'consistency', 'service']")</f>
        <v>['Application', 'Update', 'Quality', 'Trash', 'Eat', 'Kouta', 'Try', 'Telkomsel', 'Learning', 'Service', 'Decent', 'Customer', ' Light ',' SNGT ',' Disappointed ',' Telkomsel ',' Place ',' Network ',' Telkomsel ',' Praying ',' Makai ',' Telkomsel ',' Change ',' Improvement ',' Service ' , 'Acceleration', 'network', 'consistency', 'service']</v>
      </c>
      <c r="D991" s="3">
        <v>1.0</v>
      </c>
    </row>
    <row r="992" ht="15.75" customHeight="1">
      <c r="A992" s="1">
        <v>990.0</v>
      </c>
      <c r="B992" s="3" t="s">
        <v>993</v>
      </c>
      <c r="C992" s="3" t="str">
        <f>IFERROR(__xludf.DUMMYFUNCTION("GOOGLETRANSLATE(B992,""id"",""en"")"),"['Telkomsel', 'strange', 'already', 'signal', 'ugly', 'quota', 'expensive', 'strange', 'pulse', 'right', 'buy', 'quota', ' The message ',' pulses', 'sufficient', 'weird', 'bin', 'magically', 'check', 'credit', 'sufficient', 'buy', 'quota', 'ngak', 'ngak' "&amp;", 'Service', 'Telkomsel', 'Ekerkuran', 'Pelaya', ""]")</f>
        <v>['Telkomsel', 'strange', 'already', 'signal', 'ugly', 'quota', 'expensive', 'strange', 'pulse', 'right', 'buy', 'quota', ' The message ',' pulses', 'sufficient', 'weird', 'bin', 'magically', 'check', 'credit', 'sufficient', 'buy', 'quota', 'ngak', 'ngak' , 'Service', 'Telkomsel', 'Ekerkuran', 'Pelaya', "]</v>
      </c>
      <c r="D992" s="3">
        <v>1.0</v>
      </c>
    </row>
    <row r="993" ht="15.75" customHeight="1">
      <c r="A993" s="1">
        <v>991.0</v>
      </c>
      <c r="B993" s="3" t="s">
        <v>994</v>
      </c>
      <c r="C993" s="3" t="str">
        <f>IFERROR(__xludf.DUMMYFUNCTION("GOOGLETRANSLATE(B993,""id"",""en"")"),"['Credit', 'cave', 'debt', 'buyin', 'package', 'failure', 'mulu', 'how', 'back', 'pulse', 'please', 'udh', ' cards', 'expensive', 'disappointed', 'really']")</f>
        <v>['Credit', 'cave', 'debt', 'buyin', 'package', 'failure', 'mulu', 'how', 'back', 'pulse', 'please', 'udh', ' cards', 'expensive', 'disappointed', 'really']</v>
      </c>
      <c r="D993" s="3">
        <v>1.0</v>
      </c>
    </row>
    <row r="994" ht="15.75" customHeight="1">
      <c r="A994" s="1">
        <v>992.0</v>
      </c>
      <c r="B994" s="3" t="s">
        <v>995</v>
      </c>
      <c r="C994" s="3" t="str">
        <f>IFERROR(__xludf.DUMMYFUNCTION("GOOGLETRANSLATE(B994,""id"",""en"")"),"['Telkomsel', 'Customer', 'Telkomsel', 'Telkomsel', 'Network', 'Good', 'Betah', 'Use', 'Since', 'Substitution', 'Telkomsel', 'Sousy', ' slow ',' really ',' difficult ',' zoom ',' meeting ',' Come on ',' Telkomsel ',' repay ',' Kek ',' The network ',' Gini"&amp;" ',' then ',' Ajah ' , 'tri', 'axis', 'then', 'better', 'replace', 'card', 'deh']")</f>
        <v>['Telkomsel', 'Customer', 'Telkomsel', 'Telkomsel', 'Network', 'Good', 'Betah', 'Use', 'Since', 'Substitution', 'Telkomsel', 'Sousy', ' slow ',' really ',' difficult ',' zoom ',' meeting ',' Come on ',' Telkomsel ',' repay ',' Kek ',' The network ',' Gini ',' then ',' Ajah ' , 'tri', 'axis', 'then', 'better', 'replace', 'card', 'deh']</v>
      </c>
      <c r="D994" s="3">
        <v>1.0</v>
      </c>
    </row>
    <row r="995" ht="15.75" customHeight="1">
      <c r="A995" s="1">
        <v>993.0</v>
      </c>
      <c r="B995" s="3" t="s">
        <v>996</v>
      </c>
      <c r="C995" s="3" t="str">
        <f>IFERROR(__xludf.DUMMYFUNCTION("GOOGLETRANSLATE(B995,""id"",""en"")"),"['Sympathy', 'Bad', 'Network', 'Region', 'Bandung', 'Cimahi', 'Thn', 'Please', 'Price', 'Package', 'Internet', ' The network is', 'Badkkkkkkkkk', 'ATIIIIIIIIII', '']")</f>
        <v>['Sympathy', 'Bad', 'Network', 'Region', 'Bandung', 'Cimahi', 'Thn', 'Please', 'Price', 'Package', 'Internet', ' The network is', 'Badkkkkkkkkk', 'ATIIIIIIIIII', '']</v>
      </c>
      <c r="D995" s="3">
        <v>1.0</v>
      </c>
    </row>
    <row r="996" ht="15.75" customHeight="1">
      <c r="A996" s="1">
        <v>994.0</v>
      </c>
      <c r="B996" s="3" t="s">
        <v>997</v>
      </c>
      <c r="C996" s="3" t="str">
        <f>IFERROR(__xludf.DUMMYFUNCTION("GOOGLETRANSLATE(B996,""id"",""en"")"),"['Card', 'Telkomsel', 'Very', 'pulse', 'Powered', 'Reduced', 'Suda', 'That's',' Package ',' Act ',' Sesuwai ',' Credit ',' paid ',' expensive ',' suda ',' card ',' expensive ',' pay ',' package ',' USA ',' active ',' card ']")</f>
        <v>['Card', 'Telkomsel', 'Very', 'pulse', 'Powered', 'Reduced', 'Suda', 'That's',' Package ',' Act ',' Sesuwai ',' Credit ',' paid ',' expensive ',' suda ',' card ',' expensive ',' pay ',' package ',' USA ',' active ',' card ']</v>
      </c>
      <c r="D996" s="3">
        <v>1.0</v>
      </c>
    </row>
    <row r="997" ht="15.75" customHeight="1">
      <c r="A997" s="1">
        <v>995.0</v>
      </c>
      <c r="B997" s="3" t="s">
        <v>998</v>
      </c>
      <c r="C997" s="3" t="str">
        <f>IFERROR(__xludf.DUMMYFUNCTION("GOOGLETRANSLATE(B997,""id"",""en"")"),"['believe', 'card', 'card', 'bad', 'Indonesia', 'test', 'speedny', 'KB', 'recommend', 'axis',' card ',' card ',' Bad ',' compared ',' card ',' Believe ',' ']")</f>
        <v>['believe', 'card', 'card', 'bad', 'Indonesia', 'test', 'speedny', 'KB', 'recommend', 'axis',' card ',' card ',' Bad ',' compared ',' card ',' Believe ',' ']</v>
      </c>
      <c r="D997" s="3">
        <v>1.0</v>
      </c>
    </row>
    <row r="998" ht="15.75" customHeight="1">
      <c r="A998" s="1">
        <v>996.0</v>
      </c>
      <c r="B998" s="3" t="s">
        <v>999</v>
      </c>
      <c r="C998" s="3" t="str">
        <f>IFERROR(__xludf.DUMMYFUNCTION("GOOGLETRANSLATE(B998,""id"",""en"")"),"['ugly' application, 'factor', 'development', 'fix', 'telkomsel', 'replace', 'pulse', 'buy', 'package', 'entry', 'Rp', ' Please ',' Telkomsel ',' Kek ',' Pig ']")</f>
        <v>['ugly' application, 'factor', 'development', 'fix', 'telkomsel', 'replace', 'pulse', 'buy', 'package', 'entry', 'Rp', ' Please ',' Telkomsel ',' Kek ',' Pig ']</v>
      </c>
      <c r="D998" s="3">
        <v>1.0</v>
      </c>
    </row>
    <row r="999" ht="15.75" customHeight="1">
      <c r="A999" s="1">
        <v>997.0</v>
      </c>
      <c r="B999" s="3" t="s">
        <v>1000</v>
      </c>
      <c r="C999" s="3" t="str">
        <f>IFERROR(__xludf.DUMMYFUNCTION("GOOGLETRANSLATE(B999,""id"",""en"")"),"['Telkomsel', 'boss',' quota ',' sultan ',' expensive ',' doang ',' quality ',' signal ',' ugly ',' bet ',' what ',' area ',' Mountain ',' home ',' support ',' card ',' forced ',' Telkom ',' lag ',' severe ',' worked ',' task ',' trouble ',' Gara ',' Gara"&amp;" ' , 'signal']")</f>
        <v>['Telkomsel', 'boss',' quota ',' sultan ',' expensive ',' doang ',' quality ',' signal ',' ugly ',' bet ',' what ',' area ',' Mountain ',' home ',' support ',' card ',' forced ',' Telkom ',' lag ',' severe ',' worked ',' task ',' trouble ',' Gara ',' Gara ' , 'signal']</v>
      </c>
      <c r="D999" s="3">
        <v>1.0</v>
      </c>
    </row>
    <row r="1000" ht="15.75" customHeight="1">
      <c r="A1000" s="1">
        <v>998.0</v>
      </c>
      <c r="B1000" s="3" t="s">
        <v>1001</v>
      </c>
      <c r="C1000" s="3" t="str">
        <f>IFERROR(__xludf.DUMMYFUNCTION("GOOGLETRANSLATE(B1000,""id"",""en"")"),"['complaints',' buy ',' package ',' quota ',' Kombo ',' Sakti ',' unlimited ',' quota ',' main ',' priority ',' main ',' run out ',' quota ',' unlimited ',' automatic ',' active ',' quota ',' unlimited ',' belongs', 'active', 'open', 'apps',' list ',' unl"&amp;"imited ',' speed ' , 'Do', 'quota', 'unlimited', 'apps', 'active', 'according to', 'provisions', ""]")</f>
        <v>['complaints',' buy ',' package ',' quota ',' Kombo ',' Sakti ',' unlimited ',' quota ',' main ',' priority ',' main ',' run out ',' quota ',' unlimited ',' automatic ',' active ',' quota ',' unlimited ',' belongs', 'active', 'open', 'apps',' list ',' unlimited ',' speed ' , 'Do', 'quota', 'unlimited', 'apps', 'active', 'according to', 'provisions', "]</v>
      </c>
      <c r="D1000" s="3">
        <v>3.0</v>
      </c>
    </row>
    <row r="1001" ht="15.75" customHeight="1">
      <c r="A1001" s="1">
        <v>999.0</v>
      </c>
      <c r="B1001" s="3" t="s">
        <v>1002</v>
      </c>
      <c r="C1001" s="3" t="str">
        <f>IFERROR(__xludf.DUMMYFUNCTION("GOOGLETRANSLATE(B1001,""id"",""en"")"),"['As a result', 'ngak', 'pakek', 'rakber', 'kek', 'gini', 'heheheh', 'agreement', 'chronology', 'payment', 'half', 'price', ' birds', 'Nise', 'hand', 'pay', 'repayment', 'half', 'bird', 'come', 'sampek', 'week', 'bird', 'dead', 'Gara' , 'Paying', 'right',"&amp;" 'shipping', 'shipping', 'bird', 'dead', 'road', 'shipping', 'responsibility', 'carcass', 'bird', 'belom']")</f>
        <v>['As a result', 'ngak', 'pakek', 'rakber', 'kek', 'gini', 'heheheh', 'agreement', 'chronology', 'payment', 'half', 'price', ' birds', 'Nise', 'hand', 'pay', 'repayment', 'half', 'bird', 'come', 'sampek', 'week', 'bird', 'dead', 'Gara' , 'Paying', 'right', 'shipping', 'shipping', 'bird', 'dead', 'road', 'shipping', 'responsibility', 'carcass', 'bird', 'belom']</v>
      </c>
      <c r="D1001" s="3">
        <v>5.0</v>
      </c>
    </row>
    <row r="1002" ht="15.75" customHeight="1">
      <c r="A1002" s="1">
        <v>1000.0</v>
      </c>
      <c r="B1002" s="3" t="s">
        <v>1003</v>
      </c>
      <c r="C1002" s="3" t="str">
        <f>IFERROR(__xludf.DUMMYFUNCTION("GOOGLETRANSLATE(B1002,""id"",""en"")"),"['Change', 'Package', 'Internet', 'Mahalan', 'Gag', 'told', 'Tel', 'Tel', 'Gag', 'Grapari', 'Pandemic', 'Gini', ' Hasn't ',' avoid ',' crowding ',' meet ',' people ',' told ',' NOT ',' Where ',' recommended ',' Virtual ',' What's', 'his name', 'use' , 'ap"&amp;"plication', 'MyTelkomsel', 'hrs',' covid ',' gini ',' made easier ',' jng ',' little ',' grapari ',' cmn ',' replace ',' package ',' Internet ',' HRS ',' GraPARI ',' YAK ',' KLU ',' home ',' next to ',' GraPARI ', ""]")</f>
        <v>['Change', 'Package', 'Internet', 'Mahalan', 'Gag', 'told', 'Tel', 'Tel', 'Gag', 'Grapari', 'Pandemic', 'Gini', ' Hasn't ',' avoid ',' crowding ',' meet ',' people ',' told ',' NOT ',' Where ',' recommended ',' Virtual ',' What's', 'his name', 'use' , 'application', 'MyTelkomsel', 'hrs',' covid ',' gini ',' made easier ',' jng ',' little ',' grapari ',' cmn ',' replace ',' package ',' Internet ',' HRS ',' GraPARI ',' YAK ',' KLU ',' home ',' next to ',' GraPARI ', "]</v>
      </c>
      <c r="D1002" s="3">
        <v>1.0</v>
      </c>
    </row>
    <row r="1003" ht="15.75" customHeight="1">
      <c r="A1003" s="1">
        <v>1001.0</v>
      </c>
      <c r="B1003" s="3" t="s">
        <v>1004</v>
      </c>
      <c r="C1003" s="3" t="str">
        <f>IFERROR(__xludf.DUMMYFUNCTION("GOOGLETRANSLATE(B1003,""id"",""en"")"),"['network', 'severe', 'bad', 'really', 'hate', 'Telkomsel', 'used to', 'network', 'good', 'ugly', 'really', 'severe', ' right ',' play ',' game ',' lag ',' mulu ',' lag ',' severe ',' really ',' kayak ',' gini ',' replace ',' card ',' urusin ' , 'Card', '"&amp;"Telkomsel', 'Network', 'Ter', 'Bad', 'World', '']")</f>
        <v>['network', 'severe', 'bad', 'really', 'hate', 'Telkomsel', 'used to', 'network', 'good', 'ugly', 'really', 'severe', ' right ',' play ',' game ',' lag ',' mulu ',' lag ',' severe ',' really ',' kayak ',' gini ',' replace ',' card ',' urusin ' , 'Card', 'Telkomsel', 'Network', 'Ter', 'Bad', 'World', '']</v>
      </c>
      <c r="D1003" s="3">
        <v>1.0</v>
      </c>
    </row>
    <row r="1004" ht="15.75" customHeight="1">
      <c r="A1004" s="1">
        <v>1002.0</v>
      </c>
      <c r="B1004" s="3" t="s">
        <v>1005</v>
      </c>
      <c r="C1004" s="3" t="str">
        <f>IFERROR(__xludf.DUMMYFUNCTION("GOOGLETRANSLATE(B1004,""id"",""en"")"),"['Network', 'Telkomsel', 'Network', 'slow', '']")</f>
        <v>['Network', 'Telkomsel', 'Network', 'slow', '']</v>
      </c>
      <c r="D1004" s="3">
        <v>1.0</v>
      </c>
    </row>
    <row r="1005" ht="15.75" customHeight="1">
      <c r="A1005" s="1">
        <v>1003.0</v>
      </c>
      <c r="B1005" s="3" t="s">
        <v>1006</v>
      </c>
      <c r="C1005" s="3" t="str">
        <f>IFERROR(__xludf.DUMMYFUNCTION("GOOGLETRANSLATE(B1005,""id"",""en"")"),"['Please', 'Telkomsel', 'Network', 'Dipperified', 'Kayak', 'Disappointed', 'Kualias',' Signal ',' Main ',' Game ',' Online ',' Unfortunately ',' Telkomsel ',' card ',' dream ',' Bangat ',' reliable ',' ']")</f>
        <v>['Please', 'Telkomsel', 'Network', 'Dipperified', 'Kayak', 'Disappointed', 'Kualias',' Signal ',' Main ',' Game ',' Online ',' Unfortunately ',' Telkomsel ',' card ',' dream ',' Bangat ',' reliable ',' ']</v>
      </c>
      <c r="D1005" s="3">
        <v>1.0</v>
      </c>
    </row>
    <row r="1006" ht="15.75" customHeight="1">
      <c r="A1006" s="1">
        <v>1004.0</v>
      </c>
      <c r="B1006" s="3" t="s">
        <v>1007</v>
      </c>
      <c r="C1006" s="3" t="str">
        <f>IFERROR(__xludf.DUMMYFUNCTION("GOOGLETRANSLATE(B1006,""id"",""en"")"),"['Application', 'basic', 'salary', 'blind', 'how', 'state', 'luck', 'enter', 'menu', 'muter', 'doank', 'speed', ' Mbps', 'Donk', 'home', 'use', 'CBN', 'RB', 'a month']")</f>
        <v>['Application', 'basic', 'salary', 'blind', 'how', 'state', 'luck', 'enter', 'menu', 'muter', 'doank', 'speed', ' Mbps', 'Donk', 'home', 'use', 'CBN', 'RB', 'a month']</v>
      </c>
      <c r="D1006" s="3">
        <v>1.0</v>
      </c>
    </row>
    <row r="1007" ht="15.75" customHeight="1">
      <c r="A1007" s="1">
        <v>1005.0</v>
      </c>
      <c r="B1007" s="3" t="s">
        <v>1008</v>
      </c>
      <c r="C1007" s="3" t="str">
        <f>IFERROR(__xludf.DUMMYFUNCTION("GOOGLETRANSLATE(B1007,""id"",""en"")"),"['Good', 'list', 'number', 'only', 'missing', 'instructions', 'add', 'number', 'used', 'login', 'use', 'email']")</f>
        <v>['Good', 'list', 'number', 'only', 'missing', 'instructions', 'add', 'number', 'used', 'login', 'use', 'email']</v>
      </c>
      <c r="D1007" s="3">
        <v>1.0</v>
      </c>
    </row>
    <row r="1008" ht="15.75" customHeight="1">
      <c r="A1008" s="1">
        <v>1006.0</v>
      </c>
      <c r="B1008" s="3" t="s">
        <v>1009</v>
      </c>
      <c r="C1008" s="3" t="str">
        <f>IFERROR(__xludf.DUMMYFUNCTION("GOOGLETRANSLATE(B1008,""id"",""en"")"),"['Sorry', 'Performance', 'Telkomsel', 'Decreases',' Side ',' Service ',' Network ',' Leet ',' Klu ',' Most ',' Promo ',' Please ',' Trying ',' Maintain ',' Increase ',' Quality ',' Service ',' Please ',' Suggestions', 'Read', 'Listen', 'RESAPATION', 'Telk"&amp;"omsel', 'Telkomsel', 'customer' , 'Thanks']")</f>
        <v>['Sorry', 'Performance', 'Telkomsel', 'Decreases',' Side ',' Service ',' Network ',' Leet ',' Klu ',' Most ',' Promo ',' Please ',' Trying ',' Maintain ',' Increase ',' Quality ',' Service ',' Please ',' Suggestions', 'Read', 'Listen', 'RESAPATION', 'Telkomsel', 'Telkomsel', 'customer' , 'Thanks']</v>
      </c>
      <c r="D1008" s="3">
        <v>1.0</v>
      </c>
    </row>
    <row r="1009" ht="15.75" customHeight="1">
      <c r="A1009" s="1">
        <v>1007.0</v>
      </c>
      <c r="B1009" s="3" t="s">
        <v>1010</v>
      </c>
      <c r="C1009" s="3" t="str">
        <f>IFERROR(__xludf.DUMMYFUNCTION("GOOGLETRANSLATE(B1009,""id"",""en"")"),"['quota', 'ministry', 'pulse', 'sumps',' watch ',' youtube ',' quota ',' use ',' watch ',' youtube ',' please ',' fix ',' times', 'get', 'rich', 'gini', '']")</f>
        <v>['quota', 'ministry', 'pulse', 'sumps',' watch ',' youtube ',' quota ',' use ',' watch ',' youtube ',' please ',' fix ',' times', 'get', 'rich', 'gini', '']</v>
      </c>
      <c r="D1009" s="3">
        <v>1.0</v>
      </c>
    </row>
    <row r="1010" ht="15.75" customHeight="1">
      <c r="A1010" s="1">
        <v>1008.0</v>
      </c>
      <c r="B1010" s="3" t="s">
        <v>1011</v>
      </c>
      <c r="C1010" s="3" t="str">
        <f>IFERROR(__xludf.DUMMYFUNCTION("GOOGLETRANSLATE(B1010,""id"",""en"")"),"['Come', 'Network', 'Telkomsel', 'Difficult', 'Get', 'KB', 'Please', 'Telkomsel', 'Network', 'Expand', 'Tribulation', 'Lecture', ' Online ',' ']")</f>
        <v>['Come', 'Network', 'Telkomsel', 'Difficult', 'Get', 'KB', 'Please', 'Telkomsel', 'Network', 'Expand', 'Tribulation', 'Lecture', ' Online ',' ']</v>
      </c>
      <c r="D1010" s="3">
        <v>1.0</v>
      </c>
    </row>
    <row r="1011" ht="15.75" customHeight="1">
      <c r="A1011" s="1">
        <v>1009.0</v>
      </c>
      <c r="B1011" s="3" t="s">
        <v>1012</v>
      </c>
      <c r="C1011" s="3" t="str">
        <f>IFERROR(__xludf.DUMMYFUNCTION("GOOGLETRANSLATE(B1011,""id"",""en"")"),"['paraaahhh', 'star', 'zero', 'already', 'tired', 'check', 'turn', 'exchange', 'say it', 'system', 'error', 'busy', ' Sorry ',' Your ',' Request ',' Could ',' Not ',' Processed ',' Because ',' Your ',' Usage ',' Has', 'Exceeded', 'The', 'Maximum' , 'limit"&amp;"', 'info', 'hub', 'please', 'sorry', 'system', 'busy', 'try', 'point', 'returned', 'thank', ' Results', 'Check', 'Points',' Direct ',' Lost ',' Delete ',' Program ',' Check ',' Program ',' ']")</f>
        <v>['paraaahhh', 'star', 'zero', 'already', 'tired', 'check', 'turn', 'exchange', 'say it', 'system', 'error', 'busy', ' Sorry ',' Your ',' Request ',' Could ',' Not ',' Processed ',' Because ',' Your ',' Usage ',' Has', 'Exceeded', 'The', 'Maximum' , 'limit', 'info', 'hub', 'please', 'sorry', 'system', 'busy', 'try', 'point', 'returned', 'thank', ' Results', 'Check', 'Points',' Direct ',' Lost ',' Delete ',' Program ',' Check ',' Program ',' ']</v>
      </c>
      <c r="D1011" s="3">
        <v>1.0</v>
      </c>
    </row>
    <row r="1012" ht="15.75" customHeight="1">
      <c r="A1012" s="1">
        <v>1010.0</v>
      </c>
      <c r="B1012" s="3" t="s">
        <v>1013</v>
      </c>
      <c r="C1012" s="3" t="str">
        <f>IFERROR(__xludf.DUMMYFUNCTION("GOOGLETRANSLATE(B1012,""id"",""en"")"),"['Quota', 'All', 'Network', 'Program', 'Daily', 'Check', 'Credit', 'Rp', 'Points',' Cut ',' Form ',' Claim ',' Gift ',' Please ',' Sorry ',' System ',' Busy ',' Try ',' Points', 'Returned', 'Thank', 'Kasih', 'Ken', 'prank', 'Telkomsel' , 'JLz', 'Jir']")</f>
        <v>['Quota', 'All', 'Network', 'Program', 'Daily', 'Check', 'Credit', 'Rp', 'Points',' Cut ',' Form ',' Claim ',' Gift ',' Please ',' Sorry ',' System ',' Busy ',' Try ',' Points', 'Returned', 'Thank', 'Kasih', 'Ken', 'prank', 'Telkomsel' , 'JLz', 'Jir']</v>
      </c>
      <c r="D1012" s="3">
        <v>1.0</v>
      </c>
    </row>
    <row r="1013" ht="15.75" customHeight="1">
      <c r="A1013" s="1">
        <v>1011.0</v>
      </c>
      <c r="B1013" s="3" t="s">
        <v>1014</v>
      </c>
      <c r="C1013" s="3" t="str">
        <f>IFERROR(__xludf.DUMMYFUNCTION("GOOGLETRANSLATE(B1013,""id"",""en"")"),"['Telkomsel', 'invited', 'joking', 'network', 'slow', 'price', 'package', 'expensive', 'play', 'left', 'quota', 'accumulated', ' a minute ',' likes', 'ngilan', 'GB', 'wkwkwkwkwkkk', 'creature', 'astral', 'like', 'ngilank', 'complaint', 'complaint', '']")</f>
        <v>['Telkomsel', 'invited', 'joking', 'network', 'slow', 'price', 'package', 'expensive', 'play', 'left', 'quota', 'accumulated', ' a minute ',' likes', 'ngilan', 'GB', 'wkwkwkwkwkkk', 'creature', 'astral', 'like', 'ngilank', 'complaint', 'complaint', '']</v>
      </c>
      <c r="D1013" s="3">
        <v>1.0</v>
      </c>
    </row>
    <row r="1014" ht="15.75" customHeight="1">
      <c r="A1014" s="1">
        <v>1012.0</v>
      </c>
      <c r="B1014" s="3" t="s">
        <v>1015</v>
      </c>
      <c r="C1014" s="3" t="str">
        <f>IFERROR(__xludf.DUMMYFUNCTION("GOOGLETRANSLATE(B1014,""id"",""en"")"),"['Sorry', 'Lower', 'Bintang', 'UDH', 'Ngumpuli', 'Points',' Exchange ',' Ama ',' Quota ',' Disruption ',' System ',' Mulu ',' The answer is ',' MASAAN ',' WEEK ',' Disruption ',' System ',' What's "", 'Technology', 'Dahh', 'Bye', 'Card', 'Telkomsel', 'Cal"&amp;"l', 'Lazy' , 'buy', 'quota', '']")</f>
        <v>['Sorry', 'Lower', 'Bintang', 'UDH', 'Ngumpuli', 'Points',' Exchange ',' Ama ',' Quota ',' Disruption ',' System ',' Mulu ',' The answer is ',' MASAAN ',' WEEK ',' Disruption ',' System ',' What's ", 'Technology', 'Dahh', 'Bye', 'Card', 'Telkomsel', 'Call', 'Lazy' , 'buy', 'quota', '']</v>
      </c>
      <c r="D1014" s="3">
        <v>1.0</v>
      </c>
    </row>
    <row r="1015" ht="15.75" customHeight="1">
      <c r="A1015" s="1">
        <v>1013.0</v>
      </c>
      <c r="B1015" s="3" t="s">
        <v>1016</v>
      </c>
      <c r="C1015" s="3" t="str">
        <f>IFERROR(__xludf.DUMMYFUNCTION("GOOGLETRANSLATE(B1015,""id"",""en"")"),"['Come', 'Telkomsel', 'Ancur', 'ugly', 'really', 'signal', 'full', 'connection', 'broke', 'internet', 'data', 'loading', ' Disappointed ',' Telkomsel ',' ']")</f>
        <v>['Come', 'Telkomsel', 'Ancur', 'ugly', 'really', 'signal', 'full', 'connection', 'broke', 'internet', 'data', 'loading', ' Disappointed ',' Telkomsel ',' ']</v>
      </c>
      <c r="D1015" s="3">
        <v>1.0</v>
      </c>
    </row>
    <row r="1016" ht="15.75" customHeight="1">
      <c r="A1016" s="1">
        <v>1014.0</v>
      </c>
      <c r="B1016" s="3" t="s">
        <v>1017</v>
      </c>
      <c r="C1016" s="3" t="str">
        <f>IFERROR(__xludf.DUMMYFUNCTION("GOOGLETRANSLATE(B1016,""id"",""en"")"),"['network', 'destroyed', 'please', 'fix', 'comfortable', 'play', 'game', 'slow', 'network', 'tomorrow', 'waste', 'card', ' because ',' network ',' quality ',' pay ',' expensive ',' expensive ',' just ',' buy ',' network ',' destroyed ']")</f>
        <v>['network', 'destroyed', 'please', 'fix', 'comfortable', 'play', 'game', 'slow', 'network', 'tomorrow', 'waste', 'card', ' because ',' network ',' quality ',' pay ',' expensive ',' expensive ',' just ',' buy ',' network ',' destroyed ']</v>
      </c>
      <c r="D1016" s="3">
        <v>1.0</v>
      </c>
    </row>
    <row r="1017" ht="15.75" customHeight="1">
      <c r="A1017" s="1">
        <v>1015.0</v>
      </c>
      <c r="B1017" s="3" t="s">
        <v>1018</v>
      </c>
      <c r="C1017" s="3" t="str">
        <f>IFERROR(__xludf.DUMMYFUNCTION("GOOGLETRANSLATE(B1017,""id"",""en"")"),"['Sia', 'buy', 'Package', 'Instagram', 'Sampe', 'Package', 'Dipake', 'spend', 'quota', 'Regular', 'Srong', 'pulses',' Nanya ',' payaaahh ',' bangeettt ',' email ',' until ',' response ',' essence ',' buy ',' package ',' unlimited ',' mubadzir ',' dipake '"&amp;",' inetnya ' , 'Telkomsel', 'already', 'slow', 'package', 'expensive', 'dipake', 'spend', 'pulse', 'fix', 'moved', 'provider', '']")</f>
        <v>['Sia', 'buy', 'Package', 'Instagram', 'Sampe', 'Package', 'Dipake', 'spend', 'quota', 'Regular', 'Srong', 'pulses',' Nanya ',' payaaahh ',' bangeettt ',' email ',' until ',' response ',' essence ',' buy ',' package ',' unlimited ',' mubadzir ',' dipake ',' inetnya ' , 'Telkomsel', 'already', 'slow', 'package', 'expensive', 'dipake', 'spend', 'pulse', 'fix', 'moved', 'provider', '']</v>
      </c>
      <c r="D1017" s="3">
        <v>1.0</v>
      </c>
    </row>
    <row r="1018" ht="15.75" customHeight="1">
      <c r="A1018" s="1">
        <v>1016.0</v>
      </c>
      <c r="B1018" s="3" t="s">
        <v>1019</v>
      </c>
      <c r="C1018" s="3" t="str">
        <f>IFERROR(__xludf.DUMMYFUNCTION("GOOGLETRANSLATE(B1018,""id"",""en"")"),"['suggestion', 'application', 'Telkomsel', 'choose', 'quota', 'prioritize', 'me', 'quota', 'GB', 'use', 'stay', 'week', ' She ',' quota ',' Ministry of Education and Culture ',' Term ',' I ',' Suck ']")</f>
        <v>['suggestion', 'application', 'Telkomsel', 'choose', 'quota', 'prioritize', 'me', 'quota', 'GB', 'use', 'stay', 'week', ' She ',' quota ',' Ministry of Education and Culture ',' Term ',' I ',' Suck ']</v>
      </c>
      <c r="D1018" s="3">
        <v>1.0</v>
      </c>
    </row>
    <row r="1019" ht="15.75" customHeight="1">
      <c r="A1019" s="1">
        <v>1017.0</v>
      </c>
      <c r="B1019" s="3" t="s">
        <v>1020</v>
      </c>
      <c r="C1019" s="3" t="str">
        <f>IFERROR(__xludf.DUMMYFUNCTION("GOOGLETRANSLATE(B1019,""id"",""en"")"),"['Buy', 'Package', 'Internet', 'Application', 'Use', 'Linkaja', 'Cutting', 'Costs',' Package ',' Enter ',' Please ',' Explanation ',' Min ',' improvement ',' what ']")</f>
        <v>['Buy', 'Package', 'Internet', 'Application', 'Use', 'Linkaja', 'Cutting', 'Costs',' Package ',' Enter ',' Please ',' Explanation ',' Min ',' improvement ',' what ']</v>
      </c>
      <c r="D1019" s="3">
        <v>1.0</v>
      </c>
    </row>
    <row r="1020" ht="15.75" customHeight="1">
      <c r="A1020" s="1">
        <v>1018.0</v>
      </c>
      <c r="B1020" s="3" t="s">
        <v>1021</v>
      </c>
      <c r="C1020" s="3" t="str">
        <f>IFERROR(__xludf.DUMMYFUNCTION("GOOGLETRANSLATE(B1020,""id"",""en"")"),"['Download', 'repeat', 'Times',' Delete ',' Data ',' Delete ',' Cheese ',' Tetep ',' Opened ',' Open ',' Perfect ',' GereGetan ',' then ',' what 'is', 'writing', 'inside', 'application', 'VAK', 'PISA']")</f>
        <v>['Download', 'repeat', 'Times',' Delete ',' Data ',' Delete ',' Cheese ',' Tetep ',' Opened ',' Open ',' Perfect ',' GereGetan ',' then ',' what 'is', 'writing', 'inside', 'application', 'VAK', 'PISA']</v>
      </c>
      <c r="D1020" s="3">
        <v>1.0</v>
      </c>
    </row>
    <row r="1021" ht="15.75" customHeight="1">
      <c r="A1021" s="1">
        <v>1019.0</v>
      </c>
      <c r="B1021" s="3" t="s">
        <v>1022</v>
      </c>
      <c r="C1021" s="3" t="str">
        <f>IFERROR(__xludf.DUMMYFUNCTION("GOOGLETRANSLATE(B1021,""id"",""en"")"),"['', 'update', 'smooth', 'bother', 'Load', 'reset', 'appears',' network ',' full ',' move ',' number ',' failed ',' update ', 'application']")</f>
        <v>['', 'update', 'smooth', 'bother', 'Load', 'reset', 'appears',' network ',' full ',' move ',' number ',' failed ',' update ', 'application']</v>
      </c>
      <c r="D1021" s="3">
        <v>1.0</v>
      </c>
    </row>
    <row r="1022" ht="15.75" customHeight="1">
      <c r="A1022" s="1">
        <v>1020.0</v>
      </c>
      <c r="B1022" s="3" t="s">
        <v>1023</v>
      </c>
      <c r="C1022" s="3" t="str">
        <f>IFERROR(__xludf.DUMMYFUNCTION("GOOGLETRANSLATE(B1022,""id"",""en"")"),"['Telkomsel', 'use', 'system', 'provaider', 'at the same time', 'quota', 'run out', 'automatically', 'continue', 'use', 'quota', 'pulse', ' Confirm ',' expensive ',' ']")</f>
        <v>['Telkomsel', 'use', 'system', 'provaider', 'at the same time', 'quota', 'run out', 'automatically', 'continue', 'use', 'quota', 'pulse', ' Confirm ',' expensive ',' ']</v>
      </c>
      <c r="D1022" s="3">
        <v>1.0</v>
      </c>
    </row>
    <row r="1023" ht="15.75" customHeight="1">
      <c r="A1023" s="1">
        <v>1021.0</v>
      </c>
      <c r="B1023" s="3" t="s">
        <v>1024</v>
      </c>
      <c r="C1023" s="3" t="str">
        <f>IFERROR(__xludf.DUMMYFUNCTION("GOOGLETRANSLATE(B1023,""id"",""en"")"),"['application', 'so', 'test', 'try', 'package', 'quota', 'family', 'ilang', 'nongol', 'install', 'reset', 'repeated', ' "", 'Tetep', 'ilang', 'Limitation', 'Over', 'Kali', 'Use', 'Delimental', 'Move', 'Package', 'Please', 'Explanation', 'Restrictions' , t"&amp;"he 'time', 'effective', 'usage', 'package', 'play', 'ngilan', 'kayak', 'gini', ""]")</f>
        <v>['application', 'so', 'test', 'try', 'package', 'quota', 'family', 'ilang', 'nongol', 'install', 'reset', 'repeated', ' ", 'Tetep', 'ilang', 'Limitation', 'Over', 'Kali', 'Use', 'Delimental', 'Move', 'Package', 'Please', 'Explanation', 'Restrictions' , the 'time', 'effective', 'usage', 'package', 'play', 'ngilan', 'kayak', 'gini', "]</v>
      </c>
      <c r="D1023" s="3">
        <v>1.0</v>
      </c>
    </row>
    <row r="1024" ht="15.75" customHeight="1">
      <c r="A1024" s="1">
        <v>1022.0</v>
      </c>
      <c r="B1024" s="3" t="s">
        <v>1025</v>
      </c>
      <c r="C1024" s="3" t="str">
        <f>IFERROR(__xludf.DUMMYFUNCTION("GOOGLETRANSLATE(B1024,""id"",""en"")"),"['network', 'slow', 'check', 'gift', 'already', 'claim', 'quota', 'entry', 'rough', 'already', 'name', 'network', ' The system is', 'Kayak', 'Gini', 'gloomy']")</f>
        <v>['network', 'slow', 'check', 'gift', 'already', 'claim', 'quota', 'entry', 'rough', 'already', 'name', 'network', ' The system is', 'Kayak', 'Gini', 'gloomy']</v>
      </c>
      <c r="D1024" s="3">
        <v>1.0</v>
      </c>
    </row>
    <row r="1025" ht="15.75" customHeight="1">
      <c r="A1025" s="1">
        <v>1023.0</v>
      </c>
      <c r="B1025" s="3" t="s">
        <v>1026</v>
      </c>
      <c r="C1025" s="3" t="str">
        <f>IFERROR(__xludf.DUMMYFUNCTION("GOOGLETRANSLATE(B1025,""id"",""en"")"),"['Login', 'Error', 'Check', 'Connection', 'My Network', 'Give', 'Daily', 'Check', 'Sometimes',' Lost ',' Sometimes', 'weve', ' very', '']")</f>
        <v>['Login', 'Error', 'Check', 'Connection', 'My Network', 'Give', 'Daily', 'Check', 'Sometimes',' Lost ',' Sometimes', 'weve', ' very', '']</v>
      </c>
      <c r="D1025" s="3">
        <v>1.0</v>
      </c>
    </row>
    <row r="1026" ht="15.75" customHeight="1">
      <c r="A1026" s="1">
        <v>1024.0</v>
      </c>
      <c r="B1026" s="3" t="s">
        <v>1027</v>
      </c>
      <c r="C1026" s="3" t="str">
        <f>IFERROR(__xludf.DUMMYFUNCTION("GOOGLETRANSLATE(B1026,""id"",""en"")"),"['Telkomsel', 'buy', 'package', 'msh', 'promo', 'missing', 'application', 'activation', 'sms',' pdhl ',' tls', 'stay', ' reply ',' sms', 'uda', 'buy', 'package', 'promo', 'cheap', 'uda', 'email', 'complain', 'ksh', 'uda', 'do' , 'Tnyin', 'response', 'Disa"&amp;"ppointed', 'staple', ""]")</f>
        <v>['Telkomsel', 'buy', 'package', 'msh', 'promo', 'missing', 'application', 'activation', 'sms',' pdhl ',' tls', 'stay', ' reply ',' sms', 'uda', 'buy', 'package', 'promo', 'cheap', 'uda', 'email', 'complain', 'ksh', 'uda', 'do' , 'Tnyin', 'response', 'Disappointed', 'staple', "]</v>
      </c>
      <c r="D1026" s="3">
        <v>1.0</v>
      </c>
    </row>
    <row r="1027" ht="15.75" customHeight="1">
      <c r="A1027" s="1">
        <v>1025.0</v>
      </c>
      <c r="B1027" s="3" t="s">
        <v>1028</v>
      </c>
      <c r="C1027" s="3" t="str">
        <f>IFERROR(__xludf.DUMMYFUNCTION("GOOGLETRANSLATE(B1027,""id"",""en"")"),"['', 'Telkomsel', 'broken', 'event', 'take', 'buy', 'package', 'charge', 'enter', 'package', 'enter', 'msk', 'broken ',' Update ',' broken ',' Bagusin ',' Vision ',' Yesterday ',' Damaged ',' ']")</f>
        <v>['', 'Telkomsel', 'broken', 'event', 'take', 'buy', 'package', 'charge', 'enter', 'package', 'enter', 'msk', 'broken ',' Update ',' broken ',' Bagusin ',' Vision ',' Yesterday ',' Damaged ',' ']</v>
      </c>
      <c r="D1027" s="3">
        <v>1.0</v>
      </c>
    </row>
    <row r="1028" ht="15.75" customHeight="1">
      <c r="A1028" s="1">
        <v>1026.0</v>
      </c>
      <c r="B1028" s="3" t="s">
        <v>1029</v>
      </c>
      <c r="C1028" s="3" t="str">
        <f>IFERROR(__xludf.DUMMYFUNCTION("GOOGLETRANSLATE(B1028,""id"",""en"")"),"['here', 'signal', 'Telkomsel', 'LGSG', 'then', 'lost', 'signal', 'apk', 'Telkomsel', 'error', 'mulu', 'please', ' repair']")</f>
        <v>['here', 'signal', 'Telkomsel', 'LGSG', 'then', 'lost', 'signal', 'apk', 'Telkomsel', 'error', 'mulu', 'please', ' repair']</v>
      </c>
      <c r="D1028" s="3">
        <v>1.0</v>
      </c>
    </row>
    <row r="1029" ht="15.75" customHeight="1">
      <c r="A1029" s="1">
        <v>1027.0</v>
      </c>
      <c r="B1029" s="3" t="s">
        <v>1030</v>
      </c>
      <c r="C1029" s="3" t="str">
        <f>IFERROR(__xludf.DUMMYFUNCTION("GOOGLETRANSLATE(B1029,""id"",""en"")"),"['Check', 'Failed', 'Required', 'Reward', 'Check', 'Daily', 'right', 'Reward', 'Out', 'Deh', 'Check', 'Today', ' Here ',' rotten ', ""]")</f>
        <v>['Check', 'Failed', 'Required', 'Reward', 'Check', 'Daily', 'right', 'Reward', 'Out', 'Deh', 'Check', 'Today', ' Here ',' rotten ', "]</v>
      </c>
      <c r="D1029" s="3">
        <v>1.0</v>
      </c>
    </row>
    <row r="1030" ht="15.75" customHeight="1">
      <c r="A1030" s="1">
        <v>1028.0</v>
      </c>
      <c r="B1030" s="3" t="s">
        <v>1031</v>
      </c>
      <c r="C1030" s="3" t="str">
        <f>IFERROR(__xludf.DUMMYFUNCTION("GOOGLETRANSLATE(B1030,""id"",""en"")"),"['signal', 'in the area', 'good', 'quota', 'expensive', 'according to', 'signal', 'user', 'prioritize', 'user', 'loyal', 'gold', ' disappointing ',' complaints ',' so, 'users', 'loyal', 'Telkomsel', 'so', 'thank you']")</f>
        <v>['signal', 'in the area', 'good', 'quota', 'expensive', 'according to', 'signal', 'user', 'prioritize', 'user', 'loyal', 'gold', ' disappointing ',' complaints ',' so, 'users', 'loyal', 'Telkomsel', 'so', 'thank you']</v>
      </c>
      <c r="D1030" s="3">
        <v>1.0</v>
      </c>
    </row>
    <row r="1031" ht="15.75" customHeight="1">
      <c r="A1031" s="1">
        <v>1029.0</v>
      </c>
      <c r="B1031" s="3" t="s">
        <v>1032</v>
      </c>
      <c r="C1031" s="3" t="str">
        <f>IFERROR(__xludf.DUMMYFUNCTION("GOOGLETRANSLATE(B1031,""id"",""en"")"),"['UDH', 'Crazy', 'times',' UDH ',' Live ',' CLEAIM ',' Gift ',' Daily ',' Check ',' No ',' Limit ',' Exchange ',' Damaged ',' APK ',' UDH ',' Tired ',' Wait ',' Sampek ',' staying up ',' Taunya ',' Daily ',' Daily ',' Check ',' Update ',' Good ' , 'Damage"&amp;"d', 'Disappointed', 'Heavy']")</f>
        <v>['UDH', 'Crazy', 'times',' UDH ',' Live ',' CLEAIM ',' Gift ',' Daily ',' Check ',' No ',' Limit ',' Exchange ',' Damaged ',' APK ',' UDH ',' Tired ',' Wait ',' Sampek ',' staying up ',' Taunya ',' Daily ',' Daily ',' Check ',' Update ',' Good ' , 'Damaged', 'Disappointed', 'Heavy']</v>
      </c>
      <c r="D1031" s="3">
        <v>1.0</v>
      </c>
    </row>
    <row r="1032" ht="15.75" customHeight="1">
      <c r="A1032" s="1">
        <v>1030.0</v>
      </c>
      <c r="B1032" s="3" t="s">
        <v>1033</v>
      </c>
      <c r="C1032" s="3" t="str">
        <f>IFERROR(__xludf.DUMMYFUNCTION("GOOGLETRANSLATE(B1032,""id"",""en"")"),"['YTH', 'magnifying', 'magnifying', 'BIG', 'BOS', 'Telkomsel', 'Tlong', 'Assisted', 'Addition', 'Tower', 'Telkomsel', 'Dimorowali', ' Specificallyx ',' Dikec ',' Bahodopi ',' Village ',' Labota ',' Makarti ',' Dibaho ',' Bethebete ',' Use ',' Villages', '"&amp;"Since', 'Factory', 'Biggest' , 'Asia', 'southeast', 'Kariyanwanx', 'ranges',' thousand ',' soul ',' iMip ',' company ',' nickel ',' trayaar ',' hope ',' socially ',' Wakulated ',' Tower ',' Trimah ',' Love ', ""]")</f>
        <v>['YTH', 'magnifying', 'magnifying', 'BIG', 'BOS', 'Telkomsel', 'Tlong', 'Assisted', 'Addition', 'Tower', 'Telkomsel', 'Dimorowali', ' Specificallyx ',' Dikec ',' Bahodopi ',' Village ',' Labota ',' Makarti ',' Dibaho ',' Bethebete ',' Use ',' Villages', 'Since', 'Factory', 'Biggest' , 'Asia', 'southeast', 'Kariyanwanx', 'ranges',' thousand ',' soul ',' iMip ',' company ',' nickel ',' trayaar ',' hope ',' socially ',' Wakulated ',' Tower ',' Trimah ',' Love ', "]</v>
      </c>
      <c r="D1032" s="3">
        <v>5.0</v>
      </c>
    </row>
    <row r="1033" ht="15.75" customHeight="1">
      <c r="A1033" s="1">
        <v>1031.0</v>
      </c>
      <c r="B1033" s="3" t="s">
        <v>1034</v>
      </c>
      <c r="C1033" s="3" t="str">
        <f>IFERROR(__xludf.DUMMYFUNCTION("GOOGLETRANSLATE(B1033,""id"",""en"")"),"['upup', 'ugly', 'buy', 'quota', 'link', 'slow', 'chek', 'difficult', 'hold', 'chek', ""]")</f>
        <v>['upup', 'ugly', 'buy', 'quota', 'link', 'slow', 'chek', 'difficult', 'hold', 'chek', "]</v>
      </c>
      <c r="D1033" s="3">
        <v>1.0</v>
      </c>
    </row>
    <row r="1034" ht="15.75" customHeight="1">
      <c r="A1034" s="1">
        <v>1032.0</v>
      </c>
      <c r="B1034" s="3" t="s">
        <v>1035</v>
      </c>
      <c r="C1034" s="3" t="str">
        <f>IFERROR(__xludf.DUMMYFUNCTION("GOOGLETRANSLATE(B1034,""id"",""en"")"),"['Telkomsel', 'annoyed', 'GPS', 'clock', 'road', 'clock', 'morning', 'access',' application ',' unlimited ',' wait ',' kouta ',' The main ',' run out ',' Road ',' Unlimited ',' Kayak ',' Gini ',' Org ',' Buy ',' Unlimited ',' Semuka ',' Kouta ',' Main ','"&amp;" Gini ' , 'right', 'me', 'enjoyed', 'unlimited', 'me', 'kouta', 'main', 'me', 'spent', 'Luan', 'me', 'access',' Application ',' unlimited ',' address', 'stop', 'Langanan', 'org', 'realize']")</f>
        <v>['Telkomsel', 'annoyed', 'GPS', 'clock', 'road', 'clock', 'morning', 'access',' application ',' unlimited ',' wait ',' kouta ',' The main ',' run out ',' Road ',' Unlimited ',' Kayak ',' Gini ',' Org ',' Buy ',' Unlimited ',' Semuka ',' Kouta ',' Main ',' Gini ' , 'right', 'me', 'enjoyed', 'unlimited', 'me', 'kouta', 'main', 'me', 'spent', 'Luan', 'me', 'access',' Application ',' unlimited ',' address', 'stop', 'Langanan', 'org', 'realize']</v>
      </c>
      <c r="D1034" s="3">
        <v>2.0</v>
      </c>
    </row>
    <row r="1035" ht="15.75" customHeight="1">
      <c r="A1035" s="1">
        <v>1033.0</v>
      </c>
      <c r="B1035" s="3" t="s">
        <v>1036</v>
      </c>
      <c r="C1035" s="3" t="str">
        <f>IFERROR(__xludf.DUMMYFUNCTION("GOOGLETRANSLATE(B1035,""id"",""en"")"),"['plis',' love ',' min ',' make ',' package ',' local ',' buy ',' package ',' promo ',' dipake ',' doang ',' use ',' Buy ',' expensive ',' trauma ',' try ',' times', 'jln', 'internet', 'pdhl', 'used', 'knpa', 'right', 'use']")</f>
        <v>['plis',' love ',' min ',' make ',' package ',' local ',' buy ',' package ',' promo ',' dipake ',' doang ',' use ',' Buy ',' expensive ',' trauma ',' try ',' times', 'jln', 'internet', 'pdhl', 'used', 'knpa', 'right', 'use']</v>
      </c>
      <c r="D1035" s="3">
        <v>1.0</v>
      </c>
    </row>
    <row r="1036" ht="15.75" customHeight="1">
      <c r="A1036" s="1">
        <v>1034.0</v>
      </c>
      <c r="B1036" s="3" t="s">
        <v>1037</v>
      </c>
      <c r="C1036" s="3" t="str">
        <f>IFERROR(__xludf.DUMMYFUNCTION("GOOGLETRANSLATE(B1036,""id"",""en"")"),"['Thank you', 'signal', 'best', 'Telkomsel', 'gave', 'Value', 'star', 'zero', 'disappointed', 'provider', 'syg', 'star', ' Minimal ',' Star ',' Really ',' Disappointed ',' Telkomsel ']")</f>
        <v>['Thank you', 'signal', 'best', 'Telkomsel', 'gave', 'Value', 'star', 'zero', 'disappointed', 'provider', 'syg', 'star', ' Minimal ',' Star ',' Really ',' Disappointed ',' Telkomsel ']</v>
      </c>
      <c r="D1036" s="3">
        <v>1.0</v>
      </c>
    </row>
    <row r="1037" ht="15.75" customHeight="1">
      <c r="A1037" s="1">
        <v>1035.0</v>
      </c>
      <c r="B1037" s="3" t="s">
        <v>1038</v>
      </c>
      <c r="C1037" s="3" t="str">
        <f>IFERROR(__xludf.DUMMYFUNCTION("GOOGLETRANSLATE(B1037,""id"",""en"")"),"['APL', 'Telkomsel', 'slow', 'log', 'out', 'bother', 'ad', 'appears', 'menu', '']")</f>
        <v>['APL', 'Telkomsel', 'slow', 'log', 'out', 'bother', 'ad', 'appears', 'menu', '']</v>
      </c>
      <c r="D1037" s="3">
        <v>1.0</v>
      </c>
    </row>
    <row r="1038" ht="15.75" customHeight="1">
      <c r="A1038" s="1">
        <v>1036.0</v>
      </c>
      <c r="B1038" s="3" t="s">
        <v>1039</v>
      </c>
      <c r="C1038" s="3" t="str">
        <f>IFERROR(__xludf.DUMMYFUNCTION("GOOGLETRANSLATE(B1038,""id"",""en"")"),"['Cave', 'Telkomsel', 'Slow', 'Forgiveness',' Network ',' Kagakn ',' Tabil ',' Video ',' Call ',' Connect ',' Game ',' Lemot ',' Forgiveness', 'Benerin', 'cave', 'area', 'Tasikmalaya', 'usage', 'cave', 'a month', 'okay', 'thousand', 'doang', 'package', 'g"&amp;"ot' , 'Network', 'ugly', 'Bener', 'stable']")</f>
        <v>['Cave', 'Telkomsel', 'Slow', 'Forgiveness',' Network ',' Kagakn ',' Tabil ',' Video ',' Call ',' Connect ',' Game ',' Lemot ',' Forgiveness', 'Benerin', 'cave', 'area', 'Tasikmalaya', 'usage', 'cave', 'a month', 'okay', 'thousand', 'doang', 'package', 'got' , 'Network', 'ugly', 'Bener', 'stable']</v>
      </c>
      <c r="D1038" s="3">
        <v>1.0</v>
      </c>
    </row>
    <row r="1039" ht="15.75" customHeight="1">
      <c r="A1039" s="1">
        <v>1037.0</v>
      </c>
      <c r="B1039" s="3" t="s">
        <v>1040</v>
      </c>
      <c r="C1039" s="3" t="str">
        <f>IFERROR(__xludf.DUMMYFUNCTION("GOOGLETRANSLATE(B1039,""id"",""en"")"),"['Hello', 'the application', 'good', 'good', 'ask', 'quota', 'multimedia', 'Disney', 'hotstar', 'kah', 'sms',' notification ',' Disney ',' hotstar ']")</f>
        <v>['Hello', 'the application', 'good', 'good', 'ask', 'quota', 'multimedia', 'Disney', 'hotstar', 'kah', 'sms',' notification ',' Disney ',' hotstar ']</v>
      </c>
      <c r="D1039" s="3">
        <v>4.0</v>
      </c>
    </row>
    <row r="1040" ht="15.75" customHeight="1">
      <c r="A1040" s="1">
        <v>1038.0</v>
      </c>
      <c r="B1040" s="3" t="s">
        <v>1041</v>
      </c>
      <c r="C1040" s="3" t="str">
        <f>IFERROR(__xludf.DUMMYFUNCTION("GOOGLETRANSLATE(B1040,""id"",""en"")"),"['Telkomsel', 'buy', 'package', 'Telkomsel', 'Friday', 'blessing', 'GB', 'buy', 'pulse', 'package', 'lost', 'replace', ' GB ',' ISI ',' Credit ']")</f>
        <v>['Telkomsel', 'buy', 'package', 'Telkomsel', 'Friday', 'blessing', 'GB', 'buy', 'pulse', 'package', 'lost', 'replace', ' GB ',' ISI ',' Credit ']</v>
      </c>
      <c r="D1040" s="3">
        <v>2.0</v>
      </c>
    </row>
    <row r="1041" ht="15.75" customHeight="1">
      <c r="A1041" s="1">
        <v>1039.0</v>
      </c>
      <c r="B1041" s="3" t="s">
        <v>1042</v>
      </c>
      <c r="C1041" s="3" t="str">
        <f>IFERROR(__xludf.DUMMYFUNCTION("GOOGLETRANSLATE(B1041,""id"",""en"")"),"['Oiii', 'Telkomsel', 'Please', 'Ngapo', 'Network', 'Kuani', 'Cak', 'Taiikkkkkkkkkk', 'Cakmano', 'kid', 'ngatkeke', 'quality', ' Maen ',' Bae ',' Network ',' Lose ',' Samo ',' Tri ',' Samo ',' Indosat ',' Buy ',' Package ',' expensive ',' OIII ',' Equek '"&amp;" , 'Equek', 'Quality', 'DAK', 'Quality', 'Nian', 'Network', 'Cak', 'Taiikkkkkkkk', 'Noroni', 'Performance', 'Bae', 'Cakmano', ' Nak ',' Percayo ',' Samo ',' Card ',' You ',' Quality ',' Network ',' Below ',' Standard ',' Stay ',' City ',' Center ',' City "&amp;"' ]")</f>
        <v>['Oiii', 'Telkomsel', 'Please', 'Ngapo', 'Network', 'Kuani', 'Cak', 'Taiikkkkkkkkkk', 'Cakmano', 'kid', 'ngatkeke', 'quality', ' Maen ',' Bae ',' Network ',' Lose ',' Samo ',' Tri ',' Samo ',' Indosat ',' Buy ',' Package ',' expensive ',' OIII ',' Equek ' , 'Equek', 'Quality', 'DAK', 'Quality', 'Nian', 'Network', 'Cak', 'Taiikkkkkkkk', 'Noroni', 'Performance', 'Bae', 'Cakmano', ' Nak ',' Percayo ',' Samo ',' Card ',' You ',' Quality ',' Network ',' Below ',' Standard ',' Stay ',' City ',' Center ',' City ' ]</v>
      </c>
      <c r="D1041" s="3">
        <v>1.0</v>
      </c>
    </row>
    <row r="1042" ht="15.75" customHeight="1">
      <c r="A1042" s="1">
        <v>1040.0</v>
      </c>
      <c r="B1042" s="3" t="s">
        <v>1043</v>
      </c>
      <c r="C1042" s="3" t="str">
        <f>IFERROR(__xludf.DUMMYFUNCTION("GOOGLETRANSLATE(B1042,""id"",""en"")"),"['fraud', 'list', 'package', 'promo', 'suprise', 'Deal', 'JUM', 'blessing', 'menu', 'choice', 'price', 'thousand', ' thousand ',' thousand ',' right ',' contents', 'pulse', 'thousand', 'buy', 'package', 'thousands',' pulse ',' already ',' filled ',' list "&amp;"' , 'price', 'package', 'missing', 'ngak', 'stay', 'list', 'package', 'price', 'thousands', 'thousand', 'missing', 'where' Ngak ',' fraud ',' pulse ',' fill in ',' thousand ',' ngak ',' kepakai ',' tip ',' abis', 'sumps',' pig ', ""]")</f>
        <v>['fraud', 'list', 'package', 'promo', 'suprise', 'Deal', 'JUM', 'blessing', 'menu', 'choice', 'price', 'thousand', ' thousand ',' thousand ',' right ',' contents', 'pulse', 'thousand', 'buy', 'package', 'thousands',' pulse ',' already ',' filled ',' list ' , 'price', 'package', 'missing', 'ngak', 'stay', 'list', 'package', 'price', 'thousands', 'thousand', 'missing', 'where' Ngak ',' fraud ',' pulse ',' fill in ',' thousand ',' ngak ',' kepakai ',' tip ',' abis', 'sumps',' pig ', "]</v>
      </c>
      <c r="D1042" s="3">
        <v>1.0</v>
      </c>
    </row>
    <row r="1043" ht="15.75" customHeight="1">
      <c r="A1043" s="1">
        <v>1041.0</v>
      </c>
      <c r="B1043" s="3" t="s">
        <v>1044</v>
      </c>
      <c r="C1043" s="3" t="str">
        <f>IFERROR(__xludf.DUMMYFUNCTION("GOOGLETRANSLATE(B1043,""id"",""en"")"),"['OII', 'Seeds',' Cow ',' Measons', 'Make', 'APK', 'Points',' Byk ',' Update ',' TRS ',' ilang ',' Points', ' Indonesia ',' MMG ',' BYK ',' Tipu ',' Eat ',' Point ',' Sampe ',' Hereafter ',' ']")</f>
        <v>['OII', 'Seeds',' Cow ',' Measons', 'Make', 'APK', 'Points',' Byk ',' Update ',' TRS ',' ilang ',' Points', ' Indonesia ',' MMG ',' BYK ',' Tipu ',' Eat ',' Point ',' Sampe ',' Hereafter ',' ']</v>
      </c>
      <c r="D1043" s="3">
        <v>1.0</v>
      </c>
    </row>
    <row r="1044" ht="15.75" customHeight="1">
      <c r="A1044" s="1">
        <v>1042.0</v>
      </c>
      <c r="B1044" s="3" t="s">
        <v>1045</v>
      </c>
      <c r="C1044" s="3" t="str">
        <f>IFERROR(__xludf.DUMMYFUNCTION("GOOGLETRANSLATE(B1044,""id"",""en"")"),"['Sorry', 'forced', 'Reduce', 'star', 'promo', 'buy', 'price', 'according to', 'promo', 'right', 'check', 'quota', ' Application ',' application ',' Error ',' Dial ',' Phone ',' Ribet ',' Rich ',' People ',' Ngurus', 'KTP', 'Application', 'Ancur', 'Networ"&amp;"k' , 'Severe', 'network', 'loudwearaasssszzzzzzz', 'service', 'Kapasssa', 'light', 'light', 'weight', ""]")</f>
        <v>['Sorry', 'forced', 'Reduce', 'star', 'promo', 'buy', 'price', 'according to', 'promo', 'right', 'check', 'quota', ' Application ',' application ',' Error ',' Dial ',' Phone ',' Ribet ',' Rich ',' People ',' Ngurus', 'KTP', 'Application', 'Ancur', 'Network' , 'Severe', 'network', 'loudwearaasssszzzzzzz', 'service', 'Kapasssa', 'light', 'light', 'weight', "]</v>
      </c>
      <c r="D1044" s="3">
        <v>1.0</v>
      </c>
    </row>
    <row r="1045" ht="15.75" customHeight="1">
      <c r="A1045" s="1">
        <v>1043.0</v>
      </c>
      <c r="B1045" s="3" t="s">
        <v>1046</v>
      </c>
      <c r="C1045" s="3" t="str">
        <f>IFERROR(__xludf.DUMMYFUNCTION("GOOGLETRANSLATE(B1045,""id"",""en"")"),"['Please', 'related', 'users',' internet ',' Telkomsel ',' Region ',' Cimahi ',' North ',' signal ',' internet ',' Telkomsel ',' ugly ',' difficult ',' Open ',' App ',' Open ',' App ',' Thank you ',' Telkomsel ']")</f>
        <v>['Please', 'related', 'users',' internet ',' Telkomsel ',' Region ',' Cimahi ',' North ',' signal ',' internet ',' Telkomsel ',' ugly ',' difficult ',' Open ',' App ',' Open ',' App ',' Thank you ',' Telkomsel ']</v>
      </c>
      <c r="D1045" s="3">
        <v>3.0</v>
      </c>
    </row>
    <row r="1046" ht="15.75" customHeight="1">
      <c r="A1046" s="1">
        <v>1044.0</v>
      </c>
      <c r="B1046" s="3" t="s">
        <v>1047</v>
      </c>
      <c r="C1046" s="3" t="str">
        <f>IFERROR(__xludf.DUMMYFUNCTION("GOOGLETRANSLATE(B1046,""id"",""en"")"),"['take', 'package', 'internet', 'daily', 'take', 'choice', 'package', 'night', 'GB', 'pulse', 'already', 'cut', ' Paketan ',' use ',' disappointing ',' Telkomsel ',' kli ',' person ',' person ',' moved ',' provider ']")</f>
        <v>['take', 'package', 'internet', 'daily', 'take', 'choice', 'package', 'night', 'GB', 'pulse', 'already', 'cut', ' Paketan ',' use ',' disappointing ',' Telkomsel ',' kli ',' person ',' person ',' moved ',' provider ']</v>
      </c>
      <c r="D1046" s="3">
        <v>1.0</v>
      </c>
    </row>
    <row r="1047" ht="15.75" customHeight="1">
      <c r="A1047" s="1">
        <v>1045.0</v>
      </c>
      <c r="B1047" s="3" t="s">
        <v>1048</v>
      </c>
      <c r="C1047" s="3" t="str">
        <f>IFERROR(__xludf.DUMMYFUNCTION("GOOGLETRANSLATE(B1047,""id"",""en"")"),"['UDH', 'Saia', 'Mode', 'Plane', 'Sampe', 'Non', 'Activate', 'Card', 'TTP', 'Gata', 'Twitter', 'Saia', ' prngen ',' fix ',' play ',' game ',' smooth ']")</f>
        <v>['UDH', 'Saia', 'Mode', 'Plane', 'Sampe', 'Non', 'Activate', 'Card', 'TTP', 'Gata', 'Twitter', 'Saia', ' prngen ',' fix ',' play ',' game ',' smooth ']</v>
      </c>
      <c r="D1047" s="3">
        <v>1.0</v>
      </c>
    </row>
    <row r="1048" ht="15.75" customHeight="1">
      <c r="A1048" s="1">
        <v>1046.0</v>
      </c>
      <c r="B1048" s="3" t="s">
        <v>1049</v>
      </c>
      <c r="C1048" s="3" t="str">
        <f>IFERROR(__xludf.DUMMYFUNCTION("GOOGLETRANSLATE(B1048,""id"",""en"")"),"['Telkomsel', 'please', 'fix', 'transaction', 'read', 'entry', 'package', 'data', 'pulse', 'reduced', 'menboca', 'morning', ' Afternoon ',' Results', 'Disappointed', 'Telkomsel', 'Network', 'Like', 'Drop', ""]")</f>
        <v>['Telkomsel', 'please', 'fix', 'transaction', 'read', 'entry', 'package', 'data', 'pulse', 'reduced', 'menboca', 'morning', ' Afternoon ',' Results', 'Disappointed', 'Telkomsel', 'Network', 'Like', 'Drop', "]</v>
      </c>
      <c r="D1048" s="3">
        <v>1.0</v>
      </c>
    </row>
    <row r="1049" ht="15.75" customHeight="1">
      <c r="A1049" s="1">
        <v>1047.0</v>
      </c>
      <c r="B1049" s="3" t="s">
        <v>1050</v>
      </c>
      <c r="C1049" s="3" t="str">
        <f>IFERROR(__xludf.DUMMYFUNCTION("GOOGLETRANSLATE(B1049,""id"",""en"")"),"['Network', 'stable', 'Telkomsel', 'noon', 'area', 'night', 'good', 'please', 'conducted', 'replace', 'mode', 'manual', ' network ',' still ',' no ',' good ',' area ',' indragiri ',' downstream ',' sub-district ',' kateman ',' severe ',' the network ',' n"&amp;"o ',' support ' , 'Where', 'Constraints', 'Please', 'Fix']")</f>
        <v>['Network', 'stable', 'Telkomsel', 'noon', 'area', 'night', 'good', 'please', 'conducted', 'replace', 'mode', 'manual', ' network ',' still ',' no ',' good ',' area ',' indragiri ',' downstream ',' sub-district ',' kateman ',' severe ',' the network ',' no ',' support ' , 'Where', 'Constraints', 'Please', 'Fix']</v>
      </c>
      <c r="D1049" s="3">
        <v>1.0</v>
      </c>
    </row>
    <row r="1050" ht="15.75" customHeight="1">
      <c r="A1050" s="1">
        <v>1048.0</v>
      </c>
      <c r="B1050" s="3" t="s">
        <v>1051</v>
      </c>
      <c r="C1050" s="3" t="str">
        <f>IFERROR(__xludf.DUMMYFUNCTION("GOOGLETRANSLATE(B1050,""id"",""en"")"),"['please', 'Telkomsel', 'network', 'fix', 'difficult', 'sosmed', 'select', 'Telkomsel', 'good', 'nch', 'expensive', 'buy', ' Internet ',' The network ',' mala ',' kayak ',' card ',' fix ',' person ',' family ',' friend ',' work ',' friend ',' friend ',' s"&amp;"top ' , 'Use', 'Telkomsel', 'Please', 'Fix', 'Network', 'Telkomsel', ""]")</f>
        <v>['please', 'Telkomsel', 'network', 'fix', 'difficult', 'sosmed', 'select', 'Telkomsel', 'good', 'nch', 'expensive', 'buy', ' Internet ',' The network ',' mala ',' kayak ',' card ',' fix ',' person ',' family ',' friend ',' work ',' friend ',' friend ',' stop ' , 'Use', 'Telkomsel', 'Please', 'Fix', 'Network', 'Telkomsel', "]</v>
      </c>
      <c r="D1050" s="3">
        <v>3.0</v>
      </c>
    </row>
    <row r="1051" ht="15.75" customHeight="1">
      <c r="A1051" s="1">
        <v>1049.0</v>
      </c>
      <c r="B1051" s="3" t="s">
        <v>1052</v>
      </c>
      <c r="C1051" s="3" t="str">
        <f>IFERROR(__xludf.DUMMYFUNCTION("GOOGLETRANSLATE(B1051,""id"",""en"")"),"['Telkomsel', 'promo', 'bought', 'network', 'ilang', 'Telkomsel', 'poor', 'dead', 'lights',' signal ',' direct ',' ilang ',' Telkomsel ',' minus', 'Anyway']")</f>
        <v>['Telkomsel', 'promo', 'bought', 'network', 'ilang', 'Telkomsel', 'poor', 'dead', 'lights',' signal ',' direct ',' ilang ',' Telkomsel ',' minus', 'Anyway']</v>
      </c>
      <c r="D1051" s="3">
        <v>1.0</v>
      </c>
    </row>
    <row r="1052" ht="15.75" customHeight="1">
      <c r="A1052" s="1">
        <v>1050.0</v>
      </c>
      <c r="B1052" s="3" t="s">
        <v>1053</v>
      </c>
      <c r="C1052" s="3" t="str">
        <f>IFERROR(__xludf.DUMMYFUNCTION("GOOGLETRANSLATE(B1052,""id"",""en"")"),"['signal', 'ugly', 'please', 'Segerah', 'fix', 'customer', 'signal', 'destroyed', 'application', 'useful', 'right', 'buy', ' Paketan ',' Price ',' Really ',' Disappointed ',' Telkomsel ',' Anyway ',' Telkomsel ',' ugly ',' Signal ',' Out ',' Update ',' Li"&amp;"ke ',' Ngebug ' , 'right', 'buy', 'package', 'price', 'promo', 'package', 'missing', 'disappointed', 'Telkomsel']")</f>
        <v>['signal', 'ugly', 'please', 'Segerah', 'fix', 'customer', 'signal', 'destroyed', 'application', 'useful', 'right', 'buy', ' Paketan ',' Price ',' Really ',' Disappointed ',' Telkomsel ',' Anyway ',' Telkomsel ',' ugly ',' Signal ',' Out ',' Update ',' Like ',' Ngebug ' , 'right', 'buy', 'package', 'price', 'promo', 'package', 'missing', 'disappointed', 'Telkomsel']</v>
      </c>
      <c r="D1052" s="3">
        <v>1.0</v>
      </c>
    </row>
    <row r="1053" ht="15.75" customHeight="1">
      <c r="A1053" s="1">
        <v>1051.0</v>
      </c>
      <c r="B1053" s="3" t="s">
        <v>1054</v>
      </c>
      <c r="C1053" s="3" t="str">
        <f>IFERROR(__xludf.DUMMYFUNCTION("GOOGLETRANSLATE(B1053,""id"",""en"")"),"['Promise', 'Doank', 'Download', 'Mbps', 'Upload', 'Mbps', 'Turn Off', 'Sinyal', 'Bapuk', 'How', ""]")</f>
        <v>['Promise', 'Doank', 'Download', 'Mbps', 'Upload', 'Mbps', 'Turn Off', 'Sinyal', 'Bapuk', 'How', "]</v>
      </c>
      <c r="D1053" s="3">
        <v>1.0</v>
      </c>
    </row>
    <row r="1054" ht="15.75" customHeight="1">
      <c r="A1054" s="1">
        <v>1052.0</v>
      </c>
      <c r="B1054" s="3" t="s">
        <v>1055</v>
      </c>
      <c r="C1054" s="3" t="str">
        <f>IFERROR(__xludf.DUMMYFUNCTION("GOOGLETRANSLATE(B1054,""id"",""en"")"),"['Date', 'April', 'disappointed', 'promo', 'supriseedeal', 'Friday', 'blessings',' lgs', 'pull', 'Telkomsel', 'Asian', 'hrg', ' pdhl ',' rare ',' promo ',' promo ',' hrs', 'check', 'telkomsel', 'diinfo', 'nsbh', 'lgs',' sms', 'please', 'ut' , 'signal', 'r"&amp;"epaired', 'UDH', 'Pay', 'expensive', 'for', 'buy', 'package', 'package', 'data', 'monthly', 'cheap', ' Use ',' Telkomsel ',' circles', 'circles',' and above ',' Kampu ',' for ',' groups', 'medium', 'Thanks',' ']")</f>
        <v>['Date', 'April', 'disappointed', 'promo', 'supriseedeal', 'Friday', 'blessings',' lgs', 'pull', 'Telkomsel', 'Asian', 'hrg', ' pdhl ',' rare ',' promo ',' promo ',' hrs', 'check', 'telkomsel', 'diinfo', 'nsbh', 'lgs',' sms', 'please', 'ut' , 'signal', 'repaired', 'UDH', 'Pay', 'expensive', 'for', 'buy', 'package', 'package', 'data', 'monthly', 'cheap', ' Use ',' Telkomsel ',' circles', 'circles',' and above ',' Kampu ',' for ',' groups', 'medium', 'Thanks',' ']</v>
      </c>
      <c r="D1054" s="3">
        <v>3.0</v>
      </c>
    </row>
    <row r="1055" ht="15.75" customHeight="1">
      <c r="A1055" s="1">
        <v>1053.0</v>
      </c>
      <c r="B1055" s="3" t="s">
        <v>1056</v>
      </c>
      <c r="C1055" s="3" t="str">
        <f>IFERROR(__xludf.DUMMYFUNCTION("GOOGLETRANSLATE(B1055,""id"",""en"")"),"['Telkomsel', 'Region', 'Seputaran', 'Gowa', 'Sul', 'cell', 'network', 'chaotic', 'Sometimes',' Most ',' Lemot ',' Play ',' Game ',' Game ',' Difficult ',' Enter ',' Watch ',' YouTube ',' Loading ',' then ',' Panukimu ',' Telkomsel ',' ']")</f>
        <v>['Telkomsel', 'Region', 'Seputaran', 'Gowa', 'Sul', 'cell', 'network', 'chaotic', 'Sometimes',' Most ',' Lemot ',' Play ',' Game ',' Game ',' Difficult ',' Enter ',' Watch ',' YouTube ',' Loading ',' then ',' Panukimu ',' Telkomsel ',' ']</v>
      </c>
      <c r="D1055" s="3">
        <v>1.0</v>
      </c>
    </row>
    <row r="1056" ht="15.75" customHeight="1">
      <c r="A1056" s="1">
        <v>1054.0</v>
      </c>
      <c r="B1056" s="3" t="s">
        <v>1057</v>
      </c>
      <c r="C1056" s="3" t="str">
        <f>IFERROR(__xludf.DUMMYFUNCTION("GOOGLETRANSLATE(B1056,""id"",""en"")"),"['MyTelkomsel', 'happy', 'heart', 'at the end', 'sick', 'heart', 'SMS', 'package', 'surprise', 'Deal', 'JUM', 'blessing', ' present ',' already ',' happy ',' package ',' GB ',' package ',' GB ',' appears', 'minute', 'choice', 'package', 'iti', 'eliminated"&amp;"' , 'left', 'package', 'FUP', 'package', 'eliminated', 'consistent', 'nawarin', 'package', 'play', 'eliminate', 'honest', 'no', ' Buy ',' Package ',' ']")</f>
        <v>['MyTelkomsel', 'happy', 'heart', 'at the end', 'sick', 'heart', 'SMS', 'package', 'surprise', 'Deal', 'JUM', 'blessing', ' present ',' already ',' happy ',' package ',' GB ',' package ',' GB ',' appears', 'minute', 'choice', 'package', 'iti', 'eliminated' , 'left', 'package', 'FUP', 'package', 'eliminated', 'consistent', 'nawarin', 'package', 'play', 'eliminate', 'honest', 'no', ' Buy ',' Package ',' ']</v>
      </c>
      <c r="D1056" s="3">
        <v>2.0</v>
      </c>
    </row>
    <row r="1057" ht="15.75" customHeight="1">
      <c r="A1057" s="1">
        <v>1055.0</v>
      </c>
      <c r="B1057" s="3" t="s">
        <v>1058</v>
      </c>
      <c r="C1057" s="3" t="str">
        <f>IFERROR(__xludf.DUMMYFUNCTION("GOOGLETRANSLATE(B1057,""id"",""en"")"),"['The application', 'Cool', 'really', 'bro', 'ane', 'buy', 'promo', 'telkomsel', 'unique', 'success',' use ',' internet ',' The pulses', 'Suck', 'unique', 'Telkomsel', 'convenience', 'signal', 'Gunakn', 'internet', 'signal', 'missing', 'suggestion', 'Mend"&amp;"ing', 'moved' , 'Provider', 'bro', 'axis', 'promo', 'price', 'cheap', 'signal', 'count on', 'Yuk', 'Switch', 'Provider', ""]")</f>
        <v>['The application', 'Cool', 'really', 'bro', 'ane', 'buy', 'promo', 'telkomsel', 'unique', 'success',' use ',' internet ',' The pulses', 'Suck', 'unique', 'Telkomsel', 'convenience', 'signal', 'Gunakn', 'internet', 'signal', 'missing', 'suggestion', 'Mending', 'moved' , 'Provider', 'bro', 'axis', 'promo', 'price', 'cheap', 'signal', 'count on', 'Yuk', 'Switch', 'Provider', "]</v>
      </c>
      <c r="D1057" s="3">
        <v>5.0</v>
      </c>
    </row>
    <row r="1058" ht="15.75" customHeight="1">
      <c r="A1058" s="1">
        <v>1056.0</v>
      </c>
      <c r="B1058" s="3" t="s">
        <v>1059</v>
      </c>
      <c r="C1058" s="3" t="str">
        <f>IFERROR(__xludf.DUMMYFUNCTION("GOOGLETRANSLATE(B1058,""id"",""en"")"),"['signal', 'good', 'buy', 'package', 'data', 'expensive', 'signal', 'down', 'sometimes',' mean ',' try ',' already ',' Matiin ',' annoyed ',' ']")</f>
        <v>['signal', 'good', 'buy', 'package', 'data', 'expensive', 'signal', 'down', 'sometimes',' mean ',' try ',' already ',' Matiin ',' annoyed ',' ']</v>
      </c>
      <c r="D1058" s="3">
        <v>1.0</v>
      </c>
    </row>
    <row r="1059" ht="15.75" customHeight="1">
      <c r="A1059" s="1">
        <v>1057.0</v>
      </c>
      <c r="B1059" s="3" t="s">
        <v>1060</v>
      </c>
      <c r="C1059" s="3" t="str">
        <f>IFERROR(__xludf.DUMMYFUNCTION("GOOGLETRANSLATE(B1059,""id"",""en"")"),"['network', 'Telkomsel', 'bad', 'original', 'please', 'fix', 'region', 'jakarta', 'south', 'quota', 'maem', 'game', ' Online ',' Mengelek ',' Rich ',' Gini ',' Use ',' Telkomsel ',' Auto ',' Discard ',' Card ',' Move ',' Card ', ""]")</f>
        <v>['network', 'Telkomsel', 'bad', 'original', 'please', 'fix', 'region', 'jakarta', 'south', 'quota', 'maem', 'game', ' Online ',' Mengelek ',' Rich ',' Gini ',' Use ',' Telkomsel ',' Auto ',' Discard ',' Card ',' Move ',' Card ', "]</v>
      </c>
      <c r="D1059" s="3">
        <v>1.0</v>
      </c>
    </row>
    <row r="1060" ht="15.75" customHeight="1">
      <c r="A1060" s="1">
        <v>1058.0</v>
      </c>
      <c r="B1060" s="3" t="s">
        <v>1061</v>
      </c>
      <c r="C1060" s="3" t="str">
        <f>IFERROR(__xludf.DUMMYFUNCTION("GOOGLETRANSLATE(B1060,""id"",""en"")"),"['network', 'down', 'already', 'down', 'then', 'speed', 'download', 'ugly', 'disappointed', 'Telkomsel', ""]")</f>
        <v>['network', 'down', 'already', 'down', 'then', 'speed', 'download', 'ugly', 'disappointed', 'Telkomsel', "]</v>
      </c>
      <c r="D1060" s="3">
        <v>1.0</v>
      </c>
    </row>
    <row r="1061" ht="15.75" customHeight="1">
      <c r="A1061" s="1">
        <v>1059.0</v>
      </c>
      <c r="B1061" s="3" t="s">
        <v>1062</v>
      </c>
      <c r="C1061" s="3" t="str">
        <f>IFERROR(__xludf.DUMMYFUNCTION("GOOGLETRANSLATE(B1061,""id"",""en"")"),"['signal', 'ugly', 'already', 'Matiin', 'live', 'data', 'mode', 'plane', 'restart', 'call', 'emergency', 'loss',' sympathy']")</f>
        <v>['signal', 'ugly', 'already', 'Matiin', 'live', 'data', 'mode', 'plane', 'restart', 'call', 'emergency', 'loss',' sympathy']</v>
      </c>
      <c r="D1061" s="3">
        <v>1.0</v>
      </c>
    </row>
    <row r="1062" ht="15.75" customHeight="1">
      <c r="A1062" s="1">
        <v>1060.0</v>
      </c>
      <c r="B1062" s="3" t="s">
        <v>1063</v>
      </c>
      <c r="C1062" s="3" t="str">
        <f>IFERROR(__xludf.DUMMYFUNCTION("GOOGLETRANSLATE(B1062,""id"",""en"")"),"['ugly', 'ugly', 'play', 'game', 'ngeleg', 'severe', 'change', 'signal', 'bad', 'oath', 'disappointed', 'price', ' expensive ',' signal ',' slow ',' ']")</f>
        <v>['ugly', 'ugly', 'play', 'game', 'ngeleg', 'severe', 'change', 'signal', 'bad', 'oath', 'disappointed', 'price', ' expensive ',' signal ',' slow ',' ']</v>
      </c>
      <c r="D1062" s="3">
        <v>1.0</v>
      </c>
    </row>
    <row r="1063" ht="15.75" customHeight="1">
      <c r="A1063" s="1">
        <v>1061.0</v>
      </c>
      <c r="B1063" s="3" t="s">
        <v>1064</v>
      </c>
      <c r="C1063" s="3" t="str">
        <f>IFERROR(__xludf.DUMMYFUNCTION("GOOGLETRANSLATE(B1063,""id"",""en"")"),"['Mea', 'Belik', 'Package', 'Credit', 'Price', 'Rates',' Sampe ',' Tomorrow ',' Notif ',' Kelen ',' Lariss', 'Litue', ' Pliss', 'Wee', 'Pliss',' Fasting ',' Maybe ',' hotspot ',' why ',' Belik ',' package ',' last night ',' Need ',' this', 'work' , 'no', "&amp;"'']")</f>
        <v>['Mea', 'Belik', 'Package', 'Credit', 'Price', 'Rates',' Sampe ',' Tomorrow ',' Notif ',' Kelen ',' Lariss', 'Litue', ' Pliss', 'Wee', 'Pliss',' Fasting ',' Maybe ',' hotspot ',' why ',' Belik ',' package ',' last night ',' Need ',' this', 'work' , 'no', '']</v>
      </c>
      <c r="D1063" s="3">
        <v>1.0</v>
      </c>
    </row>
    <row r="1064" ht="15.75" customHeight="1">
      <c r="A1064" s="1">
        <v>1062.0</v>
      </c>
      <c r="B1064" s="3" t="s">
        <v>1065</v>
      </c>
      <c r="C1064" s="3" t="str">
        <f>IFERROR(__xludf.DUMMYFUNCTION("GOOGLETRANSLATE(B1064,""id"",""en"")"),"['Network', 'Good', 'Tower', 'Region', 'Balige', 'Sumatran', 'North', 'Troubled', 'Kah', 'Network', ""]")</f>
        <v>['Network', 'Good', 'Tower', 'Region', 'Balige', 'Sumatran', 'North', 'Troubled', 'Kah', 'Network', "]</v>
      </c>
      <c r="D1064" s="3">
        <v>4.0</v>
      </c>
    </row>
    <row r="1065" ht="15.75" customHeight="1">
      <c r="A1065" s="1">
        <v>1063.0</v>
      </c>
      <c r="B1065" s="3" t="s">
        <v>1066</v>
      </c>
      <c r="C1065" s="3" t="str">
        <f>IFERROR(__xludf.DUMMYFUNCTION("GOOGLETRANSLATE(B1065,""id"",""en"")"),"['quota', 'Kemendikbud', 'use', 'Instagram', 'please', 'sincere', 'quota', 'application', 'set', 'set', 'gini', 'corrected', ' Eliminate ',' Features', 'slow', 'slow', 'signal', 'Please', 'corrected', 'quota', 'used', 'signal', 'fast', 'dicoded', 'network"&amp;"' , 'slow', 'love', 'limitations', 'use', 'data', 'application', 'quota', 'used', 'application', 'task', 'online', '']")</f>
        <v>['quota', 'Kemendikbud', 'use', 'Instagram', 'please', 'sincere', 'quota', 'application', 'set', 'set', 'gini', 'corrected', ' Eliminate ',' Features', 'slow', 'slow', 'signal', 'Please', 'corrected', 'quota', 'used', 'signal', 'fast', 'dicoded', 'network' , 'slow', 'love', 'limitations', 'use', 'data', 'application', 'quota', 'used', 'application', 'task', 'online', '']</v>
      </c>
      <c r="D1065" s="3">
        <v>1.0</v>
      </c>
    </row>
    <row r="1066" ht="15.75" customHeight="1">
      <c r="A1066" s="1">
        <v>1064.0</v>
      </c>
      <c r="B1066" s="3" t="s">
        <v>1067</v>
      </c>
      <c r="C1066" s="3" t="str">
        <f>IFERROR(__xludf.DUMMYFUNCTION("GOOGLETRANSLATE(B1066,""id"",""en"")"),"['Turn on', 'Package', 'Emergency', 'Life', 'Life', 'Constraints',' Signal ',' Buy ',' GB ',' Udh ',' Out ',' Fill ',' Ulng ',' pulses', 'Lurt', 'Bener', 'mah', 'application', 'strange', 'udh', 'buy', 'pull', 'pulse', 'package', 'emergency' , '']")</f>
        <v>['Turn on', 'Package', 'Emergency', 'Life', 'Life', 'Constraints',' Signal ',' Buy ',' GB ',' Udh ',' Out ',' Fill ',' Ulng ',' pulses', 'Lurt', 'Bener', 'mah', 'application', 'strange', 'udh', 'buy', 'pull', 'pulse', 'package', 'emergency' , '']</v>
      </c>
      <c r="D1066" s="3">
        <v>1.0</v>
      </c>
    </row>
    <row r="1067" ht="15.75" customHeight="1">
      <c r="A1067" s="1">
        <v>1065.0</v>
      </c>
      <c r="B1067" s="3" t="s">
        <v>1068</v>
      </c>
      <c r="C1067" s="3" t="str">
        <f>IFERROR(__xludf.DUMMYFUNCTION("GOOGLETRANSLATE(B1067,""id"",""en"")"),"['Dear', 'Telkomsel', 'a week', 'network', 'internet', 'Telkomsel', 'Severe', 'really', 'Leled', 'disappointed', 'Yesterday', 'fill', ' Kouta ',' GB ',' Sia ',' quota ',' network ',' Loading ',' Mulu ',' forced ',' turned ',' prime ',' trims']")</f>
        <v>['Dear', 'Telkomsel', 'a week', 'network', 'internet', 'Telkomsel', 'Severe', 'really', 'Leled', 'disappointed', 'Yesterday', 'fill', ' Kouta ',' GB ',' Sia ',' quota ',' network ',' Loading ',' Mulu ',' forced ',' turned ',' prime ',' trims']</v>
      </c>
      <c r="D1067" s="3">
        <v>1.0</v>
      </c>
    </row>
    <row r="1068" ht="15.75" customHeight="1">
      <c r="A1068" s="1">
        <v>1066.0</v>
      </c>
      <c r="B1068" s="3" t="s">
        <v>1069</v>
      </c>
      <c r="C1068" s="3" t="str">
        <f>IFERROR(__xludf.DUMMYFUNCTION("GOOGLETRANSLATE(B1068,""id"",""en"")"),"['Guaa', 'Buy', 'Package', 'Unlimited', 'YouTube', 'Facebook', 'Chat', 'Etc.', 'Additional', 'GB', 'Quota', 'Internet', ' Following ',' term ',' quota ',' cave ',' cave ',' open ',' youtube ',' ama ',' facebook ',' eat ',' quota ',' internet ',' GB ' , 'U"&amp;"nlimited', 'right', 'cave', 'check', 'quota', 'quota', 'internet', 'bit', 'unlimited', 'name', 'try', 'already', ' package ',' expensive ',' service ',' network ',' gax ',' satisfying ',' try ',' think ',' cave ',' kasi ',' star ',' lu ']")</f>
        <v>['Guaa', 'Buy', 'Package', 'Unlimited', 'YouTube', 'Facebook', 'Chat', 'Etc.', 'Additional', 'GB', 'Quota', 'Internet', ' Following ',' term ',' quota ',' cave ',' cave ',' open ',' youtube ',' ama ',' facebook ',' eat ',' quota ',' internet ',' GB ' , 'Unlimited', 'right', 'cave', 'check', 'quota', 'quota', 'internet', 'bit', 'unlimited', 'name', 'try', 'already', ' package ',' expensive ',' service ',' network ',' gax ',' satisfying ',' try ',' think ',' cave ',' kasi ',' star ',' lu ']</v>
      </c>
      <c r="D1068" s="3">
        <v>5.0</v>
      </c>
    </row>
    <row r="1069" ht="15.75" customHeight="1">
      <c r="A1069" s="1">
        <v>1067.0</v>
      </c>
      <c r="B1069" s="3" t="s">
        <v>1070</v>
      </c>
      <c r="C1069" s="3" t="str">
        <f>IFERROR(__xludf.DUMMYFUNCTION("GOOGLETRANSLATE(B1069,""id"",""en"")"),"['Telkom', 'declined', 'quality', 'signal', 'kyk', 'dlu', 'skrg', 'gini', 'telkom', 'deliberate', 'wasteful', 'package', ' package ',' run out ',' told ',' buy ',' package ',' telkom ',' cheat ']")</f>
        <v>['Telkom', 'declined', 'quality', 'signal', 'kyk', 'dlu', 'skrg', 'gini', 'telkom', 'deliberate', 'wasteful', 'package', ' package ',' run out ',' told ',' buy ',' package ',' telkom ',' cheat ']</v>
      </c>
      <c r="D1069" s="3">
        <v>1.0</v>
      </c>
    </row>
    <row r="1070" ht="15.75" customHeight="1">
      <c r="A1070" s="1">
        <v>1068.0</v>
      </c>
      <c r="B1070" s="3" t="s">
        <v>1071</v>
      </c>
      <c r="C1070" s="3" t="str">
        <f>IFERROR(__xludf.DUMMYFUNCTION("GOOGLETRANSLATE(B1070,""id"",""en"")"),"['maintance', 'already', 'can', 'replace', 'ajah', 'customer', 'sacrificed', 'price', 'expensive', 'signal', 'broke', 'connect', ' ']")</f>
        <v>['maintance', 'already', 'can', 'replace', 'ajah', 'customer', 'sacrificed', 'price', 'expensive', 'signal', 'broke', 'connect', ' ']</v>
      </c>
      <c r="D1070" s="3">
        <v>1.0</v>
      </c>
    </row>
    <row r="1071" ht="15.75" customHeight="1">
      <c r="A1071" s="1">
        <v>1069.0</v>
      </c>
      <c r="B1071" s="3" t="s">
        <v>1072</v>
      </c>
      <c r="C1071" s="3" t="str">
        <f>IFERROR(__xludf.DUMMYFUNCTION("GOOGLETRANSLATE(B1071,""id"",""en"")"),"['Kapada', 'Telkomsel', 'Dear', 'Family', 'Brothers',' Families', 'Wear', 'Telkomsel', 'Satisfied', 'Service', 'Telkomsel', 'Disappointed', ' Signal ',' Telkomsel ',' Severe ',' Worse ',' Seconds', 'Signal', 'Disconnected', 'Please', 'Fix']")</f>
        <v>['Kapada', 'Telkomsel', 'Dear', 'Family', 'Brothers',' Families', 'Wear', 'Telkomsel', 'Satisfied', 'Service', 'Telkomsel', 'Disappointed', ' Signal ',' Telkomsel ',' Severe ',' Worse ',' Seconds', 'Signal', 'Disconnected', 'Please', 'Fix']</v>
      </c>
      <c r="D1071" s="3">
        <v>2.0</v>
      </c>
    </row>
    <row r="1072" ht="15.75" customHeight="1">
      <c r="A1072" s="1">
        <v>1070.0</v>
      </c>
      <c r="B1072" s="3" t="s">
        <v>1073</v>
      </c>
      <c r="C1072" s="3" t="str">
        <f>IFERROR(__xludf.DUMMYFUNCTION("GOOGLETRANSLATE(B1072,""id"",""en"")"),"['In the area', 'Kalimantan', 'south', 'difficult', 'signal', 'Telkomsel', 'due to', 'bsa', 'update', 'please', 'netting', 'developed', ' Dam ',' difficult ',' bnget ',' call ',' ']")</f>
        <v>['In the area', 'Kalimantan', 'south', 'difficult', 'signal', 'Telkomsel', 'due to', 'bsa', 'update', 'please', 'netting', 'developed', ' Dam ',' difficult ',' bnget ',' call ',' ']</v>
      </c>
      <c r="D1072" s="3">
        <v>2.0</v>
      </c>
    </row>
    <row r="1073" ht="15.75" customHeight="1">
      <c r="A1073" s="1">
        <v>1071.0</v>
      </c>
      <c r="B1073" s="3" t="s">
        <v>1074</v>
      </c>
      <c r="C1073" s="3" t="str">
        <f>IFERROR(__xludf.DUMMYFUNCTION("GOOGLETRANSLATE(B1073,""id"",""en"")"),"['buy', 'expensive', 'voucher', 'giga', 'rb', 'his writing', 'system', 'busy', 'please', 'try', 'already', 'sek', ' So ',' then ',' bangse ',' counter "", 'say it', 'disruption', 'center', 'back', 'money', 'voucher', 'already', 'rubbed', 'bankrupt' , 'go "&amp;"bankrupt', 'people', 'emotions', 'cards', 'expensive', 'service', 'kek', 'card', 'cheap', 'rb', 'drift', 'that's']")</f>
        <v>['buy', 'expensive', 'voucher', 'giga', 'rb', 'his writing', 'system', 'busy', 'please', 'try', 'already', 'sek', ' So ',' then ',' bangse ',' counter ", 'say it', 'disruption', 'center', 'back', 'money', 'voucher', 'already', 'rubbed', 'bankrupt' , 'go bankrupt', 'people', 'emotions', 'cards', 'expensive', 'service', 'kek', 'card', 'cheap', 'rb', 'drift', 'that's']</v>
      </c>
      <c r="D1073" s="3">
        <v>1.0</v>
      </c>
    </row>
    <row r="1074" ht="15.75" customHeight="1">
      <c r="A1074" s="1">
        <v>1072.0</v>
      </c>
      <c r="B1074" s="3" t="s">
        <v>1075</v>
      </c>
      <c r="C1074" s="3" t="str">
        <f>IFERROR(__xludf.DUMMYFUNCTION("GOOGLETRANSLATE(B1074,""id"",""en"")"),"['Since', 'Download', 'APK', 'pulse', 'missing', 'already', 'thousand', 'pulse', 'lost', 'wifi', 'pulse', 'ilang', ' Turn on ',' data ',' missing ',' Please ',' Change ',' Loss']")</f>
        <v>['Since', 'Download', 'APK', 'pulse', 'missing', 'already', 'thousand', 'pulse', 'lost', 'wifi', 'pulse', 'ilang', ' Turn on ',' data ',' missing ',' Please ',' Change ',' Loss']</v>
      </c>
      <c r="D1074" s="3">
        <v>1.0</v>
      </c>
    </row>
    <row r="1075" ht="15.75" customHeight="1">
      <c r="A1075" s="1">
        <v>1073.0</v>
      </c>
      <c r="B1075" s="3" t="s">
        <v>1076</v>
      </c>
      <c r="C1075" s="3" t="str">
        <f>IFERROR(__xludf.DUMMYFUNCTION("GOOGLETRANSLATE(B1075,""id"",""en"")"),"['ugly', 'really', 'package', 'already', 'expensive', 'unlimited', 'cheat', 'blm', 'date', 'abis',' already ',' gabisa ',' Buy ',' date ',' date ',' already ',' gabisa ',' dongg ', ""]")</f>
        <v>['ugly', 'really', 'package', 'already', 'expensive', 'unlimited', 'cheat', 'blm', 'date', 'abis',' already ',' gabisa ',' Buy ',' date ',' date ',' already ',' gabisa ',' dongg ', "]</v>
      </c>
      <c r="D1075" s="3">
        <v>1.0</v>
      </c>
    </row>
    <row r="1076" ht="15.75" customHeight="1">
      <c r="A1076" s="1">
        <v>1074.0</v>
      </c>
      <c r="B1076" s="3" t="s">
        <v>1077</v>
      </c>
      <c r="C1076" s="3" t="str">
        <f>IFERROR(__xludf.DUMMYFUNCTION("GOOGLETRANSLATE(B1076,""id"",""en"")"),"['Telkomsel', 'Maling', 'pulse', 'data', 'buy', 'package', 'just', 'week', 'already', 'abis',' buy ',' package ',' just ',' week ',' Telkomsel ',' ugly ',' thief ',' pulse ',' ']")</f>
        <v>['Telkomsel', 'Maling', 'pulse', 'data', 'buy', 'package', 'just', 'week', 'already', 'abis',' buy ',' package ',' just ',' week ',' Telkomsel ',' ugly ',' thief ',' pulse ',' ']</v>
      </c>
      <c r="D1076" s="3">
        <v>1.0</v>
      </c>
    </row>
    <row r="1077" ht="15.75" customHeight="1">
      <c r="A1077" s="1">
        <v>1075.0</v>
      </c>
      <c r="B1077" s="3" t="s">
        <v>1078</v>
      </c>
      <c r="C1077" s="3" t="str">
        <f>IFERROR(__xludf.DUMMYFUNCTION("GOOGLETRANSLATE(B1077,""id"",""en"")"),"['bad', 'network', 'error', 'Mulu', 'Season', 'battery', 'Low', 'finished', 'Network', 'Muter', 'Bener', 'star', ' Change ',' Bad ']")</f>
        <v>['bad', 'network', 'error', 'Mulu', 'Season', 'battery', 'Low', 'finished', 'Network', 'Muter', 'Bener', 'star', ' Change ',' Bad ']</v>
      </c>
      <c r="D1077" s="3">
        <v>2.0</v>
      </c>
    </row>
    <row r="1078" ht="15.75" customHeight="1">
      <c r="A1078" s="1">
        <v>1076.0</v>
      </c>
      <c r="B1078" s="3" t="s">
        <v>1079</v>
      </c>
      <c r="C1078" s="3" t="str">
        <f>IFERROR(__xludf.DUMMYFUNCTION("GOOGLETRANSLATE(B1078,""id"",""en"")"),"['Application', 'opened', 'wifi', 'signal', 'speed', 'signal', 'above', 'mbs',' up ',' protection ',' pulse ',' provider ',' rich ',' tri ',' bima ',' quota ',' abis', 'pulse', 'pulse', 'safe', 'ilang', 'already', 'mytelkomsel', 'pulses',' tetep ' , 'ilan"&amp;"g', 'gift', 'login', 'notification', 'take', 'gift', 'login', 'styled', 'pulse', 'rupiah', 'ilang', 'pulse', ' Hopefully ',' can ',' Murah ',' ']")</f>
        <v>['Application', 'opened', 'wifi', 'signal', 'speed', 'signal', 'above', 'mbs',' up ',' protection ',' pulse ',' provider ',' rich ',' tri ',' bima ',' quota ',' abis', 'pulse', 'pulse', 'safe', 'ilang', 'already', 'mytelkomsel', 'pulses',' tetep ' , 'ilang', 'gift', 'login', 'notification', 'take', 'gift', 'login', 'styled', 'pulse', 'rupiah', 'ilang', 'pulse', ' Hopefully ',' can ',' Murah ',' ']</v>
      </c>
      <c r="D1078" s="3">
        <v>1.0</v>
      </c>
    </row>
    <row r="1079" ht="15.75" customHeight="1">
      <c r="A1079" s="1">
        <v>1077.0</v>
      </c>
      <c r="B1079" s="3" t="s">
        <v>1080</v>
      </c>
      <c r="C1079" s="3" t="str">
        <f>IFERROR(__xludf.DUMMYFUNCTION("GOOGLETRANSLATE(B1079,""id"",""en"")"),"['Make', 'sympathy', 'because', 'person', 'signal', 'good', 'package', 'expensive', 'change', 'prime', 'right', 'signal', ' Missing ',' play ',' Game ',' Open ',' YouTube ',' Ngelag ',' Severe ',' Felt ',' Bagusan ',' Card ',' Perdana ',' Next ',' Where '"&amp;" , 'Please', 'repaired', 'Min', 'Region', 'Pontianak', 'Kuburaya', 'Trpaksa', 'Change', 'Perdana']")</f>
        <v>['Make', 'sympathy', 'because', 'person', 'signal', 'good', 'package', 'expensive', 'change', 'prime', 'right', 'signal', ' Missing ',' play ',' Game ',' Open ',' YouTube ',' Ngelag ',' Severe ',' Felt ',' Bagusan ',' Card ',' Perdana ',' Next ',' Where ' , 'Please', 'repaired', 'Min', 'Region', 'Pontianak', 'Kuburaya', 'Trpaksa', 'Change', 'Perdana']</v>
      </c>
      <c r="D1079" s="3">
        <v>2.0</v>
      </c>
    </row>
    <row r="1080" ht="15.75" customHeight="1">
      <c r="A1080" s="1">
        <v>1078.0</v>
      </c>
      <c r="B1080" s="3" t="s">
        <v>1081</v>
      </c>
      <c r="C1080" s="3" t="str">
        <f>IFERROR(__xludf.DUMMYFUNCTION("GOOGLETRANSLATE(B1080,""id"",""en"")"),"['quota', 'expensive', 'network', 'ugly', 'especially', 'area', 'JAWA', 'West', 'Sya', 'College', 'Dipake', 'Main', ' Games', 'Disappointed', 'Sorry', 'Sya', 'Use', 'Card', 'Telkom']")</f>
        <v>['quota', 'expensive', 'network', 'ugly', 'especially', 'area', 'JAWA', 'West', 'Sya', 'College', 'Dipake', 'Main', ' Games', 'Disappointed', 'Sorry', 'Sya', 'Use', 'Card', 'Telkom']</v>
      </c>
      <c r="D1080" s="3">
        <v>1.0</v>
      </c>
    </row>
    <row r="1081" ht="15.75" customHeight="1">
      <c r="A1081" s="1">
        <v>1079.0</v>
      </c>
      <c r="B1081" s="3" t="s">
        <v>1082</v>
      </c>
      <c r="C1081" s="3" t="str">
        <f>IFERROR(__xludf.DUMMYFUNCTION("GOOGLETRANSLATE(B1081,""id"",""en"")"),"['Astaghfirullah', 'Telkomsel', 'Please', 'Strengthen', 'Signal', 'Internet', 'Region', 'Pandeglang', 'Banten', 'Market', 'Picung', 'Region', ' weak ',' internet ',' Telkomsel ',' watch ',' youtube ',' muter ',' trs', 'rich', 'tapes',' tangled ',' boro ',"&amp;"' entertainment ',' buy ' , 'Package', 'MyTelkomsel', 'Emotion', 'Mulu', 'Pas',' Play ',' Mobile ',' Legends', 'Signal', 'Yellow', 'Red', 'Green', ' Please ',' Fix ',' Thank ',' Love ',' UDH ',' Good ',' Ksh ',' Star ', ""]")</f>
        <v>['Astaghfirullah', 'Telkomsel', 'Please', 'Strengthen', 'Signal', 'Internet', 'Region', 'Pandeglang', 'Banten', 'Market', 'Picung', 'Region', ' weak ',' internet ',' Telkomsel ',' watch ',' youtube ',' muter ',' trs', 'rich', 'tapes',' tangled ',' boro ',' entertainment ',' buy ' , 'Package', 'MyTelkomsel', 'Emotion', 'Mulu', 'Pas',' Play ',' Mobile ',' Legends', 'Signal', 'Yellow', 'Red', 'Green', ' Please ',' Fix ',' Thank ',' Love ',' UDH ',' Good ',' Ksh ',' Star ', "]</v>
      </c>
      <c r="D1081" s="3">
        <v>1.0</v>
      </c>
    </row>
    <row r="1082" ht="15.75" customHeight="1">
      <c r="A1082" s="1">
        <v>1080.0</v>
      </c>
      <c r="B1082" s="3" t="s">
        <v>1083</v>
      </c>
      <c r="C1082" s="3" t="str">
        <f>IFERROR(__xludf.DUMMYFUNCTION("GOOGLETRANSLATE(B1082,""id"",""en"")"),"['Provider', 'wasteful', 'World', 'Usage', 'Standard', 'GB', 'Drive', 'Switch', 'Card', 'Hello', 'GB', 'Use', ' Routine ',' Survive ',' Sunday ',' ']")</f>
        <v>['Provider', 'wasteful', 'World', 'Usage', 'Standard', 'GB', 'Drive', 'Switch', 'Card', 'Hello', 'GB', 'Use', ' Routine ',' Survive ',' Sunday ',' ']</v>
      </c>
      <c r="D1082" s="3">
        <v>1.0</v>
      </c>
    </row>
    <row r="1083" ht="15.75" customHeight="1">
      <c r="A1083" s="1">
        <v>1081.0</v>
      </c>
      <c r="B1083" s="3" t="s">
        <v>1084</v>
      </c>
      <c r="C1083" s="3" t="str">
        <f>IFERROR(__xludf.DUMMYFUNCTION("GOOGLETRANSLATE(B1083,""id"",""en"")"),"['signal', 'area', 'Sukoharjo', 'experience', 'lag', 'heart', 'neighbor', 'reason', 'change', 'provider', 'patient', ' Bye ',' ']")</f>
        <v>['signal', 'area', 'Sukoharjo', 'experience', 'lag', 'heart', 'neighbor', 'reason', 'change', 'provider', 'patient', ' Bye ',' ']</v>
      </c>
      <c r="D1083" s="3">
        <v>1.0</v>
      </c>
    </row>
    <row r="1084" ht="15.75" customHeight="1">
      <c r="A1084" s="1">
        <v>1082.0</v>
      </c>
      <c r="B1084" s="3" t="s">
        <v>1085</v>
      </c>
      <c r="C1084" s="3" t="str">
        <f>IFERROR(__xludf.DUMMYFUNCTION("GOOGLETRANSLATE(B1084,""id"",""en"")"),"['YTH', 'Telkomsel', 'Dear', 'Signal', 'noon', 'ilang', 'night', 'area', 'housing', 'charm', 'kahuripan', 'kppa', ' Nunggal ',' Search ',' Signal ',' DPRUMHN ',' Direct ',' Ddrah ',' Klapa ',' Nunggal ',' Please ',' Begito ',' Rich ',' Steal ',' Signal ' "&amp;"]")</f>
        <v>['YTH', 'Telkomsel', 'Dear', 'Signal', 'noon', 'ilang', 'night', 'area', 'housing', 'charm', 'kahuripan', 'kppa', ' Nunggal ',' Search ',' Signal ',' DPRUMHN ',' Direct ',' Ddrah ',' Klapa ',' Nunggal ',' Please ',' Begito ',' Rich ',' Steal ',' Signal ' ]</v>
      </c>
      <c r="D1084" s="3">
        <v>1.0</v>
      </c>
    </row>
    <row r="1085" ht="15.75" customHeight="1">
      <c r="A1085" s="1">
        <v>1083.0</v>
      </c>
      <c r="B1085" s="3" t="s">
        <v>1086</v>
      </c>
      <c r="C1085" s="3" t="str">
        <f>IFERROR(__xludf.DUMMYFUNCTION("GOOGLETRANSLATE(B1085,""id"",""en"")"),"['Telkomsel', 'please', 'repay', 'signal', 'area', 'water', 'black', 'Kec', 'Kendawawawang', 'kab', 'kalapang', ' The bar ',' experience ',' disorder ',' missing ',' difficult ',' signal ']")</f>
        <v>['Telkomsel', 'please', 'repay', 'signal', 'area', 'water', 'black', 'Kec', 'Kendawawawang', 'kab', 'kalapang', ' The bar ',' experience ',' disorder ',' missing ',' difficult ',' signal ']</v>
      </c>
      <c r="D1085" s="3">
        <v>1.0</v>
      </c>
    </row>
    <row r="1086" ht="15.75" customHeight="1">
      <c r="A1086" s="1">
        <v>1084.0</v>
      </c>
      <c r="B1086" s="3" t="s">
        <v>1087</v>
      </c>
      <c r="C1086" s="3" t="str">
        <f>IFERROR(__xludf.DUMMYFUNCTION("GOOGLETRANSLATE(B1086,""id"",""en"")"),"['ugly', 'ugly', 'overcome', 'Tetep', 'Kek', 'user', 'misused', 'like', 'Perfected', 'talking', 'crazy', 'oath', ' Move ',' Provider ',' Read ',' Suggest ',' Auto ',' Move ',' Provider ',' Provider ',' Dipelunjak ',' Crazy ', ""]")</f>
        <v>['ugly', 'ugly', 'overcome', 'Tetep', 'Kek', 'user', 'misused', 'like', 'Perfected', 'talking', 'crazy', 'oath', ' Move ',' Provider ',' Read ',' Suggest ',' Auto ',' Move ',' Provider ',' Provider ',' Dipelunjak ',' Crazy ', "]</v>
      </c>
      <c r="D1086" s="3">
        <v>1.0</v>
      </c>
    </row>
    <row r="1087" ht="15.75" customHeight="1">
      <c r="A1087" s="1">
        <v>1085.0</v>
      </c>
      <c r="B1087" s="3" t="s">
        <v>1088</v>
      </c>
      <c r="C1087" s="3" t="str">
        <f>IFERROR(__xludf.DUMMYFUNCTION("GOOGLETRANSLATE(B1087,""id"",""en"")"),"['Worst', 'service', 'bad', 'over', 'over', 'Help', 'Tetep', 'Buntu', 'Provider', 'Telkomsel', 'coup', 'Disright', ' ']")</f>
        <v>['Worst', 'service', 'bad', 'over', 'over', 'Help', 'Tetep', 'Buntu', 'Provider', 'Telkomsel', 'coup', 'Disright', ' ']</v>
      </c>
      <c r="D1087" s="3">
        <v>1.0</v>
      </c>
    </row>
    <row r="1088" ht="15.75" customHeight="1">
      <c r="A1088" s="1">
        <v>1086.0</v>
      </c>
      <c r="B1088" s="3" t="s">
        <v>1089</v>
      </c>
      <c r="C1088" s="3" t="str">
        <f>IFERROR(__xludf.DUMMYFUNCTION("GOOGLETRANSLATE(B1088,""id"",""en"")"),"['Lower', 'Bintang', 'Telkomsel', 'Leet', 'Banggeeettt', 'Gift', 'Check', 'Ehh', 'Nambah', 'Complaint', 'Veronica', 'Ribet', ' Really ',' April ',' April ',' WIB ',' Considered ',' Notification ',' SMS ',' Under ',' Quota ',' Nambah ',' Quota ',' All ',' "&amp;"Network ' , 'Program', 'Daily', 'Check', 'Credit', 'Rp', 'Points',' Cut ',' Shape ',' Claims', 'Gift', 'Fix', 'Yaa', ' Network ',' service ',' ']")</f>
        <v>['Lower', 'Bintang', 'Telkomsel', 'Leet', 'Banggeeettt', 'Gift', 'Check', 'Ehh', 'Nambah', 'Complaint', 'Veronica', 'Ribet', ' Really ',' April ',' April ',' WIB ',' Considered ',' Notification ',' SMS ',' Under ',' Quota ',' Nambah ',' Quota ',' All ',' Network ' , 'Program', 'Daily', 'Check', 'Credit', 'Rp', 'Points',' Cut ',' Shape ',' Claims', 'Gift', 'Fix', 'Yaa', ' Network ',' service ',' ']</v>
      </c>
      <c r="D1088" s="3">
        <v>3.0</v>
      </c>
    </row>
    <row r="1089" ht="15.75" customHeight="1">
      <c r="A1089" s="1">
        <v>1087.0</v>
      </c>
      <c r="B1089" s="3" t="s">
        <v>1090</v>
      </c>
      <c r="C1089" s="3" t="str">
        <f>IFERROR(__xludf.DUMMYFUNCTION("GOOGLETRANSLATE(B1089,""id"",""en"")"),"['UDH', 'Login', 'reset', 'connection', 'heavy', 'internet', 'good', 'open', 'YouTube', 'Gogle', 'etc.', 'obstacle', ' Turning ',' Open ',' Application ',' Fail ',' Connection ',' ']")</f>
        <v>['UDH', 'Login', 'reset', 'connection', 'heavy', 'internet', 'good', 'open', 'YouTube', 'Gogle', 'etc.', 'obstacle', ' Turning ',' Open ',' Application ',' Fail ',' Connection ',' ']</v>
      </c>
      <c r="D1089" s="3">
        <v>3.0</v>
      </c>
    </row>
    <row r="1090" ht="15.75" customHeight="1">
      <c r="A1090" s="1">
        <v>1088.0</v>
      </c>
      <c r="B1090" s="3" t="s">
        <v>1091</v>
      </c>
      <c r="C1090" s="3" t="str">
        <f>IFERROR(__xludf.DUMMYFUNCTION("GOOGLETRANSLATE(B1090,""id"",""en"")"),"['Sorry', 'Telkomsel', 'sympathy', 'disorder', 'yes', 'please', 'repaired', 'work', 'online', 'thank you', ""]")</f>
        <v>['Sorry', 'Telkomsel', 'sympathy', 'disorder', 'yes', 'please', 'repaired', 'work', 'online', 'thank you', "]</v>
      </c>
      <c r="D1090" s="3">
        <v>5.0</v>
      </c>
    </row>
    <row r="1091" ht="15.75" customHeight="1">
      <c r="A1091" s="1">
        <v>1089.0</v>
      </c>
      <c r="B1091" s="3" t="s">
        <v>1092</v>
      </c>
      <c r="C1091" s="3" t="str">
        <f>IFERROR(__xludf.DUMMYFUNCTION("GOOGLETRANSLATE(B1091,""id"",""en"")"),"['Please', 'fix', 'network', 'work', 'field', 'services',' serve ',' people ',' angry ',' people ',' Gara ',' difficult ',' Enter ',' Application ',' Karna ',' Package ',' Swadaya ',' Discon ',' Network ',' ugly ',' GMNA ',' Network ',' ugly ',' Applicati"&amp;"on ',' Telkomsel ' , 'Times', 'Bener', 'Bener', 'Disappointed', 'Disappointed', 'Severe', ""]")</f>
        <v>['Please', 'fix', 'network', 'work', 'field', 'services',' serve ',' people ',' angry ',' people ',' Gara ',' difficult ',' Enter ',' Application ',' Karna ',' Package ',' Swadaya ',' Discon ',' Network ',' ugly ',' GMNA ',' Network ',' ugly ',' Application ',' Telkomsel ' , 'Times', 'Bener', 'Bener', 'Disappointed', 'Disappointed', 'Severe', "]</v>
      </c>
      <c r="D1091" s="3">
        <v>1.0</v>
      </c>
    </row>
    <row r="1092" ht="15.75" customHeight="1">
      <c r="A1092" s="1">
        <v>1090.0</v>
      </c>
      <c r="B1092" s="3" t="s">
        <v>1093</v>
      </c>
      <c r="C1092" s="3" t="str">
        <f>IFERROR(__xludf.DUMMYFUNCTION("GOOGLETRANSLATE(B1092,""id"",""en"")"),"['signal', 'slow', 'Mawar', 'UDH', 'expensive', 'slow', 'no', 'used', 'package', 'parahhhhhhhhhhhh', 'Abis',' good ',' Use ',' Current ']")</f>
        <v>['signal', 'slow', 'Mawar', 'UDH', 'expensive', 'slow', 'no', 'used', 'package', 'parahhhhhhhhhhhh', 'Abis',' good ',' Use ',' Current ']</v>
      </c>
      <c r="D1092" s="3">
        <v>1.0</v>
      </c>
    </row>
    <row r="1093" ht="15.75" customHeight="1">
      <c r="A1093" s="1">
        <v>1091.0</v>
      </c>
      <c r="B1093" s="3" t="s">
        <v>1094</v>
      </c>
      <c r="C1093" s="3" t="str">
        <f>IFERROR(__xludf.DUMMYFUNCTION("GOOGLETRANSLATE(B1093,""id"",""en"")"),"['Please', 'explanation', 'bonus',' moneteri ',' mis', 'bonus',' apply ',' number ',' shopping ',' super ',' market ',' useful ',' Dear ',' times', 'contents',' bonus', 'lost', 'Please', 'customer', 'teach', 'use', 'bonus',' moneteri ',' Ramadhan ',' usef"&amp;"ul ' , 'People', 'Muslim', 'Indonesia', 'Sia', 'Sia', ""]")</f>
        <v>['Please', 'explanation', 'bonus',' moneteri ',' mis', 'bonus',' apply ',' number ',' shopping ',' super ',' market ',' useful ',' Dear ',' times', 'contents',' bonus', 'lost', 'Please', 'customer', 'teach', 'use', 'bonus',' moneteri ',' Ramadhan ',' useful ' , 'People', 'Muslim', 'Indonesia', 'Sia', 'Sia', "]</v>
      </c>
      <c r="D1093" s="3">
        <v>1.0</v>
      </c>
    </row>
    <row r="1094" ht="15.75" customHeight="1">
      <c r="A1094" s="1">
        <v>1092.0</v>
      </c>
      <c r="B1094" s="3" t="s">
        <v>1095</v>
      </c>
      <c r="C1094" s="3" t="str">
        <f>IFERROR(__xludf.DUMMYFUNCTION("GOOGLETRANSLATE(B1094,""id"",""en"")"),"['Event', 'Login', 'Daily', 'Strange', 'Bngt', 'Login', 'Credit', 'Fill', 'Lost', 'How', 'Severe', 'Please', ' be read', '']")</f>
        <v>['Event', 'Login', 'Daily', 'Strange', 'Bngt', 'Login', 'Credit', 'Fill', 'Lost', 'How', 'Severe', 'Please', ' be read', '']</v>
      </c>
      <c r="D1094" s="3">
        <v>1.0</v>
      </c>
    </row>
    <row r="1095" ht="15.75" customHeight="1">
      <c r="A1095" s="1">
        <v>1093.0</v>
      </c>
      <c r="B1095" s="3" t="s">
        <v>1096</v>
      </c>
      <c r="C1095" s="3" t="str">
        <f>IFERROR(__xludf.DUMMYFUNCTION("GOOGLETRANSLATE(B1095,""id"",""en"")"),"['Morning', 'WIB', 'Friday', 'April', 'Telkomsel', 'Error', 'work', 'Lost', 'Error', 'given', 'Napa', 'Veiling', ' Diem ',' Move ',' Provider ',' ']")</f>
        <v>['Morning', 'WIB', 'Friday', 'April', 'Telkomsel', 'Error', 'work', 'Lost', 'Error', 'given', 'Napa', 'Veiling', ' Diem ',' Move ',' Provider ',' ']</v>
      </c>
      <c r="D1095" s="3">
        <v>1.0</v>
      </c>
    </row>
    <row r="1096" ht="15.75" customHeight="1">
      <c r="A1096" s="1">
        <v>1094.0</v>
      </c>
      <c r="B1096" s="3" t="s">
        <v>1097</v>
      </c>
      <c r="C1096" s="3" t="str">
        <f>IFERROR(__xludf.DUMMYFUNCTION("GOOGLETRANSLATE(B1096,""id"",""en"")"),"['Lost', 'Signal', 'Sunday', 'Dri', 'Date', 'April', 'Internet', 'Telkomsel', 'work', 'calculated', 'loss',' buy ',' Tower ',' Telkomsel ',' ']")</f>
        <v>['Lost', 'Signal', 'Sunday', 'Dri', 'Date', 'April', 'Internet', 'Telkomsel', 'work', 'calculated', 'loss',' buy ',' Tower ',' Telkomsel ',' ']</v>
      </c>
      <c r="D1096" s="3">
        <v>1.0</v>
      </c>
    </row>
    <row r="1097" ht="15.75" customHeight="1">
      <c r="A1097" s="1">
        <v>1095.0</v>
      </c>
      <c r="B1097" s="3" t="s">
        <v>1098</v>
      </c>
      <c r="C1097" s="3" t="str">
        <f>IFERROR(__xludf.DUMMYFUNCTION("GOOGLETRANSLATE(B1097,""id"",""en"")"),"['right', 'buy', 'quota', 'fund', 'conect', 'really', 'buy', 'trouble', 'doang', 'please', 'repair', ""]")</f>
        <v>['right', 'buy', 'quota', 'fund', 'conect', 'really', 'buy', 'trouble', 'doang', 'please', 'repair', "]</v>
      </c>
      <c r="D1097" s="3">
        <v>1.0</v>
      </c>
    </row>
    <row r="1098" ht="15.75" customHeight="1">
      <c r="A1098" s="1">
        <v>1096.0</v>
      </c>
      <c r="B1098" s="3" t="s">
        <v>1099</v>
      </c>
      <c r="C1098" s="3" t="str">
        <f>IFERROR(__xludf.DUMMYFUNCTION("GOOGLETRANSLATE(B1098,""id"",""en"")"),"['Lembelll', 'Check', 'Daily', 'Veronika', 'Location', 'DMN', 'Capture', 'Number', 'Registered', 'Ribet', 'Click', 'button', ' intention ',' love ',' bonus', 'php', 'donk', '']")</f>
        <v>['Lembelll', 'Check', 'Daily', 'Veronika', 'Location', 'DMN', 'Capture', 'Number', 'Registered', 'Ribet', 'Click', 'button', ' intention ',' love ',' bonus', 'php', 'donk', '']</v>
      </c>
      <c r="D1098" s="3">
        <v>1.0</v>
      </c>
    </row>
    <row r="1099" ht="15.75" customHeight="1">
      <c r="A1099" s="1">
        <v>1097.0</v>
      </c>
      <c r="B1099" s="3" t="s">
        <v>1100</v>
      </c>
      <c r="C1099" s="3" t="str">
        <f>IFERROR(__xludf.DUMMYFUNCTION("GOOGLETRANSLATE(B1099,""id"",""en"")"),"['Telkomsel', 'please', 'expensive', 'package', 'sinynya', 'good', 'package', 'expensive', 'sinya', 'ugly', 'sin', 'right', ' org ',' Makai ',' love ',' right ',' love ',' signal ']")</f>
        <v>['Telkomsel', 'please', 'expensive', 'package', 'sinynya', 'good', 'package', 'expensive', 'sinya', 'ugly', 'sin', 'right', ' org ',' Makai ',' love ',' right ',' love ',' signal ']</v>
      </c>
      <c r="D1099" s="3">
        <v>1.0</v>
      </c>
    </row>
    <row r="1100" ht="15.75" customHeight="1">
      <c r="A1100" s="1">
        <v>1098.0</v>
      </c>
      <c r="B1100" s="3" t="s">
        <v>1101</v>
      </c>
      <c r="C1100" s="3" t="str">
        <f>IFERROR(__xludf.DUMMYFUNCTION("GOOGLETRANSLATE(B1100,""id"",""en"")"),"['Nek', 'See', 'Telkomsel', 'use', 'Language', 'Foreign', 'Language', 'Indonesia', 'BUMN', 'taught', 'no', 'love', ' land ',' water ',' Language ',' Dutch ',' Jajah ',' Indonesia ',' Dutch ',' English ']")</f>
        <v>['Nek', 'See', 'Telkomsel', 'use', 'Language', 'Foreign', 'Language', 'Indonesia', 'BUMN', 'taught', 'no', 'love', ' land ',' water ',' Language ',' Dutch ',' Jajah ',' Indonesia ',' Dutch ',' English ']</v>
      </c>
      <c r="D1100" s="3">
        <v>1.0</v>
      </c>
    </row>
    <row r="1101" ht="15.75" customHeight="1">
      <c r="A1101" s="1">
        <v>1099.0</v>
      </c>
      <c r="B1101" s="3" t="s">
        <v>1102</v>
      </c>
      <c r="C1101" s="3" t="str">
        <f>IFERROR(__xludf.DUMMYFUNCTION("GOOGLETRANSLATE(B1101,""id"",""en"")"),"['application', 'king', 'error', 'little', 'refresh', 'entry', 'many', 'enter', 'crop', 'error', 'enter', 'menu', ' loading ',' Load ',' reset ',' gini ',' check ',' package ',' sorry ',' error ',' system ',' update ',' jng ',' forget ',' serimg ' , 'Upda"&amp;"te', 'Application', 'Increases', 'Error', 'Update', 'Juelllek', ""]")</f>
        <v>['application', 'king', 'error', 'little', 'refresh', 'entry', 'many', 'enter', 'crop', 'error', 'enter', 'menu', ' loading ',' Load ',' reset ',' gini ',' check ',' package ',' sorry ',' error ',' system ',' update ',' jng ',' forget ',' serimg ' , 'Update', 'Application', 'Increases', 'Error', 'Update', 'Juelllek', "]</v>
      </c>
      <c r="D1101" s="3">
        <v>1.0</v>
      </c>
    </row>
    <row r="1102" ht="15.75" customHeight="1">
      <c r="A1102" s="1">
        <v>1100.0</v>
      </c>
      <c r="B1102" s="3" t="s">
        <v>1103</v>
      </c>
      <c r="C1102" s="3" t="str">
        <f>IFERROR(__xludf.DUMMYFUNCTION("GOOGLETRANSLATE(B1102,""id"",""en"")"),"['Please', 'min', 'price', 'package', 'internet', 'lack', 'expensive', 'expensive', 'min', 'package', 'family', 'aduhhh', ' expensive ',' min ',' please ',' min ',' lack ',' price ',' package ',' orng ',' all-round ',' adequacy ',' buy ',' price ',' expen"&amp;"sive ' , 'Litu', '']")</f>
        <v>['Please', 'min', 'price', 'package', 'internet', 'lack', 'expensive', 'expensive', 'min', 'package', 'family', 'aduhhh', ' expensive ',' min ',' please ',' min ',' lack ',' price ',' package ',' orng ',' all-round ',' adequacy ',' buy ',' price ',' expensive ' , 'Litu', '']</v>
      </c>
      <c r="D1102" s="3">
        <v>4.0</v>
      </c>
    </row>
    <row r="1103" ht="15.75" customHeight="1">
      <c r="A1103" s="1">
        <v>1101.0</v>
      </c>
      <c r="B1103" s="3" t="s">
        <v>1104</v>
      </c>
      <c r="C1103" s="3" t="str">
        <f>IFERROR(__xludf.DUMMYFUNCTION("GOOGLETRANSLATE(B1103,""id"",""en"")"),"['Register', 'Package', 'SMS', 'Telkomsel', 'Registered', 'Subscriptions',' Watch ',' Disney ',' Hotstar ',' Watch ',' Film ',' Reduced ',' quota ',' Kirain ',' quota ',' main ',' ngak ',' subtract ',' wasteful ',' quota ',' smart ',' Loe ',' ngakalin ','"&amp;" customer ',' waste ' , 'money', 'use', 'sms',' quota ',' economical ',' subscribe ',' disturbing ',' quota ',' main ',' trick ',' customer ',' customer ',' Kejow ']")</f>
        <v>['Register', 'Package', 'SMS', 'Telkomsel', 'Registered', 'Subscriptions',' Watch ',' Disney ',' Hotstar ',' Watch ',' Film ',' Reduced ',' quota ',' Kirain ',' quota ',' main ',' ngak ',' subtract ',' wasteful ',' quota ',' smart ',' Loe ',' ngakalin ',' customer ',' waste ' , 'money', 'use', 'sms',' quota ',' economical ',' subscribe ',' disturbing ',' quota ',' main ',' trick ',' customer ',' customer ',' Kejow ']</v>
      </c>
      <c r="D1103" s="3">
        <v>1.0</v>
      </c>
    </row>
    <row r="1104" ht="15.75" customHeight="1">
      <c r="A1104" s="1">
        <v>1102.0</v>
      </c>
      <c r="B1104" s="3" t="s">
        <v>1105</v>
      </c>
      <c r="C1104" s="3" t="str">
        <f>IFERROR(__xludf.DUMMYFUNCTION("GOOGLETRANSLATE(B1104,""id"",""en"")"),"['application', 'slow', 'disgust', 'times',' buy ',' package ',' click ',' pulse ',' adequate ',' run out ',' package ',' pulses', 'suck', 'emang', 'base', 'apikasih', 'ugly', 'base', 'cheater', 'Telkomsel', 'disappointed', 'apkkikasih', 'permission', 'se"&amp;"kli' , 'pulse', 'sucked', 'base', 'application', 'slow', '']")</f>
        <v>['application', 'slow', 'disgust', 'times',' buy ',' package ',' click ',' pulse ',' adequate ',' run out ',' package ',' pulses', 'suck', 'emang', 'base', 'apikasih', 'ugly', 'base', 'cheater', 'Telkomsel', 'disappointed', 'apkkikasih', 'permission', 'sekli' , 'pulse', 'sucked', 'base', 'application', 'slow', '']</v>
      </c>
      <c r="D1104" s="3">
        <v>1.0</v>
      </c>
    </row>
    <row r="1105" ht="15.75" customHeight="1">
      <c r="A1105" s="1">
        <v>1103.0</v>
      </c>
      <c r="B1105" s="3" t="s">
        <v>1106</v>
      </c>
      <c r="C1105" s="3" t="str">
        <f>IFERROR(__xludf.DUMMYFUNCTION("GOOGLETRANSLATE(B1105,""id"",""en"")"),"['Paketan', 'Not bad', 'complains',' signal ',' area ',' profitable ',' destroyed ',' stay ',' road ',' axis', 'main', 'destroyed', ' community ',' Satisfied ',' Network ',' ']")</f>
        <v>['Paketan', 'Not bad', 'complains',' signal ',' area ',' profitable ',' destroyed ',' stay ',' road ',' axis', 'main', 'destroyed', ' community ',' Satisfied ',' Network ',' ']</v>
      </c>
      <c r="D1105" s="3">
        <v>1.0</v>
      </c>
    </row>
    <row r="1106" ht="15.75" customHeight="1">
      <c r="A1106" s="1">
        <v>1104.0</v>
      </c>
      <c r="B1106" s="3" t="s">
        <v>1107</v>
      </c>
      <c r="C1106" s="3" t="str">
        <f>IFERROR(__xludf.DUMMYFUNCTION("GOOGLETRANSLATE(B1106,""id"",""en"")"),"['Lower', 'Price', 'Package', 'Internet', 'Free', 'Indonesia', 'Merdeka', 'Thi', 'Stop', 'Collaborate', 'Nation', 'hahhahahha']")</f>
        <v>['Lower', 'Price', 'Package', 'Internet', 'Free', 'Indonesia', 'Merdeka', 'Thi', 'Stop', 'Collaborate', 'Nation', 'hahhahahha']</v>
      </c>
      <c r="D1106" s="3">
        <v>5.0</v>
      </c>
    </row>
    <row r="1107" ht="15.75" customHeight="1">
      <c r="A1107" s="1">
        <v>1105.0</v>
      </c>
      <c r="B1107" s="3" t="s">
        <v>1108</v>
      </c>
      <c r="C1107" s="3" t="str">
        <f>IFERROR(__xludf.DUMMYFUNCTION("GOOGLETRANSLATE(B1107,""id"",""en"")"),"['Telkomsel', 'The net', 'no', 'good', 'Jamkot', 'continued', 'Taik', 'Anyway', 'Telkomsel', 'Sampek', 'slow', 'his nine', ' sampek ',' network ',' Telkomsel ',' bad ',' really ',' severe ',' really ',' lag ',' gatau ',' want ',' moved ',' card ',' Gaenak"&amp;" ' , 'Telkom', 'Sejanchok', 'Jancok', 'Card', 'Telkomsel', 'Jancox', 'Signal', 'Gapernah', 'Good', 'Taik', 'If', 'System', ' Report ',' Report ',' Card ',' Telkomsel ',' ']")</f>
        <v>['Telkomsel', 'The net', 'no', 'good', 'Jamkot', 'continued', 'Taik', 'Anyway', 'Telkomsel', 'Sampek', 'slow', 'his nine', ' sampek ',' network ',' Telkomsel ',' bad ',' really ',' severe ',' really ',' lag ',' gatau ',' want ',' moved ',' card ',' Gaenak ' , 'Telkom', 'Sejanchok', 'Jancok', 'Card', 'Telkomsel', 'Jancox', 'Signal', 'Gapernah', 'Good', 'Taik', 'If', 'System', ' Report ',' Report ',' Card ',' Telkomsel ',' ']</v>
      </c>
      <c r="D1107" s="3">
        <v>1.0</v>
      </c>
    </row>
    <row r="1108" ht="15.75" customHeight="1">
      <c r="A1108" s="1">
        <v>1106.0</v>
      </c>
      <c r="B1108" s="3" t="s">
        <v>1109</v>
      </c>
      <c r="C1108" s="3" t="str">
        <f>IFERROR(__xludf.DUMMYFUNCTION("GOOGLETRANSLATE(B1108,""id"",""en"")"),"['APL', 'Telkomsel', 'Open', 'buy', 'package', 'difficult', 'please', 'fix', 'already', 'quota', 'expensive', 'like', ' Telkomsel ']")</f>
        <v>['APL', 'Telkomsel', 'Open', 'buy', 'package', 'difficult', 'please', 'fix', 'already', 'quota', 'expensive', 'like', ' Telkomsel ']</v>
      </c>
      <c r="D1108" s="3">
        <v>1.0</v>
      </c>
    </row>
    <row r="1109" ht="15.75" customHeight="1">
      <c r="A1109" s="1">
        <v>1107.0</v>
      </c>
      <c r="B1109" s="3" t="s">
        <v>1110</v>
      </c>
      <c r="C1109" s="3" t="str">
        <f>IFERROR(__xludf.DUMMYFUNCTION("GOOGLETRANSLATE(B1109,""id"",""en"")"),"['repairs', 'network', 'Telkomsel', 'network', 'ugly', 'nge', 'game', 'comfortable', 'internet', 'smooth', 'strange', ""]")</f>
        <v>['repairs', 'network', 'Telkomsel', 'network', 'ugly', 'nge', 'game', 'comfortable', 'internet', 'smooth', 'strange', "]</v>
      </c>
      <c r="D1109" s="3">
        <v>1.0</v>
      </c>
    </row>
    <row r="1110" ht="15.75" customHeight="1">
      <c r="A1110" s="1">
        <v>1108.0</v>
      </c>
      <c r="B1110" s="3" t="s">
        <v>1111</v>
      </c>
      <c r="C1110" s="3" t="str">
        <f>IFERROR(__xludf.DUMMYFUNCTION("GOOGLETRANSLATE(B1110,""id"",""en"")"),"['use', 'card', 'Hello', 'network', 'poor', 'brp', 'second', 'Lebh', 'network', 'entry', 'kelobby', 'game', ' Area ',' Banjarmasi ',' North ',' queen ',' North ',' quin ',' floating ',' stop ',' subscribe ',' card ',' Hello ', ""]")</f>
        <v>['use', 'card', 'Hello', 'network', 'poor', 'brp', 'second', 'Lebh', 'network', 'entry', 'kelobby', 'game', ' Area ',' Banjarmasi ',' North ',' queen ',' North ',' quin ',' floating ',' stop ',' subscribe ',' card ',' Hello ', "]</v>
      </c>
      <c r="D1110" s="3">
        <v>1.0</v>
      </c>
    </row>
    <row r="1111" ht="15.75" customHeight="1">
      <c r="A1111" s="1">
        <v>1109.0</v>
      </c>
      <c r="B1111" s="3" t="s">
        <v>1112</v>
      </c>
      <c r="C1111" s="3" t="str">
        <f>IFERROR(__xludf.DUMMYFUNCTION("GOOGLETRANSLATE(B1111,""id"",""en"")"),"['Kalok', 'fix', 'signal', 'better', 'company', 'closed', 'person', 'emotion', 'play', 'because', 'Gara', 'signal', ' Good ',' oath ',' Pakek ',' Telkomsel ']")</f>
        <v>['Kalok', 'fix', 'signal', 'better', 'company', 'closed', 'person', 'emotion', 'play', 'because', 'Gara', 'signal', ' Good ',' oath ',' Pakek ',' Telkomsel ']</v>
      </c>
      <c r="D1111" s="3">
        <v>1.0</v>
      </c>
    </row>
    <row r="1112" ht="15.75" customHeight="1">
      <c r="A1112" s="1">
        <v>1110.0</v>
      </c>
      <c r="B1112" s="3" t="s">
        <v>1113</v>
      </c>
      <c r="C1112" s="3" t="str">
        <f>IFERROR(__xludf.DUMMYFUNCTION("GOOGLETRANSLATE(B1112,""id"",""en"")"),"['Developer', 'Dear', 'Telkomsel', 'Please', 'Do', 'Repair', 'Application', 'Update', 'Application', 'Comment', 'Text', 'Warning', ' Something ',' Went ',' Wrong ',' Please ',' Try ',' Again ',' After ',' sometime ',' Fix ',' fix ',' reputation ',' servic"&amp;"e ',' public ' , 'customer', 'accept', 'love', 'edit', 'comment', 'application', 'after', 'uninstall', 'version', 'install', 'version', 'newest', ' Alhamdulillah', '']")</f>
        <v>['Developer', 'Dear', 'Telkomsel', 'Please', 'Do', 'Repair', 'Application', 'Update', 'Application', 'Comment', 'Text', 'Warning', ' Something ',' Went ',' Wrong ',' Please ',' Try ',' Again ',' After ',' sometime ',' Fix ',' fix ',' reputation ',' service ',' public ' , 'customer', 'accept', 'love', 'edit', 'comment', 'application', 'after', 'uninstall', 'version', 'install', 'version', 'newest', ' Alhamdulillah', '']</v>
      </c>
      <c r="D1112" s="3">
        <v>4.0</v>
      </c>
    </row>
    <row r="1113" ht="15.75" customHeight="1">
      <c r="A1113" s="1">
        <v>1111.0</v>
      </c>
      <c r="B1113" s="3" t="s">
        <v>1114</v>
      </c>
      <c r="C1113" s="3" t="str">
        <f>IFERROR(__xludf.DUMMYFUNCTION("GOOGLETRANSLATE(B1113,""id"",""en"")"),"['deteriorating', 'connectivity', 'BYK', 'product', 'BLM', 'WKT', 'Launched', 'sacrifice', 'product', 'abandoned', 'operator', 'hny', ' reasons', 'raw', 'repairs',' network ',' hope ',' customers', 'understand', 'products',' msh ',' byk ',' org ',' use it"&amp;" ',' sacrifice ' , 'products', 'mendpt', 'profit', 'bljr', 'experience', 'bkn', 'learn', 'product', '']")</f>
        <v>['deteriorating', 'connectivity', 'BYK', 'product', 'BLM', 'WKT', 'Launched', 'sacrifice', 'product', 'abandoned', 'operator', 'hny', ' reasons', 'raw', 'repairs',' network ',' hope ',' customers', 'understand', 'products',' msh ',' byk ',' org ',' use it ',' sacrifice ' , 'products', 'mendpt', 'profit', 'bljr', 'experience', 'bkn', 'learn', 'product', '']</v>
      </c>
      <c r="D1113" s="3">
        <v>1.0</v>
      </c>
    </row>
    <row r="1114" ht="15.75" customHeight="1">
      <c r="A1114" s="1">
        <v>1112.0</v>
      </c>
      <c r="B1114" s="3" t="s">
        <v>1115</v>
      </c>
      <c r="C1114" s="3" t="str">
        <f>IFERROR(__xludf.DUMMYFUNCTION("GOOGLETRANSLATE(B1114,""id"",""en"")"),"['Telkomsel', 'Please', 'Fix', 'Signal', 'Region', 'Sometimes',' Tasty ',' Sometimes', 'Sya', 'Play', 'Game', 'Disturbed', ' Deadly ',' turn on ',' mode ',' plane ',' signal ',' lost ',' signal ',' good ',' tasty ',' really ',' sya ',' rude ',' ']")</f>
        <v>['Telkomsel', 'Please', 'Fix', 'Signal', 'Region', 'Sometimes',' Tasty ',' Sometimes', 'Sya', 'Play', 'Game', 'Disturbed', ' Deadly ',' turn on ',' mode ',' plane ',' signal ',' lost ',' signal ',' good ',' tasty ',' really ',' sya ',' rude ',' ']</v>
      </c>
      <c r="D1114" s="3">
        <v>1.0</v>
      </c>
    </row>
    <row r="1115" ht="15.75" customHeight="1">
      <c r="A1115" s="1">
        <v>1113.0</v>
      </c>
      <c r="B1115" s="3" t="s">
        <v>1116</v>
      </c>
      <c r="C1115" s="3" t="str">
        <f>IFERROR(__xludf.DUMMYFUNCTION("GOOGLETRANSLATE(B1115,""id"",""en"")"),"['Pay', 'Link', 'My APK', 'Direct', 'Open', 'Browser', 'DLU', 'PlayStore', 'PAS', 'LINK', 'LIGHT', 'Bill', ' Appearing ',' APK ',' already ',' update ',' pay ',' what ']")</f>
        <v>['Pay', 'Link', 'My APK', 'Direct', 'Open', 'Browser', 'DLU', 'PlayStore', 'PAS', 'LINK', 'LIGHT', 'Bill', ' Appearing ',' APK ',' already ',' update ',' pay ',' what ']</v>
      </c>
      <c r="D1115" s="3">
        <v>1.0</v>
      </c>
    </row>
    <row r="1116" ht="15.75" customHeight="1">
      <c r="A1116" s="1">
        <v>1114.0</v>
      </c>
      <c r="B1116" s="3" t="s">
        <v>1117</v>
      </c>
      <c r="C1116" s="3" t="str">
        <f>IFERROR(__xludf.DUMMYFUNCTION("GOOGLETRANSLATE(B1116,""id"",""en"")"),"['Jadiin', 'Evaluation', 'Telkomsel', 'usually', 'balesin', 'complaint', 'doang', 'please', 'Selayed', 'Customer', 'people', 'buy', ' package ',' internet ',' price ',' signal ',' comparable ',' expensive ',' doang ',' signal ',' price ',' lose ',' brandi"&amp;"ng ',' mulu ',' signal ' , 'Kaga', '']")</f>
        <v>['Jadiin', 'Evaluation', 'Telkomsel', 'usually', 'balesin', 'complaint', 'doang', 'please', 'Selayed', 'Customer', 'people', 'buy', ' package ',' internet ',' price ',' signal ',' comparable ',' expensive ',' doang ',' signal ',' price ',' lose ',' branding ',' mulu ',' signal ' , 'Kaga', '']</v>
      </c>
      <c r="D1116" s="3">
        <v>1.0</v>
      </c>
    </row>
    <row r="1117" ht="15.75" customHeight="1">
      <c r="A1117" s="1">
        <v>1115.0</v>
      </c>
      <c r="B1117" s="3" t="s">
        <v>1118</v>
      </c>
      <c r="C1117" s="3" t="str">
        <f>IFERROR(__xludf.DUMMYFUNCTION("GOOGLETRANSLATE(B1117,""id"",""en"")"),"['strange', 'buy', 'package', 'data', 'pulses',' reduced ',' package ',' data ',' activated ',' error ',' what ',' please ',' The explanation ',' Contact ',' told ',' Link ',' Karna ',' Gabisa ',' Send ',' WhatsApp ',' Tetep ',' Link ', ""]")</f>
        <v>['strange', 'buy', 'package', 'data', 'pulses',' reduced ',' package ',' data ',' activated ',' error ',' what ',' please ',' The explanation ',' Contact ',' told ',' Link ',' Karna ',' Gabisa ',' Send ',' WhatsApp ',' Tetep ',' Link ', "]</v>
      </c>
      <c r="D1117" s="3">
        <v>1.0</v>
      </c>
    </row>
    <row r="1118" ht="15.75" customHeight="1">
      <c r="A1118" s="1">
        <v>1116.0</v>
      </c>
      <c r="B1118" s="3" t="s">
        <v>1119</v>
      </c>
      <c r="C1118" s="3" t="str">
        <f>IFERROR(__xludf.DUMMYFUNCTION("GOOGLETRANSLATE(B1118,""id"",""en"")"),"['', 'Telkomsel', 'no "",' open ',' his writing ',' connection ',' stable ',' try ',' tuk ',' application ',' connection ',' internet ',' stable ',' ']")</f>
        <v>['', 'Telkomsel', 'no ",' open ',' his writing ',' connection ',' stable ',' try ',' tuk ',' application ',' connection ',' internet ',' stable ',' ']</v>
      </c>
      <c r="D1118" s="3">
        <v>5.0</v>
      </c>
    </row>
    <row r="1119" ht="15.75" customHeight="1">
      <c r="A1119" s="1">
        <v>1117.0</v>
      </c>
      <c r="B1119" s="3" t="s">
        <v>1120</v>
      </c>
      <c r="C1119" s="3" t="str">
        <f>IFERROR(__xludf.DUMMYFUNCTION("GOOGLETRANSLATE(B1119,""id"",""en"")"),"['network', 'Telkomsel', 'slow', 'knapa', 'that's',' plis', 'cave', 'love', 'star', 'comment', 'cave', 'response', ' Telkomsel ',' Please ',' Telkomsel ',' Strengthen ',' Network ',' Tlaco ',' Termot ',' Region ',' Sumatra ',' North ']")</f>
        <v>['network', 'Telkomsel', 'slow', 'knapa', 'that's',' plis', 'cave', 'love', 'star', 'comment', 'cave', 'response', ' Telkomsel ',' Please ',' Telkomsel ',' Strengthen ',' Network ',' Tlaco ',' Termot ',' Region ',' Sumatra ',' North ']</v>
      </c>
      <c r="D1119" s="3">
        <v>5.0</v>
      </c>
    </row>
    <row r="1120" ht="15.75" customHeight="1">
      <c r="A1120" s="1">
        <v>1118.0</v>
      </c>
      <c r="B1120" s="3" t="s">
        <v>1121</v>
      </c>
      <c r="C1120" s="3" t="str">
        <f>IFERROR(__xludf.DUMMYFUNCTION("GOOGLETRANSLATE(B1120,""id"",""en"")"),"['Application', 'Come on', 'download']")</f>
        <v>['Application', 'Come on', 'download']</v>
      </c>
      <c r="D1120" s="3">
        <v>1.0</v>
      </c>
    </row>
    <row r="1121" ht="15.75" customHeight="1">
      <c r="A1121" s="1">
        <v>1119.0</v>
      </c>
      <c r="B1121" s="3" t="s">
        <v>1122</v>
      </c>
      <c r="C1121" s="3" t="str">
        <f>IFERROR(__xludf.DUMMYFUNCTION("GOOGLETRANSLATE(B1121,""id"",""en"")"),"['already', 'subscription', 'network', 'good', 'bad', 'number', 'check', 'pulse', 'disappointed']")</f>
        <v>['already', 'subscription', 'network', 'good', 'bad', 'number', 'check', 'pulse', 'disappointed']</v>
      </c>
      <c r="D1121" s="3">
        <v>1.0</v>
      </c>
    </row>
    <row r="1122" ht="15.75" customHeight="1">
      <c r="A1122" s="1">
        <v>1120.0</v>
      </c>
      <c r="B1122" s="3" t="s">
        <v>1123</v>
      </c>
      <c r="C1122" s="3" t="str">
        <f>IFERROR(__xludf.DUMMYFUNCTION("GOOGLETRANSLATE(B1122,""id"",""en"")"),"['hope', 'provider', 'triumphic', 'brave', 'sell', 'follow', 'according to', 'people', 'signal', 'fast', 'come', 'tri', ' forward ',' choose ',' tri ',' provider ',' Reliable ',' bkn ',' sprt ',' operator ',' local ',' expensive ',' network ',' slow ',' h"&amp;"ny ' , 'dries', 'money', 'customer']")</f>
        <v>['hope', 'provider', 'triumphic', 'brave', 'sell', 'follow', 'according to', 'people', 'signal', 'fast', 'come', 'tri', ' forward ',' choose ',' tri ',' provider ',' Reliable ',' bkn ',' sprt ',' operator ',' local ',' expensive ',' network ',' slow ',' hny ' , 'dries', 'money', 'customer']</v>
      </c>
      <c r="D1122" s="3">
        <v>1.0</v>
      </c>
    </row>
    <row r="1123" ht="15.75" customHeight="1">
      <c r="A1123" s="1">
        <v>1121.0</v>
      </c>
      <c r="B1123" s="3" t="s">
        <v>1124</v>
      </c>
      <c r="C1123" s="3" t="str">
        <f>IFERROR(__xludf.DUMMYFUNCTION("GOOGLETRANSLATE(B1123,""id"",""en"")"),"['Disappointed', 'Telkom', 'Play', 'Ping', 'Down', 'Dead', 'Lamp', 'JRGN', 'ilang', 'GMN', 'Card', 'Telkom', ' Good ',' price ',' expensive ',' network ',' that's', 'that's',' MLS ',' MAIN ',' GARA ',' Network ',' Down ',' Disconnect ',' Asa ' , '']")</f>
        <v>['Disappointed', 'Telkom', 'Play', 'Ping', 'Down', 'Dead', 'Lamp', 'JRGN', 'ilang', 'GMN', 'Card', 'Telkom', ' Good ',' price ',' expensive ',' network ',' that's', 'that's',' MLS ',' MAIN ',' GARA ',' Network ',' Down ',' Disconnect ',' Asa ' , '']</v>
      </c>
      <c r="D1123" s="3">
        <v>1.0</v>
      </c>
    </row>
    <row r="1124" ht="15.75" customHeight="1">
      <c r="A1124" s="1">
        <v>1122.0</v>
      </c>
      <c r="B1124" s="3" t="s">
        <v>1125</v>
      </c>
      <c r="C1124" s="3" t="str">
        <f>IFERROR(__xludf.DUMMYFUNCTION("GOOGLETRANSLATE(B1124,""id"",""en"")"),"['Telkomsel', 'Ngen', 'cave', 'buy', 'pulse', 'sampe', 'enter', 'check', 'code', 'MMI', 'valid', 'open', ' APK ',' Ngebug ',' Mulu ',' Refresh ',' Many "", 'No', 'Nide', 'Loss', 'Bget', 'Anju', 'Cave', 'Contents', 'Credit' , 'idiot', 'times', '']")</f>
        <v>['Telkomsel', 'Ngen', 'cave', 'buy', 'pulse', 'sampe', 'enter', 'check', 'code', 'MMI', 'valid', 'open', ' APK ',' Ngebug ',' Mulu ',' Refresh ',' Many ", 'No', 'Nide', 'Loss', 'Bget', 'Anju', 'Cave', 'Contents', 'Credit' , 'idiot', 'times', '']</v>
      </c>
      <c r="D1124" s="3">
        <v>1.0</v>
      </c>
    </row>
    <row r="1125" ht="15.75" customHeight="1">
      <c r="A1125" s="1">
        <v>1123.0</v>
      </c>
      <c r="B1125" s="3" t="s">
        <v>1126</v>
      </c>
      <c r="C1125" s="3" t="str">
        <f>IFERROR(__xludf.DUMMYFUNCTION("GOOGLETRANSLATE(B1125,""id"",""en"")"),"['Please', 'Developer', 'Please', 'Network', 'Repaired', 'Trash', 'Very', 'Becus',' work ',' Telkomsel ',' slow ',' really ',' dlu ',' right ',' smooth ',' really ',' tpi ',' skrng ',' slow ',' bat ',' original ',' expensive ',' hadeh ',' oath ',' salespe"&amp;"ople ' , 'Banting', 'Gegara', 'slow']")</f>
        <v>['Please', 'Developer', 'Please', 'Network', 'Repaired', 'Trash', 'Very', 'Becus',' work ',' Telkomsel ',' slow ',' really ',' dlu ',' right ',' smooth ',' really ',' tpi ',' skrng ',' slow ',' bat ',' original ',' expensive ',' hadeh ',' oath ',' salespeople ' , 'Banting', 'Gegara', 'slow']</v>
      </c>
      <c r="D1125" s="3">
        <v>1.0</v>
      </c>
    </row>
    <row r="1126" ht="15.75" customHeight="1">
      <c r="A1126" s="1">
        <v>1124.0</v>
      </c>
      <c r="B1126" s="3" t="s">
        <v>1127</v>
      </c>
      <c r="C1126" s="3" t="str">
        <f>IFERROR(__xludf.DUMMYFUNCTION("GOOGLETRANSLATE(B1126,""id"",""en"")"),"['already', 'Telkomsel', 'Ramadhan', 'Costs',' Transfer ',' Credit ',' Expensive ',' Severe ',' Give ',' Discount ',' Ramadhan ',' Nyari ',' addition']")</f>
        <v>['already', 'Telkomsel', 'Ramadhan', 'Costs',' Transfer ',' Credit ',' Expensive ',' Severe ',' Give ',' Discount ',' Ramadhan ',' Nyari ',' addition']</v>
      </c>
      <c r="D1126" s="3">
        <v>1.0</v>
      </c>
    </row>
    <row r="1127" ht="15.75" customHeight="1">
      <c r="A1127" s="1">
        <v>1125.0</v>
      </c>
      <c r="B1127" s="3" t="s">
        <v>1128</v>
      </c>
      <c r="C1127" s="3" t="str">
        <f>IFERROR(__xludf.DUMMYFUNCTION("GOOGLETRANSLATE(B1127,""id"",""en"")"),"['Hopefully', 'Telkomsel', 'Packemi', 'Pandemi', 'Where', 'People', 'Sensitive', 'Money', 'Telkomsel', 'take', 'profit', 'quota', ' run out ',' spend ',' credit ',' loss', 'call', 'center', 'change', 'loss',' pulse ',' package ',' warning ',' okay ',' ple"&amp;"ase ' , 'Catched', 'quota', 'Ministry of Education and Culture', 'Notification', 'Quota', 'Out', 'Drain', 'Out', 'Credit', ""]")</f>
        <v>['Hopefully', 'Telkomsel', 'Packemi', 'Pandemi', 'Where', 'People', 'Sensitive', 'Money', 'Telkomsel', 'take', 'profit', 'quota', ' run out ',' spend ',' credit ',' loss', 'call', 'center', 'change', 'loss',' pulse ',' package ',' warning ',' okay ',' please ' , 'Catched', 'quota', 'Ministry of Education and Culture', 'Notification', 'Quota', 'Out', 'Drain', 'Out', 'Credit', "]</v>
      </c>
      <c r="D1127" s="3">
        <v>1.0</v>
      </c>
    </row>
    <row r="1128" ht="15.75" customHeight="1">
      <c r="A1128" s="1">
        <v>1126.0</v>
      </c>
      <c r="B1128" s="3" t="s">
        <v>1129</v>
      </c>
      <c r="C1128" s="3" t="str">
        <f>IFERROR(__xludf.DUMMYFUNCTION("GOOGLETRANSLATE(B1128,""id"",""en"")"),"['Network', 'Telkomsel', 'Manado', 'Kartuku', 'card', 'Network', 'stable', 'night', 'It's good', 'please', 'fix', '']")</f>
        <v>['Network', 'Telkomsel', 'Manado', 'Kartuku', 'card', 'Network', 'stable', 'night', 'It's good', 'please', 'fix', '']</v>
      </c>
      <c r="D1128" s="3">
        <v>1.0</v>
      </c>
    </row>
    <row r="1129" ht="15.75" customHeight="1">
      <c r="A1129" s="1">
        <v>1127.0</v>
      </c>
      <c r="B1129" s="3" t="s">
        <v>1130</v>
      </c>
      <c r="C1129" s="3" t="str">
        <f>IFERROR(__xludf.DUMMYFUNCTION("GOOGLETRANSLATE(B1129,""id"",""en"")"),"['Please', 'Sorry', 'Love', 'Star', 'Signal', 'Telkomsel', 'Nge', 'lag', 'use', 'play', 'game', 'use', ' Telkomsel ',' Nge ',' lag ',' lag ',' beg ',' fix ',' sinynya ',' use ',' play ',' game ',' nge ',' lag ',' already ' , 'tasty', 'promise', 'love', 's"&amp;"tar', 'star', 'thanks', ""]")</f>
        <v>['Please', 'Sorry', 'Love', 'Star', 'Signal', 'Telkomsel', 'Nge', 'lag', 'use', 'play', 'game', 'use', ' Telkomsel ',' Nge ',' lag ',' lag ',' beg ',' fix ',' sinynya ',' use ',' play ',' game ',' nge ',' lag ',' already ' , 'tasty', 'promise', 'love', 'star', 'star', 'thanks', "]</v>
      </c>
      <c r="D1129" s="3">
        <v>1.0</v>
      </c>
    </row>
    <row r="1130" ht="15.75" customHeight="1">
      <c r="A1130" s="1">
        <v>1128.0</v>
      </c>
      <c r="B1130" s="3" t="s">
        <v>1131</v>
      </c>
      <c r="C1130" s="3" t="str">
        <f>IFERROR(__xludf.DUMMYFUNCTION("GOOGLETRANSLATE(B1130,""id"",""en"")"),"['price', 'package', 'data', 'expensive', 'network', 'slow', 'price', 'expensive', 'network', 'ugly']")</f>
        <v>['price', 'package', 'data', 'expensive', 'network', 'slow', 'price', 'expensive', 'network', 'ugly']</v>
      </c>
      <c r="D1130" s="3">
        <v>2.0</v>
      </c>
    </row>
    <row r="1131" ht="15.75" customHeight="1">
      <c r="A1131" s="1">
        <v>1129.0</v>
      </c>
      <c r="B1131" s="3" t="s">
        <v>1132</v>
      </c>
      <c r="C1131" s="3" t="str">
        <f>IFERROR(__xludf.DUMMYFUNCTION("GOOGLETRANSLATE(B1131,""id"",""en"")"),"['type', 'fraud', 'price', 'package', 'printed', 'price', 'original', 'buy', 'package', 'cheerful', 'price', 'knp', ' pulses', 'stay', 'so']")</f>
        <v>['type', 'fraud', 'price', 'package', 'printed', 'price', 'original', 'buy', 'package', 'cheerful', 'price', 'knp', ' pulses', 'stay', 'so']</v>
      </c>
      <c r="D1131" s="3">
        <v>5.0</v>
      </c>
    </row>
    <row r="1132" ht="15.75" customHeight="1">
      <c r="A1132" s="1">
        <v>1130.0</v>
      </c>
      <c r="B1132" s="3" t="s">
        <v>1133</v>
      </c>
      <c r="C1132" s="3" t="str">
        <f>IFERROR(__xludf.DUMMYFUNCTION("GOOGLETRANSLATE(B1132,""id"",""en"")"),"['noon', 'signal', 'Telkomsel', 'expensive', 'adu', 'dng', 'card', 'tri', 'cheap', 'meria', 'cellphone', 'version' brand ',' short ',' story ',' do ',' destination ',' location ',' via ',' google ',' maps', 'city', 'mojokerto', 'village', 'pull' , 'Kabuta"&amp;"en', 'Sidoarjo', 'monitor', 'Maps',' instructions', 'direction', 'journey', 'signal', 'Telkomsel', 'down', 'card', 'tri', ' Tetep ',' stable ',' point ',' purpose ',' thank ',' love ',' curhatan ',' violated ',' telkomse ',' room ',' luck ',' card ',' pro"&amp;"vider ' , '']")</f>
        <v>['noon', 'signal', 'Telkomsel', 'expensive', 'adu', 'dng', 'card', 'tri', 'cheap', 'meria', 'cellphone', 'version' brand ',' short ',' story ',' do ',' destination ',' location ',' via ',' google ',' maps', 'city', 'mojokerto', 'village', 'pull' , 'Kabutaen', 'Sidoarjo', 'monitor', 'Maps',' instructions', 'direction', 'journey', 'signal', 'Telkomsel', 'down', 'card', 'tri', ' Tetep ',' stable ',' point ',' purpose ',' thank ',' love ',' curhatan ',' violated ',' telkomse ',' room ',' luck ',' card ',' provider ' , '']</v>
      </c>
      <c r="D1132" s="3">
        <v>1.0</v>
      </c>
    </row>
    <row r="1133" ht="15.75" customHeight="1">
      <c r="A1133" s="1">
        <v>1131.0</v>
      </c>
      <c r="B1133" s="3" t="s">
        <v>1134</v>
      </c>
      <c r="C1133" s="3" t="str">
        <f>IFERROR(__xludf.DUMMYFUNCTION("GOOGLETRANSLATE(B1133,""id"",""en"")"),"['for you', 'Download', 'MyTelkomsel', 'Get "",' Telkomsel ',' RB ',' RB ',' HR ',' SMS ',' Telkomsel ',' Telkomsel ' Click ',' Tsel ',' Download ',' Promo ',' APR ',' SKBL ',' Bener ',' DPT ',' Credit ', ""]")</f>
        <v>['for you', 'Download', 'MyTelkomsel', 'Get ",' Telkomsel ',' RB ',' RB ',' HR ',' SMS ',' Telkomsel ',' Telkomsel ' Click ',' Tsel ',' Download ',' Promo ',' APR ',' SKBL ',' Bener ',' DPT ',' Credit ', "]</v>
      </c>
      <c r="D1133" s="3">
        <v>5.0</v>
      </c>
    </row>
    <row r="1134" ht="15.75" customHeight="1">
      <c r="A1134" s="1">
        <v>1132.0</v>
      </c>
      <c r="B1134" s="3" t="s">
        <v>1135</v>
      </c>
      <c r="C1134" s="3" t="str">
        <f>IFERROR(__xludf.DUMMYFUNCTION("GOOGLETRANSLATE(B1134,""id"",""en"")"),"['Opening', 'Application', 'Telkomsel', 'Connected', 'Network', 'Internet', 'Signal', 'Please', 'Developer', 'Fix it', 'Thank you']")</f>
        <v>['Opening', 'Application', 'Telkomsel', 'Connected', 'Network', 'Internet', 'Signal', 'Please', 'Developer', 'Fix it', 'Thank you']</v>
      </c>
      <c r="D1134" s="3">
        <v>3.0</v>
      </c>
    </row>
    <row r="1135" ht="15.75" customHeight="1">
      <c r="A1135" s="1">
        <v>1133.0</v>
      </c>
      <c r="B1135" s="3" t="s">
        <v>1136</v>
      </c>
      <c r="C1135" s="3" t="str">
        <f>IFERROR(__xludf.DUMMYFUNCTION("GOOGLETRANSLATE(B1135,""id"",""en"")"),"['Telkomsel', 'Card', 'Sultan', 'Network', 'Satan', 'Play', 'Game', 'Signal', 'Lost', 'Kart', 'Cheap', 'Fix', ' network ',' jngan ',' promo ',' package ',' telkom ',' bnyak ',' enthusiasts', 'network', 'response', 'youtube', 'sosmed', 'card', 'please' , '"&amp;"Fix', 'connection', 'gaming', 'Thanks', 'for', '']")</f>
        <v>['Telkomsel', 'Card', 'Sultan', 'Network', 'Satan', 'Play', 'Game', 'Signal', 'Lost', 'Kart', 'Cheap', 'Fix', ' network ',' jngan ',' promo ',' package ',' telkom ',' bnyak ',' enthusiasts', 'network', 'response', 'youtube', 'sosmed', 'card', 'please' , 'Fix', 'connection', 'gaming', 'Thanks', 'for', '']</v>
      </c>
      <c r="D1135" s="3">
        <v>1.0</v>
      </c>
    </row>
    <row r="1136" ht="15.75" customHeight="1">
      <c r="A1136" s="1">
        <v>1134.0</v>
      </c>
      <c r="B1136" s="3" t="s">
        <v>1137</v>
      </c>
      <c r="C1136" s="3" t="str">
        <f>IFERROR(__xludf.DUMMYFUNCTION("GOOGLETRANSLATE(B1136,""id"",""en"")"),"['Telkomsel', 'The network', 'jjjuuuuueeellleeeeeeeeeeeee', 'ekkkkkkk', 'rich', 'eeee', 'eeee', 'kkk', 'tembellleeeeek', 'beeeebbbeeeeek', 'Telkomsel', 'pretentious',' wise ',' suggestion ',' suggestion ',' garbage ',' ces', 'already', 'tried', 'cuk', 'ba"&amp;"sically', 'network', 'weve', 'attention', 'Telkomsel' , 'Sempak', 'mbrodol', 'package', 'expensive', 'network', 'rich', 'taik']")</f>
        <v>['Telkomsel', 'The network', 'jjjuuuuueeellleeeeeeeeeeeee', 'ekkkkkkk', 'rich', 'eeee', 'eeee', 'kkk', 'tembellleeeeek', 'beeeebbbeeeeek', 'Telkomsel', 'pretentious',' wise ',' suggestion ',' suggestion ',' garbage ',' ces', 'already', 'tried', 'cuk', 'basically', 'network', 'weve', 'attention', 'Telkomsel' , 'Sempak', 'mbrodol', 'package', 'expensive', 'network', 'rich', 'taik']</v>
      </c>
      <c r="D1136" s="3">
        <v>1.0</v>
      </c>
    </row>
    <row r="1137" ht="15.75" customHeight="1">
      <c r="A1137" s="1">
        <v>1135.0</v>
      </c>
      <c r="B1137" s="3" t="s">
        <v>1138</v>
      </c>
      <c r="C1137" s="3" t="str">
        <f>IFERROR(__xludf.DUMMYFUNCTION("GOOGLETRANSLATE(B1137,""id"",""en"")"),"['Price', 'Doang', 'expensive', 'Quality', 'zero', 'Ngelag', 'Ngegame', 'Safe', 'Ngegame', 'Clock', 'Lonely', 'Night', ' Please, 'Increase', 'Quality', 'Price', 'Doang', 'Mahalin']")</f>
        <v>['Price', 'Doang', 'expensive', 'Quality', 'zero', 'Ngelag', 'Ngegame', 'Safe', 'Ngegame', 'Clock', 'Lonely', 'Night', ' Please, 'Increase', 'Quality', 'Price', 'Doang', 'Mahalin']</v>
      </c>
      <c r="D1137" s="3">
        <v>1.0</v>
      </c>
    </row>
    <row r="1138" ht="15.75" customHeight="1">
      <c r="A1138" s="1">
        <v>1136.0</v>
      </c>
      <c r="B1138" s="3" t="s">
        <v>1139</v>
      </c>
      <c r="C1138" s="3" t="str">
        <f>IFERROR(__xludf.DUMMYFUNCTION("GOOGLETRANSLATE(B1138,""id"",""en"")"),"['Telomsel', 'Must', 'Fix', 'What', 'Quality', 'Best', 'Consumer', 'Kasi', 'Notification', 'Promo', 'Mending', 'Fix', ' network ',' slow ',' get ',' jhujan ',' wind ']")</f>
        <v>['Telomsel', 'Must', 'Fix', 'What', 'Quality', 'Best', 'Consumer', 'Kasi', 'Notification', 'Promo', 'Mending', 'Fix', ' network ',' slow ',' get ',' jhujan ',' wind ']</v>
      </c>
      <c r="D1138" s="3">
        <v>5.0</v>
      </c>
    </row>
    <row r="1139" ht="15.75" customHeight="1">
      <c r="A1139" s="1">
        <v>1137.0</v>
      </c>
      <c r="B1139" s="3" t="s">
        <v>1140</v>
      </c>
      <c r="C1139" s="3" t="str">
        <f>IFERROR(__xludf.DUMMYFUNCTION("GOOGLETRANSLATE(B1139,""id"",""en"")"),"['cave', 'quota', 'packet', 'cave', 'active', 'pulse', 'cave', 'sucked', 'reasons',' packet ',' and ',' non ',' Active ',' Padhl ',' On ',' a month ',' Telkomsel ',' Consumer ',' Bankrupt ']")</f>
        <v>['cave', 'quota', 'packet', 'cave', 'active', 'pulse', 'cave', 'sucked', 'reasons',' packet ',' and ',' non ',' Active ',' Padhl ',' On ',' a month ',' Telkomsel ',' Consumer ',' Bankrupt ']</v>
      </c>
      <c r="D1139" s="3">
        <v>2.0</v>
      </c>
    </row>
    <row r="1140" ht="15.75" customHeight="1">
      <c r="A1140" s="1">
        <v>1138.0</v>
      </c>
      <c r="B1140" s="3" t="s">
        <v>1141</v>
      </c>
      <c r="C1140" s="3" t="str">
        <f>IFERROR(__xludf.DUMMYFUNCTION("GOOGLETRANSLATE(B1140,""id"",""en"")"),"['users',' loyal ',' Telkomsel ',' Telkomsel ',' opened ',' HARUR ',' REFRES ',' Login ',' Please ',' Developer ',' pay attention ',' complaint ',' User ']")</f>
        <v>['users',' loyal ',' Telkomsel ',' Telkomsel ',' opened ',' HARUR ',' REFRES ',' Login ',' Please ',' Developer ',' pay attention ',' complaint ',' User ']</v>
      </c>
      <c r="D1140" s="3">
        <v>1.0</v>
      </c>
    </row>
    <row r="1141" ht="15.75" customHeight="1">
      <c r="A1141" s="1">
        <v>1139.0</v>
      </c>
      <c r="B1141" s="3" t="s">
        <v>1142</v>
      </c>
      <c r="C1141" s="3" t="str">
        <f>IFERROR(__xludf.DUMMYFUNCTION("GOOGLETRANSLATE(B1141,""id"",""en"")"),"['octakation', 'Search', 'Package', 'Cheap', 'Bangat', ""]")</f>
        <v>['octakation', 'Search', 'Package', 'Cheap', 'Bangat', "]</v>
      </c>
      <c r="D1141" s="3">
        <v>5.0</v>
      </c>
    </row>
    <row r="1142" ht="15.75" customHeight="1">
      <c r="A1142" s="1">
        <v>1140.0</v>
      </c>
      <c r="B1142" s="3" t="s">
        <v>1143</v>
      </c>
      <c r="C1142" s="3" t="str">
        <f>IFERROR(__xludf.DUMMYFUNCTION("GOOGLETRANSLATE(B1142,""id"",""en"")"),"['Sorry', 'area', 'East', 'Nggk', 'Log', 'Genesis', 'Sunday', 'Please', 'Hint']")</f>
        <v>['Sorry', 'area', 'East', 'Nggk', 'Log', 'Genesis', 'Sunday', 'Please', 'Hint']</v>
      </c>
      <c r="D1142" s="3">
        <v>1.0</v>
      </c>
    </row>
    <row r="1143" ht="15.75" customHeight="1">
      <c r="A1143" s="1">
        <v>1141.0</v>
      </c>
      <c r="B1143" s="3" t="s">
        <v>1144</v>
      </c>
      <c r="C1143" s="3" t="str">
        <f>IFERROR(__xludf.DUMMYFUNCTION("GOOGLETRANSLATE(B1143,""id"",""en"")"),"['Package', 'Game', 'Max', 'Nga', 'Please', 'Tangapin', 'Komen', 'Develover', 'Please', 'Package', 'Game', 'Max', ' Risarkin ',' that's', 'replace', 'loss',' already ',' buy ',' expensive ',' expensive ',' nga ',' use ']")</f>
        <v>['Package', 'Game', 'Max', 'Nga', 'Please', 'Tangapin', 'Komen', 'Develover', 'Please', 'Package', 'Game', 'Max', ' Risarkin ',' that's', 'replace', 'loss',' already ',' buy ',' expensive ',' expensive ',' nga ',' use ']</v>
      </c>
      <c r="D1143" s="3">
        <v>1.0</v>
      </c>
    </row>
    <row r="1144" ht="15.75" customHeight="1">
      <c r="A1144" s="1">
        <v>1142.0</v>
      </c>
      <c r="B1144" s="3" t="s">
        <v>1145</v>
      </c>
      <c r="C1144" s="3" t="str">
        <f>IFERROR(__xludf.DUMMYFUNCTION("GOOGLETRANSLATE(B1144,""id"",""en"")"),"['Severe', 'signal', 'Telkomsel', 'quota', 'help', 'slow', 'ngak', 'love', 'help', 'kalu', 'slow', 'uda', ' expensive ',' slow ',' ']")</f>
        <v>['Severe', 'signal', 'Telkomsel', 'quota', 'help', 'slow', 'ngak', 'love', 'help', 'kalu', 'slow', 'uda', ' expensive ',' slow ',' ']</v>
      </c>
      <c r="D1144" s="3">
        <v>1.0</v>
      </c>
    </row>
    <row r="1145" ht="15.75" customHeight="1">
      <c r="A1145" s="1">
        <v>1143.0</v>
      </c>
      <c r="B1145" s="3" t="s">
        <v>1146</v>
      </c>
      <c r="C1145" s="3" t="str">
        <f>IFERROR(__xludf.DUMMYFUNCTION("GOOGLETRANSLATE(B1145,""id"",""en"")"),"['Mulu', 'price', 'unlimited', 'internet', 'sympathy', 'signal', 'ugly', 'package', 'unlimited', 'keep', 'sometimes',' out ',' Fill ',' customers', 'loyal', 'love', 'bonus',' reward ',' minimal ',' package ',' cheap ',' ']")</f>
        <v>['Mulu', 'price', 'unlimited', 'internet', 'sympathy', 'signal', 'ugly', 'package', 'unlimited', 'keep', 'sometimes',' out ',' Fill ',' customers', 'loyal', 'love', 'bonus',' reward ',' minimal ',' package ',' cheap ',' ']</v>
      </c>
      <c r="D1145" s="3">
        <v>1.0</v>
      </c>
    </row>
    <row r="1146" ht="15.75" customHeight="1">
      <c r="A1146" s="1">
        <v>1144.0</v>
      </c>
      <c r="B1146" s="3" t="s">
        <v>1147</v>
      </c>
      <c r="C1146" s="3" t="str">
        <f>IFERROR(__xludf.DUMMYFUNCTION("GOOGLETRANSLATE(B1146,""id"",""en"")"),"['Account', 'Telkomsel', 'Connect', 'Account', 'Fund', 'Switch', 'Points',' Telkomsel ',' Coupon ',' Please ',' Fix ',' Natural ',' Package ',' expensive ',' quality ',' service ']")</f>
        <v>['Account', 'Telkomsel', 'Connect', 'Account', 'Fund', 'Switch', 'Points',' Telkomsel ',' Coupon ',' Please ',' Fix ',' Natural ',' Package ',' expensive ',' quality ',' service ']</v>
      </c>
      <c r="D1146" s="3">
        <v>2.0</v>
      </c>
    </row>
    <row r="1147" ht="15.75" customHeight="1">
      <c r="A1147" s="1">
        <v>1145.0</v>
      </c>
      <c r="B1147" s="3" t="s">
        <v>1148</v>
      </c>
      <c r="C1147" s="3" t="str">
        <f>IFERROR(__xludf.DUMMYFUNCTION("GOOGLETRANSLATE(B1147,""id"",""en"")"),"['Hopefully', 'Serve', 'Customer', 'Kemaki', 'Forward', 'Leading', 'Telkomsel', 'Since', 'Henfon', 'Use', 'Card', 'Telkomsel', ' Sometimes', 'replace', 'number', 'because' 'missing', 'etc.']")</f>
        <v>['Hopefully', 'Serve', 'Customer', 'Kemaki', 'Forward', 'Leading', 'Telkomsel', 'Since', 'Henfon', 'Use', 'Card', 'Telkomsel', ' Sometimes', 'replace', 'number', 'because' 'missing', 'etc.']</v>
      </c>
      <c r="D1147" s="3">
        <v>5.0</v>
      </c>
    </row>
    <row r="1148" ht="15.75" customHeight="1">
      <c r="A1148" s="1">
        <v>1146.0</v>
      </c>
      <c r="B1148" s="3" t="s">
        <v>1149</v>
      </c>
      <c r="C1148" s="3" t="str">
        <f>IFERROR(__xludf.DUMMYFUNCTION("GOOGLETRANSLATE(B1148,""id"",""en"")"),"['package', 'available', 'buy', 'wkwkwk', 'bought', 'no', 'provided', 'already', 'contents',' pulse ',' package ',' kagak ',' Kanteli ',' Jdda ',' loss', 'please', 'mimin', 'fix', 'bnyak', 'comment', 'negative', 'msuk']")</f>
        <v>['package', 'available', 'buy', 'wkwkwk', 'bought', 'no', 'provided', 'already', 'contents',' pulse ',' package ',' kagak ',' Kanteli ',' Jdda ',' loss', 'please', 'mimin', 'fix', 'bnyak', 'comment', 'negative', 'msuk']</v>
      </c>
      <c r="D1148" s="3">
        <v>1.0</v>
      </c>
    </row>
    <row r="1149" ht="15.75" customHeight="1">
      <c r="A1149" s="1">
        <v>1147.0</v>
      </c>
      <c r="B1149" s="3" t="s">
        <v>1150</v>
      </c>
      <c r="C1149" s="3" t="str">
        <f>IFERROR(__xludf.DUMMYFUNCTION("GOOGLETRANSLATE(B1149,""id"",""en"")"),"['Telkomsel', 'times',' in ',' Lalap ',' send ',' Link ',' click ',' Link ',' really ',' Hello ',' update ',' reset ',' LEGK ',' and ',' Error ',' Mbak ',' Pliss', 'Bags',' APK ',' check ',' package ',' etc. ']")</f>
        <v>['Telkomsel', 'times',' in ',' Lalap ',' send ',' Link ',' click ',' Link ',' really ',' Hello ',' update ',' reset ',' LEGK ',' and ',' Error ',' Mbak ',' Pliss', 'Bags',' APK ',' check ',' package ',' etc. ']</v>
      </c>
      <c r="D1149" s="3">
        <v>3.0</v>
      </c>
    </row>
    <row r="1150" ht="15.75" customHeight="1">
      <c r="A1150" s="1">
        <v>1148.0</v>
      </c>
      <c r="B1150" s="3" t="s">
        <v>1151</v>
      </c>
      <c r="C1150" s="3" t="str">
        <f>IFERROR(__xludf.DUMMYFUNCTION("GOOGLETRANSLATE(B1150,""id"",""en"")"),"['user', 'active', 'Telkomsel', 'rare', 'price', 'package', 'promo', 'monthly', 'profitable', 'user', 'active', 'expensive', ' non-active']")</f>
        <v>['user', 'active', 'Telkomsel', 'rare', 'price', 'package', 'promo', 'monthly', 'profitable', 'user', 'active', 'expensive', ' non-active']</v>
      </c>
      <c r="D1150" s="3">
        <v>3.0</v>
      </c>
    </row>
    <row r="1151" ht="15.75" customHeight="1">
      <c r="A1151" s="1">
        <v>1149.0</v>
      </c>
      <c r="B1151" s="3" t="s">
        <v>1152</v>
      </c>
      <c r="C1151" s="3" t="str">
        <f>IFERROR(__xludf.DUMMYFUNCTION("GOOGLETRANSLATE(B1151,""id"",""en"")"),"['users', 'Telkomsel', 'user', 'card', 'Sakti', 'Package', 'card', 'Sakti', 'buy', 'friend', 'buy', ""]")</f>
        <v>['users', 'Telkomsel', 'user', 'card', 'Sakti', 'Package', 'card', 'Sakti', 'buy', 'friend', 'buy', "]</v>
      </c>
      <c r="D1151" s="3">
        <v>3.0</v>
      </c>
    </row>
    <row r="1152" ht="15.75" customHeight="1">
      <c r="A1152" s="1">
        <v>1150.0</v>
      </c>
      <c r="B1152" s="3" t="s">
        <v>1153</v>
      </c>
      <c r="C1152" s="3" t="str">
        <f>IFERROR(__xludf.DUMMYFUNCTION("GOOGLETRANSLATE(B1152,""id"",""en"")"),"['Hopefully', 'Tower', 'Telkomsel', 'Region', 'Tanjung', 'Silver', 'Exact', 'Mosque', 'Muhajirin', 'Road', 'Bay', 'Bone', ' Because ',' Sometimes', 'Network', 'Region', 'Disconnect', 'Disconnect', 'Lemot', 'Tower', 'Telkomsel', 'Region', 'Accept', 'Love',"&amp;" 'Telkomsel' , '']")</f>
        <v>['Hopefully', 'Tower', 'Telkomsel', 'Region', 'Tanjung', 'Silver', 'Exact', 'Mosque', 'Muhajirin', 'Road', 'Bay', 'Bone', ' Because ',' Sometimes', 'Network', 'Region', 'Disconnect', 'Disconnect', 'Lemot', 'Tower', 'Telkomsel', 'Region', 'Accept', 'Love', 'Telkomsel' , '']</v>
      </c>
      <c r="D1152" s="3">
        <v>5.0</v>
      </c>
    </row>
    <row r="1153" ht="15.75" customHeight="1">
      <c r="A1153" s="1">
        <v>1151.0</v>
      </c>
      <c r="B1153" s="3" t="s">
        <v>1154</v>
      </c>
      <c r="C1153" s="3" t="str">
        <f>IFERROR(__xludf.DUMMYFUNCTION("GOOGLETRANSLATE(B1153,""id"",""en"")"),"['price', 'package', 'expensive', 'service', 'class', 'tempeh', 'blame', 'person', 'move', 'operator', 'service', 'according to' Emotions', 'Telkomsel', 'people', 'fasting', 'sin', '']")</f>
        <v>['price', 'package', 'expensive', 'service', 'class', 'tempeh', 'blame', 'person', 'move', 'operator', 'service', 'according to' Emotions', 'Telkomsel', 'people', 'fasting', 'sin', '']</v>
      </c>
      <c r="D1153" s="3">
        <v>1.0</v>
      </c>
    </row>
    <row r="1154" ht="15.75" customHeight="1">
      <c r="A1154" s="1">
        <v>1152.0</v>
      </c>
      <c r="B1154" s="3" t="s">
        <v>1155</v>
      </c>
      <c r="C1154" s="3" t="str">
        <f>IFERROR(__xludf.DUMMYFUNCTION("GOOGLETRANSLATE(B1154,""id"",""en"")"),"['sorry', 'developer', 'pulse', 'trotted', 'package', 'data', 'package', 'telephone', 'fit', 'internet', 'call', 'pulse', ' Cutting ',' Danger ',' Telkomsel ',' Take ',' Take ',' Untung ',' Canal ',' Change ',' Network ',' No ',' Telkomsel ', ""]")</f>
        <v>['sorry', 'developer', 'pulse', 'trotted', 'package', 'data', 'package', 'telephone', 'fit', 'internet', 'call', 'pulse', ' Cutting ',' Danger ',' Telkomsel ',' Take ',' Take ',' Untung ',' Canal ',' Change ',' Network ',' No ',' Telkomsel ', "]</v>
      </c>
      <c r="D1154" s="3">
        <v>1.0</v>
      </c>
    </row>
    <row r="1155" ht="15.75" customHeight="1">
      <c r="A1155" s="1">
        <v>1153.0</v>
      </c>
      <c r="B1155" s="3" t="s">
        <v>1156</v>
      </c>
      <c r="C1155" s="3" t="str">
        <f>IFERROR(__xludf.DUMMYFUNCTION("GOOGLETRANSLATE(B1155,""id"",""en"")"),"['Connection', 'Internet', 'Package', 'Data', 'Main', 'Credit', 'Reduced', 'Remaining', 'Rupiah', 'Harm', 'Connection', 'Internet', ' Tsel ',' Ngadat ', ""]")</f>
        <v>['Connection', 'Internet', 'Package', 'Data', 'Main', 'Credit', 'Reduced', 'Remaining', 'Rupiah', 'Harm', 'Connection', 'Internet', ' Tsel ',' Ngadat ', "]</v>
      </c>
      <c r="D1155" s="3">
        <v>2.0</v>
      </c>
    </row>
    <row r="1156" ht="15.75" customHeight="1">
      <c r="A1156" s="1">
        <v>1154.0</v>
      </c>
      <c r="B1156" s="3" t="s">
        <v>1157</v>
      </c>
      <c r="C1156" s="3" t="str">
        <f>IFERROR(__xludf.DUMMYFUNCTION("GOOGLETRANSLATE(B1156,""id"",""en"")"),"['Value', 'Untung', 'Star', 'Signal', 'Severe', 'Harag', 'Soar', 'As',' Degan ',' Price ',' Fix ',' Sinnyal ',' Main ',' Games', 'Leg', 'Legan', 'Udh', ""]")</f>
        <v>['Value', 'Untung', 'Star', 'Signal', 'Severe', 'Harag', 'Soar', 'As',' Degan ',' Price ',' Fix ',' Sinnyal ',' Main ',' Games', 'Leg', 'Legan', 'Udh', "]</v>
      </c>
      <c r="D1156" s="3">
        <v>1.0</v>
      </c>
    </row>
    <row r="1157" ht="15.75" customHeight="1">
      <c r="A1157" s="1">
        <v>1155.0</v>
      </c>
      <c r="B1157" s="3" t="s">
        <v>1158</v>
      </c>
      <c r="C1157" s="3" t="str">
        <f>IFERROR(__xludf.DUMMYFUNCTION("GOOGLETRANSLATE(B1157,""id"",""en"")"),"['Service', 'Bad', 'Via', 'APK', 'Telkomsel', 'Disappointing', 'Service', 'Solution', 'Making', 'Explanation', 'Telkomsel', 'Harm', ' disappointing ',' service ',' sorry ',' the application ',' Telkomsel ',' non ',' activate ',' use ',' number ']")</f>
        <v>['Service', 'Bad', 'Via', 'APK', 'Telkomsel', 'Disappointing', 'Service', 'Solution', 'Making', 'Explanation', 'Telkomsel', 'Harm', ' disappointing ',' service ',' sorry ',' the application ',' Telkomsel ',' non ',' activate ',' use ',' number ']</v>
      </c>
      <c r="D1157" s="3">
        <v>1.0</v>
      </c>
    </row>
    <row r="1158" ht="15.75" customHeight="1">
      <c r="A1158" s="1">
        <v>1156.0</v>
      </c>
      <c r="B1158" s="3" t="s">
        <v>1159</v>
      </c>
      <c r="C1158" s="3" t="str">
        <f>IFERROR(__xludf.DUMMYFUNCTION("GOOGLETRANSLATE(B1158,""id"",""en"")"),"['Try', 'package', 'save', 'provider', 'laen', 'Telkomsel', 'expensive', 'network', 'skrng', 'slow', 'lose', 'now' Love ',' Bintang ',' Karna ',' Telkomsel ',' already ',' dozens', 'Taun', 'Tomorrow', 'Love', 'Rating', 'Depends']")</f>
        <v>['Try', 'package', 'save', 'provider', 'laen', 'Telkomsel', 'expensive', 'network', 'skrng', 'slow', 'lose', 'now' Love ',' Bintang ',' Karna ',' Telkomsel ',' already ',' dozens', 'Taun', 'Tomorrow', 'Love', 'Rating', 'Depends']</v>
      </c>
      <c r="D1158" s="3">
        <v>3.0</v>
      </c>
    </row>
    <row r="1159" ht="15.75" customHeight="1">
      <c r="A1159" s="1">
        <v>1157.0</v>
      </c>
      <c r="B1159" s="3" t="s">
        <v>1160</v>
      </c>
      <c r="C1159" s="3" t="str">
        <f>IFERROR(__xludf.DUMMYFUNCTION("GOOGLETRANSLATE(B1159,""id"",""en"")"),"['Telkomsel', 'off', 'a day', 'take care', 'grapari', 'replace', 'already', 'dead', 'published', 'user', '']")</f>
        <v>['Telkomsel', 'off', 'a day', 'take care', 'grapari', 'replace', 'already', 'dead', 'published', 'user', '']</v>
      </c>
      <c r="D1159" s="3">
        <v>1.0</v>
      </c>
    </row>
    <row r="1160" ht="15.75" customHeight="1">
      <c r="A1160" s="1">
        <v>1158.0</v>
      </c>
      <c r="B1160" s="3" t="s">
        <v>1161</v>
      </c>
      <c r="C1160" s="3" t="str">
        <f>IFERROR(__xludf.DUMMYFUNCTION("GOOGLETRANSLATE(B1160,""id"",""en"")"),"['update', 'login', 'reset', 'severe', 'application', 'heavy', 'open', 'wifi', 'super', 'fast', 'Telkomsel', 'signal', ' Grandma ',' Open ']")</f>
        <v>['update', 'login', 'reset', 'severe', 'application', 'heavy', 'open', 'wifi', 'super', 'fast', 'Telkomsel', 'signal', ' Grandma ',' Open ']</v>
      </c>
      <c r="D1160" s="3">
        <v>1.0</v>
      </c>
    </row>
    <row r="1161" ht="15.75" customHeight="1">
      <c r="A1161" s="1">
        <v>1159.0</v>
      </c>
      <c r="B1161" s="3" t="s">
        <v>1162</v>
      </c>
      <c r="C1161" s="3" t="str">
        <f>IFERROR(__xludf.DUMMYFUNCTION("GOOGLETRANSLATE(B1161,""id"",""en"")"),"['App', 'help', 'convenience', 'register', 'package', 'improve', 'quality', 'app', 'hope', 'package', 'cheap', 'network', ' Thank ',' Telkomsel ']")</f>
        <v>['App', 'help', 'convenience', 'register', 'package', 'improve', 'quality', 'app', 'hope', 'package', 'cheap', 'network', ' Thank ',' Telkomsel ']</v>
      </c>
      <c r="D1161" s="3">
        <v>5.0</v>
      </c>
    </row>
    <row r="1162" ht="15.75" customHeight="1">
      <c r="A1162" s="1">
        <v>1160.0</v>
      </c>
      <c r="B1162" s="3" t="s">
        <v>1163</v>
      </c>
      <c r="C1162" s="3" t="str">
        <f>IFERROR(__xludf.DUMMYFUNCTION("GOOGLETRANSLATE(B1162,""id"",""en"")"),"['connection', 'network', 'internet', 'as good', 'signal', 'full', 'TPI', 'connected', 'region', 'cibitung', 'sampe', 'buy', ' card ',' internet ',' signal ',' cheats', '']")</f>
        <v>['connection', 'network', 'internet', 'as good', 'signal', 'full', 'TPI', 'connected', 'region', 'cibitung', 'sampe', 'buy', ' card ',' internet ',' signal ',' cheats', '']</v>
      </c>
      <c r="D1162" s="3">
        <v>1.0</v>
      </c>
    </row>
    <row r="1163" ht="15.75" customHeight="1">
      <c r="A1163" s="1">
        <v>1161.0</v>
      </c>
      <c r="B1163" s="3" t="s">
        <v>1164</v>
      </c>
      <c r="C1163" s="3" t="str">
        <f>IFERROR(__xludf.DUMMYFUNCTION("GOOGLETRANSLATE(B1163,""id"",""en"")"),"['Yesterday', 'cave', 'got', 'notification', 'quota', 'cheap', 'bought', 'dated', 'April', 'right', 'date', 'April', ' cave ',' buy ',' kuotata ',' cheap ',' like ',' nge ',' ghosting ',' so ',' then ',' right ',' cave ',' buy ',' apk ' , 'Telkomsel', 'ap"&amp;"k', 'ngellag', 'that's',' right ',' my APK ',' cave ',' open ',' kayak ',' the network ',' ilang ',' basics', ' Cave ',' Disappointed ',' Very ',' Telkomsel ',' ']")</f>
        <v>['Yesterday', 'cave', 'got', 'notification', 'quota', 'cheap', 'bought', 'dated', 'April', 'right', 'date', 'April', ' cave ',' buy ',' kuotata ',' cheap ',' like ',' nge ',' ghosting ',' so ',' then ',' right ',' cave ',' buy ',' apk ' , 'Telkomsel', 'apk', 'ngellag', 'that's',' right ',' my APK ',' cave ',' open ',' kayak ',' the network ',' ilang ',' basics', ' Cave ',' Disappointed ',' Very ',' Telkomsel ',' ']</v>
      </c>
      <c r="D1163" s="3">
        <v>1.0</v>
      </c>
    </row>
    <row r="1164" ht="15.75" customHeight="1">
      <c r="A1164" s="1">
        <v>1162.0</v>
      </c>
      <c r="B1164" s="3" t="s">
        <v>1165</v>
      </c>
      <c r="C1164" s="3" t="str">
        <f>IFERROR(__xludf.DUMMYFUNCTION("GOOGLETRANSLATE(B1164,""id"",""en"")"),"['Hi', 'Telkomsel', 'actually', 'good', 'just', 'signal', 'difficult', 'really', 'sometimes',' reply ',' Masi ',' it's hard ',' Please ',' FIRE ',' LIMITATION ',' ']")</f>
        <v>['Hi', 'Telkomsel', 'actually', 'good', 'just', 'signal', 'difficult', 'really', 'sometimes',' reply ',' Masi ',' it's hard ',' Please ',' FIRE ',' LIMITATION ',' ']</v>
      </c>
      <c r="D1164" s="3">
        <v>4.0</v>
      </c>
    </row>
    <row r="1165" ht="15.75" customHeight="1">
      <c r="A1165" s="1">
        <v>1163.0</v>
      </c>
      <c r="B1165" s="3" t="s">
        <v>1166</v>
      </c>
      <c r="C1165" s="3" t="str">
        <f>IFERROR(__xludf.DUMMYFUNCTION("GOOGLETRANSLATE(B1165,""id"",""en"")"),"['Good', 'hope', 'maintained', 'price', 'price', 'package', 'affordable', 'student', 'house', 'ladder', 'etc.', 'thank you', ' Success', 'Performance', 'Application', 'Yaa', 'Thanks']")</f>
        <v>['Good', 'hope', 'maintained', 'price', 'price', 'package', 'affordable', 'student', 'house', 'ladder', 'etc.', 'thank you', ' Success', 'Performance', 'Application', 'Yaa', 'Thanks']</v>
      </c>
      <c r="D1165" s="3">
        <v>4.0</v>
      </c>
    </row>
    <row r="1166" ht="15.75" customHeight="1">
      <c r="A1166" s="1">
        <v>1164.0</v>
      </c>
      <c r="B1166" s="3" t="s">
        <v>1167</v>
      </c>
      <c r="C1166" s="3" t="str">
        <f>IFERROR(__xludf.DUMMYFUNCTION("GOOGLETRANSLATE(B1166,""id"",""en"")"),"['already', 'Telkomsel', 'here', 'threat', 'dapet', 'notif', 'quota', 'finished', 'tens',' thousand ',' pulse ',' disappear ',' Gara ',' Gara ',' quota ',' run out ']")</f>
        <v>['already', 'Telkomsel', 'here', 'threat', 'dapet', 'notif', 'quota', 'finished', 'tens',' thousand ',' pulse ',' disappear ',' Gara ',' Gara ',' quota ',' run out ']</v>
      </c>
      <c r="D1166" s="3">
        <v>1.0</v>
      </c>
    </row>
    <row r="1167" ht="15.75" customHeight="1">
      <c r="A1167" s="1">
        <v>1165.0</v>
      </c>
      <c r="B1167" s="3" t="s">
        <v>1168</v>
      </c>
      <c r="C1167" s="3" t="str">
        <f>IFERROR(__xludf.DUMMYFUNCTION("GOOGLETRANSLATE(B1167,""id"",""en"")"),"['Sorry', 'bought', 'package', 'internet', 'night', 'balance', 'funds',' repaid to ',' payment ',' managed ',' balance ',' fund ',' drawn ',' please ',' returned ']")</f>
        <v>['Sorry', 'bought', 'package', 'internet', 'night', 'balance', 'funds',' repaid to ',' payment ',' managed ',' balance ',' fund ',' drawn ',' please ',' returned ']</v>
      </c>
      <c r="D1167" s="3">
        <v>4.0</v>
      </c>
    </row>
    <row r="1168" ht="15.75" customHeight="1">
      <c r="A1168" s="1">
        <v>1166.0</v>
      </c>
      <c r="B1168" s="3" t="s">
        <v>1169</v>
      </c>
      <c r="C1168" s="3" t="str">
        <f>IFERROR(__xludf.DUMMYFUNCTION("GOOGLETRANSLATE(B1168,""id"",""en"")"),"['Telkomsel', 'Action', 'Region', 'Pematang', 'Siantar', 'Signal', 'Lost', 'Push', 'Rank', 'Disconnect', 'Network', 'around', ' minutes', 'Please', 'friend', 'push', 'rank', 'mabar', 'friend', 'friend', 'good', 'friend', 'misused', 'Gara', 'Gara' , 'Netwo"&amp;"rk', 'Apain', 'Package', 'getting', 'Disconnect', 'Network', 'already', 'Disaster', 'Telkomsel', 'already', 'Makasi', 'Telkomsel', ' ']")</f>
        <v>['Telkomsel', 'Action', 'Region', 'Pematang', 'Siantar', 'Signal', 'Lost', 'Push', 'Rank', 'Disconnect', 'Network', 'around', ' minutes', 'Please', 'friend', 'push', 'rank', 'mabar', 'friend', 'friend', 'good', 'friend', 'misused', 'Gara', 'Gara' , 'Network', 'Apain', 'Package', 'getting', 'Disconnect', 'Network', 'already', 'Disaster', 'Telkomsel', 'already', 'Makasi', 'Telkomsel', ' ']</v>
      </c>
      <c r="D1168" s="3">
        <v>1.0</v>
      </c>
    </row>
    <row r="1169" ht="15.75" customHeight="1">
      <c r="A1169" s="1">
        <v>1167.0</v>
      </c>
      <c r="B1169" s="3" t="s">
        <v>1170</v>
      </c>
      <c r="C1169" s="3" t="str">
        <f>IFERROR(__xludf.DUMMYFUNCTION("GOOGLETRANSLATE(B1169,""id"",""en"")"),"['I', 'user', 'here', 'network', 'slow', 'late', 'Matiin', 'data', 'a second', 'cheek', 'buy', 'package', ' quota ',' night ',' GB ',' gabisa ',' pulse ',' me ',' me ',' buy ',' package ',' right ',' pulse ',' me ',' knpa ' , 'skrng', 'rich', 'gini', 'dis"&amp;"appointed', 'I', 'Telkomsel']")</f>
        <v>['I', 'user', 'here', 'network', 'slow', 'late', 'Matiin', 'data', 'a second', 'cheek', 'buy', 'package', ' quota ',' night ',' GB ',' gabisa ',' pulse ',' me ',' me ',' buy ',' package ',' right ',' pulse ',' me ',' knpa ' , 'skrng', 'rich', 'gini', 'disappointed', 'I', 'Telkomsel']</v>
      </c>
      <c r="D1169" s="3">
        <v>1.0</v>
      </c>
    </row>
    <row r="1170" ht="15.75" customHeight="1">
      <c r="A1170" s="1">
        <v>1168.0</v>
      </c>
      <c r="B1170" s="3" t="s">
        <v>1171</v>
      </c>
      <c r="C1170" s="3" t="str">
        <f>IFERROR(__xludf.DUMMYFUNCTION("GOOGLETRANSLATE(B1170,""id"",""en"")"),"['network', 'tekomsel', 'ngaaco', 'manteng', 'ehh', 'network', 'internet', 'samassali', 'annoyed', 'fix']")</f>
        <v>['network', 'tekomsel', 'ngaaco', 'manteng', 'ehh', 'network', 'internet', 'samassali', 'annoyed', 'fix']</v>
      </c>
      <c r="D1170" s="3">
        <v>1.0</v>
      </c>
    </row>
    <row r="1171" ht="15.75" customHeight="1">
      <c r="A1171" s="1">
        <v>1169.0</v>
      </c>
      <c r="B1171" s="3" t="s">
        <v>1172</v>
      </c>
      <c r="C1171" s="3" t="str">
        <f>IFERROR(__xludf.DUMMYFUNCTION("GOOGLETRANSLATE(B1171,""id"",""en"")"),"['Please', 'Signal', 'Telkomsel', 'Region', 'Jakarta', 'Really', 'Signal', 'Network', 'How', 'Disappointed', 'User', 'Telkomsel', ' ']")</f>
        <v>['Please', 'Signal', 'Telkomsel', 'Region', 'Jakarta', 'Really', 'Signal', 'Network', 'How', 'Disappointed', 'User', 'Telkomsel', ' ']</v>
      </c>
      <c r="D1171" s="3">
        <v>1.0</v>
      </c>
    </row>
    <row r="1172" ht="15.75" customHeight="1">
      <c r="A1172" s="1">
        <v>1170.0</v>
      </c>
      <c r="B1172" s="3" t="s">
        <v>1173</v>
      </c>
      <c r="C1172" s="3" t="str">
        <f>IFERROR(__xludf.DUMMYFUNCTION("GOOGLETRANSLATE(B1172,""id"",""en"")"),"['The application', 'bad', 'slow', 'right', 'take', 'package', 'sms',' option ',' telephone ',' sms', 'akette', 'telephone', ' Package ',' SMS ',' already ',' refresh ',' even though ',' disappointed ',' the application ',' gini ',' bad ', ""]")</f>
        <v>['The application', 'bad', 'slow', 'right', 'take', 'package', 'sms',' option ',' telephone ',' sms', 'akette', 'telephone', ' Package ',' SMS ',' already ',' refresh ',' even though ',' disappointed ',' the application ',' gini ',' bad ', "]</v>
      </c>
      <c r="D1172" s="3">
        <v>1.0</v>
      </c>
    </row>
    <row r="1173" ht="15.75" customHeight="1">
      <c r="A1173" s="1">
        <v>1171.0</v>
      </c>
      <c r="B1173" s="3" t="s">
        <v>1174</v>
      </c>
      <c r="C1173" s="3" t="str">
        <f>IFERROR(__xludf.DUMMYFUNCTION("GOOGLETRANSLATE(B1173,""id"",""en"")"),"['uuh', 'week', 'number', 'aged', 'week', 'slalu', 'routine', 'lottery', 'watch out', 'karma', 'nipu', ""]")</f>
        <v>['uuh', 'week', 'number', 'aged', 'week', 'slalu', 'routine', 'lottery', 'watch out', 'karma', 'nipu', "]</v>
      </c>
      <c r="D1173" s="3">
        <v>2.0</v>
      </c>
    </row>
    <row r="1174" ht="15.75" customHeight="1">
      <c r="A1174" s="1">
        <v>1172.0</v>
      </c>
      <c r="B1174" s="3" t="s">
        <v>1175</v>
      </c>
      <c r="C1174" s="3" t="str">
        <f>IFERROR(__xludf.DUMMYFUNCTION("GOOGLETRANSLATE(B1174,""id"",""en"")"),"['Sousal', 'Benerbener', 'Severe', 'really', 'according to', 'price', 'package', 'expensive', 'active', 'package', 'because', 'card', ' work ',' replace ',' card ',' send ',' report ',' pending ',' sent ',' please ',' repair ', ""]")</f>
        <v>['Sousal', 'Benerbener', 'Severe', 'really', 'according to', 'price', 'package', 'expensive', 'active', 'package', 'because', 'card', ' work ',' replace ',' card ',' send ',' report ',' pending ',' sent ',' please ',' repair ', "]</v>
      </c>
      <c r="D1174" s="3">
        <v>1.0</v>
      </c>
    </row>
    <row r="1175" ht="15.75" customHeight="1">
      <c r="A1175" s="1">
        <v>1173.0</v>
      </c>
      <c r="B1175" s="3" t="s">
        <v>1176</v>
      </c>
      <c r="C1175" s="3" t="str">
        <f>IFERROR(__xludf.DUMMYFUNCTION("GOOGLETRANSLATE(B1175,""id"",""en"")"),"['Customer', 'package', 'grab', 'annual', 'package', 'worn', 'credit', 'emergency', 'activate', 'package', 'grab', 'free', ' Nelp ',' Operator ',' Kouta ',' GB ',' Notif ',' SMS ',' Worn ',' Credit ',' Emergency ',' Rb ',' Addition ',' Kouta ',' GB ' , 'K"&amp;"outa', 'my dedicits', 'GB', 'Disappointed', 'Direct', 'Cut', 'Fill', 'Credit']")</f>
        <v>['Customer', 'package', 'grab', 'annual', 'package', 'worn', 'credit', 'emergency', 'activate', 'package', 'grab', 'free', ' Nelp ',' Operator ',' Kouta ',' GB ',' Notif ',' SMS ',' Worn ',' Credit ',' Emergency ',' Rb ',' Addition ',' Kouta ',' GB ' , 'Kouta', 'my dedicits', 'GB', 'Disappointed', 'Direct', 'Cut', 'Fill', 'Credit']</v>
      </c>
      <c r="D1175" s="3">
        <v>1.0</v>
      </c>
    </row>
    <row r="1176" ht="15.75" customHeight="1">
      <c r="A1176" s="1">
        <v>1174.0</v>
      </c>
      <c r="B1176" s="3" t="s">
        <v>1177</v>
      </c>
      <c r="C1176" s="3" t="str">
        <f>IFERROR(__xludf.DUMMYFUNCTION("GOOGLETRANSLATE(B1176,""id"",""en"")"),"['Come', 'signal', 'Telkomsel', 'Severe', 'Location', 'Jakarta', 'Internet', 'Signal', 'Mateng', 'Full', 'Use', 'Internet', ' Ngadat ',' really ',' disappointed ',' already ',' buy ',' quota ',' signal ',' crash ',' gini ',' iyah ',' active ',' quota ',' "&amp;"following ' , 'On', 'card', 'mAh', 'loss',' active ',' quota ',' darling ',' darling ',' active ',' quota ',' out ',' quota ',' ']")</f>
        <v>['Come', 'signal', 'Telkomsel', 'Severe', 'Location', 'Jakarta', 'Internet', 'Signal', 'Mateng', 'Full', 'Use', 'Internet', ' Ngadat ',' really ',' disappointed ',' already ',' buy ',' quota ',' signal ',' crash ',' gini ',' iyah ',' active ',' quota ',' following ' , 'On', 'card', 'mAh', 'loss',' active ',' quota ',' darling ',' darling ',' active ',' quota ',' out ',' quota ',' ']</v>
      </c>
      <c r="D1176" s="3">
        <v>1.0</v>
      </c>
    </row>
    <row r="1177" ht="15.75" customHeight="1">
      <c r="A1177" s="1">
        <v>1175.0</v>
      </c>
      <c r="B1177" s="3" t="s">
        <v>1178</v>
      </c>
      <c r="C1177" s="3" t="str">
        <f>IFERROR(__xludf.DUMMYFUNCTION("GOOGLETRANSLATE(B1177,""id"",""en"")"),"['network', 'Telkomsel', 'bad', 'connection', 'accept', 'TLP', 'disconnected', 'broke', 'play', 'gem', 'severe', 'severe', ' Discard ',' money ',' buy ',' koata ',' please ',' fix ',' ']")</f>
        <v>['network', 'Telkomsel', 'bad', 'connection', 'accept', 'TLP', 'disconnected', 'broke', 'play', 'gem', 'severe', 'severe', ' Discard ',' money ',' buy ',' koata ',' please ',' fix ',' ']</v>
      </c>
      <c r="D1177" s="3">
        <v>1.0</v>
      </c>
    </row>
    <row r="1178" ht="15.75" customHeight="1">
      <c r="A1178" s="1">
        <v>1176.0</v>
      </c>
      <c r="B1178" s="3" t="s">
        <v>1179</v>
      </c>
      <c r="C1178" s="3" t="str">
        <f>IFERROR(__xludf.DUMMYFUNCTION("GOOGLETRANSLATE(B1178,""id"",""en"")"),"['signal', 'ugly', 'really', 'already', 'buy', 'expensive', 'signal', 'satisfying', 'smell', 'tasty', 'down', 'really', ' Kayak ',' hours', 'signal', 'down', 'gajelas',' telkom ',' cave ',' suggestion ',' buy ',' telkom ',' fix ']")</f>
        <v>['signal', 'ugly', 'really', 'already', 'buy', 'expensive', 'signal', 'satisfying', 'smell', 'tasty', 'down', 'really', ' Kayak ',' hours', 'signal', 'down', 'gajelas',' telkom ',' cave ',' suggestion ',' buy ',' telkom ',' fix ']</v>
      </c>
      <c r="D1178" s="3">
        <v>1.0</v>
      </c>
    </row>
    <row r="1179" ht="15.75" customHeight="1">
      <c r="A1179" s="1">
        <v>1177.0</v>
      </c>
      <c r="B1179" s="3" t="s">
        <v>1180</v>
      </c>
      <c r="C1179" s="3" t="str">
        <f>IFERROR(__xludf.DUMMYFUNCTION("GOOGLETRANSLATE(B1179,""id"",""en"")"),"['Customer', 'Telkomsel', 'connection', 'internet', 'slow', 'kbps',' contents', 'reset', 'quota', 'unlimited', 'sosmed', 'signal', ' cellphone ',' good ',' full ',' bar ',' slogan ',' network ',' widest ',' stabilized ',' gimmick ',' mere ',' beg ',' help"&amp;" ', ""]")</f>
        <v>['Customer', 'Telkomsel', 'connection', 'internet', 'slow', 'kbps',' contents', 'reset', 'quota', 'unlimited', 'sosmed', 'signal', ' cellphone ',' good ',' full ',' bar ',' slogan ',' network ',' widest ',' stabilized ',' gimmick ',' mere ',' beg ',' help ', "]</v>
      </c>
      <c r="D1179" s="3">
        <v>2.0</v>
      </c>
    </row>
    <row r="1180" ht="15.75" customHeight="1">
      <c r="A1180" s="1">
        <v>1178.0</v>
      </c>
      <c r="B1180" s="3" t="s">
        <v>1181</v>
      </c>
      <c r="C1180" s="3" t="str">
        <f>IFERROR(__xludf.DUMMYFUNCTION("GOOGLETRANSLATE(B1180,""id"",""en"")"),"['Signal', 'Region', 'Perum', 'KSB', 'Cibarusah', 'Seakang', 'Cikarang', 'South', 'Bekasi', 'Ngak', 'Stable', 'Signal', ' home ',' difficult ']")</f>
        <v>['Signal', 'Region', 'Perum', 'KSB', 'Cibarusah', 'Seakang', 'Cikarang', 'South', 'Bekasi', 'Ngak', 'Stable', 'Signal', ' home ',' difficult ']</v>
      </c>
      <c r="D1180" s="3">
        <v>1.0</v>
      </c>
    </row>
    <row r="1181" ht="15.75" customHeight="1">
      <c r="A1181" s="1">
        <v>1179.0</v>
      </c>
      <c r="B1181" s="3" t="s">
        <v>1182</v>
      </c>
      <c r="C1181" s="3" t="str">
        <f>IFERROR(__xludf.DUMMYFUNCTION("GOOGLETRANSLATE(B1181,""id"",""en"")"),"['Hadeuuuhhh', 'buy', 'package', 'expensive', 'ehhh', 'uses',' slow ',' open ',' application ',' Telkomsel ',' dikasi ',' notification ',' network ',' internet ',' stable ',' that's', '']")</f>
        <v>['Hadeuuuhhh', 'buy', 'package', 'expensive', 'ehhh', 'uses',' slow ',' open ',' application ',' Telkomsel ',' dikasi ',' notification ',' network ',' internet ',' stable ',' that's', '']</v>
      </c>
      <c r="D1181" s="3">
        <v>1.0</v>
      </c>
    </row>
    <row r="1182" ht="15.75" customHeight="1">
      <c r="A1182" s="1">
        <v>1180.0</v>
      </c>
      <c r="B1182" s="3" t="s">
        <v>1183</v>
      </c>
      <c r="C1182" s="3" t="str">
        <f>IFERROR(__xludf.DUMMYFUNCTION("GOOGLETRANSLATE(B1182,""id"",""en"")"),"['Please', 'Policy', 'Bus',' Change ',' Loss', 'Buy', 'Koutaa', 'Money', 'Leaves',' Yesterday ',' Buy ',' Painted ',' Current ',' right ',' morning ',' until ',' clock ',' segini ',' gabisa ',' use ',' kouta ',' GB ',' keuang ',' vain ',' vain ' , 'Please"&amp;"', 'Change', 'Loss']")</f>
        <v>['Please', 'Policy', 'Bus',' Change ',' Loss', 'Buy', 'Koutaa', 'Money', 'Leaves',' Yesterday ',' Buy ',' Painted ',' Current ',' right ',' morning ',' until ',' clock ',' segini ',' gabisa ',' use ',' kouta ',' GB ',' keuang ',' vain ',' vain ' , 'Please', 'Change', 'Loss']</v>
      </c>
      <c r="D1182" s="3">
        <v>1.0</v>
      </c>
    </row>
    <row r="1183" ht="15.75" customHeight="1">
      <c r="A1183" s="1">
        <v>1181.0</v>
      </c>
      <c r="B1183" s="3" t="s">
        <v>1184</v>
      </c>
      <c r="C1183" s="3" t="str">
        <f>IFERROR(__xludf.DUMMYFUNCTION("GOOGLETRANSLATE(B1183,""id"",""en"")"),"['Please', 'Telkomsel', 'Meri', 'Good', 'Network', 'Cook', 'Signal', 'Game', 'YouTob', 'Jga', 'Gakbisa', 'How', ' His Sulawesi ',' oath ',' Kec ',' really ', ""]")</f>
        <v>['Please', 'Telkomsel', 'Meri', 'Good', 'Network', 'Cook', 'Signal', 'Game', 'YouTob', 'Jga', 'Gakbisa', 'How', ' His Sulawesi ',' oath ',' Kec ',' really ', "]</v>
      </c>
      <c r="D1183" s="3">
        <v>1.0</v>
      </c>
    </row>
    <row r="1184" ht="15.75" customHeight="1">
      <c r="A1184" s="1">
        <v>1182.0</v>
      </c>
      <c r="B1184" s="3" t="s">
        <v>1185</v>
      </c>
      <c r="C1184" s="3" t="str">
        <f>IFERROR(__xludf.DUMMYFUNCTION("GOOGLETRANSLATE(B1184,""id"",""en"")"),"['price', 'package', 'internet', 'expensive', 'subscribe', 'really', 'love', 'star', 'given', 'package', 'cheap', 'promo', ' Love ',' Bintang ',' ']")</f>
        <v>['price', 'package', 'internet', 'expensive', 'subscribe', 'really', 'love', 'star', 'given', 'package', 'cheap', 'promo', ' Love ',' Bintang ',' ']</v>
      </c>
      <c r="D1184" s="3">
        <v>1.0</v>
      </c>
    </row>
    <row r="1185" ht="15.75" customHeight="1">
      <c r="A1185" s="1">
        <v>1183.0</v>
      </c>
      <c r="B1185" s="3" t="s">
        <v>1186</v>
      </c>
      <c r="C1185" s="3" t="str">
        <f>IFERROR(__xludf.DUMMYFUNCTION("GOOGLETRANSLATE(B1185,""id"",""en"")"),"['Severe', 'Telkomsel', 'see', 'pulse', 'unemployed', 'play', 'suck', 'aje', 'run out', 'pulse', 'me', 'package', ' data ',' regret ',' buy ',' pulse ',' mending ',' package ',' cheap ',' signal ',' good ',' Telkomsel ',' licker ',' pulses', ""]")</f>
        <v>['Severe', 'Telkomsel', 'see', 'pulse', 'unemployed', 'play', 'suck', 'aje', 'run out', 'pulse', 'me', 'package', ' data ',' regret ',' buy ',' pulse ',' mending ',' package ',' cheap ',' signal ',' good ',' Telkomsel ',' licker ',' pulses', "]</v>
      </c>
      <c r="D1185" s="3">
        <v>1.0</v>
      </c>
    </row>
    <row r="1186" ht="15.75" customHeight="1">
      <c r="A1186" s="1">
        <v>1184.0</v>
      </c>
      <c r="B1186" s="3" t="s">
        <v>1187</v>
      </c>
      <c r="C1186" s="3" t="str">
        <f>IFERROR(__xludf.DUMMYFUNCTION("GOOGLETRANSLATE(B1186,""id"",""en"")"),"['HLO', 'min', 'network', 'slow', 'min', 'network', 'kenceng', 'clock', 'open', 'youtube', 'slow', 'download', ' games', 'slow', 'play', 'games',' slow ',' jga ',' network ',' taste ',' kek ',' please ',' min ',' fast ',' fed up ' , 'Min', 'network', 'Tel"&amp;"komsel', '']")</f>
        <v>['HLO', 'min', 'network', 'slow', 'min', 'network', 'kenceng', 'clock', 'open', 'youtube', 'slow', 'download', ' games', 'slow', 'play', 'games',' slow ',' jga ',' network ',' taste ',' kek ',' please ',' min ',' fast ',' fed up ' , 'Min', 'network', 'Telkomsel', '']</v>
      </c>
      <c r="D1186" s="3">
        <v>2.0</v>
      </c>
    </row>
    <row r="1187" ht="15.75" customHeight="1">
      <c r="A1187" s="1">
        <v>1185.0</v>
      </c>
      <c r="B1187" s="3" t="s">
        <v>1188</v>
      </c>
      <c r="C1187" s="3" t="str">
        <f>IFERROR(__xludf.DUMMYFUNCTION("GOOGLETRANSLATE(B1187,""id"",""en"")"),"['Telkomsel', 'multitasking', 'download', 'play', 'game', 'signal', 'lost', 'dab', 'direct', 'disconnect', 'expensive', 'doang', ' Signal ',' Kek ',' Litu ',' ']")</f>
        <v>['Telkomsel', 'multitasking', 'download', 'play', 'game', 'signal', 'lost', 'dab', 'direct', 'disconnect', 'expensive', 'doang', ' Signal ',' Kek ',' Litu ',' ']</v>
      </c>
      <c r="D1187" s="3">
        <v>1.0</v>
      </c>
    </row>
    <row r="1188" ht="15.75" customHeight="1">
      <c r="A1188" s="1">
        <v>1186.0</v>
      </c>
      <c r="B1188" s="3" t="s">
        <v>1189</v>
      </c>
      <c r="C1188" s="3" t="str">
        <f>IFERROR(__xludf.DUMMYFUNCTION("GOOGLETRANSLATE(B1188,""id"",""en"")"),"['Disappointed', 'Teuna', 'Telkomsel', 'Current', 'Network', 'Severe', 'Buy', 'Quota', 'Price', 'Expensive', 'Network', 'Lemot', ' ']")</f>
        <v>['Disappointed', 'Teuna', 'Telkomsel', 'Current', 'Network', 'Severe', 'Buy', 'Quota', 'Price', 'Expensive', 'Network', 'Lemot', ' ']</v>
      </c>
      <c r="D1188" s="3">
        <v>1.0</v>
      </c>
    </row>
    <row r="1189" ht="15.75" customHeight="1">
      <c r="A1189" s="1">
        <v>1187.0</v>
      </c>
      <c r="B1189" s="3" t="s">
        <v>1190</v>
      </c>
      <c r="C1189" s="3" t="str">
        <f>IFERROR(__xludf.DUMMYFUNCTION("GOOGLETRANSLATE(B1189,""id"",""en"")"),"['Telkomsel', 'Please', 'policy', 'times', 'buy', 'pulse', 'credit', 'fast', 'run out', 'used', 'already', 'times']")</f>
        <v>['Telkomsel', 'Please', 'policy', 'times', 'buy', 'pulse', 'credit', 'fast', 'run out', 'used', 'already', 'times']</v>
      </c>
      <c r="D1189" s="3">
        <v>1.0</v>
      </c>
    </row>
    <row r="1190" ht="15.75" customHeight="1">
      <c r="A1190" s="1">
        <v>1188.0</v>
      </c>
      <c r="B1190" s="3" t="s">
        <v>1191</v>
      </c>
      <c r="C1190" s="3" t="str">
        <f>IFERROR(__xludf.DUMMYFUNCTION("GOOGLETRANSLATE(B1190,""id"",""en"")"),"['Telkomsel', 'signal', 'sadistic', 'take', 'package', 'internet', 'buy', 'pulse', 'speed', 'mbs',' leg ',' intention ',' people ',' happy ',' users', 'Telkomsel', 'active', 'signal', 'sadistic', 'really', 'disappointing', '']")</f>
        <v>['Telkomsel', 'signal', 'sadistic', 'take', 'package', 'internet', 'buy', 'pulse', 'speed', 'mbs',' leg ',' intention ',' people ',' happy ',' users', 'Telkomsel', 'active', 'signal', 'sadistic', 'really', 'disappointing', '']</v>
      </c>
      <c r="D1190" s="3">
        <v>1.0</v>
      </c>
    </row>
    <row r="1191" ht="15.75" customHeight="1">
      <c r="A1191" s="1">
        <v>1189.0</v>
      </c>
      <c r="B1191" s="3" t="s">
        <v>1192</v>
      </c>
      <c r="C1191" s="3" t="str">
        <f>IFERROR(__xludf.DUMMYFUNCTION("GOOGLETRANSLATE(B1191,""id"",""en"")"),"['Please', 'Fix', 'Network', 'Kab', 'Ketapang', 'Kalimantan', 'West', 'Exact', 'Kec', 'Manismata', 'Area', 'Kepipi', ' Estate ',' special ',' network ',' strong ',' boss', 'please', 'pay attention', 'follow up', ""]")</f>
        <v>['Please', 'Fix', 'Network', 'Kab', 'Ketapang', 'Kalimantan', 'West', 'Exact', 'Kec', 'Manismata', 'Area', 'Kepipi', ' Estate ',' special ',' network ',' strong ',' boss', 'please', 'pay attention', 'follow up', "]</v>
      </c>
      <c r="D1191" s="3">
        <v>1.0</v>
      </c>
    </row>
    <row r="1192" ht="15.75" customHeight="1">
      <c r="A1192" s="1">
        <v>1190.0</v>
      </c>
      <c r="B1192" s="3" t="s">
        <v>1193</v>
      </c>
      <c r="C1192" s="3" t="str">
        <f>IFERROR(__xludf.DUMMYFUNCTION("GOOGLETRANSLATE(B1192,""id"",""en"")"),"['users',' Telkomsel ',' Disappointed ',' Service ',' Telkomsel ',' Network ',' Connection ',' Internet ',' Bad ',' Many ',' Restart ',' Disable ',' Card ',' activate ',' Please ',' repair ',' comfort ',' user ',' price ',' expensive ',' quality ',' worth"&amp;" ',' price ',' paid ',' thank you ' , '']")</f>
        <v>['users',' Telkomsel ',' Disappointed ',' Service ',' Telkomsel ',' Network ',' Connection ',' Internet ',' Bad ',' Many ',' Restart ',' Disable ',' Card ',' activate ',' Please ',' repair ',' comfort ',' user ',' price ',' expensive ',' quality ',' worth ',' price ',' paid ',' thank you ' , '']</v>
      </c>
      <c r="D1192" s="3">
        <v>1.0</v>
      </c>
    </row>
    <row r="1193" ht="15.75" customHeight="1">
      <c r="A1193" s="1">
        <v>1191.0</v>
      </c>
      <c r="B1193" s="3" t="s">
        <v>1194</v>
      </c>
      <c r="C1193" s="3" t="str">
        <f>IFERROR(__xludf.DUMMYFUNCTION("GOOGLETRANSLATE(B1193,""id"",""en"")"),"['Good', 'informative', 'choice', 'package', 'emang', 'pricey', 'a month', 'rb', 'already', 'get', 'quota', 'network', ' Good ',' steady ',' Telkomsel ']")</f>
        <v>['Good', 'informative', 'choice', 'package', 'emang', 'pricey', 'a month', 'rb', 'already', 'get', 'quota', 'network', ' Good ',' steady ',' Telkomsel ']</v>
      </c>
      <c r="D1193" s="3">
        <v>5.0</v>
      </c>
    </row>
    <row r="1194" ht="15.75" customHeight="1">
      <c r="A1194" s="1">
        <v>1192.0</v>
      </c>
      <c r="B1194" s="3" t="s">
        <v>1195</v>
      </c>
      <c r="C1194" s="3" t="str">
        <f>IFERROR(__xludf.DUMMYFUNCTION("GOOGLETRANSLATE(B1194,""id"",""en"")"),"['woiiii', 'Telkomsel', 'you', 'corrupt', 'community', 'package', 'data', 'you', 'expensive', 'area', 'Java', 'network', ' You're ',' Fix ',' Network ',' Stable ',' Please ',' Note ',' Region ',' Indonesia ',' Indonesia ',' East ',' Islands', 'Performed',"&amp;" 'Your Ads' , 'You', 'reach out', 'money', ""]")</f>
        <v>['woiiii', 'Telkomsel', 'you', 'corrupt', 'community', 'package', 'data', 'you', 'expensive', 'area', 'Java', 'network', ' You're ',' Fix ',' Network ',' Stable ',' Please ',' Note ',' Region ',' Indonesia ',' Indonesia ',' East ',' Islands', 'Performed', 'Your Ads' , 'You', 'reach out', 'money', "]</v>
      </c>
      <c r="D1194" s="3">
        <v>1.0</v>
      </c>
    </row>
    <row r="1195" ht="15.75" customHeight="1">
      <c r="A1195" s="1">
        <v>1193.0</v>
      </c>
      <c r="B1195" s="3" t="s">
        <v>1196</v>
      </c>
      <c r="C1195" s="3" t="str">
        <f>IFERROR(__xludf.DUMMYFUNCTION("GOOGLETRANSLATE(B1195,""id"",""en"")"),"['oath', 'bengkulu', 'south', 'kec', 'sukaraja', 'kab', 'seluma', 'telkomsel', 'already', 'disappointed', 'super', 'ngelag', ' Idulku ',' play ',' game ',' buy ',' kouta ',' already ',' expensive ',' ngelag ',' please ',' fix ',' thanks']")</f>
        <v>['oath', 'bengkulu', 'south', 'kec', 'sukaraja', 'kab', 'seluma', 'telkomsel', 'already', 'disappointed', 'super', 'ngelag', ' Idulku ',' play ',' game ',' buy ',' kouta ',' already ',' expensive ',' ngelag ',' please ',' fix ',' thanks']</v>
      </c>
      <c r="D1195" s="3">
        <v>1.0</v>
      </c>
    </row>
    <row r="1196" ht="15.75" customHeight="1">
      <c r="A1196" s="1">
        <v>1194.0</v>
      </c>
      <c r="B1196" s="3" t="s">
        <v>1197</v>
      </c>
      <c r="C1196" s="3" t="str">
        <f>IFERROR(__xludf.DUMMYFUNCTION("GOOGLETRANSLATE(B1196,""id"",""en"")"),"['Telkomsel', 'right', 'check', 'buy', 'package', 'quota', 'send', 'gift', 'clock', 'change', 'change', 'confused', ' tauk ',' please ',' repaired ',' set ',' change ',' change ',' love ',' apply ',' buy ',' quota ',' clock ',' appears']")</f>
        <v>['Telkomsel', 'right', 'check', 'buy', 'package', 'quota', 'send', 'gift', 'clock', 'change', 'change', 'confused', ' tauk ',' please ',' repaired ',' set ',' change ',' change ',' love ',' apply ',' buy ',' quota ',' clock ',' appears']</v>
      </c>
      <c r="D1196" s="3">
        <v>3.0</v>
      </c>
    </row>
    <row r="1197" ht="15.75" customHeight="1">
      <c r="A1197" s="1">
        <v>1195.0</v>
      </c>
      <c r="B1197" s="3" t="s">
        <v>1198</v>
      </c>
      <c r="C1197" s="3" t="str">
        <f>IFERROR(__xludf.DUMMYFUNCTION("GOOGLETRANSLATE(B1197,""id"",""en"")"),"['original', 'Install', 'uninstall', 'many', 'times',' Gara ',' slow ',' application ',' effective ',' kek ',' network ',' Telkomsel ',' Like ',' stable ',' quota ',' grace ',' network ',' ugly ',' naudzubillah ',' please ',' really ',' kek ',' quota ',' "&amp;"telkomsel ',' cheap ' , 'gada', 'cheap', 'expensive', 'quota', 'price', 'expensive', 'quality', 'ugly', 'provider', 'famous',' professional ',' poor ',' ']")</f>
        <v>['original', 'Install', 'uninstall', 'many', 'times',' Gara ',' slow ',' application ',' effective ',' kek ',' network ',' Telkomsel ',' Like ',' stable ',' quota ',' grace ',' network ',' ugly ',' naudzubillah ',' please ',' really ',' kek ',' quota ',' telkomsel ',' cheap ' , 'gada', 'cheap', 'expensive', 'quota', 'price', 'expensive', 'quality', 'ugly', 'provider', 'famous',' professional ',' poor ',' ']</v>
      </c>
      <c r="D1197" s="3">
        <v>2.0</v>
      </c>
    </row>
    <row r="1198" ht="15.75" customHeight="1">
      <c r="A1198" s="1">
        <v>1196.0</v>
      </c>
      <c r="B1198" s="3" t="s">
        <v>1199</v>
      </c>
      <c r="C1198" s="3" t="str">
        <f>IFERROR(__xludf.DUMMYFUNCTION("GOOGLETRANSLATE(B1198,""id"",""en"")"),"['Application', 'Bad', 'Boong', 'Hayuk']")</f>
        <v>['Application', 'Bad', 'Boong', 'Hayuk']</v>
      </c>
      <c r="D1198" s="3">
        <v>5.0</v>
      </c>
    </row>
    <row r="1199" ht="15.75" customHeight="1">
      <c r="A1199" s="1">
        <v>1197.0</v>
      </c>
      <c r="B1199" s="3" t="s">
        <v>1200</v>
      </c>
      <c r="C1199" s="3" t="str">
        <f>IFERROR(__xludf.DUMMYFUNCTION("GOOGLETRANSLATE(B1199,""id"",""en"")"),"['already', 'take', 'package', 'expensive', 'signal', 'ugly', 'stable', 'ngeselin', 'game', 'signal', 'DROOPPP', 'Please', ' Send ',' spam ',' notification ',' repeat ',' reset ',' annoying ']")</f>
        <v>['already', 'take', 'package', 'expensive', 'signal', 'ugly', 'stable', 'ngeselin', 'game', 'signal', 'DROOPPP', 'Please', ' Send ',' spam ',' notification ',' repeat ',' reset ',' annoying ']</v>
      </c>
      <c r="D1199" s="3">
        <v>1.0</v>
      </c>
    </row>
    <row r="1200" ht="15.75" customHeight="1">
      <c r="A1200" s="1">
        <v>1198.0</v>
      </c>
      <c r="B1200" s="3" t="s">
        <v>1201</v>
      </c>
      <c r="C1200" s="3" t="str">
        <f>IFERROR(__xludf.DUMMYFUNCTION("GOOGLETRANSLATE(B1200,""id"",""en"")"),"['Read', 'comen', 'Telkomsel', 'have', 'access',' network ',' internet ',' so curious', 'Curious',' Try ',' Bener ',' Telkomsel ',' HARD ',' CONECSI ',' famous', 'network', 'The widest', 'Conecsi', 'Lose', 'Network', 'Telkomsel', 'LEG', 'CONECSI', 'TRY', "&amp;"'Try' , 'Ngadu', 'operator', 'told', 'check', 'settings', 'turn it off', 'ngikutin', 'direction', 'operator', 'sma', 'conec']")</f>
        <v>['Read', 'comen', 'Telkomsel', 'have', 'access',' network ',' internet ',' so curious', 'Curious',' Try ',' Bener ',' Telkomsel ',' HARD ',' CONECSI ',' famous', 'network', 'The widest', 'Conecsi', 'Lose', 'Network', 'Telkomsel', 'LEG', 'CONECSI', 'TRY', 'Try' , 'Ngadu', 'operator', 'told', 'check', 'settings', 'turn it off', 'ngikutin', 'direction', 'operator', 'sma', 'conec']</v>
      </c>
      <c r="D1200" s="3">
        <v>1.0</v>
      </c>
    </row>
    <row r="1201" ht="15.75" customHeight="1">
      <c r="A1201" s="1">
        <v>1199.0</v>
      </c>
      <c r="B1201" s="3" t="s">
        <v>1202</v>
      </c>
      <c r="C1201" s="3" t="str">
        <f>IFERROR(__xludf.DUMMYFUNCTION("GOOGLETRANSLATE(B1201,""id"",""en"")"),"['', 'Telkomsel', 'makes it easier', 'transacting', 'make it easy', 'check', 'quota', 'apply', 'card', 'essence', 'Telkomsel', 'makes it easier', 'business ',' ']")</f>
        <v>['', 'Telkomsel', 'makes it easier', 'transacting', 'make it easy', 'check', 'quota', 'apply', 'card', 'essence', 'Telkomsel', 'makes it easier', 'business ',' ']</v>
      </c>
      <c r="D1201" s="3">
        <v>5.0</v>
      </c>
    </row>
    <row r="1202" ht="15.75" customHeight="1">
      <c r="A1202" s="1">
        <v>1200.0</v>
      </c>
      <c r="B1202" s="3" t="s">
        <v>1203</v>
      </c>
      <c r="C1202" s="3" t="str">
        <f>IFERROR(__xludf.DUMMYFUNCTION("GOOGLETRANSLATE(B1202,""id"",""en"")"),"['at the time', 'data', 'run out', 'application', 'error', 'stamp', 'reset', 'zero', 'number', 'package', 'data', 'cheap' Changed ',' price ',' expensive ',' package ',' cheap ',' update ',' lost ']")</f>
        <v>['at the time', 'data', 'run out', 'application', 'error', 'stamp', 'reset', 'zero', 'number', 'package', 'data', 'cheap' Changed ',' price ',' expensive ',' package ',' cheap ',' update ',' lost ']</v>
      </c>
      <c r="D1202" s="3">
        <v>1.0</v>
      </c>
    </row>
    <row r="1203" ht="15.75" customHeight="1">
      <c r="A1203" s="1">
        <v>1201.0</v>
      </c>
      <c r="B1203" s="3" t="s">
        <v>1204</v>
      </c>
      <c r="C1203" s="3" t="str">
        <f>IFERROR(__xludf.DUMMYFUNCTION("GOOGLETRANSLATE(B1203,""id"",""en"")"),"['Telkomsel', 'Basa', 'stale', 'contents',' package ',' giga ',' name ',' account ',' charging ',' times', 'and then', 'minutes',' Package ',' run out ',' zero ',' purpose ',' performance ',' person ',' begued ',' in month ',' fasting ',' fix ',' system '"&amp;",' comment ',' responded ' , 'temple', 'read', 'cured', 'Allah', 'swt', 'Telkomsel', 'throughout', 'world', 'disappointed', 'disappointed', 'disappointed', ""]")</f>
        <v>['Telkomsel', 'Basa', 'stale', 'contents',' package ',' giga ',' name ',' account ',' charging ',' times', 'and then', 'minutes',' Package ',' run out ',' zero ',' purpose ',' performance ',' person ',' begued ',' in month ',' fasting ',' fix ',' system ',' comment ',' responded ' , 'temple', 'read', 'cured', 'Allah', 'swt', 'Telkomsel', 'throughout', 'world', 'disappointed', 'disappointed', 'disappointed', "]</v>
      </c>
      <c r="D1203" s="3">
        <v>1.0</v>
      </c>
    </row>
    <row r="1204" ht="15.75" customHeight="1">
      <c r="A1204" s="1">
        <v>1202.0</v>
      </c>
      <c r="B1204" s="3" t="s">
        <v>1205</v>
      </c>
      <c r="C1204" s="3" t="str">
        <f>IFERROR(__xludf.DUMMYFUNCTION("GOOGLETRANSLATE(B1204,""id"",""en"")"),"['Sihhh', 'TPI', 'Kjadian', 'Top', 'Credit', 'BCA', 'Virtual', 'Account', 'TPI', 'Enter', 'Didup', 'Report', ' succeeded ',' harmed ',' disappointed ',' hope ',' Telkomsel ',' follow up ',' responsible ',' provider ',' class', 'Telkomsel', 'Professional',"&amp;" ""]")</f>
        <v>['Sihhh', 'TPI', 'Kjadian', 'Top', 'Credit', 'BCA', 'Virtual', 'Account', 'TPI', 'Enter', 'Didup', 'Report', ' succeeded ',' harmed ',' disappointed ',' hope ',' Telkomsel ',' follow up ',' responsible ',' provider ',' class', 'Telkomsel', 'Professional', "]</v>
      </c>
      <c r="D1204" s="3">
        <v>1.0</v>
      </c>
    </row>
    <row r="1205" ht="15.75" customHeight="1">
      <c r="A1205" s="1">
        <v>1203.0</v>
      </c>
      <c r="B1205" s="3" t="s">
        <v>1206</v>
      </c>
      <c r="C1205" s="3" t="str">
        <f>IFERROR(__xludf.DUMMYFUNCTION("GOOGLETRANSLATE(B1205,""id"",""en"")"),"['The use', 'application', 'enter', 'application', 'registration', 'repeated', 'wait', 'sent', 'link', 'sms', 'open', 'awaited' Many ',' thank ',' link ',' difficult ',' run out ',' package ',' buy ',' difficult ',' ']")</f>
        <v>['The use', 'application', 'enter', 'application', 'registration', 'repeated', 'wait', 'sent', 'link', 'sms', 'open', 'awaited' Many ',' thank ',' link ',' difficult ',' run out ',' package ',' buy ',' difficult ',' ']</v>
      </c>
      <c r="D1205" s="3">
        <v>1.0</v>
      </c>
    </row>
    <row r="1206" ht="15.75" customHeight="1">
      <c r="A1206" s="1">
        <v>1204.0</v>
      </c>
      <c r="B1206" s="3" t="s">
        <v>1207</v>
      </c>
      <c r="C1206" s="3" t="str">
        <f>IFERROR(__xludf.DUMMYFUNCTION("GOOGLETRANSLATE(B1206,""id"",""en"")"),"['Alhamdulillah', 'Satisfied', 'Telkomsel', 'Network', 'Area', 'Affordable', 'Price', 'Relative', 'Affordable', 'Thank', 'Love', 'Increase', ' The service is ',' Anyway ',' Thank "", 'Love', 'Telkomsel']")</f>
        <v>['Alhamdulillah', 'Satisfied', 'Telkomsel', 'Network', 'Area', 'Affordable', 'Price', 'Relative', 'Affordable', 'Thank', 'Love', 'Increase', ' The service is ',' Anyway ',' Thank ", 'Love', 'Telkomsel']</v>
      </c>
      <c r="D1206" s="3">
        <v>4.0</v>
      </c>
    </row>
    <row r="1207" ht="15.75" customHeight="1">
      <c r="A1207" s="1">
        <v>1205.0</v>
      </c>
      <c r="B1207" s="3" t="s">
        <v>1208</v>
      </c>
      <c r="C1207" s="3" t="str">
        <f>IFERROR(__xludf.DUMMYFUNCTION("GOOGLETRANSLATE(B1207,""id"",""en"")"),"['signal', 'Lemott', 'bnyak', 'promo', 'fraud', 'telkomsel', 'please', 'gave', 'gausah', 'pke', 'system', 'market', ' Lying ',' Customer ',' interesting ',' Customer ',' tks']")</f>
        <v>['signal', 'Lemott', 'bnyak', 'promo', 'fraud', 'telkomsel', 'please', 'gave', 'gausah', 'pke', 'system', 'market', ' Lying ',' Customer ',' interesting ',' Customer ',' tks']</v>
      </c>
      <c r="D1207" s="3">
        <v>1.0</v>
      </c>
    </row>
    <row r="1208" ht="15.75" customHeight="1">
      <c r="A1208" s="1">
        <v>1206.0</v>
      </c>
      <c r="B1208" s="3" t="s">
        <v>1209</v>
      </c>
      <c r="C1208" s="3" t="str">
        <f>IFERROR(__xludf.DUMMYFUNCTION("GOOGLETRANSLATE(B1208,""id"",""en"")"),"['Please', 'fix', 'signal', 'bored', 'play', 'game', 'signal', 'ngelag', 'please', 'fix', '']")</f>
        <v>['Please', 'fix', 'signal', 'bored', 'play', 'game', 'signal', 'ngelag', 'please', 'fix', '']</v>
      </c>
      <c r="D1208" s="3">
        <v>2.0</v>
      </c>
    </row>
    <row r="1209" ht="15.75" customHeight="1">
      <c r="A1209" s="1">
        <v>1207.0</v>
      </c>
      <c r="B1209" s="3" t="s">
        <v>1210</v>
      </c>
      <c r="C1209" s="3" t="str">
        <f>IFERROR(__xludf.DUMMYFUNCTION("GOOGLETRANSLATE(B1209,""id"",""en"")"),"['Fix', 'Network', 'Region', 'Region', 'Operator', 'Telkomsel', 'Network', 'As Beautiful', 'Orok', 'Already', 'Comfortable', 'Telkomsel', ' changed']")</f>
        <v>['Fix', 'Network', 'Region', 'Region', 'Operator', 'Telkomsel', 'Network', 'As Beautiful', 'Orok', 'Already', 'Comfortable', 'Telkomsel', ' changed']</v>
      </c>
      <c r="D1209" s="3">
        <v>1.0</v>
      </c>
    </row>
    <row r="1210" ht="15.75" customHeight="1">
      <c r="A1210" s="1">
        <v>1208.0</v>
      </c>
      <c r="B1210" s="3" t="s">
        <v>1211</v>
      </c>
      <c r="C1210" s="3" t="str">
        <f>IFERROR(__xludf.DUMMYFUNCTION("GOOGLETRANSLATE(B1210,""id"",""en"")"),"['Quality', 'Network', 'Telkomsel', 'Decreases',' Network ',' Watch ',' YouTube ',' Quality ',' Buffering ',' Reperrore ',' Feature ',' Veronika ',' Repair ',' embarrassing ',' company ',' Telkomsel ',' Provider ',' Trying ',' Telkomsel ',' ugly ']")</f>
        <v>['Quality', 'Network', 'Telkomsel', 'Decreases',' Network ',' Watch ',' YouTube ',' Quality ',' Buffering ',' Reperrore ',' Feature ',' Veronika ',' Repair ',' embarrassing ',' company ',' Telkomsel ',' Provider ',' Trying ',' Telkomsel ',' ugly ']</v>
      </c>
      <c r="D1210" s="3">
        <v>1.0</v>
      </c>
    </row>
    <row r="1211" ht="15.75" customHeight="1">
      <c r="A1211" s="1">
        <v>1209.0</v>
      </c>
      <c r="B1211" s="3" t="s">
        <v>1212</v>
      </c>
      <c r="C1211" s="3" t="str">
        <f>IFERROR(__xludf.DUMMYFUNCTION("GOOGLETRANSLATE(B1211,""id"",""en"")"),"['Bener', 'Ajalah', 'Cave', 'UDH', 'Buy', 'Package', 'Unlimited', 'Notif', 'Enter', 'Udh', 'Try', 'restart', ' Matiin ',' Data ',' Monitor ',' TTP ',' Enter ',' Try ',' Packagein ',' Unlimited ',' TTP ',' Gaada ',' Notif ',' Udh ',' check ' , 'emg', 'quot"&amp;"a', 'unlimited', 'blm', 'entered', 'then', 'cave', 'try', 'xnya', 'enter', 'directly', 'packetan', ' Buset ',' Emporting ',' Credit ',' Cave ',' Benerin ',' Server ',' Maketin ',' Like ',' Lag ',' That's', 'Signal', 'Good', 'Thanks' , 'pulses', 'cave', 's"&amp;"incere']")</f>
        <v>['Bener', 'Ajalah', 'Cave', 'UDH', 'Buy', 'Package', 'Unlimited', 'Notif', 'Enter', 'Udh', 'Try', 'restart', ' Matiin ',' Data ',' Monitor ',' TTP ',' Enter ',' Try ',' Packagein ',' Unlimited ',' TTP ',' Gaada ',' Notif ',' Udh ',' check ' , 'emg', 'quota', 'unlimited', 'blm', 'entered', 'then', 'cave', 'try', 'xnya', 'enter', 'directly', 'packetan', ' Buset ',' Emporting ',' Credit ',' Cave ',' Benerin ',' Server ',' Maketin ',' Like ',' Lag ',' That's', 'Signal', 'Good', 'Thanks' , 'pulses', 'cave', 'sincere']</v>
      </c>
      <c r="D1211" s="3">
        <v>1.0</v>
      </c>
    </row>
    <row r="1212" ht="15.75" customHeight="1">
      <c r="A1212" s="1">
        <v>1210.0</v>
      </c>
      <c r="B1212" s="3" t="s">
        <v>1213</v>
      </c>
      <c r="C1212" s="3" t="str">
        <f>IFERROR(__xludf.DUMMYFUNCTION("GOOGLETRANSLATE(B1212,""id"",""en"")"),"['Satisfied', 'The application', 'Loading', 'opened', 'Please', 'repaired', 'user', 'Telkomsel', 'star', 'thank', 'love']")</f>
        <v>['Satisfied', 'The application', 'Loading', 'opened', 'Please', 'repaired', 'user', 'Telkomsel', 'star', 'thank', 'love']</v>
      </c>
      <c r="D1212" s="3">
        <v>3.0</v>
      </c>
    </row>
    <row r="1213" ht="15.75" customHeight="1">
      <c r="A1213" s="1">
        <v>1211.0</v>
      </c>
      <c r="B1213" s="3" t="s">
        <v>1214</v>
      </c>
      <c r="C1213" s="3" t="str">
        <f>IFERROR(__xludf.DUMMYFUNCTION("GOOGLETRANSLATE(B1213,""id"",""en"")"),"['Useful', 'Helpful', 'Promo', 'Package', 'Telkomsel', 'Happy', 'Wear', 'Application', 'Telkomsel', 'Krna', 'Easy', 'Buy', ' package ',' data ',' Telkomsel ',' complicated ',' kluar ',' home ',' registration ',' reset ',' steady ',' deh ',' okay ', ""]")</f>
        <v>['Useful', 'Helpful', 'Promo', 'Package', 'Telkomsel', 'Happy', 'Wear', 'Application', 'Telkomsel', 'Krna', 'Easy', 'Buy', ' package ',' data ',' Telkomsel ',' complicated ',' kluar ',' home ',' registration ',' reset ',' steady ',' deh ',' okay ', "]</v>
      </c>
      <c r="D1213" s="3">
        <v>5.0</v>
      </c>
    </row>
    <row r="1214" ht="15.75" customHeight="1">
      <c r="A1214" s="1">
        <v>1212.0</v>
      </c>
      <c r="B1214" s="3" t="s">
        <v>1215</v>
      </c>
      <c r="C1214" s="3" t="str">
        <f>IFERROR(__xludf.DUMMYFUNCTION("GOOGLETRANSLATE(B1214,""id"",""en"")"),"['Rampok', 'credit', 'UDH', 'contents',' pulse ',' use ',' buy ',' package ',' open ',' application ',' open ',' application ',' free ',' usage ',' internet ',' special ',' user ',' telkomsel ',' cut ',' pulse ',' buy ',' packetan ', ""]")</f>
        <v>['Rampok', 'credit', 'UDH', 'contents',' pulse ',' use ',' buy ',' package ',' open ',' application ',' open ',' application ',' free ',' usage ',' internet ',' special ',' user ',' telkomsel ',' cut ',' pulse ',' buy ',' packetan ', "]</v>
      </c>
      <c r="D1214" s="3">
        <v>1.0</v>
      </c>
    </row>
    <row r="1215" ht="15.75" customHeight="1">
      <c r="A1215" s="1">
        <v>1213.0</v>
      </c>
      <c r="B1215" s="3" t="s">
        <v>1216</v>
      </c>
      <c r="C1215" s="3" t="str">
        <f>IFERROR(__xludf.DUMMYFUNCTION("GOOGLETRANSLATE(B1215,""id"",""en"")"),"['satisfying', 'Telkomsel', 'Sometimes', 'obstacles', 'slow', 'use it', 'apalgi', 'kmpng', 'dipelosot', 'mngkin', 'region', '']")</f>
        <v>['satisfying', 'Telkomsel', 'Sometimes', 'obstacles', 'slow', 'use it', 'apalgi', 'kmpng', 'dipelosot', 'mngkin', 'region', '']</v>
      </c>
      <c r="D1215" s="3">
        <v>3.0</v>
      </c>
    </row>
    <row r="1216" ht="15.75" customHeight="1">
      <c r="A1216" s="1">
        <v>1214.0</v>
      </c>
      <c r="B1216" s="3" t="s">
        <v>1217</v>
      </c>
      <c r="C1216" s="3" t="str">
        <f>IFERROR(__xludf.DUMMYFUNCTION("GOOGLETRANSLATE(B1216,""id"",""en"")"),"['Telkomsel', 'tens',' times', 'open', 'Telkomsel', 'Kaltim', 'late', 'kiko', 'market', 'suggest', 'wear', 'Telkomsel', ' company ',' BTS ',' Blum ',' Sayangan ',' number ',' Customer ',' Telkomsel ',' Properties', 'Personal', 'Have', 'Hemukker', 'Custome"&amp;"r', 'Trims' , '']")</f>
        <v>['Telkomsel', 'tens',' times', 'open', 'Telkomsel', 'Kaltim', 'late', 'kiko', 'market', 'suggest', 'wear', 'Telkomsel', ' company ',' BTS ',' Blum ',' Sayangan ',' number ',' Customer ',' Telkomsel ',' Properties', 'Personal', 'Have', 'Hemukker', 'Customer', 'Trims' , '']</v>
      </c>
      <c r="D1216" s="3">
        <v>5.0</v>
      </c>
    </row>
    <row r="1217" ht="15.75" customHeight="1">
      <c r="A1217" s="1">
        <v>1215.0</v>
      </c>
      <c r="B1217" s="3" t="s">
        <v>1218</v>
      </c>
      <c r="C1217" s="3" t="str">
        <f>IFERROR(__xludf.DUMMYFUNCTION("GOOGLETRANSLATE(B1217,""id"",""en"")"),"['Sorry', 'min', 'comfortable', 'service', 'package', 'internet', 'pay', 'buy', 'transaction', 'succeed', 'response', 'pulse', ' Normal ',' Package ',' Select ',' Bought ',' Many ',' Times', 'Results',' Please ',' Reaponsib ',' Mammy ',' Violating ',' Tri"&amp;"mah ',' Love ' , '']")</f>
        <v>['Sorry', 'min', 'comfortable', 'service', 'package', 'internet', 'pay', 'buy', 'transaction', 'succeed', 'response', 'pulse', ' Normal ',' Package ',' Select ',' Bought ',' Many ',' Times', 'Results',' Please ',' Reaponsib ',' Mammy ',' Violating ',' Trimah ',' Love ' , '']</v>
      </c>
      <c r="D1217" s="3">
        <v>3.0</v>
      </c>
    </row>
    <row r="1218" ht="15.75" customHeight="1">
      <c r="A1218" s="1">
        <v>1216.0</v>
      </c>
      <c r="B1218" s="3" t="s">
        <v>1219</v>
      </c>
      <c r="C1218" s="3" t="str">
        <f>IFERROR(__xludf.DUMMYFUNCTION("GOOGLETRANSLATE(B1218,""id"",""en"")"),"['', 'pork', 'UDH', 'package', 'expensive', 'signal', 'ugly', 'ugly', 'remained', 'idiot', 'ugly', 'package', 'cheap '' cave ',' poor ',' I ',' buy ',' expensive ',' I ',' signal ',' good ',' like ',' card ',' smartfriend ',' tololllllllllllllllllllllllll"&amp;"lllllllllllllllll ']")</f>
        <v>['', 'pork', 'UDH', 'package', 'expensive', 'signal', 'ugly', 'ugly', 'remained', 'idiot', 'ugly', 'package', 'cheap '' cave ',' poor ',' I ',' buy ',' expensive ',' I ',' signal ',' good ',' like ',' card ',' smartfriend ',' tolollllllllllllllllllllllllllllllllllllllllll ']</v>
      </c>
      <c r="D1218" s="3">
        <v>1.0</v>
      </c>
    </row>
    <row r="1219" ht="15.75" customHeight="1">
      <c r="A1219" s="1">
        <v>1217.0</v>
      </c>
      <c r="B1219" s="3" t="s">
        <v>1220</v>
      </c>
      <c r="C1219" s="3" t="str">
        <f>IFERROR(__xludf.DUMMYFUNCTION("GOOGLETRANSLATE(B1219,""id"",""en"")"),"['Telkomsel', 'pig', 'me', 'buy', 'package', 'unlimited', 'youtube', 'anjirr', 'network', 'me', 'buy', 'package', ' use ',' pulse ',' buy ',' pulse ',' use ',' leaves', 'idiot', 'gini', 'mending', 'use', 'card', 'next door', 'ajalah' ]")</f>
        <v>['Telkomsel', 'pig', 'me', 'buy', 'package', 'unlimited', 'youtube', 'anjirr', 'network', 'me', 'buy', 'package', ' use ',' pulse ',' buy ',' pulse ',' use ',' leaves', 'idiot', 'gini', 'mending', 'use', 'card', 'next door', 'ajalah' ]</v>
      </c>
      <c r="D1219" s="3">
        <v>1.0</v>
      </c>
    </row>
    <row r="1220" ht="15.75" customHeight="1">
      <c r="A1220" s="1">
        <v>1218.0</v>
      </c>
      <c r="B1220" s="3" t="s">
        <v>1221</v>
      </c>
      <c r="C1220" s="3" t="str">
        <f>IFERROR(__xludf.DUMMYFUNCTION("GOOGLETRANSLATE(B1220,""id"",""en"")"),"['Apikasi', 'comment', 'Bad', 'right', 'tried', 'weve', 'really', 'APK', 'open', 'tell', 'ngeChat', 'address',' Email ',' Balas', 'It's better', 'focus',' fix ',' application ',' deficiency ',' Kenda ']")</f>
        <v>['Apikasi', 'comment', 'Bad', 'right', 'tried', 'weve', 'really', 'APK', 'open', 'tell', 'ngeChat', 'address',' Email ',' Balas', 'It's better', 'focus',' fix ',' application ',' deficiency ',' Kenda ']</v>
      </c>
      <c r="D1220" s="3">
        <v>1.0</v>
      </c>
    </row>
    <row r="1221" ht="15.75" customHeight="1">
      <c r="A1221" s="1">
        <v>1219.0</v>
      </c>
      <c r="B1221" s="3" t="s">
        <v>1222</v>
      </c>
      <c r="C1221" s="3" t="str">
        <f>IFERROR(__xludf.DUMMYFUNCTION("GOOGLETRANSLATE(B1221,""id"",""en"")"),"['signal', 'Telkomsel', 'bad', 'sometimes', 'missing', 'no', 'rain', 'buy', 'quota', 'send', 'task', 'because' Sousal ',' ilang ',' play ',' game ',' online ',' lag ',' severe ',' disappointed ',' signal ',' Telkomsel ',' signal ',' lost ']")</f>
        <v>['signal', 'Telkomsel', 'bad', 'sometimes', 'missing', 'no', 'rain', 'buy', 'quota', 'send', 'task', 'because' Sousal ',' ilang ',' play ',' game ',' online ',' lag ',' severe ',' disappointed ',' signal ',' Telkomsel ',' signal ',' lost ']</v>
      </c>
      <c r="D1221" s="3">
        <v>1.0</v>
      </c>
    </row>
    <row r="1222" ht="15.75" customHeight="1">
      <c r="A1222" s="1">
        <v>1220.0</v>
      </c>
      <c r="B1222" s="3" t="s">
        <v>1223</v>
      </c>
      <c r="C1222" s="3" t="str">
        <f>IFERROR(__xludf.DUMMYFUNCTION("GOOGLETRANSLATE(B1222,""id"",""en"")"),"['wake up', 'tower', 'remote', 'bodo', 'plung', 'signal', 'telkomsel', 'already', 'package', 'expensive', 'signal', 'difficult', ' City ',' You ',' Urus', 'Liat', 'Remote', 'Adi', 'Signal', 'Card', 'Cave', 'Make', 'Telkomsel', 'Cave', ""]")</f>
        <v>['wake up', 'tower', 'remote', 'bodo', 'plung', 'signal', 'telkomsel', 'already', 'package', 'expensive', 'signal', 'difficult', ' City ',' You ',' Urus', 'Liat', 'Remote', 'Adi', 'Signal', 'Card', 'Cave', 'Make', 'Telkomsel', 'Cave', "]</v>
      </c>
      <c r="D1222" s="3">
        <v>1.0</v>
      </c>
    </row>
    <row r="1223" ht="15.75" customHeight="1">
      <c r="A1223" s="1">
        <v>1221.0</v>
      </c>
      <c r="B1223" s="3" t="s">
        <v>1224</v>
      </c>
      <c r="C1223" s="3" t="str">
        <f>IFERROR(__xludf.DUMMYFUNCTION("GOOGLETRANSLATE(B1223,""id"",""en"")"),"['Please', 'explanation', 'package', 'unlimited', 'youtube', 'daily', 'kouta', 'lap', 'times', 'buy', 'use', 'disappointing']")</f>
        <v>['Please', 'explanation', 'package', 'unlimited', 'youtube', 'daily', 'kouta', 'lap', 'times', 'buy', 'use', 'disappointing']</v>
      </c>
      <c r="D1223" s="3">
        <v>1.0</v>
      </c>
    </row>
    <row r="1224" ht="15.75" customHeight="1">
      <c r="A1224" s="1">
        <v>1222.0</v>
      </c>
      <c r="B1224" s="3" t="s">
        <v>1225</v>
      </c>
      <c r="C1224" s="3" t="str">
        <f>IFERROR(__xludf.DUMMYFUNCTION("GOOGLETRANSLATE(B1224,""id"",""en"")"),"['users',' Telkomsel ',' already ',' network ',' kayak ',' gini ',' super ',' slow ',' super ',' slow ',' Telkomsel ',' ngutamain ',' network', '']")</f>
        <v>['users',' Telkomsel ',' already ',' network ',' kayak ',' gini ',' super ',' slow ',' super ',' slow ',' Telkomsel ',' ngutamain ',' network', '']</v>
      </c>
      <c r="D1224" s="3">
        <v>1.0</v>
      </c>
    </row>
    <row r="1225" ht="15.75" customHeight="1">
      <c r="A1225" s="1">
        <v>1223.0</v>
      </c>
      <c r="B1225" s="3" t="s">
        <v>1226</v>
      </c>
      <c r="C1225" s="3" t="str">
        <f>IFERROR(__xludf.DUMMYFUNCTION("GOOGLETRANSLATE(B1225,""id"",""en"")"),"['application', 'Telkomsel', 'difficult', 'open', 'sometimes', 'sometimes', 'open', 'buy', 'package', 'update', 'application']")</f>
        <v>['application', 'Telkomsel', 'difficult', 'open', 'sometimes', 'sometimes', 'open', 'buy', 'package', 'update', 'application']</v>
      </c>
      <c r="D1225" s="3">
        <v>2.0</v>
      </c>
    </row>
    <row r="1226" ht="15.75" customHeight="1">
      <c r="A1226" s="1">
        <v>1224.0</v>
      </c>
      <c r="B1226" s="3" t="s">
        <v>1227</v>
      </c>
      <c r="C1226" s="3" t="str">
        <f>IFERROR(__xludf.DUMMYFUNCTION("GOOGLETRANSLATE(B1226,""id"",""en"")"),"['ugly', 'really', 'buy', 'package', 'internet', 'monthly', 'daily', 'application', 'available', 'package', 'doang', 'package', ' Conference ',' Education ',' Package ',' Internet ',' Night ',' Available ',' Package ',' Monthly ',' Daily ',' ']")</f>
        <v>['ugly', 'really', 'buy', 'package', 'internet', 'monthly', 'daily', 'application', 'available', 'package', 'doang', 'package', ' Conference ',' Education ',' Package ',' Internet ',' Night ',' Available ',' Package ',' Monthly ',' Daily ',' ']</v>
      </c>
      <c r="D1226" s="3">
        <v>1.0</v>
      </c>
    </row>
    <row r="1227" ht="15.75" customHeight="1">
      <c r="A1227" s="1">
        <v>1225.0</v>
      </c>
      <c r="B1227" s="3" t="s">
        <v>1228</v>
      </c>
      <c r="C1227" s="3" t="str">
        <f>IFERROR(__xludf.DUMMYFUNCTION("GOOGLETRANSLATE(B1227,""id"",""en"")"),"['Disappointed', 'Network', 'Telkomsel', 'Use', 'Telkomsel', 'Safe', 'Network', 'Severe', 'No', 'Contents',' Package ',' No ',' ']")</f>
        <v>['Disappointed', 'Network', 'Telkomsel', 'Use', 'Telkomsel', 'Safe', 'Network', 'Severe', 'No', 'Contents',' Package ',' No ',' ']</v>
      </c>
      <c r="D1227" s="3">
        <v>1.0</v>
      </c>
    </row>
    <row r="1228" ht="15.75" customHeight="1">
      <c r="A1228" s="1">
        <v>1226.0</v>
      </c>
      <c r="B1228" s="3" t="s">
        <v>1229</v>
      </c>
      <c r="C1228" s="3" t="str">
        <f>IFERROR(__xludf.DUMMYFUNCTION("GOOGLETRANSLATE(B1228,""id"",""en"")"),"['update', 'updated', 'complicated', 'login', 'login', 'link', 'mending', 'code', 'ajah', 'soale', 'card', 'modem', ' Unload ',' modem ',' Login ',' ']")</f>
        <v>['update', 'updated', 'complicated', 'login', 'login', 'link', 'mending', 'code', 'ajah', 'soale', 'card', 'modem', ' Unload ',' modem ',' Login ',' ']</v>
      </c>
      <c r="D1228" s="3">
        <v>1.0</v>
      </c>
    </row>
    <row r="1229" ht="15.75" customHeight="1">
      <c r="A1229" s="1">
        <v>1227.0</v>
      </c>
      <c r="B1229" s="3" t="s">
        <v>1230</v>
      </c>
      <c r="C1229" s="3" t="str">
        <f>IFERROR(__xludf.DUMMYFUNCTION("GOOGLETRANSLATE(B1229,""id"",""en"")"),"['Please', 'Telkomsel', 'Yesterday', 'fill in', 'pulse', 'buy', 'package', 'quota', 'Kemdikbud', 'already', 'active', 'buy', ' quota ',' Kemdikbud ',' used ',' pulse ',' then ',' darling ',' pulse ',' interested ',' buyin ',' mid ',' night ',' already ','"&amp;" streaming ' , 'Hour', 'MLM', 'Clock', 'Abis',' check ',' quota ',' streaming ',' Selamm ',' Terpi ',' quota ',' Kemdikbud ',' already ',' hours', 'please', 'lahhhh']")</f>
        <v>['Please', 'Telkomsel', 'Yesterday', 'fill in', 'pulse', 'buy', 'package', 'quota', 'Kemdikbud', 'already', 'active', 'buy', ' quota ',' Kemdikbud ',' used ',' pulse ',' then ',' darling ',' pulse ',' interested ',' buyin ',' mid ',' night ',' already ',' streaming ' , 'Hour', 'MLM', 'Clock', 'Abis',' check ',' quota ',' streaming ',' Selamm ',' Terpi ',' quota ',' Kemdikbud ',' already ',' hours', 'please', 'lahhhh']</v>
      </c>
      <c r="D1229" s="3">
        <v>1.0</v>
      </c>
    </row>
    <row r="1230" ht="15.75" customHeight="1">
      <c r="A1230" s="1">
        <v>1228.0</v>
      </c>
      <c r="B1230" s="3" t="s">
        <v>1231</v>
      </c>
      <c r="C1230" s="3" t="str">
        <f>IFERROR(__xludf.DUMMYFUNCTION("GOOGLETRANSLATE(B1230,""id"",""en"")"),"['Date', 'April', 'Logout', 'Update', 'Application', 'No', 'Login', 'Receive', 'Link', 'Login', 'SMS', 'Repeat', ' time ',' tap ',' sent ',' link ',' sms', '']")</f>
        <v>['Date', 'April', 'Logout', 'Update', 'Application', 'No', 'Login', 'Receive', 'Link', 'Login', 'SMS', 'Repeat', ' time ',' tap ',' sent ',' link ',' sms', '']</v>
      </c>
      <c r="D1230" s="3">
        <v>1.0</v>
      </c>
    </row>
    <row r="1231" ht="15.75" customHeight="1">
      <c r="A1231" s="1">
        <v>1229.0</v>
      </c>
      <c r="B1231" s="3" t="s">
        <v>1232</v>
      </c>
      <c r="C1231" s="3" t="str">
        <f>IFERROR(__xludf.DUMMYFUNCTION("GOOGLETRANSLATE(B1231,""id"",""en"")"),"['Package', 'cheap', 'price', 'thousand', 'happy', 'times',' buy ',' hopefully ',' success', 'Telkomsel', 'emang', 'package', ' Price ',' Buy ',' Price ',' Package ',' Shy ',' Buy ',' Sultan ',' Pingin ',' Package ',' GB ',' Asik ']")</f>
        <v>['Package', 'cheap', 'price', 'thousand', 'happy', 'times',' buy ',' hopefully ',' success', 'Telkomsel', 'emang', 'package', ' Price ',' Buy ',' Price ',' Package ',' Shy ',' Buy ',' Sultan ',' Pingin ',' Package ',' GB ',' Asik ']</v>
      </c>
      <c r="D1231" s="3">
        <v>1.0</v>
      </c>
    </row>
    <row r="1232" ht="15.75" customHeight="1">
      <c r="A1232" s="1">
        <v>1230.0</v>
      </c>
      <c r="B1232" s="3" t="s">
        <v>1233</v>
      </c>
      <c r="C1232" s="3" t="str">
        <f>IFERROR(__xludf.DUMMYFUNCTION("GOOGLETRANSLATE(B1232,""id"",""en"")"),"['buy', 'package', 'data', 'disorder', 'gmn', 'because', 'please', 'repair', 'telkom', 'drained', 'money', 'people', ' Doang ',' Parahh ',' ']")</f>
        <v>['buy', 'package', 'data', 'disorder', 'gmn', 'because', 'please', 'repair', 'telkom', 'drained', 'money', 'people', ' Doang ',' Parahh ',' ']</v>
      </c>
      <c r="D1232" s="3">
        <v>1.0</v>
      </c>
    </row>
    <row r="1233" ht="15.75" customHeight="1">
      <c r="A1233" s="1">
        <v>1231.0</v>
      </c>
      <c r="B1233" s="3" t="s">
        <v>1234</v>
      </c>
      <c r="C1233" s="3" t="str">
        <f>IFERROR(__xludf.DUMMYFUNCTION("GOOGLETRANSLATE(B1233,""id"",""en"")"),"['UNT', 'Send', 'Gift', 'Description', 'Written', 'Min', 'Click', 'Paketan', 'Written', 'Voice', 'Unt', 'Tsel', ' Mntan ',' use ',' Tel ',' Tsel ',' Credit ',' Cut ',' ']")</f>
        <v>['UNT', 'Send', 'Gift', 'Description', 'Written', 'Min', 'Click', 'Paketan', 'Written', 'Voice', 'Unt', 'Tsel', ' Mntan ',' use ',' Tel ',' Tsel ',' Credit ',' Cut ',' ']</v>
      </c>
      <c r="D1233" s="3">
        <v>1.0</v>
      </c>
    </row>
    <row r="1234" ht="15.75" customHeight="1">
      <c r="A1234" s="1">
        <v>1232.0</v>
      </c>
      <c r="B1234" s="3" t="s">
        <v>1235</v>
      </c>
      <c r="C1234" s="3" t="str">
        <f>IFERROR(__xludf.DUMMYFUNCTION("GOOGLETRANSLATE(B1234,""id"",""en"")"),"['Network', 'Taik', 'Sell', 'Online', 'Gara', 'Network', 'Telkomsel', 'Sell', 'Open', 'Shopee', 'Change', 'card', ' Signal ',' Telkomsel ',' ']")</f>
        <v>['Network', 'Taik', 'Sell', 'Online', 'Gara', 'Network', 'Telkomsel', 'Sell', 'Open', 'Shopee', 'Change', 'card', ' Signal ',' Telkomsel ',' ']</v>
      </c>
      <c r="D1234" s="3">
        <v>1.0</v>
      </c>
    </row>
    <row r="1235" ht="15.75" customHeight="1">
      <c r="A1235" s="1">
        <v>1233.0</v>
      </c>
      <c r="B1235" s="3" t="s">
        <v>1236</v>
      </c>
      <c r="C1235" s="3" t="str">
        <f>IFERROR(__xludf.DUMMYFUNCTION("GOOGLETRANSLATE(B1235,""id"",""en"")"),"['Alhamdulillah', 'Application', 'Help', 'Process',' Data ',' Internet ',' CCP ',' Call ',' God willing ',' Disappointing ',' Package ',' SPECIAL ',' Promo ',' promo ',' Lakitasin ',' Cheap ',' Affordable ',' The ',' Best ']")</f>
        <v>['Alhamdulillah', 'Application', 'Help', 'Process',' Data ',' Internet ',' CCP ',' Call ',' God willing ',' Disappointing ',' Package ',' SPECIAL ',' Promo ',' promo ',' Lakitasin ',' Cheap ',' Affordable ',' The ',' Best ']</v>
      </c>
      <c r="D1235" s="3">
        <v>5.0</v>
      </c>
    </row>
    <row r="1236" ht="15.75" customHeight="1">
      <c r="A1236" s="1">
        <v>1234.0</v>
      </c>
      <c r="B1236" s="3" t="s">
        <v>1237</v>
      </c>
      <c r="C1236" s="3" t="str">
        <f>IFERROR(__xludf.DUMMYFUNCTION("GOOGLETRANSLATE(B1236,""id"",""en"")"),"['Daily', 'Check', 'Reward', 'Live', 'Reward', 'Claim', 'Gara', 'Gara', 'update', 'yes',' free ',' right ',' Users', 'Telkomsel', 'Please', 'Repaired', 'Revised', '']")</f>
        <v>['Daily', 'Check', 'Reward', 'Live', 'Reward', 'Claim', 'Gara', 'Gara', 'update', 'yes',' free ',' right ',' Users', 'Telkomsel', 'Please', 'Repaired', 'Revised', '']</v>
      </c>
      <c r="D1236" s="3">
        <v>2.0</v>
      </c>
    </row>
    <row r="1237" ht="15.75" customHeight="1">
      <c r="A1237" s="1">
        <v>1235.0</v>
      </c>
      <c r="B1237" s="3" t="s">
        <v>1238</v>
      </c>
      <c r="C1237" s="3" t="str">
        <f>IFERROR(__xludf.DUMMYFUNCTION("GOOGLETRANSLATE(B1237,""id"",""en"")"),"['a month', 'Login', 'click', 'Login', 'told', 'check', 'tuk', 'verification', 'click', 'Link', 'Link', ' sent ',' clicked ',' just ',' copied ',' share ',' login ',' via ',' Google ',' Facebook ',' registered ',' Try ',' Diuninsntall ',' then ' , 'Instal"&amp;"l', 'Tetep', 'Login', '']")</f>
        <v>['a month', 'Login', 'click', 'Login', 'told', 'check', 'tuk', 'verification', 'click', 'Link', 'Link', ' sent ',' clicked ',' just ',' copied ',' share ',' login ',' via ',' Google ',' Facebook ',' registered ',' Try ',' Diuninsntall ',' then ' , 'Install', 'Tetep', 'Login', '']</v>
      </c>
      <c r="D1237" s="3">
        <v>1.0</v>
      </c>
    </row>
    <row r="1238" ht="15.75" customHeight="1">
      <c r="A1238" s="1">
        <v>1236.0</v>
      </c>
      <c r="B1238" s="3" t="s">
        <v>1239</v>
      </c>
      <c r="C1238" s="3" t="str">
        <f>IFERROR(__xludf.DUMMYFUNCTION("GOOGLETRANSLATE(B1238,""id"",""en"")"),"['Please', 'Telkomsel', 'Features',' Lock ',' Credit ',' Provider ',' Next ',' Useful ',' Profitable ',' Customer ',' Customer ',' Worried ',' pulses', 'missing', 'please', 'Add', 'Lock', 'Lock', 'pulse', 'please', '']")</f>
        <v>['Please', 'Telkomsel', 'Features',' Lock ',' Credit ',' Provider ',' Next ',' Useful ',' Profitable ',' Customer ',' Customer ',' Worried ',' pulses', 'missing', 'please', 'Add', 'Lock', 'Lock', 'pulse', 'please', '']</v>
      </c>
      <c r="D1238" s="3">
        <v>1.0</v>
      </c>
    </row>
    <row r="1239" ht="15.75" customHeight="1">
      <c r="A1239" s="1">
        <v>1237.0</v>
      </c>
      <c r="B1239" s="3" t="s">
        <v>1240</v>
      </c>
      <c r="C1239" s="3" t="str">
        <f>IFERROR(__xludf.DUMMYFUNCTION("GOOGLETRANSLATE(B1239,""id"",""en"")"),"['Gajelas',' signal ',' Bad ',' Javanese ',' Maen ',' Game ',' Online ',' Ngelag ',' Gajelas', 'disconcerant', 'quota', 'expensive', ' zonkkk ',' how ',' admin ',' please ',' fix ',' signal ',' ']")</f>
        <v>['Gajelas',' signal ',' Bad ',' Javanese ',' Maen ',' Game ',' Online ',' Ngelag ',' Gajelas', 'disconcerant', 'quota', 'expensive', ' zonkkk ',' how ',' admin ',' please ',' fix ',' signal ',' ']</v>
      </c>
      <c r="D1239" s="3">
        <v>2.0</v>
      </c>
    </row>
    <row r="1240" ht="15.75" customHeight="1">
      <c r="A1240" s="1">
        <v>1238.0</v>
      </c>
      <c r="B1240" s="3" t="s">
        <v>1241</v>
      </c>
      <c r="C1240" s="3" t="str">
        <f>IFERROR(__xludf.DUMMYFUNCTION("GOOGLETRANSLATE(B1240,""id"",""en"")"),"['Telkomsel', 'poor', 'slow', 'package', 'expensive', 'expensive', 'Benerin', 'min', 'network', 'lose', 'provider', 'abal', ' googling ',' regret ',' cave ',' moved ',' Telkomsel ',' Overcome ',' reply ',' need ',' reply ',' need ',' his actions', 'fast',"&amp;" 'response' , 'users',' Telkomsel ',' moved ',' provider ',' telkom ',' kek ',' snail ',' slow ',' here ',' ugly ',' hard ',' signal ',' ugly ',' poor ', ""]")</f>
        <v>['Telkomsel', 'poor', 'slow', 'package', 'expensive', 'expensive', 'Benerin', 'min', 'network', 'lose', 'provider', 'abal', ' googling ',' regret ',' cave ',' moved ',' Telkomsel ',' Overcome ',' reply ',' need ',' reply ',' need ',' his actions', 'fast', 'response' , 'users',' Telkomsel ',' moved ',' provider ',' telkom ',' kek ',' snail ',' slow ',' here ',' ugly ',' hard ',' signal ',' ugly ',' poor ', "]</v>
      </c>
      <c r="D1240" s="3">
        <v>1.0</v>
      </c>
    </row>
    <row r="1241" ht="15.75" customHeight="1">
      <c r="A1241" s="1">
        <v>1239.0</v>
      </c>
      <c r="B1241" s="3" t="s">
        <v>1242</v>
      </c>
      <c r="C1241" s="3" t="str">
        <f>IFERROR(__xludf.DUMMYFUNCTION("GOOGLETRANSLATE(B1241,""id"",""en"")"),"['Change', 'card', 'Hello', 'signal', 'bad', 'internet', 'slow', 'according to', 'promised', 'TLP', 'offering', 'upgrade', ' card ',' Hello ',' Restat ',' Bekali ',' times', 'off', 'mode', 'plane', 'many', 'times',' slow ',' center ',' city ' , 'right', '"&amp;"task', 'area', 'data', 'internet', 'used', 'signal', 'network', 'Telkomsel', 'bad', 'beg', 'repaired', ' Telkomsel ']")</f>
        <v>['Change', 'card', 'Hello', 'signal', 'bad', 'internet', 'slow', 'according to', 'promised', 'TLP', 'offering', 'upgrade', ' card ',' Hello ',' Restat ',' Bekali ',' times', 'off', 'mode', 'plane', 'many', 'times',' slow ',' center ',' city ' , 'right', 'task', 'area', 'data', 'internet', 'used', 'signal', 'network', 'Telkomsel', 'bad', 'beg', 'repaired', ' Telkomsel ']</v>
      </c>
      <c r="D1241" s="3">
        <v>1.0</v>
      </c>
    </row>
    <row r="1242" ht="15.75" customHeight="1">
      <c r="A1242" s="1">
        <v>1240.0</v>
      </c>
      <c r="B1242" s="3" t="s">
        <v>1243</v>
      </c>
      <c r="C1242" s="3" t="str">
        <f>IFERROR(__xludf.DUMMYFUNCTION("GOOGLETRANSLATE(B1242,""id"",""en"")"),"['quota', 'use', 'quota', 'run out', 'pulse', 'mortal', 'notification', 'quota', 'run out', 'quota', 'use', ""]")</f>
        <v>['quota', 'use', 'quota', 'run out', 'pulse', 'mortal', 'notification', 'quota', 'run out', 'quota', 'use', "]</v>
      </c>
      <c r="D1242" s="3">
        <v>1.0</v>
      </c>
    </row>
    <row r="1243" ht="15.75" customHeight="1">
      <c r="A1243" s="1">
        <v>1241.0</v>
      </c>
      <c r="B1243" s="3" t="s">
        <v>1244</v>
      </c>
      <c r="C1243" s="3" t="str">
        <f>IFERROR(__xludf.DUMMYFUNCTION("GOOGLETRANSLATE(B1243,""id"",""en"")"),"['network', 'tekomsel', 'error', 'gini', 'already', 'tens',' use ',' then ',' pulse ',' reduced ',' use ',' hedewh ',' help']")</f>
        <v>['network', 'tekomsel', 'error', 'gini', 'already', 'tens',' use ',' then ',' pulse ',' reduced ',' use ',' hedewh ',' help']</v>
      </c>
      <c r="D1243" s="3">
        <v>3.0</v>
      </c>
    </row>
    <row r="1244" ht="15.75" customHeight="1">
      <c r="A1244" s="1">
        <v>1242.0</v>
      </c>
      <c r="B1244" s="3" t="s">
        <v>1245</v>
      </c>
      <c r="C1244" s="3" t="str">
        <f>IFERROR(__xludf.DUMMYFUNCTION("GOOGLETRANSLATE(B1244,""id"",""en"")"),"['Please', 'gift', 'Chek', 'Extend', 'boss',' Roly ',' boss', 'a little', 'apply', 'a month', 'Mantab', 'Bosque', ' klw ',' ane ',' love ',' star ',' boss']")</f>
        <v>['Please', 'gift', 'Chek', 'Extend', 'boss',' Roly ',' boss', 'a little', 'apply', 'a month', 'Mantab', 'Bosque', ' klw ',' ane ',' love ',' star ',' boss']</v>
      </c>
      <c r="D1244" s="3">
        <v>4.0</v>
      </c>
    </row>
    <row r="1245" ht="15.75" customHeight="1">
      <c r="A1245" s="1">
        <v>1243.0</v>
      </c>
      <c r="B1245" s="3" t="s">
        <v>1246</v>
      </c>
      <c r="C1245" s="3" t="str">
        <f>IFERROR(__xludf.DUMMYFUNCTION("GOOGLETRANSLATE(B1245,""id"",""en"")"),"['Network', 'Fastest', 'Indonesia', 'Region', 'Network', 'Internet', 'Network', 'Leet', 'Pole', 'Transmitter', 'Region', 'Stable', ' Stable ',' force ',' throbs', 'replace', 'APN', '']")</f>
        <v>['Network', 'Fastest', 'Indonesia', 'Region', 'Network', 'Internet', 'Network', 'Leet', 'Pole', 'Transmitter', 'Region', 'Stable', ' Stable ',' force ',' throbs', 'replace', 'APN', '']</v>
      </c>
      <c r="D1245" s="3">
        <v>1.0</v>
      </c>
    </row>
    <row r="1246" ht="15.75" customHeight="1">
      <c r="A1246" s="1">
        <v>1244.0</v>
      </c>
      <c r="B1246" s="3" t="s">
        <v>1247</v>
      </c>
      <c r="C1246" s="3" t="str">
        <f>IFERROR(__xludf.DUMMYFUNCTION("GOOGLETRANSLATE(B1246,""id"",""en"")"),"['Application', 'Bags',' in full ',' Please ',' Add ',' Change ',' Priority ',' Use ',' Quota ',' Customer ',' Choose ',' Quota ',' used ',' ']")</f>
        <v>['Application', 'Bags',' in full ',' Please ',' Add ',' Change ',' Priority ',' Use ',' Quota ',' Customer ',' Choose ',' Quota ',' used ',' ']</v>
      </c>
      <c r="D1246" s="3">
        <v>5.0</v>
      </c>
    </row>
    <row r="1247" ht="15.75" customHeight="1">
      <c r="A1247" s="1">
        <v>1245.0</v>
      </c>
      <c r="B1247" s="3" t="s">
        <v>1248</v>
      </c>
      <c r="C1247" s="3" t="str">
        <f>IFERROR(__xludf.DUMMYFUNCTION("GOOGLETRANSLATE(B1247,""id"",""en"")"),"['update', 'obstacles',' panic ',' difficult ',' login ',' appears', 'Something', 'Something', 'Went', 'Wrong', 'then', 'Twitter', ' Help ',' Alhamdulillah ',' response ',' Berlin ',' fast ',' really ',' plus', 'friendly', 'salute', 'Telkomsel', 'solution"&amp;"', 'easy', 'number' , 'active', 'network', 'region', 'disorder', 'update', 'please', 'restart', 'enter', 'setting', 'application', 'delete', 'chace', ' Restart ']")</f>
        <v>['update', 'obstacles',' panic ',' difficult ',' login ',' appears', 'Something', 'Something', 'Went', 'Wrong', 'then', 'Twitter', ' Help ',' Alhamdulillah ',' response ',' Berlin ',' fast ',' really ',' plus', 'friendly', 'salute', 'Telkomsel', 'solution', 'easy', 'number' , 'active', 'network', 'region', 'disorder', 'update', 'please', 'restart', 'enter', 'setting', 'application', 'delete', 'chace', ' Restart ']</v>
      </c>
      <c r="D1247" s="3">
        <v>5.0</v>
      </c>
    </row>
    <row r="1248" ht="15.75" customHeight="1">
      <c r="A1248" s="1">
        <v>1246.0</v>
      </c>
      <c r="B1248" s="3" t="s">
        <v>1249</v>
      </c>
      <c r="C1248" s="3" t="str">
        <f>IFERROR(__xludf.DUMMYFUNCTION("GOOGLETRANSLATE(B1248,""id"",""en"")"),"['APK', 'Citizens',' Region ',' Network ',' Please ',' Increase ',' Network ',' Region ',' Lili ',' Camplong ',' Kab ',' Kupang ',' regions', 'capital', 'district', 'users',' tsel ',' network ',' slow ',' at the same time ',' pandemic ',' system ',' onlin"&amp;"e ',' worker ' , 'hampered', 'network', 'poor', 'please', 'repaired', 'Inua']")</f>
        <v>['APK', 'Citizens',' Region ',' Network ',' Please ',' Increase ',' Network ',' Region ',' Lili ',' Camplong ',' Kab ',' Kupang ',' regions', 'capital', 'district', 'users',' tsel ',' network ',' slow ',' at the same time ',' pandemic ',' system ',' online ',' worker ' , 'hampered', 'network', 'poor', 'please', 'repaired', 'Inua']</v>
      </c>
      <c r="D1248" s="3">
        <v>2.0</v>
      </c>
    </row>
    <row r="1249" ht="15.75" customHeight="1">
      <c r="A1249" s="1">
        <v>1247.0</v>
      </c>
      <c r="B1249" s="3" t="s">
        <v>1250</v>
      </c>
      <c r="C1249" s="3" t="str">
        <f>IFERROR(__xludf.DUMMYFUNCTION("GOOGLETRANSLATE(B1249,""id"",""en"")"),"['', 'pulse', 'lost', 'then', 'maw', 'maketin', 'pulse', 'sumps',' little ',' buy ',' pulse ',' turned off ',' data ',' base ',' leech ',' land ',' cave ',' oath ',' application ',' miserable ',' take ',' pulses', ""]")</f>
        <v>['', 'pulse', 'lost', 'then', 'maw', 'maketin', 'pulse', 'sumps',' little ',' buy ',' pulse ',' turned off ',' data ',' base ',' leech ',' land ',' cave ',' oath ',' application ',' miserable ',' take ',' pulses', "]</v>
      </c>
      <c r="D1249" s="3">
        <v>1.0</v>
      </c>
    </row>
    <row r="1250" ht="15.75" customHeight="1">
      <c r="A1250" s="1">
        <v>1248.0</v>
      </c>
      <c r="B1250" s="3" t="s">
        <v>1251</v>
      </c>
      <c r="C1250" s="3" t="str">
        <f>IFERROR(__xludf.DUMMYFUNCTION("GOOGLETRANSLATE(B1250,""id"",""en"")"),"['Sorry', 'Min', 'Buy', 'Package', 'Unlimited', 'Sinyl', 'AGK', 'Difficult', 'PDHL', 'Package', 'Main', 'Out', ' JGA ',' DKET ',' Tower ',' Sinyl ',' Difficult ',' Please ',' Noted ',' LGI ',' Comfort ',' User ',' Thank ',' Love ']")</f>
        <v>['Sorry', 'Min', 'Buy', 'Package', 'Unlimited', 'Sinyl', 'AGK', 'Difficult', 'PDHL', 'Package', 'Main', 'Out', ' JGA ',' DKET ',' Tower ',' Sinyl ',' Difficult ',' Please ',' Noted ',' LGI ',' Comfort ',' User ',' Thank ',' Love ']</v>
      </c>
      <c r="D1250" s="3">
        <v>2.0</v>
      </c>
    </row>
    <row r="1251" ht="15.75" customHeight="1">
      <c r="A1251" s="1">
        <v>1249.0</v>
      </c>
      <c r="B1251" s="3" t="s">
        <v>1252</v>
      </c>
      <c r="C1251" s="3" t="str">
        <f>IFERROR(__xludf.DUMMYFUNCTION("GOOGLETRANSLATE(B1251,""id"",""en"")"),"['Star', 'love', 'star', 'use', 'Telkomsel', 'account', 'already', 'diamond', 'TPI', 'since' Corona ',' Telkomsel ',' ugly ',' severe ',' price ',' according to ',' quality ',' willing ',' buy ',' package ',' games', 'TPI', 'TTP', 'Nge', 'lag' , 'play', '"&amp;"listen', 'complaints',' customer ',' moved ',' provider ',' price ',' expensive ',' signal ',' good ',' gapapa ',' price ',' Excellent ',' TPI ',' Signal ',' Kopong ']")</f>
        <v>['Star', 'love', 'star', 'use', 'Telkomsel', 'account', 'already', 'diamond', 'TPI', 'since' Corona ',' Telkomsel ',' ugly ',' severe ',' price ',' according to ',' quality ',' willing ',' buy ',' package ',' games', 'TPI', 'TTP', 'Nge', 'lag' , 'play', 'listen', 'complaints',' customer ',' moved ',' provider ',' price ',' expensive ',' signal ',' good ',' gapapa ',' price ',' Excellent ',' TPI ',' Signal ',' Kopong ']</v>
      </c>
      <c r="D1251" s="3">
        <v>1.0</v>
      </c>
    </row>
    <row r="1252" ht="15.75" customHeight="1">
      <c r="A1252" s="1">
        <v>1250.0</v>
      </c>
      <c r="B1252" s="3" t="s">
        <v>1253</v>
      </c>
      <c r="C1252" s="3" t="str">
        <f>IFERROR(__xludf.DUMMYFUNCTION("GOOGLETRANSLATE(B1252,""id"",""en"")"),"['Customer', 'YTH', 'Thank "",' Love ',' Contact ',' Visit ',' Request ',' Complaints ',' Accept ',' Processed ',' Number ',' Ticket ',' cunl ',' status', 'ticket', 'please', 'contact', 'call', 'center', 'accommodating', 'complaint', 'scratch', 'yes',' se"&amp;"eri ',' switch ' , 'operator', 'cellular', 'sending', 'news', 'person', 'at home', 'Cikarang', 'remote', 'network', 'bad', ""]")</f>
        <v>['Customer', 'YTH', 'Thank ",' Love ',' Contact ',' Visit ',' Request ',' Complaints ',' Accept ',' Processed ',' Number ',' Ticket ',' cunl ',' status', 'ticket', 'please', 'contact', 'call', 'center', 'accommodating', 'complaint', 'scratch', 'yes',' seeri ',' switch ' , 'operator', 'cellular', 'sending', 'news', 'person', 'at home', 'Cikarang', 'remote', 'network', 'bad', "]</v>
      </c>
      <c r="D1252" s="3">
        <v>1.0</v>
      </c>
    </row>
    <row r="1253" ht="15.75" customHeight="1">
      <c r="A1253" s="1">
        <v>1251.0</v>
      </c>
      <c r="B1253" s="3" t="s">
        <v>1254</v>
      </c>
      <c r="C1253" s="3" t="str">
        <f>IFERROR(__xludf.DUMMYFUNCTION("GOOGLETRANSLATE(B1253,""id"",""en"")"),"['The network', 'bad', 'strong', 'slow', 'lgi', 'use', 'card', 'byu', 'package', 'unlimited', 'network', 'Telkomsel', ' ',' Sia ',' package ',' ']")</f>
        <v>['The network', 'bad', 'strong', 'slow', 'lgi', 'use', 'card', 'byu', 'package', 'unlimited', 'network', 'Telkomsel', ' ',' Sia ',' package ',' ']</v>
      </c>
      <c r="D1253" s="3">
        <v>1.0</v>
      </c>
    </row>
    <row r="1254" ht="15.75" customHeight="1">
      <c r="A1254" s="1">
        <v>1252.0</v>
      </c>
      <c r="B1254" s="3" t="s">
        <v>1255</v>
      </c>
      <c r="C1254" s="3" t="str">
        <f>IFERROR(__xludf.DUMMYFUNCTION("GOOGLETRANSLATE(B1254,""id"",""en"")"),"['good', 'parahhhh', 'expensive', 'doang', 'comparable', 'quality', 'package', 'cave', 'contents', 'direct', 'angus', 'report' Many ',' nyelesaiin ',' use ',' bales', 'longaa', 'ampe', 'merger', 'wait', '']")</f>
        <v>['good', 'parahhhh', 'expensive', 'doang', 'comparable', 'quality', 'package', 'cave', 'contents', 'direct', 'angus', 'report' Many ',' nyelesaiin ',' use ',' bales', 'longaa', 'ampe', 'merger', 'wait', '']</v>
      </c>
      <c r="D1254" s="3">
        <v>1.0</v>
      </c>
    </row>
    <row r="1255" ht="15.75" customHeight="1">
      <c r="A1255" s="1">
        <v>1253.0</v>
      </c>
      <c r="B1255" s="3" t="s">
        <v>1256</v>
      </c>
      <c r="C1255" s="3" t="str">
        <f>IFERROR(__xludf.DUMMYFUNCTION("GOOGLETRANSLATE(B1255,""id"",""en"")"),"['Show', 'city', 'criticism', 'suggestion', 'application', 'user', 'suggestion', 'reference', 'Telkomsel', 'signal', 'slow', 'satisfying', ' ']")</f>
        <v>['Show', 'city', 'criticism', 'suggestion', 'application', 'user', 'suggestion', 'reference', 'Telkomsel', 'signal', 'slow', 'satisfying', ' ']</v>
      </c>
      <c r="D1255" s="3">
        <v>3.0</v>
      </c>
    </row>
    <row r="1256" ht="15.75" customHeight="1">
      <c r="A1256" s="1">
        <v>1254.0</v>
      </c>
      <c r="B1256" s="3" t="s">
        <v>1257</v>
      </c>
      <c r="C1256" s="3" t="str">
        <f>IFERROR(__xludf.DUMMYFUNCTION("GOOGLETRANSLATE(B1256,""id"",""en"")"),"['Disappointed', 'quota', 'unlimited', 'WhatsApp', 'WhatsApp', 'chat', 'call', 'call', 'call', 'video', 'take-up', 'quota', ' Main ',' ']")</f>
        <v>['Disappointed', 'quota', 'unlimited', 'WhatsApp', 'WhatsApp', 'chat', 'call', 'call', 'call', 'video', 'take-up', 'quota', ' Main ',' ']</v>
      </c>
      <c r="D1256" s="3">
        <v>1.0</v>
      </c>
    </row>
    <row r="1257" ht="15.75" customHeight="1">
      <c r="A1257" s="1">
        <v>1255.0</v>
      </c>
      <c r="B1257" s="3" t="s">
        <v>1258</v>
      </c>
      <c r="C1257" s="3" t="str">
        <f>IFERROR(__xludf.DUMMYFUNCTION("GOOGLETRANSLATE(B1257,""id"",""en"")"),"['APK', 'Changing', 'Network', 'Network', 'Please', 'Information', 'Luwes', 'Hopefully', 'Read', 'Thank you', ""]")</f>
        <v>['APK', 'Changing', 'Network', 'Network', 'Please', 'Information', 'Luwes', 'Hopefully', 'Read', 'Thank you', "]</v>
      </c>
      <c r="D1257" s="3">
        <v>5.0</v>
      </c>
    </row>
    <row r="1258" ht="15.75" customHeight="1">
      <c r="A1258" s="1">
        <v>1256.0</v>
      </c>
      <c r="B1258" s="3" t="s">
        <v>1259</v>
      </c>
      <c r="C1258" s="3" t="str">
        <f>IFERROR(__xludf.DUMMYFUNCTION("GOOGLETRANSLATE(B1258,""id"",""en"")"),"['Customer', 'loyal', 'Telkomsel', 'Telkomsel', 'as good', 'electricity', 'go out', 'signal', 'tcselpun', 'go out', 'worse', 'in the region', ' power outage', '']")</f>
        <v>['Customer', 'loyal', 'Telkomsel', 'Telkomsel', 'as good', 'electricity', 'go out', 'signal', 'tcselpun', 'go out', 'worse', 'in the region', ' power outage', '']</v>
      </c>
      <c r="D1258" s="3">
        <v>3.0</v>
      </c>
    </row>
    <row r="1259" ht="15.75" customHeight="1">
      <c r="A1259" s="1">
        <v>1257.0</v>
      </c>
      <c r="B1259" s="3" t="s">
        <v>1260</v>
      </c>
      <c r="C1259" s="3" t="str">
        <f>IFERROR(__xludf.DUMMYFUNCTION("GOOGLETRANSLATE(B1259,""id"",""en"")"),"['Sorry', 'Sis',' Down ',' Star ',' Network ',' Telkomsel ',' Leet ',' Network ',' Lost ',' That's', 'Sis',' That's', ' Sis', 'Severe', 'Night', 'Sis',' Network ',' Sometimes', 'Lost', 'Looks',' Please ',' Sis', 'Fix', 'Night', 'Hash' , 'Task', 'Lecture',"&amp;" 'Emotion', 'Karna', 'Network', 'Night', 'Leet', 'Like', 'Lost', 'Network', ""]")</f>
        <v>['Sorry', 'Sis',' Down ',' Star ',' Network ',' Telkomsel ',' Leet ',' Network ',' Lost ',' That's', 'Sis',' That's', ' Sis', 'Severe', 'Night', 'Sis',' Network ',' Sometimes', 'Lost', 'Looks',' Please ',' Sis', 'Fix', 'Night', 'Hash' , 'Task', 'Lecture', 'Emotion', 'Karna', 'Network', 'Night', 'Leet', 'Like', 'Lost', 'Network', "]</v>
      </c>
      <c r="D1259" s="3">
        <v>1.0</v>
      </c>
    </row>
    <row r="1260" ht="15.75" customHeight="1">
      <c r="A1260" s="1">
        <v>1258.0</v>
      </c>
      <c r="B1260" s="3" t="s">
        <v>1261</v>
      </c>
      <c r="C1260" s="3" t="str">
        <f>IFERROR(__xludf.DUMMYFUNCTION("GOOGLETRANSLATE(B1260,""id"",""en"")"),"['Package', 'GB', 'Buy', 'Wait', 'Verification', 'Credit', 'Promotions',' Please ',' Verified ',' UDH ',' Clear ',' Application ',' Clear ',' Data ',' Delete ',' Download ',' Application ',' Tetep ',' Gabisa ',' Updated ',' Gajelas', 'Telkomsel']")</f>
        <v>['Package', 'GB', 'Buy', 'Wait', 'Verification', 'Credit', 'Promotions',' Please ',' Verified ',' UDH ',' Clear ',' Application ',' Clear ',' Data ',' Delete ',' Download ',' Application ',' Tetep ',' Gabisa ',' Updated ',' Gajelas', 'Telkomsel']</v>
      </c>
      <c r="D1260" s="3">
        <v>2.0</v>
      </c>
    </row>
    <row r="1261" ht="15.75" customHeight="1">
      <c r="A1261" s="1">
        <v>1259.0</v>
      </c>
      <c r="B1261" s="3" t="s">
        <v>1262</v>
      </c>
      <c r="C1261" s="3" t="str">
        <f>IFERROR(__xludf.DUMMYFUNCTION("GOOGLETRANSLATE(B1261,""id"",""en"")"),"['service', 'opened', 'thank', 'love', 'really', 'choice', 'quota', 'play', 'game', 'unlimited', 'quota', 'medsos',' cheap ',' unfaedah ',' sorry ',' quota ',' benefits', 'mending', 'eliminated', 'greetings',' user ',' loyal ', ""]")</f>
        <v>['service', 'opened', 'thank', 'love', 'really', 'choice', 'quota', 'play', 'game', 'unlimited', 'quota', 'medsos',' cheap ',' unfaedah ',' sorry ',' quota ',' benefits', 'mending', 'eliminated', 'greetings',' user ',' loyal ', "]</v>
      </c>
      <c r="D1261" s="3">
        <v>1.0</v>
      </c>
    </row>
    <row r="1262" ht="15.75" customHeight="1">
      <c r="A1262" s="1">
        <v>1260.0</v>
      </c>
      <c r="B1262" s="3" t="s">
        <v>1263</v>
      </c>
      <c r="C1262" s="3" t="str">
        <f>IFERROR(__xludf.DUMMYFUNCTION("GOOGLETRANSLATE(B1262,""id"",""en"")"),"['', 'card', 'Telkomsel', 'how', 'fill in', 'pulse', 'just', 'night', 'run out', 'data', 'cellular', 'dead', 'card ',' right ',' enter ',' mala ',' pulse ',' crazy ',' emang ']")</f>
        <v>['', 'card', 'Telkomsel', 'how', 'fill in', 'pulse', 'just', 'night', 'run out', 'data', 'cellular', 'dead', 'card ',' right ',' enter ',' mala ',' pulse ',' crazy ',' emang ']</v>
      </c>
      <c r="D1262" s="3">
        <v>1.0</v>
      </c>
    </row>
    <row r="1263" ht="15.75" customHeight="1">
      <c r="A1263" s="1">
        <v>1261.0</v>
      </c>
      <c r="B1263" s="3" t="s">
        <v>1264</v>
      </c>
      <c r="C1263" s="3" t="str">
        <f>IFERROR(__xludf.DUMMYFUNCTION("GOOGLETRANSLATE(B1263,""id"",""en"")"),"['Paketan', 'Bosster', 'Yesterday', 'Stay', 'Buy', 'Credit', 'Packagein', 'Bosster', 'Paketan', 'Boster', 'Out', 'Buy', ' pulses', 'use', 'responsibility', 'people', 'poor']")</f>
        <v>['Paketan', 'Bosster', 'Yesterday', 'Stay', 'Buy', 'Credit', 'Packagein', 'Bosster', 'Paketan', 'Boster', 'Out', 'Buy', ' pulses', 'use', 'responsibility', 'people', 'poor']</v>
      </c>
      <c r="D1263" s="3">
        <v>1.0</v>
      </c>
    </row>
    <row r="1264" ht="15.75" customHeight="1">
      <c r="A1264" s="1">
        <v>1262.0</v>
      </c>
      <c r="B1264" s="3" t="s">
        <v>1265</v>
      </c>
      <c r="C1264" s="3" t="str">
        <f>IFERROR(__xludf.DUMMYFUNCTION("GOOGLETRANSLATE(B1264,""id"",""en"")"),"['Credit', 'buy', 'Yesterday', 'pakek', 'already', 'reduced', 'first', 'events',' already ',' events', 'pakek', 'Lho', ' wahh ',' really ',' fix ',' change ',' prime ',' like ',' gini ',' disappointing ',' ']")</f>
        <v>['Credit', 'buy', 'Yesterday', 'pakek', 'already', 'reduced', 'first', 'events',' already ',' events', 'pakek', 'Lho', ' wahh ',' really ',' fix ',' change ',' prime ',' like ',' gini ',' disappointing ',' ']</v>
      </c>
      <c r="D1264" s="3">
        <v>1.0</v>
      </c>
    </row>
    <row r="1265" ht="15.75" customHeight="1">
      <c r="A1265" s="1">
        <v>1263.0</v>
      </c>
      <c r="B1265" s="3" t="s">
        <v>1266</v>
      </c>
      <c r="C1265" s="3" t="str">
        <f>IFERROR(__xludf.DUMMYFUNCTION("GOOGLETRANSLATE(B1265,""id"",""en"")"),"['Report', 'please', 'fix', 'signal', 'ugly', 'really', 'access',' already ',' report ',' TTP ',' response ',' tell ',' mode ',' plane ',' pdhl ',' doang ',' experience ',' neighbor ',' rich ']")</f>
        <v>['Report', 'please', 'fix', 'signal', 'ugly', 'really', 'access',' already ',' report ',' TTP ',' response ',' tell ',' mode ',' plane ',' pdhl ',' doang ',' experience ',' neighbor ',' rich ']</v>
      </c>
      <c r="D1265" s="3">
        <v>3.0</v>
      </c>
    </row>
    <row r="1266" ht="15.75" customHeight="1">
      <c r="A1266" s="1">
        <v>1264.0</v>
      </c>
      <c r="B1266" s="3" t="s">
        <v>1267</v>
      </c>
      <c r="C1266" s="3" t="str">
        <f>IFERROR(__xludf.DUMMYFUNCTION("GOOGLETRANSLATE(B1266,""id"",""en"")"),"['accessible', 'difficult', 'loading', 'slow', 'balance', 'pulse', 'package', 'bali', 'notif', 'appears',' pulse ',' sufficient ',' Strange ',' Please ',' Help ']")</f>
        <v>['accessible', 'difficult', 'loading', 'slow', 'balance', 'pulse', 'package', 'bali', 'notif', 'appears',' pulse ',' sufficient ',' Strange ',' Please ',' Help ']</v>
      </c>
      <c r="D1266" s="3">
        <v>1.0</v>
      </c>
    </row>
    <row r="1267" ht="15.75" customHeight="1">
      <c r="A1267" s="1">
        <v>1265.0</v>
      </c>
      <c r="B1267" s="3" t="s">
        <v>1268</v>
      </c>
      <c r="C1267" s="3" t="str">
        <f>IFERROR(__xludf.DUMMYFUNCTION("GOOGLETRANSLATE(B1267,""id"",""en"")"),"['The subject to', 'package', 'emergency', 'already', 'package', 'combo', 'call', 'quota', 'right', 'fill', 'pulse', 'sucked', ' Pay, 'horrified', 'Telkomsel', 'already', 'slow', 'leech', 'land', 'must', 'pay', 'package', 'emergency', 'say', 'congratulati"&amp;"ons' , 'Living', 'Telkomsel', 'Horrified', 'Telkomsel', 'Reasoning', 'Maju', 'Indonesia', 'business',' owned ',' State ',' sucking ',' Blood ',' People ',' sad ']")</f>
        <v>['The subject to', 'package', 'emergency', 'already', 'package', 'combo', 'call', 'quota', 'right', 'fill', 'pulse', 'sucked', ' Pay, 'horrified', 'Telkomsel', 'already', 'slow', 'leech', 'land', 'must', 'pay', 'package', 'emergency', 'say', 'congratulations' , 'Living', 'Telkomsel', 'Horrified', 'Telkomsel', 'Reasoning', 'Maju', 'Indonesia', 'business',' owned ',' State ',' sucking ',' Blood ',' People ',' sad ']</v>
      </c>
      <c r="D1267" s="3">
        <v>1.0</v>
      </c>
    </row>
    <row r="1268" ht="15.75" customHeight="1">
      <c r="A1268" s="1">
        <v>1266.0</v>
      </c>
      <c r="B1268" s="3" t="s">
        <v>1269</v>
      </c>
      <c r="C1268" s="3" t="str">
        <f>IFERROR(__xludf.DUMMYFUNCTION("GOOGLETRANSLATE(B1268,""id"",""en"")"),"['Telkomsel', 'synchy', 'ugly', 'play', 'game', 'difficult', 'open', 'udh', 'bankrupt', 'signal', 'ugly', 'upss',' Canda ',' bankrupt ', ""]")</f>
        <v>['Telkomsel', 'synchy', 'ugly', 'play', 'game', 'difficult', 'open', 'udh', 'bankrupt', 'signal', 'ugly', 'upss',' Canda ',' bankrupt ', "]</v>
      </c>
      <c r="D1268" s="3">
        <v>1.0</v>
      </c>
    </row>
    <row r="1269" ht="15.75" customHeight="1">
      <c r="A1269" s="1">
        <v>1267.0</v>
      </c>
      <c r="B1269" s="3" t="s">
        <v>1270</v>
      </c>
      <c r="C1269" s="3" t="str">
        <f>IFERROR(__xludf.DUMMYFUNCTION("GOOGLETRANSLATE(B1269,""id"",""en"")"),"['Please', 'Fix', 'Tower', 'Jarigan', 'Signal', 'Prov', 'Jambi', 'Kab', 'Tebo', 'Kec', 'Tebo', 'Ulu', ' village ',' Tanjung ',' Aur ',' Telago ',' Mudo ',' troubling ',' community ',' communicating ',' please ',' respond ']")</f>
        <v>['Please', 'Fix', 'Tower', 'Jarigan', 'Signal', 'Prov', 'Jambi', 'Kab', 'Tebo', 'Kec', 'Tebo', 'Ulu', ' village ',' Tanjung ',' Aur ',' Telago ',' Mudo ',' troubling ',' community ',' communicating ',' please ',' respond ']</v>
      </c>
      <c r="D1269" s="3">
        <v>1.0</v>
      </c>
    </row>
    <row r="1270" ht="15.75" customHeight="1">
      <c r="A1270" s="1">
        <v>1268.0</v>
      </c>
      <c r="B1270" s="3" t="s">
        <v>1271</v>
      </c>
      <c r="C1270" s="3" t="str">
        <f>IFERROR(__xludf.DUMMYFUNCTION("GOOGLETRANSLATE(B1270,""id"",""en"")"),"['application', 'bad', 'stamp', 'daily', 'check', 'gift', 'claimed', 'tip', 'stamp', 'scorched', 'bsa', ' Discard ',' Package ',' ']")</f>
        <v>['application', 'bad', 'stamp', 'daily', 'check', 'gift', 'claimed', 'tip', 'stamp', 'scorched', 'bsa', ' Discard ',' Package ',' ']</v>
      </c>
      <c r="D1270" s="3">
        <v>1.0</v>
      </c>
    </row>
    <row r="1271" ht="15.75" customHeight="1">
      <c r="A1271" s="1">
        <v>1269.0</v>
      </c>
      <c r="B1271" s="3" t="s">
        <v>1272</v>
      </c>
      <c r="C1271" s="3" t="str">
        <f>IFERROR(__xludf.DUMMYFUNCTION("GOOGLETRANSLATE(B1271,""id"",""en"")"),"['serusion', 'oath', 'twingg', 'connection', 'ePEP', 'Say', 'BURIK', 'Crazy', 'Severe', 'Send', 'Message', 'Kek', ' Abat ',' waking ',' nyesek ',' really ',' ']")</f>
        <v>['serusion', 'oath', 'twingg', 'connection', 'ePEP', 'Say', 'BURIK', 'Crazy', 'Severe', 'Send', 'Message', 'Kek', ' Abat ',' waking ',' nyesek ',' really ',' ']</v>
      </c>
      <c r="D1271" s="3">
        <v>1.0</v>
      </c>
    </row>
    <row r="1272" ht="15.75" customHeight="1">
      <c r="A1272" s="1">
        <v>1270.0</v>
      </c>
      <c r="B1272" s="3" t="s">
        <v>1273</v>
      </c>
      <c r="C1272" s="3" t="str">
        <f>IFERROR(__xludf.DUMMYFUNCTION("GOOGLETRANSLATE(B1272,""id"",""en"")"),"['Sis',' Telkomsel ',' Region ',' Sunday ',' Signal ',' near ',' home ',' stand ',' Tower ',' Operator ',' Activate ',' Signal ',' Telkomsel ',' missing ',' signal ',' please ',' solution ',' Sis', 'mksh']")</f>
        <v>['Sis',' Telkomsel ',' Region ',' Sunday ',' Signal ',' near ',' home ',' stand ',' Tower ',' Operator ',' Activate ',' Signal ',' Telkomsel ',' missing ',' signal ',' please ',' solution ',' Sis', 'mksh']</v>
      </c>
      <c r="D1272" s="3">
        <v>2.0</v>
      </c>
    </row>
    <row r="1273" ht="15.75" customHeight="1">
      <c r="A1273" s="1">
        <v>1271.0</v>
      </c>
      <c r="B1273" s="3" t="s">
        <v>1274</v>
      </c>
      <c r="C1273" s="3" t="str">
        <f>IFERROR(__xludf.DUMMYFUNCTION("GOOGLETRANSLATE(B1273,""id"",""en"")"),"['CDP', 'DAK', 'DOES', 'Buy', 'Card', 'Telkomsel', 'Network', 'Down', 'Oath', 'Buy', 'Card', 'JLK', ' "", 'Application', 'BURIK', 'I', 'SANDIN', 'PAKEK', 'Card', 'You', 'Good', 'Thu', '']")</f>
        <v>['CDP', 'DAK', 'DOES', 'Buy', 'Card', 'Telkomsel', 'Network', 'Down', 'Oath', 'Buy', 'Card', 'JLK', ' ", 'Application', 'BURIK', 'I', 'SANDIN', 'PAKEK', 'Card', 'You', 'Good', 'Thu', '']</v>
      </c>
      <c r="D1273" s="3">
        <v>1.0</v>
      </c>
    </row>
    <row r="1274" ht="15.75" customHeight="1">
      <c r="A1274" s="1">
        <v>1272.0</v>
      </c>
      <c r="B1274" s="3" t="s">
        <v>1275</v>
      </c>
      <c r="C1274" s="3" t="str">
        <f>IFERROR(__xludf.DUMMYFUNCTION("GOOGLETRANSLATE(B1274,""id"",""en"")"),"['users',' Telkomsel ',' Change ',' card ',' card ',' Indosat ',' Tri ',' Smartfren ',' Telkomsel ',' disappointing ',' use ',' Telkomsel ',' Normal ',' really ',' network ',' since 'since holiday', 'Corona', 'covid', 'threat', 'really', 'network', 'task'"&amp;", 'need', 'internet' , 'Ngejin', 'users', 'Telkomsel', 'replace', 'annoying', 'excited', 'watch', 'play', 'game', 'etc.']")</f>
        <v>['users',' Telkomsel ',' Change ',' card ',' card ',' Indosat ',' Tri ',' Smartfren ',' Telkomsel ',' disappointing ',' use ',' Telkomsel ',' Normal ',' really ',' network ',' since 'since holiday', 'Corona', 'covid', 'threat', 'really', 'network', 'task', 'need', 'internet' , 'Ngejin', 'users', 'Telkomsel', 'replace', 'annoying', 'excited', 'watch', 'play', 'game', 'etc.']</v>
      </c>
      <c r="D1274" s="3">
        <v>1.0</v>
      </c>
    </row>
    <row r="1275" ht="15.75" customHeight="1">
      <c r="A1275" s="1">
        <v>1273.0</v>
      </c>
      <c r="B1275" s="3" t="s">
        <v>1276</v>
      </c>
      <c r="C1275" s="3" t="str">
        <f>IFERROR(__xludf.DUMMYFUNCTION("GOOGLETRANSLATE(B1275,""id"",""en"")"),"['Telkomsel', 'yes',' expensive ',' network ',' okay ',' the opposite ',' pay ',' expensive ',' network ',' slow ',' open ',' Telkomsel ',' Wait ',' alternating ',' muter ',' mulu ',' promo ',' warrik ',' zonk ',' ']")</f>
        <v>['Telkomsel', 'yes',' expensive ',' network ',' okay ',' the opposite ',' pay ',' expensive ',' network ',' slow ',' open ',' Telkomsel ',' Wait ',' alternating ',' muter ',' mulu ',' promo ',' warrik ',' zonk ',' ']</v>
      </c>
      <c r="D1275" s="3">
        <v>1.0</v>
      </c>
    </row>
    <row r="1276" ht="15.75" customHeight="1">
      <c r="A1276" s="1">
        <v>1274.0</v>
      </c>
      <c r="B1276" s="3" t="s">
        <v>1277</v>
      </c>
      <c r="C1276" s="3" t="str">
        <f>IFERROR(__xludf.DUMMYFUNCTION("GOOGLETRANSLATE(B1276,""id"",""en"")"),"['buy', 'package', 'quota', 'unlimited', 'entry', 'pulse', 'reduced', 'package', 'enter', 'please', 'loss',' quota ',' Learning ',' Credit ',' Sumpot ',' Quota ',' Enter ',' TEWL ',' Hopefully ',' Allah ',' Reply ',' Setimpal ']")</f>
        <v>['buy', 'package', 'quota', 'unlimited', 'entry', 'pulse', 'reduced', 'package', 'enter', 'please', 'loss',' quota ',' Learning ',' Credit ',' Sumpot ',' Quota ',' Enter ',' TEWL ',' Hopefully ',' Allah ',' Reply ',' Setimpal ']</v>
      </c>
      <c r="D1276" s="3">
        <v>1.0</v>
      </c>
    </row>
    <row r="1277" ht="15.75" customHeight="1">
      <c r="A1277" s="1">
        <v>1275.0</v>
      </c>
      <c r="B1277" s="3" t="s">
        <v>1278</v>
      </c>
      <c r="C1277" s="3" t="str">
        <f>IFERROR(__xludf.DUMMYFUNCTION("GOOGLETRANSLATE(B1277,""id"",""en"")"),"['Telkomsel', 'Region', 'Bumiayu', 'Kab', 'Brebes',' Signal ',' Lemot ',' Very ',' Pas', 'Ajibarang', 'Kab', 'Banyumas',' signal ',' smooth ',' please ',' contact ',' work ',' Telkomsel ',' Bumiayu ',' signal ',' slow ',' really ',' sleep ',' no ',' work "&amp;"' , 'salary', 'please', 'signal', 'area', 'bumiyu', 'slow', 'really', 'please', 'repaired', 'replace', 'operator', 'buy', ' Paketan ',' expensive ',' expensive ',' signal ']")</f>
        <v>['Telkomsel', 'Region', 'Bumiayu', 'Kab', 'Brebes',' Signal ',' Lemot ',' Very ',' Pas', 'Ajibarang', 'Kab', 'Banyumas',' signal ',' smooth ',' please ',' contact ',' work ',' Telkomsel ',' Bumiayu ',' signal ',' slow ',' really ',' sleep ',' no ',' work ' , 'salary', 'please', 'signal', 'area', 'bumiyu', 'slow', 'really', 'please', 'repaired', 'replace', 'operator', 'buy', ' Paketan ',' expensive ',' expensive ',' signal ']</v>
      </c>
      <c r="D1277" s="3">
        <v>2.0</v>
      </c>
    </row>
    <row r="1278" ht="15.75" customHeight="1">
      <c r="A1278" s="1">
        <v>1276.0</v>
      </c>
      <c r="B1278" s="3" t="s">
        <v>1279</v>
      </c>
      <c r="C1278" s="3" t="str">
        <f>IFERROR(__xludf.DUMMYFUNCTION("GOOGLETRANSLATE(B1278,""id"",""en"")"),"['Please', 'responded', 'Telkomsel', 'Dear', 'finished', 'Success',' charging ',' Package ',' call ',' per day ',' April ',' Application ',' Linkaja ',' truncated ',' balance ',' Package ',' telephone ',' SUCCESS ',' ']")</f>
        <v>['Please', 'responded', 'Telkomsel', 'Dear', 'finished', 'Success',' charging ',' Package ',' call ',' per day ',' April ',' Application ',' Linkaja ',' truncated ',' balance ',' Package ',' telephone ',' SUCCESS ',' ']</v>
      </c>
      <c r="D1278" s="3">
        <v>1.0</v>
      </c>
    </row>
    <row r="1279" ht="15.75" customHeight="1">
      <c r="A1279" s="1">
        <v>1277.0</v>
      </c>
      <c r="B1279" s="3" t="s">
        <v>1280</v>
      </c>
      <c r="C1279" s="3" t="str">
        <f>IFERROR(__xludf.DUMMYFUNCTION("GOOGLETRANSLATE(B1279,""id"",""en"")"),"['buy', 'package', 'promo', 'use', 'displayed', 'bought', 'pulse', 'contents',' please ',' mbak ',' mas', 'admin', ' ']")</f>
        <v>['buy', 'package', 'promo', 'use', 'displayed', 'bought', 'pulse', 'contents',' please ',' mbak ',' mas', 'admin', ' ']</v>
      </c>
      <c r="D1279" s="3">
        <v>2.0</v>
      </c>
    </row>
    <row r="1280" ht="15.75" customHeight="1">
      <c r="A1280" s="1">
        <v>1278.0</v>
      </c>
      <c r="B1280" s="3" t="s">
        <v>1281</v>
      </c>
      <c r="C1280" s="3" t="str">
        <f>IFERROR(__xludf.DUMMYFUNCTION("GOOGLETRANSLATE(B1280,""id"",""en"")"),"['how', 'the network', 'strange', 'open', 'sosmed', 'normal', 'used', 'ngegame', 'network', 'ilang', 'ilang', 'already', ' mode ',' plane ',' etc. ',' strange ',' network ',' telkomsel ',' already ',' expensive ',' network ',' ilang ',' rigi ',' loss', 'b"&amp;"uy' , 'Telkomsel', 'please', 'repaired', 'the network']")</f>
        <v>['how', 'the network', 'strange', 'open', 'sosmed', 'normal', 'used', 'ngegame', 'network', 'ilang', 'ilang', 'already', ' mode ',' plane ',' etc. ',' strange ',' network ',' telkomsel ',' already ',' expensive ',' network ',' ilang ',' rigi ',' loss', 'buy' , 'Telkomsel', 'please', 'repaired', 'the network']</v>
      </c>
      <c r="D1280" s="3">
        <v>1.0</v>
      </c>
    </row>
    <row r="1281" ht="15.75" customHeight="1">
      <c r="A1281" s="1">
        <v>1279.0</v>
      </c>
      <c r="B1281" s="3" t="s">
        <v>1282</v>
      </c>
      <c r="C1281" s="3" t="str">
        <f>IFERROR(__xludf.DUMMYFUNCTION("GOOGLETRANSLATE(B1281,""id"",""en"")"),"['ugly', 'error', 'package', 'buy', 'appears',' move ',' please ',' need ',' really ',' package ',' unlimited ',' max ',' Remove ',' Okay ',' Lays', '']")</f>
        <v>['ugly', 'error', 'package', 'buy', 'appears',' move ',' please ',' need ',' really ',' package ',' unlimited ',' max ',' Remove ',' Okay ',' Lays', '']</v>
      </c>
      <c r="D1281" s="3">
        <v>1.0</v>
      </c>
    </row>
    <row r="1282" ht="15.75" customHeight="1">
      <c r="A1282" s="1">
        <v>1280.0</v>
      </c>
      <c r="B1282" s="3" t="s">
        <v>1283</v>
      </c>
      <c r="C1282" s="3" t="str">
        <f>IFERROR(__xludf.DUMMYFUNCTION("GOOGLETRANSLATE(B1282,""id"",""en"")"),"['Celeng', 'dick', 'tempek', 'dick', 'quota', 'expensive', 'signal', 'nggk', 'support', 'delete', 'prime', 'sister', ' People ',' Doang ',' NgrUS ',' Delete ',' Perdana ', ""]")</f>
        <v>['Celeng', 'dick', 'tempek', 'dick', 'quota', 'expensive', 'signal', 'nggk', 'support', 'delete', 'prime', 'sister', ' People ',' Doang ',' NgrUS ',' Delete ',' Perdana ', "]</v>
      </c>
      <c r="D1282" s="3">
        <v>1.0</v>
      </c>
    </row>
    <row r="1283" ht="15.75" customHeight="1">
      <c r="A1283" s="1">
        <v>1281.0</v>
      </c>
      <c r="B1283" s="3" t="s">
        <v>1284</v>
      </c>
      <c r="C1283" s="3" t="str">
        <f>IFERROR(__xludf.DUMMYFUNCTION("GOOGLETRANSLATE(B1283,""id"",""en"")"),"['Constraints', 'Network', 'Troubled', 'Clock', 'Price', 'Provider', 'Quality', 'Disappointing', '']")</f>
        <v>['Constraints', 'Network', 'Troubled', 'Clock', 'Price', 'Provider', 'Quality', 'Disappointing', '']</v>
      </c>
      <c r="D1283" s="3">
        <v>1.0</v>
      </c>
    </row>
    <row r="1284" ht="15.75" customHeight="1">
      <c r="A1284" s="1">
        <v>1282.0</v>
      </c>
      <c r="B1284" s="3" t="s">
        <v>1285</v>
      </c>
      <c r="C1284" s="3" t="str">
        <f>IFERROR(__xludf.DUMMYFUNCTION("GOOGLETRANSLATE(B1284,""id"",""en"")"),"['Please', 'The application', 'repaired', 'Kaga', 'Log', 'how doaaaa', 'thisiiii', 'susaah', 'buy', 'package', 'please', 'conditioned', ' ']")</f>
        <v>['Please', 'The application', 'repaired', 'Kaga', 'Log', 'how doaaaa', 'thisiiii', 'susaah', 'buy', 'package', 'please', 'conditioned', ' ']</v>
      </c>
      <c r="D1284" s="3">
        <v>3.0</v>
      </c>
    </row>
    <row r="1285" ht="15.75" customHeight="1">
      <c r="A1285" s="1">
        <v>1283.0</v>
      </c>
      <c r="B1285" s="3" t="s">
        <v>1286</v>
      </c>
      <c r="C1285" s="3" t="str">
        <f>IFERROR(__xludf.DUMMYFUNCTION("GOOGLETRANSLATE(B1285,""id"",""en"")"),"['bar', 'signal', 'full', 'internet', 'ngak', 'use', 'veronika', 'dumpo', 'really', 'use', 'card', 'hello', ' Borosssssss', 'Crazy']")</f>
        <v>['bar', 'signal', 'full', 'internet', 'ngak', 'use', 'veronika', 'dumpo', 'really', 'use', 'card', 'hello', ' Borosssssss', 'Crazy']</v>
      </c>
      <c r="D1285" s="3">
        <v>1.0</v>
      </c>
    </row>
    <row r="1286" ht="15.75" customHeight="1">
      <c r="A1286" s="1">
        <v>1284.0</v>
      </c>
      <c r="B1286" s="3" t="s">
        <v>1287</v>
      </c>
      <c r="C1286" s="3" t="str">
        <f>IFERROR(__xludf.DUMMYFUNCTION("GOOGLETRANSLATE(B1286,""id"",""en"")"),"['already', 'unistal', 'ajha', 'nie', 'application', 'mytelkom', 'bngt', 'mlh', 'kacawa', 'right', 'open', 'mentally', ' Mulu ',' told ',' Open ',' enter ',' via ',' SMS ',' then ',' click ',' enter ',' Crom ',' bngt ',' stick ',' type ' , 'BERES', 'Safe'"&amp;"]")</f>
        <v>['already', 'unistal', 'ajha', 'nie', 'application', 'mytelkom', 'bngt', 'mlh', 'kacawa', 'right', 'open', 'mentally', ' Mulu ',' told ',' Open ',' enter ',' via ',' SMS ',' then ',' click ',' enter ',' Crom ',' bngt ',' stick ',' type ' , 'BERES', 'Safe']</v>
      </c>
      <c r="D1286" s="3">
        <v>1.0</v>
      </c>
    </row>
    <row r="1287" ht="15.75" customHeight="1">
      <c r="A1287" s="1">
        <v>1285.0</v>
      </c>
      <c r="B1287" s="3" t="s">
        <v>1288</v>
      </c>
      <c r="C1287" s="3" t="str">
        <f>IFERROR(__xludf.DUMMYFUNCTION("GOOGLETRANSLATE(B1287,""id"",""en"")"),"['Sis', 'Play', 'Game', 'Sometimes', 'Move', 'Signal', 'Dri', 'Ngelag', 'Sis', ""]")</f>
        <v>['Sis', 'Play', 'Game', 'Sometimes', 'Move', 'Signal', 'Dri', 'Ngelag', 'Sis', "]</v>
      </c>
      <c r="D1287" s="3">
        <v>2.0</v>
      </c>
    </row>
    <row r="1288" ht="15.75" customHeight="1">
      <c r="A1288" s="1">
        <v>1286.0</v>
      </c>
      <c r="B1288" s="3" t="s">
        <v>1289</v>
      </c>
      <c r="C1288" s="3" t="str">
        <f>IFERROR(__xludf.DUMMYFUNCTION("GOOGLETRANSLATE(B1288,""id"",""en"")"),"['application', 'Telkomsel', 'improvement', 'kah', 'yesterday', 'yesterday', 'difficult', 'really', 'entry', 'handling', 'do', 'love', ' star ',' zero ',' love ',' application ',' Telkomsel ',' service ',' user ']")</f>
        <v>['application', 'Telkomsel', 'improvement', 'kah', 'yesterday', 'yesterday', 'difficult', 'really', 'entry', 'handling', 'do', 'love', ' star ',' zero ',' love ',' application ',' Telkomsel ',' service ',' user ']</v>
      </c>
      <c r="D1288" s="3">
        <v>1.0</v>
      </c>
    </row>
    <row r="1289" ht="15.75" customHeight="1">
      <c r="A1289" s="1">
        <v>1287.0</v>
      </c>
      <c r="B1289" s="3" t="s">
        <v>1290</v>
      </c>
      <c r="C1289" s="3" t="str">
        <f>IFERROR(__xludf.DUMMYFUNCTION("GOOGLETRANSLATE(B1289,""id"",""en"")"),"['here', 'sympathy', 'signal', 'ugly', 'really', 'maen', 'game', 'muter', 'sleep', 'package', 'mhal', 'should', ' signal ',' good ',' TPI ',' here ',' bnget ',' Telkomsel ',' ganguan ',' disappointed ']")</f>
        <v>['here', 'sympathy', 'signal', 'ugly', 'really', 'maen', 'game', 'muter', 'sleep', 'package', 'mhal', 'should', ' signal ',' good ',' TPI ',' here ',' bnget ',' Telkomsel ',' ganguan ',' disappointed ']</v>
      </c>
      <c r="D1289" s="3">
        <v>1.0</v>
      </c>
    </row>
    <row r="1290" ht="15.75" customHeight="1">
      <c r="A1290" s="1">
        <v>1288.0</v>
      </c>
      <c r="B1290" s="3" t="s">
        <v>1291</v>
      </c>
      <c r="C1290" s="3" t="str">
        <f>IFERROR(__xludf.DUMMYFUNCTION("GOOGLETRANSLATE(B1290,""id"",""en"")"),"['Please', 'Telkomsel', 'SIFE', 'complaint', 'APK', 'opened', 'JNG', 'Hannya', 'chasing', 'profit', 'community', 'user', ' cards', 'Telkomsel', 'disappointed', 'buy', 'package', 'please', 'increase', 'service', 'Hannya', 'develop', 'application', 'etc.' ,"&amp;" 'useful', '']")</f>
        <v>['Please', 'Telkomsel', 'SIFE', 'complaint', 'APK', 'opened', 'JNG', 'Hannya', 'chasing', 'profit', 'community', 'user', ' cards', 'Telkomsel', 'disappointed', 'buy', 'package', 'please', 'increase', 'service', 'Hannya', 'develop', 'application', 'etc.' , 'useful', '']</v>
      </c>
      <c r="D1290" s="3">
        <v>2.0</v>
      </c>
    </row>
    <row r="1291" ht="15.75" customHeight="1">
      <c r="A1291" s="1">
        <v>1289.0</v>
      </c>
      <c r="B1291" s="3" t="s">
        <v>1292</v>
      </c>
      <c r="C1291" s="3" t="str">
        <f>IFERROR(__xludf.DUMMYFUNCTION("GOOGLETRANSLATE(B1291,""id"",""en"")"),"['sorry', 'mimin', 'ask', 'knpa', 'skrng', 'entry', 'telkomsel', 'kirain', 'obstacle', 'already', 'bnyak', 'people', ' Explore ',' Constraints', 'Please', 'Fix', 'Thank you']")</f>
        <v>['sorry', 'mimin', 'ask', 'knpa', 'skrng', 'entry', 'telkomsel', 'kirain', 'obstacle', 'already', 'bnyak', 'people', ' Explore ',' Constraints', 'Please', 'Fix', 'Thank you']</v>
      </c>
      <c r="D1291" s="3">
        <v>5.0</v>
      </c>
    </row>
    <row r="1292" ht="15.75" customHeight="1">
      <c r="A1292" s="1">
        <v>1290.0</v>
      </c>
      <c r="B1292" s="3" t="s">
        <v>1293</v>
      </c>
      <c r="C1292" s="3" t="str">
        <f>IFERROR(__xludf.DUMMYFUNCTION("GOOGLETRANSLATE(B1292,""id"",""en"")"),"['Developer', 'Telkomsel', 'Dear', 'Sorry', 'Love', 'Bintang', 'Package', 'Active', 'Package', 'Help', 'Internet', 'Kemendikbud', ' Package ',' Streaming ',' Video ',' The story ',' Package ',' Help ',' Internet ',' Government ',' Kekeke ',' Package ',' A"&amp;"ctive ',' Live ',' whole ' , 'Please', 'repaired', 'detrimental']")</f>
        <v>['Developer', 'Telkomsel', 'Dear', 'Sorry', 'Love', 'Bintang', 'Package', 'Active', 'Package', 'Help', 'Internet', 'Kemendikbud', ' Package ',' Streaming ',' Video ',' The story ',' Package ',' Help ',' Internet ',' Government ',' Kekeke ',' Package ',' Active ',' Live ',' whole ' , 'Please', 'repaired', 'detrimental']</v>
      </c>
      <c r="D1292" s="3">
        <v>1.0</v>
      </c>
    </row>
    <row r="1293" ht="15.75" customHeight="1">
      <c r="A1293" s="1">
        <v>1291.0</v>
      </c>
      <c r="B1293" s="3" t="s">
        <v>1294</v>
      </c>
      <c r="C1293" s="3" t="str">
        <f>IFERROR(__xludf.DUMMYFUNCTION("GOOGLETRANSLATE(B1293,""id"",""en"")"),"['Out', 'Download', 'Login', 'Cana', 'UDH', 'Entering', 'Nomer', 'Bener', 'Sampe', 'Search', 'YouTube', 'GMNA', ' Login ',' Telkomsel ',' Display ',' Login ',' Different ',' YouTube ', ""]")</f>
        <v>['Out', 'Download', 'Login', 'Cana', 'UDH', 'Entering', 'Nomer', 'Bener', 'Sampe', 'Search', 'YouTube', 'GMNA', ' Login ',' Telkomsel ',' Display ',' Login ',' Different ',' YouTube ', "]</v>
      </c>
      <c r="D1293" s="3">
        <v>1.0</v>
      </c>
    </row>
    <row r="1294" ht="15.75" customHeight="1">
      <c r="A1294" s="1">
        <v>1292.0</v>
      </c>
      <c r="B1294" s="3" t="s">
        <v>1295</v>
      </c>
      <c r="C1294" s="3" t="str">
        <f>IFERROR(__xludf.DUMMYFUNCTION("GOOGLETRANSLATE(B1294,""id"",""en"")"),"['Since', 'Change', 'Version', 'Difficult', 'Login', 'Network', 'Good', 'Use', 'WiFi', 'Hard', 'Opened', 'Clear', ' Chace ',' Clear ',' All ',' Data ',' Froce ',' Close ',' Difficult ',' Login ',' Transaction ',' Please ',' Repair ',' Thanks', ""]")</f>
        <v>['Since', 'Change', 'Version', 'Difficult', 'Login', 'Network', 'Good', 'Use', 'WiFi', 'Hard', 'Opened', 'Clear', ' Chace ',' Clear ',' All ',' Data ',' Froce ',' Close ',' Difficult ',' Login ',' Transaction ',' Please ',' Repair ',' Thanks', "]</v>
      </c>
      <c r="D1294" s="3">
        <v>1.0</v>
      </c>
    </row>
    <row r="1295" ht="15.75" customHeight="1">
      <c r="A1295" s="1">
        <v>1293.0</v>
      </c>
      <c r="B1295" s="3" t="s">
        <v>1296</v>
      </c>
      <c r="C1295" s="3" t="str">
        <f>IFERROR(__xludf.DUMMYFUNCTION("GOOGLETRANSLATE(B1295,""id"",""en"")"),"['', 'Ngab', 'name', 'Telkomsel', 'replace', 'telkontol', 'telkomnyet', 'telkommemek', 'telkey', 'choose', 'wrong', 'play', 'close ',' Tower ',' ngeleg ',' how ',' invites', 'fight', 'power', 'complain', 'knp', 'credit', 'missing', 'package', 'data', 'liv"&amp;"e', 'data', 'cellular', 'right', 'malem', 'malem', 'buy', 'package', 'malem', 'pulse', 'what', 'ngab']")</f>
        <v>['', 'Ngab', 'name', 'Telkomsel', 'replace', 'telkontol', 'telkomnyet', 'telkommemek', 'telkey', 'choose', 'wrong', 'play', 'close ',' Tower ',' ngeleg ',' how ',' invites', 'fight', 'power', 'complain', 'knp', 'credit', 'missing', 'package', 'data', 'live', 'data', 'cellular', 'right', 'malem', 'malem', 'buy', 'package', 'malem', 'pulse', 'what', 'ngab']</v>
      </c>
      <c r="D1295" s="3">
        <v>2.0</v>
      </c>
    </row>
    <row r="1296" ht="15.75" customHeight="1">
      <c r="A1296" s="1">
        <v>1294.0</v>
      </c>
      <c r="B1296" s="3" t="s">
        <v>1297</v>
      </c>
      <c r="C1296" s="3" t="str">
        <f>IFERROR(__xludf.DUMMYFUNCTION("GOOGLETRANSLATE(B1296,""id"",""en"")"),"['GMN', 'Signal', 'Mulu', 'Ngejin', 'Task', 'LOL', 'Play', 'Game', 'Ngelag', 'Ngelag', 'Pas',' Daily ',' Check ',' entry ',' quota ',' pulse ',' point ',' claim ',' entry ',' already ',' claim ',' gift ',' rendem ',' enter ',' vain ' , 'Sia', 'Wait', 'Sun"&amp;"day', 'get']")</f>
        <v>['GMN', 'Signal', 'Mulu', 'Ngejin', 'Task', 'LOL', 'Play', 'Game', 'Ngelag', 'Ngelag', 'Pas',' Daily ',' Check ',' entry ',' quota ',' pulse ',' point ',' claim ',' entry ',' already ',' claim ',' gift ',' rendem ',' enter ',' vain ' , 'Sia', 'Wait', 'Sunday', 'get']</v>
      </c>
      <c r="D1296" s="3">
        <v>1.0</v>
      </c>
    </row>
    <row r="1297" ht="15.75" customHeight="1">
      <c r="A1297" s="1">
        <v>1295.0</v>
      </c>
      <c r="B1297" s="3" t="s">
        <v>1298</v>
      </c>
      <c r="C1297" s="3" t="str">
        <f>IFERROR(__xludf.DUMMYFUNCTION("GOOGLETRANSLATE(B1297,""id"",""en"")"),"['updated', 'open', 'how', 'has the potential', 'detrimental', 'right', 'consumer', 'Please', 'cooperation', ""]")</f>
        <v>['updated', 'open', 'how', 'has the potential', 'detrimental', 'right', 'consumer', 'Please', 'cooperation', "]</v>
      </c>
      <c r="D1297" s="3">
        <v>1.0</v>
      </c>
    </row>
    <row r="1298" ht="15.75" customHeight="1">
      <c r="A1298" s="1">
        <v>1296.0</v>
      </c>
      <c r="B1298" s="3" t="s">
        <v>1299</v>
      </c>
      <c r="C1298" s="3" t="str">
        <f>IFERROR(__xludf.DUMMYFUNCTION("GOOGLETRANSLATE(B1298,""id"",""en"")"),"['YTH', 'Telkomsel', 'Please', 'Tower', 'Telkomsel', 'Area', 'Ponggok', 'Klaten', 'Repaired', 'What's',' Sousal ',' Good ',' little ',' mystics', 'signal', 'ugly', 'really', 'card', 'already', 'already', 'feature', 'experience', 'program', 'tetep', 'signa"&amp;"l' , 'ugly', 'feeling', 'my house', 'plosok', 'plosok', 'hope', 'repaired', 'thank you', ""]")</f>
        <v>['YTH', 'Telkomsel', 'Please', 'Tower', 'Telkomsel', 'Area', 'Ponggok', 'Klaten', 'Repaired', 'What's',' Sousal ',' Good ',' little ',' mystics', 'signal', 'ugly', 'really', 'card', 'already', 'already', 'feature', 'experience', 'program', 'tetep', 'signal' , 'ugly', 'feeling', 'my house', 'plosok', 'plosok', 'hope', 'repaired', 'thank you', "]</v>
      </c>
      <c r="D1298" s="3">
        <v>1.0</v>
      </c>
    </row>
    <row r="1299" ht="15.75" customHeight="1">
      <c r="A1299" s="1">
        <v>1297.0</v>
      </c>
      <c r="B1299" s="3" t="s">
        <v>1300</v>
      </c>
      <c r="C1299" s="3" t="str">
        <f>IFERROR(__xludf.DUMMYFUNCTION("GOOGLETRANSLATE(B1299,""id"",""en"")"),"['Disappointed', 'at the time', 'Need', 'Package', 'Enter', 'Application', 'MyTelkomsel', 'Sampek', 'Uninstall', 'Application', 'Install']")</f>
        <v>['Disappointed', 'at the time', 'Need', 'Package', 'Enter', 'Application', 'MyTelkomsel', 'Sampek', 'Uninstall', 'Application', 'Install']</v>
      </c>
      <c r="D1299" s="3">
        <v>1.0</v>
      </c>
    </row>
    <row r="1300" ht="15.75" customHeight="1">
      <c r="A1300" s="1">
        <v>1298.0</v>
      </c>
      <c r="B1300" s="3" t="s">
        <v>1301</v>
      </c>
      <c r="C1300" s="3" t="str">
        <f>IFERROR(__xludf.DUMMYFUNCTION("GOOGLETRANSLATE(B1300,""id"",""en"")"),"['Telkomsel', 'skrng', 'boss',' really ',' signal ',' strong ',' archipelago ',' TPI ',' in fact ',' letoi ',' klh ',' smartfrend ',' pdhal ',' dlu ',' kek ',' gini ',' loo ',' cook ',' bka ',' sosmed ',' muter ',' then ',' toy ',' auto ',' lose ' , 'then"&amp;"', 'slow', 'kek', 'snail', 'city', 'as', 'user', 'tens', 'disappointed', 'repay', ""]")</f>
        <v>['Telkomsel', 'skrng', 'boss',' really ',' signal ',' strong ',' archipelago ',' TPI ',' in fact ',' letoi ',' klh ',' smartfrend ',' pdhal ',' dlu ',' kek ',' gini ',' loo ',' cook ',' bka ',' sosmed ',' muter ',' then ',' toy ',' auto ',' lose ' , 'then', 'slow', 'kek', 'snail', 'city', 'as', 'user', 'tens', 'disappointed', 'repay', "]</v>
      </c>
      <c r="D1300" s="3">
        <v>1.0</v>
      </c>
    </row>
    <row r="1301" ht="15.75" customHeight="1">
      <c r="A1301" s="1">
        <v>1299.0</v>
      </c>
      <c r="B1301" s="3" t="s">
        <v>1302</v>
      </c>
      <c r="C1301" s="3" t="str">
        <f>IFERROR(__xludf.DUMMYFUNCTION("GOOGLETRANSLATE(B1301,""id"",""en"")"),"['Disappointed', 'System', 'yes',' run out ',' Ludes', 'count', 'second', 'run out', 'quota', 'Telkomsel', 'thousand', 'rupiah', ' Crazy ',' Telkomsel ',' extortion ',' card ',' prime ',' oath ',' really ',' disappointed ']")</f>
        <v>['Disappointed', 'System', 'yes',' run out ',' Ludes', 'count', 'second', 'run out', 'quota', 'Telkomsel', 'thousand', 'rupiah', ' Crazy ',' Telkomsel ',' extortion ',' card ',' prime ',' oath ',' really ',' disappointed ']</v>
      </c>
      <c r="D1301" s="3">
        <v>1.0</v>
      </c>
    </row>
    <row r="1302" ht="15.75" customHeight="1">
      <c r="A1302" s="1">
        <v>1300.0</v>
      </c>
      <c r="B1302" s="3" t="s">
        <v>1303</v>
      </c>
      <c r="C1302" s="3" t="str">
        <f>IFERROR(__xludf.DUMMYFUNCTION("GOOGLETRANSLATE(B1302,""id"",""en"")"),"['save', 'save', 'pulse', 'notification', 'quota', 'abis',' late ',' pulse ',' already ',' abis', 'gaampe', 'second', ' rb ',' immediately ',' abis', 'crazy', 'cave', 'already', 'make', 'telkom', 'kygt', 'lazy', ""]")</f>
        <v>['save', 'save', 'pulse', 'notification', 'quota', 'abis',' late ',' pulse ',' already ',' abis', 'gaampe', 'second', ' rb ',' immediately ',' abis', 'crazy', 'cave', 'already', 'make', 'telkom', 'kygt', 'lazy', "]</v>
      </c>
      <c r="D1302" s="3">
        <v>1.0</v>
      </c>
    </row>
    <row r="1303" ht="15.75" customHeight="1">
      <c r="A1303" s="1">
        <v>1301.0</v>
      </c>
      <c r="B1303" s="3" t="s">
        <v>1304</v>
      </c>
      <c r="C1303" s="3" t="str">
        <f>IFERROR(__xludf.DUMMYFUNCTION("GOOGLETRANSLATE(B1303,""id"",""en"")"),"['update', 'log', 'out', 'number', 'log', 'already', 'restart', 'app', 'clear', 'cache', 'log', ""]")</f>
        <v>['update', 'log', 'out', 'number', 'log', 'already', 'restart', 'app', 'clear', 'cache', 'log', "]</v>
      </c>
      <c r="D1303" s="3">
        <v>1.0</v>
      </c>
    </row>
    <row r="1304" ht="15.75" customHeight="1">
      <c r="A1304" s="1">
        <v>1302.0</v>
      </c>
      <c r="B1304" s="3" t="s">
        <v>1305</v>
      </c>
      <c r="C1304" s="3" t="str">
        <f>IFERROR(__xludf.DUMMYFUNCTION("GOOGLETRANSLATE(B1304,""id"",""en"")"),"['already', 'comfortable', 'Sam', 'features',' features', 'package', 'cheerful', 'times',' emang ',' impression ',' grateful ',' message ',' promising ',' ahead ',' week ',' package ',' PHP ',' Bener ',' Gacha ',' Moment ']")</f>
        <v>['already', 'comfortable', 'Sam', 'features',' features', 'package', 'cheerful', 'times',' emang ',' impression ',' grateful ',' message ',' promising ',' ahead ',' week ',' package ',' PHP ',' Bener ',' Gacha ',' Moment ']</v>
      </c>
      <c r="D1304" s="3">
        <v>4.0</v>
      </c>
    </row>
    <row r="1305" ht="15.75" customHeight="1">
      <c r="A1305" s="1">
        <v>1303.0</v>
      </c>
      <c r="B1305" s="3" t="s">
        <v>1306</v>
      </c>
      <c r="C1305" s="3" t="str">
        <f>IFERROR(__xludf.DUMMYFUNCTION("GOOGLETRANSLATE(B1305,""id"",""en"")"),"['user', 'loyal', 'Telkomsel', 'signal', 'where', 'slow', 'rich', 'buy', 'package', 'money', 'GB', 'signal', ' slow ',' forgiveness', 'kayak', 'leftover', 'stay', 'GB', 'Ajah', 'signal', 'sometimes',' ilang ',' rich ',' mode ',' plane ' , 'PDHL', 'data', "&amp;"'flame', 'really', 'signal', 'doang', 'stay', 'city', 'all', 'beg', 'help', 'Telkomsel', ' repaired ',' its network ',' customer ',' loyal ',' blur ',' move ',' heart ', ""]")</f>
        <v>['user', 'loyal', 'Telkomsel', 'signal', 'where', 'slow', 'rich', 'buy', 'package', 'money', 'GB', 'signal', ' slow ',' forgiveness', 'kayak', 'leftover', 'stay', 'GB', 'Ajah', 'signal', 'sometimes',' ilang ',' rich ',' mode ',' plane ' , 'PDHL', 'data', 'flame', 'really', 'signal', 'doang', 'stay', 'city', 'all', 'beg', 'help', 'Telkomsel', ' repaired ',' its network ',' customer ',' loyal ',' blur ',' move ',' heart ', "]</v>
      </c>
      <c r="D1305" s="3">
        <v>1.0</v>
      </c>
    </row>
    <row r="1306" ht="15.75" customHeight="1">
      <c r="A1306" s="1">
        <v>1304.0</v>
      </c>
      <c r="B1306" s="3" t="s">
        <v>1307</v>
      </c>
      <c r="C1306" s="3" t="str">
        <f>IFERROR(__xludf.DUMMYFUNCTION("GOOGLETRANSLATE(B1306,""id"",""en"")"),"['steady', 'bug', 'event', 'steady', 'already', 'redeem', 'event', 'daily', 'check', 'raken', 'udh', 'thank', ' right ',' open ',' Whats', 'app', 'ngibul', 'send', 'message', 'steady']")</f>
        <v>['steady', 'bug', 'event', 'steady', 'already', 'redeem', 'event', 'daily', 'check', 'raken', 'udh', 'thank', ' right ',' open ',' Whats', 'app', 'ngibul', 'send', 'message', 'steady']</v>
      </c>
      <c r="D1306" s="3">
        <v>1.0</v>
      </c>
    </row>
    <row r="1307" ht="15.75" customHeight="1">
      <c r="A1307" s="1">
        <v>1305.0</v>
      </c>
      <c r="B1307" s="3" t="s">
        <v>1308</v>
      </c>
      <c r="C1307" s="3" t="str">
        <f>IFERROR(__xludf.DUMMYFUNCTION("GOOGLETRANSLATE(B1307,""id"",""en"")"),"['Telkomsel', 'Kecamatan', 'Gemuh', 'County', 'Kendal', 'Java', 'Network', 'Internet', 'LemoOoot', 'As soon as',' Raying ',' Buy ',' the package ',' change ',' star ',' network ',' in place ',' good ',' report ',' told ',' waiting ']")</f>
        <v>['Telkomsel', 'Kecamatan', 'Gemuh', 'County', 'Kendal', 'Java', 'Network', 'Internet', 'LemoOoot', 'As soon as',' Raying ',' Buy ',' the package ',' change ',' star ',' network ',' in place ',' good ',' report ',' told ',' waiting ']</v>
      </c>
      <c r="D1307" s="3">
        <v>1.0</v>
      </c>
    </row>
    <row r="1308" ht="15.75" customHeight="1">
      <c r="A1308" s="1">
        <v>1306.0</v>
      </c>
      <c r="B1308" s="3" t="s">
        <v>1309</v>
      </c>
      <c r="C1308" s="3" t="str">
        <f>IFERROR(__xludf.DUMMYFUNCTION("GOOGLETRANSLATE(B1308,""id"",""en"")"),"['Paketannya', 'strange', 'rich', 'package', 'missing', 'udh', 'tasty', 'card', 'Telkomsel', 'gini', 'forced', 'moved', ' ']")</f>
        <v>['Paketannya', 'strange', 'rich', 'package', 'missing', 'udh', 'tasty', 'card', 'Telkomsel', 'gini', 'forced', 'moved', ' ']</v>
      </c>
      <c r="D1308" s="3">
        <v>1.0</v>
      </c>
    </row>
    <row r="1309" ht="15.75" customHeight="1">
      <c r="A1309" s="1">
        <v>1307.0</v>
      </c>
      <c r="B1309" s="3" t="s">
        <v>1310</v>
      </c>
      <c r="C1309" s="3" t="str">
        <f>IFERROR(__xludf.DUMMYFUNCTION("GOOGLETRANSLATE(B1309,""id"",""en"")"),"['The application', 'Helping', 'Benefits',' Point ',' Reward ',' at the time ',' UWANG ',' PAS ',' PASAN ',' BUY ',' FOOD ',' REGUTION ',' discount']")</f>
        <v>['The application', 'Helping', 'Benefits',' Point ',' Reward ',' at the time ',' UWANG ',' PAS ',' PASAN ',' BUY ',' FOOD ',' REGUTION ',' discount']</v>
      </c>
      <c r="D1309" s="3">
        <v>5.0</v>
      </c>
    </row>
    <row r="1310" ht="15.75" customHeight="1">
      <c r="A1310" s="1">
        <v>1308.0</v>
      </c>
      <c r="B1310" s="3" t="s">
        <v>1311</v>
      </c>
      <c r="C1310" s="3" t="str">
        <f>IFERROR(__xludf.DUMMYFUNCTION("GOOGLETRANSLATE(B1310,""id"",""en"")"),"['enter', 'apk', 'uninstall', 'then', 'told', 'download', 'reset', 'stlah', 'download', 'gag', 'open', 'knp', ' Kao ',' TEL ',' annoyed ',' bah ']")</f>
        <v>['enter', 'apk', 'uninstall', 'then', 'told', 'download', 'reset', 'stlah', 'download', 'gag', 'open', 'knp', ' Kao ',' TEL ',' annoyed ',' bah ']</v>
      </c>
      <c r="D1310" s="3">
        <v>1.0</v>
      </c>
    </row>
    <row r="1311" ht="15.75" customHeight="1">
      <c r="A1311" s="1">
        <v>1309.0</v>
      </c>
      <c r="B1311" s="3" t="s">
        <v>1312</v>
      </c>
      <c r="C1311" s="3" t="str">
        <f>IFERROR(__xludf.DUMMYFUNCTION("GOOGLETRANSLATE(B1311,""id"",""en"")"),"['promo', 'buy', 'Apasih', 'please', 'processed', 'purchase', 'package', 'Ralat', 'Assessment', '']")</f>
        <v>['promo', 'buy', 'Apasih', 'please', 'processed', 'purchase', 'package', 'Ralat', 'Assessment', '']</v>
      </c>
      <c r="D1311" s="3">
        <v>1.0</v>
      </c>
    </row>
    <row r="1312" ht="15.75" customHeight="1">
      <c r="A1312" s="1">
        <v>1310.0</v>
      </c>
      <c r="B1312" s="3" t="s">
        <v>1313</v>
      </c>
      <c r="C1312" s="3" t="str">
        <f>IFERROR(__xludf.DUMMYFUNCTION("GOOGLETRANSLATE(B1312,""id"",""en"")"),"['Sya', 'buy', 'Package', 'Combo', 'Sakti', 'GB', 'Quota', 'Data', 'Internet', 'Hopefully', 'Disappointing', 'Jabodetabek', ' SJA ',' Disappointing ',' Ahkir ',' Hayat ',' Use ',' Application ',' ']")</f>
        <v>['Sya', 'buy', 'Package', 'Combo', 'Sakti', 'GB', 'Quota', 'Data', 'Internet', 'Hopefully', 'Disappointing', 'Jabodetabek', ' SJA ',' Disappointing ',' Ahkir ',' Hayat ',' Use ',' Application ',' ']</v>
      </c>
      <c r="D1312" s="3">
        <v>5.0</v>
      </c>
    </row>
    <row r="1313" ht="15.75" customHeight="1">
      <c r="A1313" s="1">
        <v>1311.0</v>
      </c>
      <c r="B1313" s="3" t="s">
        <v>1314</v>
      </c>
      <c r="C1313" s="3" t="str">
        <f>IFERROR(__xludf.DUMMYFUNCTION("GOOGLETRANSLATE(B1313,""id"",""en"")"),"['Threat', 'Sympathy', 'Males',' Pakem ',' Cave ',' Loss', 'Severe', 'Benerin', 'Muter', 'Mulu', 'Huuuuuuuuuuuu', 'Severe', ' Work ',' woe ']")</f>
        <v>['Threat', 'Sympathy', 'Males',' Pakem ',' Cave ',' Loss', 'Severe', 'Benerin', 'Muter', 'Mulu', 'Huuuuuuuuuuuu', 'Severe', ' Work ',' woe ']</v>
      </c>
      <c r="D1313" s="3">
        <v>1.0</v>
      </c>
    </row>
    <row r="1314" ht="15.75" customHeight="1">
      <c r="A1314" s="1">
        <v>1312.0</v>
      </c>
      <c r="B1314" s="3" t="s">
        <v>1315</v>
      </c>
      <c r="C1314" s="3" t="str">
        <f>IFERROR(__xludf.DUMMYFUNCTION("GOOGLETRANSLATE(B1314,""id"",""en"")"),"['', 'Telkomsel', 'makes it easy', 'check', 'balance', 'data', 'sms',' click ',' please ',' fix ',' claims', 'bonus',' daily ',' appears', 'application', 'thank you']")</f>
        <v>['', 'Telkomsel', 'makes it easy', 'check', 'balance', 'data', 'sms',' click ',' please ',' fix ',' claims', 'bonus',' daily ',' appears', 'application', 'thank you']</v>
      </c>
      <c r="D1314" s="3">
        <v>5.0</v>
      </c>
    </row>
    <row r="1315" ht="15.75" customHeight="1">
      <c r="A1315" s="1">
        <v>1313.0</v>
      </c>
      <c r="B1315" s="3" t="s">
        <v>1316</v>
      </c>
      <c r="C1315" s="3" t="str">
        <f>IFERROR(__xludf.DUMMYFUNCTION("GOOGLETRANSLATE(B1315,""id"",""en"")"),"['already', 'delete', 'chace', 'already', 'forced', 'stop', 'app', 'trs',' already ',' use ',' wifi ',' uninstall ',' download ',' again ',' no ',' open ',' how ',' friend ',' cave ',' open ',' already ',' nggaaaa ',' canaaaaaaaaaa")</f>
        <v>['already', 'delete', 'chace', 'already', 'forced', 'stop', 'app', 'trs',' already ',' use ',' wifi ',' uninstall ',' download ',' again ',' no ',' open ',' how ',' friend ',' cave ',' open ',' already ',' nggaaaa ',' canaaaaaaaaaa</v>
      </c>
      <c r="D1315" s="3">
        <v>1.0</v>
      </c>
    </row>
    <row r="1316" ht="15.75" customHeight="1">
      <c r="A1316" s="1">
        <v>1314.0</v>
      </c>
      <c r="B1316" s="3" t="s">
        <v>1317</v>
      </c>
      <c r="C1316" s="3" t="str">
        <f>IFERROR(__xludf.DUMMYFUNCTION("GOOGLETRANSLATE(B1316,""id"",""en"")"),"['Here', 'NOT', 'Poor', 'Network', 'Cell', 'A Year', 'KNPA', 'ALIH', 'Poor', 'Network', ""]")</f>
        <v>['Here', 'NOT', 'Poor', 'Network', 'Cell', 'A Year', 'KNPA', 'ALIH', 'Poor', 'Network', "]</v>
      </c>
      <c r="D1316" s="3">
        <v>1.0</v>
      </c>
    </row>
    <row r="1317" ht="15.75" customHeight="1">
      <c r="A1317" s="1">
        <v>1315.0</v>
      </c>
      <c r="B1317" s="3" t="s">
        <v>1318</v>
      </c>
      <c r="C1317" s="3" t="str">
        <f>IFERROR(__xludf.DUMMYFUNCTION("GOOGLETRANSLATE(B1317,""id"",""en"")"),"['Abis',' clock ',' night ',' already ',' missing ',' network ',' jngan ',' data ',' call ',' SJA ',' signal ',' bkan ',' just ',' already ',' kek ',' bgini ',' location ',' kel ',' bulurokeng ',' kec ',' biringanaya ',' city ',' Makassar ',' may ',' krna"&amp;" ' , 'Rules', 'Telkomsel', 'authorized', 'turn off', 'network', 'times', 'care', 'convenience', 'customers', '']")</f>
        <v>['Abis',' clock ',' night ',' already ',' missing ',' network ',' jngan ',' data ',' call ',' SJA ',' signal ',' bkan ',' just ',' already ',' kek ',' bgini ',' location ',' kel ',' bulurokeng ',' kec ',' biringanaya ',' city ',' Makassar ',' may ',' krna ' , 'Rules', 'Telkomsel', 'authorized', 'turn off', 'network', 'times', 'care', 'convenience', 'customers', '']</v>
      </c>
      <c r="D1317" s="3">
        <v>1.0</v>
      </c>
    </row>
    <row r="1318" ht="15.75" customHeight="1">
      <c r="A1318" s="1">
        <v>1316.0</v>
      </c>
      <c r="B1318" s="3" t="s">
        <v>1319</v>
      </c>
      <c r="C1318" s="3" t="str">
        <f>IFERROR(__xludf.DUMMYFUNCTION("GOOGLETRANSLATE(B1318,""id"",""en"")"),"['network', 'Telkomsel', 'bad', 'really', 'price', 'expensive', 'name', 'ber', 'brand', 'lose', 'competitiveness',' prime ',' era ',' advanced ',' rivals', 'petekan', 'your customer', 'server', 'bad', 'moved', 'prime', 'disappointed', 'server', 'telkomsel"&amp;"']")</f>
        <v>['network', 'Telkomsel', 'bad', 'really', 'price', 'expensive', 'name', 'ber', 'brand', 'lose', 'competitiveness',' prime ',' era ',' advanced ',' rivals', 'petekan', 'your customer', 'server', 'bad', 'moved', 'prime', 'disappointed', 'server', 'telkomsel']</v>
      </c>
      <c r="D1318" s="3">
        <v>1.0</v>
      </c>
    </row>
    <row r="1319" ht="15.75" customHeight="1">
      <c r="A1319" s="1">
        <v>1317.0</v>
      </c>
      <c r="B1319" s="3" t="s">
        <v>1320</v>
      </c>
      <c r="C1319" s="3" t="str">
        <f>IFERROR(__xludf.DUMMYFUNCTION("GOOGLETRANSLATE(B1319,""id"",""en"")"),"['blessing', 'You', 'Telkomsel', 'Eat', 'My Money', 'Buy', 'Quota', 'Quota', 'GB', 'Chat', 'Music', 'Games',' SOSMED ',' YouTube ',' unlimited ',' watch ',' youtube ',' eat ',' quota ',' GB ',' What's', 'mean', 'Telkomsel', ""]")</f>
        <v>['blessing', 'You', 'Telkomsel', 'Eat', 'My Money', 'Buy', 'Quota', 'Quota', 'GB', 'Chat', 'Music', 'Games',' SOSMED ',' YouTube ',' unlimited ',' watch ',' youtube ',' eat ',' quota ',' GB ',' What's', 'mean', 'Telkomsel', "]</v>
      </c>
      <c r="D1319" s="3">
        <v>1.0</v>
      </c>
    </row>
    <row r="1320" ht="15.75" customHeight="1">
      <c r="A1320" s="1">
        <v>1318.0</v>
      </c>
      <c r="B1320" s="3" t="s">
        <v>1321</v>
      </c>
      <c r="C1320" s="3" t="str">
        <f>IFERROR(__xludf.DUMMYFUNCTION("GOOGLETRANSLATE(B1320,""id"",""en"")"),"['steal', 'pulse', 'customer', 'fill in', 'pulse', 'used', 'karna', 'package', 'quota', 'internet', 'stay', 'city', ' Mumpuni ',' Telkomsel ',' UDH ',' Pay ',' Expensive ',' Connection ',' Stable ',' Game ',' YouTube ',' Connection ',' Tidk ',' Strong ', "&amp;"""]")</f>
        <v>['steal', 'pulse', 'customer', 'fill in', 'pulse', 'used', 'karna', 'package', 'quota', 'internet', 'stay', 'city', ' Mumpuni ',' Telkomsel ',' UDH ',' Pay ',' Expensive ',' Connection ',' Stable ',' Game ',' YouTube ',' Connection ',' Tidk ',' Strong ', "]</v>
      </c>
      <c r="D1320" s="3">
        <v>1.0</v>
      </c>
    </row>
    <row r="1321" ht="15.75" customHeight="1">
      <c r="A1321" s="1">
        <v>1319.0</v>
      </c>
      <c r="B1321" s="3" t="s">
        <v>1322</v>
      </c>
      <c r="C1321" s="3" t="str">
        <f>IFERROR(__xludf.DUMMYFUNCTION("GOOGLETRANSLATE(B1321,""id"",""en"")"),"['Telkomsel', 'slow', 'Jaringa', 'Sya', 'card', 'network', 'feeling', 'super', 'slow', 'network', 'missing', 'arising', ' card ',' bgtu ',' friend ',' ngeluh ', ""]")</f>
        <v>['Telkomsel', 'slow', 'Jaringa', 'Sya', 'card', 'network', 'feeling', 'super', 'slow', 'network', 'missing', 'arising', ' card ',' bgtu ',' friend ',' ngeluh ', "]</v>
      </c>
      <c r="D1321" s="3">
        <v>1.0</v>
      </c>
    </row>
    <row r="1322" ht="15.75" customHeight="1">
      <c r="A1322" s="1">
        <v>1320.0</v>
      </c>
      <c r="B1322" s="3" t="s">
        <v>1323</v>
      </c>
      <c r="C1322" s="3" t="str">
        <f>IFERROR(__xludf.DUMMYFUNCTION("GOOGLETRANSLATE(B1322,""id"",""en"")"),"['', 'have', 'debt', 'credit', 'Telkomsel', 'card', 'have', 'debt', 'credit', 'missing', 'paying', 'number', 'active ',' Pay ',' Amal ',' Alms', 'Messenger', 'Facebook', 'Twitter', 'satisfying', ""]")</f>
        <v>['', 'have', 'debt', 'credit', 'Telkomsel', 'card', 'have', 'debt', 'credit', 'missing', 'paying', 'number', 'active ',' Pay ',' Amal ',' Alms', 'Messenger', 'Facebook', 'Twitter', 'satisfying', "]</v>
      </c>
      <c r="D1322" s="3">
        <v>2.0</v>
      </c>
    </row>
    <row r="1323" ht="15.75" customHeight="1">
      <c r="A1323" s="1">
        <v>1321.0</v>
      </c>
      <c r="B1323" s="3" t="s">
        <v>1324</v>
      </c>
      <c r="C1323" s="3" t="str">
        <f>IFERROR(__xludf.DUMMYFUNCTION("GOOGLETRANSLATE(B1323,""id"",""en"")"),"['Please', 'quota', 'local', 'eliminated', 'use', 'following', 'Rules', 'Telkomsel', 'Thank you', ""]")</f>
        <v>['Please', 'quota', 'local', 'eliminated', 'use', 'following', 'Rules', 'Telkomsel', 'Thank you', "]</v>
      </c>
      <c r="D1323" s="3">
        <v>1.0</v>
      </c>
    </row>
    <row r="1324" ht="15.75" customHeight="1">
      <c r="A1324" s="1">
        <v>1322.0</v>
      </c>
      <c r="B1324" s="3" t="s">
        <v>1325</v>
      </c>
      <c r="C1324" s="3" t="str">
        <f>IFERROR(__xludf.DUMMYFUNCTION("GOOGLETRANSLATE(B1324,""id"",""en"")"),"['Dear', 'Telkomsel', 'network', 'Telkomsel', 'bad', 'dead', 'lights',' network ',' Telkomsel ',' dead ',' Telkomsel ',' pay attention ',' Quality ',' Network ',' Many "", 'Society', 'around', 'Village', 'Switch', 'Purchases', 'Package', 'Internet', 'Card"&amp;"', 'Im', 'Indosat' , 'network', 'Indosat', 'constrained', 'area', 'dead', 'lights',' official ',' Telkomswl ',' believe ',' please ',' check ',' village ',' Trimulya ',' Jaya ',' Kec ',' Ukui ',' County ',' Pelalawan ',' Riau ']")</f>
        <v>['Dear', 'Telkomsel', 'network', 'Telkomsel', 'bad', 'dead', 'lights',' network ',' Telkomsel ',' dead ',' Telkomsel ',' pay attention ',' Quality ',' Network ',' Many ", 'Society', 'around', 'Village', 'Switch', 'Purchases', 'Package', 'Internet', 'Card', 'Im', 'Indosat' , 'network', 'Indosat', 'constrained', 'area', 'dead', 'lights',' official ',' Telkomswl ',' believe ',' please ',' check ',' village ',' Trimulya ',' Jaya ',' Kec ',' Ukui ',' County ',' Pelalawan ',' Riau ']</v>
      </c>
      <c r="D1324" s="3">
        <v>1.0</v>
      </c>
    </row>
    <row r="1325" ht="15.75" customHeight="1">
      <c r="A1325" s="1">
        <v>1323.0</v>
      </c>
      <c r="B1325" s="3" t="s">
        <v>1326</v>
      </c>
      <c r="C1325" s="3" t="str">
        <f>IFERROR(__xludf.DUMMYFUNCTION("GOOGLETRANSLATE(B1325,""id"",""en"")"),"['Disappointed', 'apk', 'Telkomsel', 'balance', 'buy', 'package', 'balance', 'reduced', 'right', 'buy', 'package', 'ehh', ' Appearing ',' someting ',' Wrong ',' Nipu ',' please ',' repair ',' Telkomsel ',' best ',' users', 'package', 'expensive', 'cheap',"&amp;" 'a little' , 'Napa', 'operator', 'darling', 'happy', 'wear', 'Telkomsel', 'package', 'expensive', 'buy']")</f>
        <v>['Disappointed', 'apk', 'Telkomsel', 'balance', 'buy', 'package', 'balance', 'reduced', 'right', 'buy', 'package', 'ehh', ' Appearing ',' someting ',' Wrong ',' Nipu ',' please ',' repair ',' Telkomsel ',' best ',' users', 'package', 'expensive', 'cheap', 'a little' , 'Napa', 'operator', 'darling', 'happy', 'wear', 'Telkomsel', 'package', 'expensive', 'buy']</v>
      </c>
      <c r="D1325" s="3">
        <v>1.0</v>
      </c>
    </row>
    <row r="1326" ht="15.75" customHeight="1">
      <c r="A1326" s="1">
        <v>1324.0</v>
      </c>
      <c r="B1326" s="3" t="s">
        <v>1327</v>
      </c>
      <c r="C1326" s="3" t="str">
        <f>IFERROR(__xludf.DUMMYFUNCTION("GOOGLETRANSLATE(B1326,""id"",""en"")"),"['Please', 'sorry', 'please', 'customer', 'service', 'multiply', 'menu', 'complaint', 'singal', 'cook', 'contents',' payment ',' Muluk ',' Ngadu ',' Singal ',' Rich ',' Next ',' Ngadu ',' Singal ',' Thank you ']")</f>
        <v>['Please', 'sorry', 'please', 'customer', 'service', 'multiply', 'menu', 'complaint', 'singal', 'cook', 'contents',' payment ',' Muluk ',' Ngadu ',' Singal ',' Rich ',' Next ',' Ngadu ',' Singal ',' Thank you ']</v>
      </c>
      <c r="D1326" s="3">
        <v>5.0</v>
      </c>
    </row>
    <row r="1327" ht="15.75" customHeight="1">
      <c r="A1327" s="1">
        <v>1325.0</v>
      </c>
      <c r="B1327" s="3" t="s">
        <v>1328</v>
      </c>
      <c r="C1327" s="3" t="str">
        <f>IFERROR(__xludf.DUMMYFUNCTION("GOOGLETRANSLATE(B1327,""id"",""en"")"),"['Please', 'Telkomsel', 'Koutaa', 'Active', 'Kouta', 'Active', 'Stay', 'Used', 'On', 'Telkomsel', 'Please', 'Used', ' the rest of ',' active ',' already ',' run out ',' leftover ',' used ',' Disable ',' Kouta ',' internet ',' ']")</f>
        <v>['Please', 'Telkomsel', 'Koutaa', 'Active', 'Kouta', 'Active', 'Stay', 'Used', 'On', 'Telkomsel', 'Please', 'Used', ' the rest of ',' active ',' already ',' run out ',' leftover ',' used ',' Disable ',' Kouta ',' internet ',' ']</v>
      </c>
      <c r="D1327" s="3">
        <v>4.0</v>
      </c>
    </row>
    <row r="1328" ht="15.75" customHeight="1">
      <c r="A1328" s="1">
        <v>1326.0</v>
      </c>
      <c r="B1328" s="3" t="s">
        <v>1329</v>
      </c>
      <c r="C1328" s="3" t="str">
        <f>IFERROR(__xludf.DUMMYFUNCTION("GOOGLETRANSLATE(B1328,""id"",""en"")"),"['price', 'quota', 'internet', 'mahaalll', 'bangeettttt', 'boong', 'your eyes', 'emg', 'expensive', 'jncok', ""]")</f>
        <v>['price', 'quota', 'internet', 'mahaalll', 'bangeettttt', 'boong', 'your eyes', 'emg', 'expensive', 'jncok', "]</v>
      </c>
      <c r="D1328" s="3">
        <v>1.0</v>
      </c>
    </row>
    <row r="1329" ht="15.75" customHeight="1">
      <c r="A1329" s="1">
        <v>1327.0</v>
      </c>
      <c r="B1329" s="3" t="s">
        <v>1330</v>
      </c>
      <c r="C1329" s="3" t="str">
        <f>IFERROR(__xludf.DUMMYFUNCTION("GOOGLETRANSLATE(B1329,""id"",""en"")"),"['Please', 'signal', 'repaired', 'stable', 'signal', 'good', 'signal', 'internet', 'Telkomsel', 'like', 'stable', ' Please '""Fix']")</f>
        <v>['Please', 'signal', 'repaired', 'stable', 'signal', 'good', 'signal', 'internet', 'Telkomsel', 'like', 'stable', ' Please '"Fix']</v>
      </c>
      <c r="D1329" s="3">
        <v>1.0</v>
      </c>
    </row>
    <row r="1330" ht="15.75" customHeight="1">
      <c r="A1330" s="1">
        <v>1328.0</v>
      </c>
      <c r="B1330" s="3" t="s">
        <v>1331</v>
      </c>
      <c r="C1330" s="3" t="str">
        <f>IFERROR(__xludf.DUMMYFUNCTION("GOOGLETRANSLATE(B1330,""id"",""en"")"),"['apk', 'Telkomsel', 'help', 'handy', 'voucher', 'buy', 'package', 'to', 'until', 'wlw even', 'the price', 'sometimes',' Nain ',' down ',' already ',' suspiciously ',' voucher ',' Telkomsel ',' Real ',' yes', 'buy', 'voucher', 'UDH', 'Ludes',' already ' ,"&amp;" 'Control', 'use', 'TPI', 'package', 'slid', 'Heras', 'Where', 'funny']")</f>
        <v>['apk', 'Telkomsel', 'help', 'handy', 'voucher', 'buy', 'package', 'to', 'until', 'wlw even', 'the price', 'sometimes',' Nain ',' down ',' already ',' suspiciously ',' voucher ',' Telkomsel ',' Real ',' yes', 'buy', 'voucher', 'UDH', 'Ludes',' already ' , 'Control', 'use', 'TPI', 'package', 'slid', 'Heras', 'Where', 'funny']</v>
      </c>
      <c r="D1330" s="3">
        <v>5.0</v>
      </c>
    </row>
    <row r="1331" ht="15.75" customHeight="1">
      <c r="A1331" s="1">
        <v>1329.0</v>
      </c>
      <c r="B1331" s="3" t="s">
        <v>1332</v>
      </c>
      <c r="C1331" s="3" t="str">
        <f>IFERROR(__xludf.DUMMYFUNCTION("GOOGLETRANSLATE(B1331,""id"",""en"")"),"['Sorry', 'love', 'star', 'dlu', 'confused', 'APL', 'buy', 'program', 'daily', 'check', 'pulse', 'chick', ' really ',' strange ',' pulse ',' cut ',' really ',' please ',' min ',' return ',' pulse ',' fix ',' power ',' love ',' star ' , 'so', '']")</f>
        <v>['Sorry', 'love', 'star', 'dlu', 'confused', 'APL', 'buy', 'program', 'daily', 'check', 'pulse', 'chick', ' really ',' strange ',' pulse ',' cut ',' really ',' please ',' min ',' return ',' pulse ',' fix ',' power ',' love ',' star ' , 'so', '']</v>
      </c>
      <c r="D1331" s="3">
        <v>2.0</v>
      </c>
    </row>
    <row r="1332" ht="15.75" customHeight="1">
      <c r="A1332" s="1">
        <v>1330.0</v>
      </c>
      <c r="B1332" s="3" t="s">
        <v>1333</v>
      </c>
      <c r="C1332" s="3" t="str">
        <f>IFERROR(__xludf.DUMMYFUNCTION("GOOGLETRANSLATE(B1332,""id"",""en"")"),"['Nyak', 'org', 'APK', 'MyTelkomsel', 'opened', 'told', 'Login', 'right', 'Login', 'told', 'Enter', 'Link', ' PDAH ',' Cuman ',' trivial ',' Doang ',' users', 'Telkomsel', 'Package', 'Cheap', 'Beli', 'MyTelkomsel', 'APK', 'MyTelkomsel', 'Usability' , 'buy"&amp;"', 'package', 'above', 'brought', 'serious',' love ',' star ',' sgala ',' package ',' expensive ',' grumble ',' base ',' inhabitant', '']")</f>
        <v>['Nyak', 'org', 'APK', 'MyTelkomsel', 'opened', 'told', 'Login', 'right', 'Login', 'told', 'Enter', 'Link', ' PDAH ',' Cuman ',' trivial ',' Doang ',' users', 'Telkomsel', 'Package', 'Cheap', 'Beli', 'MyTelkomsel', 'APK', 'MyTelkomsel', 'Usability' , 'buy', 'package', 'above', 'brought', 'serious',' love ',' star ',' sgala ',' package ',' expensive ',' grumble ',' base ',' inhabitant', '']</v>
      </c>
      <c r="D1332" s="3">
        <v>5.0</v>
      </c>
    </row>
    <row r="1333" ht="15.75" customHeight="1">
      <c r="A1333" s="1">
        <v>1331.0</v>
      </c>
      <c r="B1333" s="3" t="s">
        <v>1334</v>
      </c>
      <c r="C1333" s="3" t="str">
        <f>IFERROR(__xludf.DUMMYFUNCTION("GOOGLETRANSLATE(B1333,""id"",""en"")"),"['Change', 'card', 'number', 'card', 'damaged', 'expensive', 'really', 'yes',' get ',' quota ',' name ',' coercion ',' Buy ',' product ',' quota ',' ']")</f>
        <v>['Change', 'card', 'number', 'card', 'damaged', 'expensive', 'really', 'yes',' get ',' quota ',' name ',' coercion ',' Buy ',' product ',' quota ',' ']</v>
      </c>
      <c r="D1333" s="3">
        <v>1.0</v>
      </c>
    </row>
    <row r="1334" ht="15.75" customHeight="1">
      <c r="A1334" s="1">
        <v>1332.0</v>
      </c>
      <c r="B1334" s="3" t="s">
        <v>1335</v>
      </c>
      <c r="C1334" s="3" t="str">
        <f>IFERROR(__xludf.DUMMYFUNCTION("GOOGLETRANSLATE(B1334,""id"",""en"")"),"['Say', 'love', 'star', 'disappointed', 'contents',' pulse ',' thousand ',' buy ',' package ',' thousand ',' Telkomsel ',' click ',' Purchases', 'failed', 'pulses',' reduced ',' access', 'Telkomsel', 'Please', 'Provider', 'access',' service ',' free ',' T"&amp;"elkomsel ',' sucked ' , 'pulse', 'pliss', 'ancient', 'fix', 'pulse', 'reduced', 'thousand', 'access', 'Telkomsel', ""]")</f>
        <v>['Say', 'love', 'star', 'disappointed', 'contents',' pulse ',' thousand ',' buy ',' package ',' thousand ',' Telkomsel ',' click ',' Purchases', 'failed', 'pulses',' reduced ',' access', 'Telkomsel', 'Please', 'Provider', 'access',' service ',' free ',' Telkomsel ',' sucked ' , 'pulse', 'pliss', 'ancient', 'fix', 'pulse', 'reduced', 'thousand', 'access', 'Telkomsel', "]</v>
      </c>
      <c r="D1334" s="3">
        <v>1.0</v>
      </c>
    </row>
    <row r="1335" ht="15.75" customHeight="1">
      <c r="A1335" s="1">
        <v>1333.0</v>
      </c>
      <c r="B1335" s="3" t="s">
        <v>1336</v>
      </c>
      <c r="C1335" s="3" t="str">
        <f>IFERROR(__xludf.DUMMYFUNCTION("GOOGLETRANSLATE(B1335,""id"",""en"")"),"['buy', 'package', 'data', 'reset', 'scale', 'then', 'delete', 'data', 'right', 'login', 'send', ' Links', 'Try', 'gissing', 'gabisa', 'link', 'color', 'blue', 'please', 'suggestion', 'need', 'really', 'package', 'data' , 'thks']")</f>
        <v>['buy', 'package', 'data', 'reset', 'scale', 'then', 'delete', 'data', 'right', 'login', 'send', ' Links', 'Try', 'gissing', 'gabisa', 'link', 'color', 'blue', 'please', 'suggestion', 'need', 'really', 'package', 'data' , 'thks']</v>
      </c>
      <c r="D1335" s="3">
        <v>1.0</v>
      </c>
    </row>
    <row r="1336" ht="15.75" customHeight="1">
      <c r="A1336" s="1">
        <v>1334.0</v>
      </c>
      <c r="B1336" s="3" t="s">
        <v>1337</v>
      </c>
      <c r="C1336" s="3" t="str">
        <f>IFERROR(__xludf.DUMMYFUNCTION("GOOGLETRANSLATE(B1336,""id"",""en"")"),"['MAYAL', 'Doang', 'package', 'signal', 'ugly', 'Ujan', 'Gede', 'Sampe', 'Direct', 'ugly', 'Severe', 'Sinyal', ' expensive ',' signal ',' good ',' according to ',' buyer ',' satisfied ',' try ', ""]")</f>
        <v>['MAYAL', 'Doang', 'package', 'signal', 'ugly', 'Ujan', 'Gede', 'Sampe', 'Direct', 'ugly', 'Severe', 'Sinyal', ' expensive ',' signal ',' good ',' according to ',' buyer ',' satisfied ',' try ', "]</v>
      </c>
      <c r="D1336" s="3">
        <v>1.0</v>
      </c>
    </row>
    <row r="1337" ht="15.75" customHeight="1">
      <c r="A1337" s="1">
        <v>1335.0</v>
      </c>
      <c r="B1337" s="3" t="s">
        <v>1338</v>
      </c>
      <c r="C1337" s="3" t="str">
        <f>IFERROR(__xludf.DUMMYFUNCTION("GOOGLETRANSLATE(B1337,""id"",""en"")"),"['My APK', 'ugly', 'TPI', 'Boong']")</f>
        <v>['My APK', 'ugly', 'TPI', 'Boong']</v>
      </c>
      <c r="D1337" s="3">
        <v>4.0</v>
      </c>
    </row>
    <row r="1338" ht="15.75" customHeight="1">
      <c r="A1338" s="1">
        <v>1336.0</v>
      </c>
      <c r="B1338" s="3" t="s">
        <v>1339</v>
      </c>
      <c r="C1338" s="3" t="str">
        <f>IFERROR(__xludf.DUMMYFUNCTION("GOOGLETRANSLATE(B1338,""id"",""en"")"),"['', 'promo', 'package', 'internet', 'Lined', 'expensive', 'package', 'internet', 'divided', 'customer', 'moved', 'operator', 'week ',' network ',' area ',' West Sumatra ',' Lubuk ',' crocodile ',' Duku ',' good ',' please ',' repaired ',' Pinda ',' opera"&amp;"tor ']")</f>
        <v>['', 'promo', 'package', 'internet', 'Lined', 'expensive', 'package', 'internet', 'divided', 'customer', 'moved', 'operator', 'week ',' network ',' area ',' West Sumatra ',' Lubuk ',' crocodile ',' Duku ',' good ',' please ',' repaired ',' Pinda ',' operator ']</v>
      </c>
      <c r="D1338" s="3">
        <v>2.0</v>
      </c>
    </row>
    <row r="1339" ht="15.75" customHeight="1">
      <c r="A1339" s="1">
        <v>1337.0</v>
      </c>
      <c r="B1339" s="3" t="s">
        <v>1340</v>
      </c>
      <c r="C1339" s="3" t="str">
        <f>IFERROR(__xludf.DUMMYFUNCTION("GOOGLETRANSLATE(B1339,""id"",""en"")"),"['Good', 'moved', 'Axis',' promo ',' get ',' bonus', 'GB', 'week', 'already', 'use', 'axis',' quota ',' SOS ',' free ',' promotion ',' experience ',' quota ',' free ',' per week ',' dowload ',' application ',' axisnet ']")</f>
        <v>['Good', 'moved', 'Axis',' promo ',' get ',' bonus', 'GB', 'week', 'already', 'use', 'axis',' quota ',' SOS ',' free ',' promotion ',' experience ',' quota ',' free ',' per week ',' dowload ',' application ',' axisnet ']</v>
      </c>
      <c r="D1339" s="3">
        <v>5.0</v>
      </c>
    </row>
    <row r="1340" ht="15.75" customHeight="1">
      <c r="A1340" s="1">
        <v>1338.0</v>
      </c>
      <c r="B1340" s="3" t="s">
        <v>1341</v>
      </c>
      <c r="C1340" s="3" t="str">
        <f>IFERROR(__xludf.DUMMYFUNCTION("GOOGLETRANSLATE(B1340,""id"",""en"")"),"['The application', 'heavy', 'entry', 'difficult', 'need', 'signal', 'strong', 'install', 'Tow', 'enter', 'delete', 'install', ' Reset ',' Took ',' enter ',' ']")</f>
        <v>['The application', 'heavy', 'entry', 'difficult', 'need', 'signal', 'strong', 'install', 'Tow', 'enter', 'delete', 'install', ' Reset ',' Took ',' enter ',' ']</v>
      </c>
      <c r="D1340" s="3">
        <v>1.0</v>
      </c>
    </row>
    <row r="1341" ht="15.75" customHeight="1">
      <c r="A1341" s="1">
        <v>1339.0</v>
      </c>
      <c r="B1341" s="3" t="s">
        <v>1342</v>
      </c>
      <c r="C1341" s="3" t="str">
        <f>IFERROR(__xludf.DUMMYFUNCTION("GOOGLETRANSLATE(B1341,""id"",""en"")"),"['Min', 'Points',' Trlkomsel ',' Tuker ',' Vouch ',' Game ',' Kayak ',' Dlu ',' Star ',' Love ',' Tuker ',' Full ',' Stars', 'edit', 'knp', 'signal', 'down', 'mulu', 'prcuma', 'buy', 'quota', 'expensive', 'signal', 'down', 'blum' , 'Buy', 'Package', 'Gabi"&amp;"sa', 'She', '']")</f>
        <v>['Min', 'Points',' Trlkomsel ',' Tuker ',' Vouch ',' Game ',' Kayak ',' Dlu ',' Star ',' Love ',' Tuker ',' Full ',' Stars', 'edit', 'knp', 'signal', 'down', 'mulu', 'prcuma', 'buy', 'quota', 'expensive', 'signal', 'down', 'blum' , 'Buy', 'Package', 'Gabisa', 'She', '']</v>
      </c>
      <c r="D1341" s="3">
        <v>2.0</v>
      </c>
    </row>
    <row r="1342" ht="15.75" customHeight="1">
      <c r="A1342" s="1">
        <v>1340.0</v>
      </c>
      <c r="B1342" s="3" t="s">
        <v>1343</v>
      </c>
      <c r="C1342" s="3" t="str">
        <f>IFERROR(__xludf.DUMMYFUNCTION("GOOGLETRANSLATE(B1342,""id"",""en"")"),"['buy', 'package', 'special', 'buy', 'payment', 'success',' pulse ',' package ',' data ',' enter ',' promo ',' hope ',' Delete ',' Dri ',' bought ',' ']")</f>
        <v>['buy', 'package', 'special', 'buy', 'payment', 'success',' pulse ',' package ',' data ',' enter ',' promo ',' hope ',' Delete ',' Dri ',' bought ',' ']</v>
      </c>
      <c r="D1342" s="3">
        <v>2.0</v>
      </c>
    </row>
    <row r="1343" ht="15.75" customHeight="1">
      <c r="A1343" s="1">
        <v>1341.0</v>
      </c>
      <c r="B1343" s="3" t="s">
        <v>1344</v>
      </c>
      <c r="C1343" s="3" t="str">
        <f>IFERROR(__xludf.DUMMYFUNCTION("GOOGLETRANSLATE(B1343,""id"",""en"")"),"['Disappointed', 'because', 'buy', 'pulse', 'then', 'buy', 'bid', 'telkom', 'buy', 'bid', 'kouta', 'extrem', ' GB ',' cheated ',' Telkom ',' Kouta ',' pulse ',' sucked ',' poor ']")</f>
        <v>['Disappointed', 'because', 'buy', 'pulse', 'then', 'buy', 'bid', 'telkom', 'buy', 'bid', 'kouta', 'extrem', ' GB ',' cheated ',' Telkom ',' Kouta ',' pulse ',' sucked ',' poor ']</v>
      </c>
      <c r="D1343" s="3">
        <v>1.0</v>
      </c>
    </row>
    <row r="1344" ht="15.75" customHeight="1">
      <c r="A1344" s="1">
        <v>1342.0</v>
      </c>
      <c r="B1344" s="3" t="s">
        <v>1345</v>
      </c>
      <c r="C1344" s="3" t="str">
        <f>IFERROR(__xludf.DUMMYFUNCTION("GOOGLETRANSLATE(B1344,""id"",""en"")"),"['application', 'opened', 'access',' permission ',' click ',' BMDI ',' Install ',' uninstall ',' many ',' permission ',' access', 'right', ' Kasi ',' Click ',' Allow ',' Until ',' annoyed ',' reset ',' Many ',' application ',' touched ',' right ',' enter "&amp;"',' App ',' screen ' , 'Touch', 'anything', 'please', 'fix', '']")</f>
        <v>['application', 'opened', 'access',' permission ',' click ',' BMDI ',' Install ',' uninstall ',' many ',' permission ',' access', 'right', ' Kasi ',' Click ',' Allow ',' Until ',' annoyed ',' reset ',' Many ',' application ',' touched ',' right ',' enter ',' App ',' screen ' , 'Touch', 'anything', 'please', 'fix', '']</v>
      </c>
      <c r="D1344" s="3">
        <v>1.0</v>
      </c>
    </row>
    <row r="1345" ht="15.75" customHeight="1">
      <c r="A1345" s="1">
        <v>1343.0</v>
      </c>
      <c r="B1345" s="3" t="s">
        <v>1346</v>
      </c>
      <c r="C1345" s="3" t="str">
        <f>IFERROR(__xludf.DUMMYFUNCTION("GOOGLETRANSLATE(B1345,""id"",""en"")"),"['thank', 'love', 'improve', 'checkin', 'automatic', 'enter', 'mytelkomsel', 'wifi', 'gradually', 'pulse', 'down', 'koq', ' Credit ',' Reduced ',' Data ',' activated ',' Package ',' Data ',' Activate ',' Pulse ',' Package ',' Data ',' Maw ',' Out ',' Prop"&amp;"er ' , 'covered', 'package', 'data', 'only', 'pulses', 'drained', 'first', 'zero', 'please', 'repair', 'bugsny', 'sgra']")</f>
        <v>['thank', 'love', 'improve', 'checkin', 'automatic', 'enter', 'mytelkomsel', 'wifi', 'gradually', 'pulse', 'down', 'koq', ' Credit ',' Reduced ',' Data ',' activated ',' Package ',' Data ',' Activate ',' Pulse ',' Package ',' Data ',' Maw ',' Out ',' Proper ' , 'covered', 'package', 'data', 'only', 'pulses', 'drained', 'first', 'zero', 'please', 'repair', 'bugsny', 'sgra']</v>
      </c>
      <c r="D1345" s="3">
        <v>4.0</v>
      </c>
    </row>
    <row r="1346" ht="15.75" customHeight="1">
      <c r="A1346" s="1">
        <v>1344.0</v>
      </c>
      <c r="B1346" s="3" t="s">
        <v>1347</v>
      </c>
      <c r="C1346" s="3" t="str">
        <f>IFERROR(__xludf.DUMMYFUNCTION("GOOGLETRANSLATE(B1346,""id"",""en"")"),"['really', 'disappointing', 'the application', 'opened', 'already', 'dri', 'week', 'tried', 'already', 'uninstall', 'the application', 'times',' try ',' clear ',' cache ',' jga ',' open ',' jga ',' already ',' send ',' email ',' gada ',' reply ',' disappo"&amp;"inted ',' really ' , 'application', '']")</f>
        <v>['really', 'disappointing', 'the application', 'opened', 'already', 'dri', 'week', 'tried', 'already', 'uninstall', 'the application', 'times',' try ',' clear ',' cache ',' jga ',' open ',' jga ',' already ',' send ',' email ',' gada ',' reply ',' disappointed ',' really ' , 'application', '']</v>
      </c>
      <c r="D1346" s="3">
        <v>1.0</v>
      </c>
    </row>
    <row r="1347" ht="15.75" customHeight="1">
      <c r="A1347" s="1">
        <v>1345.0</v>
      </c>
      <c r="B1347" s="3" t="s">
        <v>1348</v>
      </c>
      <c r="C1347" s="3" t="str">
        <f>IFERROR(__xludf.DUMMYFUNCTION("GOOGLETRANSLATE(B1347,""id"",""en"")"),"['ugly', 'bad', 'drained', 'plsa', 'pdahal', 'no', 'pke', 'data', 'life', 'sim', 'plsa', 'sim', ' Drain ',' then ',' told ',' Aduin ',' Telegram ',' already ',' Aduain ',' Tawarin ',' Promo ',' Males', ""]")</f>
        <v>['ugly', 'bad', 'drained', 'plsa', 'pdahal', 'no', 'pke', 'data', 'life', 'sim', 'plsa', 'sim', ' Drain ',' then ',' told ',' Aduin ',' Telegram ',' already ',' Aduain ',' Tawarin ',' Promo ',' Males', "]</v>
      </c>
      <c r="D1347" s="3">
        <v>1.0</v>
      </c>
    </row>
    <row r="1348" ht="15.75" customHeight="1">
      <c r="A1348" s="1">
        <v>1346.0</v>
      </c>
      <c r="B1348" s="3" t="s">
        <v>1349</v>
      </c>
      <c r="C1348" s="3" t="str">
        <f>IFERROR(__xludf.DUMMYFUNCTION("GOOGLETRANSLATE(B1348,""id"",""en"")"),"['disappointed', 'signal', 'difficult', 'bar', 'signal', 'full', 'tetep', 'lag', 'ping', 'down', 'network', 'error', ' Knp ',' Telkomsel ',' Males', 'Gunain', 'Telkomsel']")</f>
        <v>['disappointed', 'signal', 'difficult', 'bar', 'signal', 'full', 'tetep', 'lag', 'ping', 'down', 'network', 'error', ' Knp ',' Telkomsel ',' Males', 'Gunain', 'Telkomsel']</v>
      </c>
      <c r="D1348" s="3">
        <v>1.0</v>
      </c>
    </row>
    <row r="1349" ht="15.75" customHeight="1">
      <c r="A1349" s="1">
        <v>1347.0</v>
      </c>
      <c r="B1349" s="3" t="s">
        <v>1350</v>
      </c>
      <c r="C1349" s="3" t="str">
        <f>IFERROR(__xludf.DUMMYFUNCTION("GOOGLETRANSLATE(B1349,""id"",""en"")"),"['package', 'data', 'reduced', 'price', 'price', 'above', 'Rp', 'quota', 'GB', 'expensive', 'promo', 'NMR', ' Rarely ',' Please ',' Reduced ',' Price ',' Package ',' Data ',' Expensive ',' Reduce ',' Star ',' Promo ',' Quota ',' Price ',' Affordable ' , '"&amp;"quota', 'expensive', 'emang', 'money', 'easy', 'he called', 'Please', 'pay attention', 'person', 'farmer', 'heavy', 'package', ' price', '']")</f>
        <v>['package', 'data', 'reduced', 'price', 'price', 'above', 'Rp', 'quota', 'GB', 'expensive', 'promo', 'NMR', ' Rarely ',' Please ',' Reduced ',' Price ',' Package ',' Data ',' Expensive ',' Reduce ',' Star ',' Promo ',' Quota ',' Price ',' Affordable ' , 'quota', 'expensive', 'emang', 'money', 'easy', 'he called', 'Please', 'pay attention', 'person', 'farmer', 'heavy', 'package', ' price', '']</v>
      </c>
      <c r="D1349" s="3">
        <v>4.0</v>
      </c>
    </row>
    <row r="1350" ht="15.75" customHeight="1">
      <c r="A1350" s="1">
        <v>1348.0</v>
      </c>
      <c r="B1350" s="3" t="s">
        <v>1351</v>
      </c>
      <c r="C1350" s="3" t="str">
        <f>IFERROR(__xludf.DUMMYFUNCTION("GOOGLETRANSLATE(B1350,""id"",""en"")"),"['Auto', 'auto', 'chick', 'quota', 'call', 'sms',' internet ',' try ',' change ',' setting ',' sim ',' tetep ',' pulses', 'sumps',' internet ',' card ',' tsel ',' history ',' call ',' sms', 'already', 'tried', 'contact', 'via', 'telegram' , 'cs', 'history"&amp;"', 'transaction', 'system', 'update', 'max', 'hour', 'because' data ',' already ',' awaited ',' gada ',' follow ',' confused ',' already ',' tsel ',' gini ',' yaudah ',' move ',' operator ']")</f>
        <v>['Auto', 'auto', 'chick', 'quota', 'call', 'sms',' internet ',' try ',' change ',' setting ',' sim ',' tetep ',' pulses', 'sumps',' internet ',' card ',' tsel ',' history ',' call ',' sms', 'already', 'tried', 'contact', 'via', 'telegram' , 'cs', 'history', 'transaction', 'system', 'update', 'max', 'hour', 'because' data ',' already ',' awaited ',' gada ',' follow ',' confused ',' already ',' tsel ',' gini ',' yaudah ',' move ',' operator ']</v>
      </c>
      <c r="D1350" s="3">
        <v>2.0</v>
      </c>
    </row>
    <row r="1351" ht="15.75" customHeight="1">
      <c r="A1351" s="1">
        <v>1349.0</v>
      </c>
      <c r="B1351" s="3" t="s">
        <v>1352</v>
      </c>
      <c r="C1351" s="3" t="str">
        <f>IFERROR(__xludf.DUMMYFUNCTION("GOOGLETRANSLATE(B1351,""id"",""en"")"),"['application', 'list', 'package', 'no', 'activation', 'peket', 'run out', 'date', 'date', 'notification', 'active', 'package', ' "", 'Done', 'Donk', 'Pulsaku', 'Kayak', 'Gini', 'here', 'Error', 'Hufth', 'No', 'Sushssss',""]")</f>
        <v>['application', 'list', 'package', 'no', 'activation', 'peket', 'run out', 'date', 'date', 'notification', 'active', 'package', ' ", 'Done', 'Donk', 'Pulsaku', 'Kayak', 'Gini', 'here', 'Error', 'Hufth', 'No', 'Sushssss',"]</v>
      </c>
      <c r="D1351" s="3">
        <v>1.0</v>
      </c>
    </row>
    <row r="1352" ht="15.75" customHeight="1">
      <c r="A1352" s="1">
        <v>1350.0</v>
      </c>
      <c r="B1352" s="3" t="s">
        <v>1353</v>
      </c>
      <c r="C1352" s="3" t="str">
        <f>IFERROR(__xludf.DUMMYFUNCTION("GOOGLETRANSLATE(B1352,""id"",""en"")"),"['hay', 'dev', 'input', 'please', 'try', 'features',' name ',' lock ',' pulse ',' sumps', 'right', 'quota', ' Abis', 'Genesis',' fill in ',' credit ',' buy ',' package ',' then ',' overslept ',' right ',' opened ',' lost ',' deh ',' rb ' , 'buy', 'package"&amp;"', 'deh', 'thank', 'love']")</f>
        <v>['hay', 'dev', 'input', 'please', 'try', 'features',' name ',' lock ',' pulse ',' sumps', 'right', 'quota', ' Abis', 'Genesis',' fill in ',' credit ',' buy ',' package ',' then ',' overslept ',' right ',' opened ',' lost ',' deh ',' rb ' , 'buy', 'package', 'deh', 'thank', 'love']</v>
      </c>
      <c r="D1352" s="3">
        <v>2.0</v>
      </c>
    </row>
    <row r="1353" ht="15.75" customHeight="1">
      <c r="A1353" s="1">
        <v>1351.0</v>
      </c>
      <c r="B1353" s="3" t="s">
        <v>1354</v>
      </c>
      <c r="C1353" s="3" t="str">
        <f>IFERROR(__xludf.DUMMYFUNCTION("GOOGLETRANSLATE(B1353,""id"",""en"")"),"['Disappointed', 'Changed', 'Telkomsel', 'Lemot', 'Application', 'Telkomsel', 'Like', 'Mulu', 'Open', 'Application', 'Ngerni', 'Telkomsel', ' Knpa ',' jdi ',' gini ']")</f>
        <v>['Disappointed', 'Changed', 'Telkomsel', 'Lemot', 'Application', 'Telkomsel', 'Like', 'Mulu', 'Open', 'Application', 'Ngerni', 'Telkomsel', ' Knpa ',' jdi ',' gini ']</v>
      </c>
      <c r="D1353" s="3">
        <v>1.0</v>
      </c>
    </row>
    <row r="1354" ht="15.75" customHeight="1">
      <c r="A1354" s="1">
        <v>1352.0</v>
      </c>
      <c r="B1354" s="3" t="s">
        <v>1355</v>
      </c>
      <c r="C1354" s="3" t="str">
        <f>IFERROR(__xludf.DUMMYFUNCTION("GOOGLETRANSLATE(B1354,""id"",""en"")"),"['Management', 'Telkomsel', 'cave', 'take care', 'network', 'Manding', 'deh', 'cave', 'card', 'okay', 'good', 'garbage', ' card ',' Apus', 'card', 'indo', 'card', 'garbage']")</f>
        <v>['Management', 'Telkomsel', 'cave', 'take care', 'network', 'Manding', 'deh', 'cave', 'card', 'okay', 'good', 'garbage', ' card ',' Apus', 'card', 'indo', 'card', 'garbage']</v>
      </c>
      <c r="D1354" s="3">
        <v>1.0</v>
      </c>
    </row>
    <row r="1355" ht="15.75" customHeight="1">
      <c r="A1355" s="1">
        <v>1353.0</v>
      </c>
      <c r="B1355" s="3" t="s">
        <v>1356</v>
      </c>
      <c r="C1355" s="3" t="str">
        <f>IFERROR(__xludf.DUMMYFUNCTION("GOOGLETRANSLATE(B1355,""id"",""en"")"),"['Cellword', 'Card', 'Telkom', 'Quota', 'GB', 'Writing', 'Access',' Internet ',' Non ',' Rates', 'pulses',' thousand ',' run out ',' regret ',' oath ',' buy ',' ajig ',' lazy ',' use ',' telkom ']")</f>
        <v>['Cellword', 'Card', 'Telkom', 'Quota', 'GB', 'Writing', 'Access',' Internet ',' Non ',' Rates', 'pulses',' thousand ',' run out ',' regret ',' oath ',' buy ',' ajig ',' lazy ',' use ',' telkom ']</v>
      </c>
      <c r="D1355" s="3">
        <v>1.0</v>
      </c>
    </row>
    <row r="1356" ht="15.75" customHeight="1">
      <c r="A1356" s="1">
        <v>1354.0</v>
      </c>
      <c r="B1356" s="3" t="s">
        <v>1357</v>
      </c>
      <c r="C1356" s="3" t="str">
        <f>IFERROR(__xludf.DUMMYFUNCTION("GOOGLETRANSLATE(B1356,""id"",""en"")"),"['signal', 'in place', 'live', 'bad', 'talk', 'application', 'difficult', 'obstacle', 'class',' Telkomsel ',' care ',' related ',' Internet Network', '']")</f>
        <v>['signal', 'in place', 'live', 'bad', 'talk', 'application', 'difficult', 'obstacle', 'class',' Telkomsel ',' care ',' related ',' Internet Network', '']</v>
      </c>
      <c r="D1356" s="3">
        <v>2.0</v>
      </c>
    </row>
    <row r="1357" ht="15.75" customHeight="1">
      <c r="A1357" s="1">
        <v>1355.0</v>
      </c>
      <c r="B1357" s="3" t="s">
        <v>1358</v>
      </c>
      <c r="C1357" s="3" t="str">
        <f>IFERROR(__xludf.DUMMYFUNCTION("GOOGLETRANSLATE(B1357,""id"",""en"")"),"['Quality', 'Signal', 'Telkomsel', 'Bad', 'Kamas', 'Kapuas', 'Hulu', 'West Kalimantar', 'Company', 'The Info', 'Care', 'How' Competent ',' Change ',' works', '']")</f>
        <v>['Quality', 'Signal', 'Telkomsel', 'Bad', 'Kamas', 'Kapuas', 'Hulu', 'West Kalimantar', 'Company', 'The Info', 'Care', 'How' Competent ',' Change ',' works', '']</v>
      </c>
      <c r="D1357" s="3">
        <v>1.0</v>
      </c>
    </row>
    <row r="1358" ht="15.75" customHeight="1">
      <c r="A1358" s="1">
        <v>1356.0</v>
      </c>
      <c r="B1358" s="3" t="s">
        <v>1359</v>
      </c>
      <c r="C1358" s="3" t="str">
        <f>IFERROR(__xludf.DUMMYFUNCTION("GOOGLETRANSLATE(B1358,""id"",""en"")"),"['Benerin', 'signal', 'update', 'signal', 'nge', 'lag', 'please', 'woy', 'signal', 'really', 'cave', 'udh', ' SAY ',' Sampe ',' Cave ',' Damaged ',' Please ',' Woiiiiiiiiiiiii ',' Bangkeeeeeee ',' ']")</f>
        <v>['Benerin', 'signal', 'update', 'signal', 'nge', 'lag', 'please', 'woy', 'signal', 'really', 'cave', 'udh', ' SAY ',' Sampe ',' Cave ',' Damaged ',' Please ',' Woiiiiiiiiiiiii ',' Bangkeeeeeee ',' ']</v>
      </c>
      <c r="D1358" s="3">
        <v>1.0</v>
      </c>
    </row>
    <row r="1359" ht="15.75" customHeight="1">
      <c r="A1359" s="1">
        <v>1357.0</v>
      </c>
      <c r="B1359" s="3" t="s">
        <v>1360</v>
      </c>
      <c r="C1359" s="3" t="str">
        <f>IFERROR(__xludf.DUMMYFUNCTION("GOOGLETRANSLATE(B1359,""id"",""en"")"),"['already', 'a month', 'internet', 'signal', 'sometimes',' sometimes', 'difficult', 'internet', 'hard', 'already', 'expensive', 'disappointing', ' Help ',' repaired ',' lemoooottttt ',' detrimental ',' consumer ',' ']")</f>
        <v>['already', 'a month', 'internet', 'signal', 'sometimes',' sometimes', 'difficult', 'internet', 'hard', 'already', 'expensive', 'disappointing', ' Help ',' repaired ',' lemoooottttt ',' detrimental ',' consumer ',' ']</v>
      </c>
      <c r="D1359" s="3">
        <v>1.0</v>
      </c>
    </row>
    <row r="1360" ht="15.75" customHeight="1">
      <c r="A1360" s="1">
        <v>1358.0</v>
      </c>
      <c r="B1360" s="3" t="s">
        <v>1361</v>
      </c>
      <c r="C1360" s="3" t="str">
        <f>IFERROR(__xludf.DUMMYFUNCTION("GOOGLETRANSLATE(B1360,""id"",""en"")"),"['Try', 'Check', 'Network', 'Telkomsel', 'Region', 'Sumsel', 'Stable', 'Disappointed', 'Price', 'Suits',' Quality ',' City ',' Remote ',' recondition ',' card ',' take ',' package ',' independent ',' GB ',' signal ',' in the city ', ""]")</f>
        <v>['Try', 'Check', 'Network', 'Telkomsel', 'Region', 'Sumsel', 'Stable', 'Disappointed', 'Price', 'Suits',' Quality ',' City ',' Remote ',' recondition ',' card ',' take ',' package ',' independent ',' GB ',' signal ',' in the city ', "]</v>
      </c>
      <c r="D1360" s="3">
        <v>1.0</v>
      </c>
    </row>
    <row r="1361" ht="15.75" customHeight="1">
      <c r="A1361" s="1">
        <v>1359.0</v>
      </c>
      <c r="B1361" s="3" t="s">
        <v>1362</v>
      </c>
      <c r="C1361" s="3" t="str">
        <f>IFERROR(__xludf.DUMMYFUNCTION("GOOGLETRANSLATE(B1361,""id"",""en"")"),"['Network', 'Internet', 'Telkomsel', 'Region', 'Koto', 'Laweh', 'Kec', 'Koto', 'County', 'Land', 'Flat', 'No', ' stable ',' use ',' package ',' internet ',' cheap ',' already ',' tired ',' refres', 'result']")</f>
        <v>['Network', 'Internet', 'Telkomsel', 'Region', 'Koto', 'Laweh', 'Kec', 'Koto', 'County', 'Land', 'Flat', 'No', ' stable ',' use ',' package ',' internet ',' cheap ',' already ',' tired ',' refres', 'result']</v>
      </c>
      <c r="D1361" s="3">
        <v>1.0</v>
      </c>
    </row>
    <row r="1362" ht="15.75" customHeight="1">
      <c r="A1362" s="1">
        <v>1360.0</v>
      </c>
      <c r="B1362" s="3" t="s">
        <v>1363</v>
      </c>
      <c r="C1362" s="3" t="str">
        <f>IFERROR(__xludf.DUMMYFUNCTION("GOOGLETRANSLATE(B1362,""id"",""en"")"),"['Telkomsel', 'emang', 'intention', 'gave', 'unlimited', 'game', 'right', 'play', 'game', 'ngellag', 'no', 'login', ' Telkomsel ',' mentang ',' mentang ',' already ',' like ',' that's', '']")</f>
        <v>['Telkomsel', 'emang', 'intention', 'gave', 'unlimited', 'game', 'right', 'play', 'game', 'ngellag', 'no', 'login', ' Telkomsel ',' mentang ',' mentang ',' already ',' like ',' that's', '']</v>
      </c>
      <c r="D1362" s="3">
        <v>1.0</v>
      </c>
    </row>
    <row r="1363" ht="15.75" customHeight="1">
      <c r="A1363" s="1">
        <v>1361.0</v>
      </c>
      <c r="B1363" s="3" t="s">
        <v>1364</v>
      </c>
      <c r="C1363" s="3" t="str">
        <f>IFERROR(__xludf.DUMMYFUNCTION("GOOGLETRANSLATE(B1363,""id"",""en"")"),"['Telkomsel', 'quota', 'unlimited', 'sosmed', 'knp', 'slow', 'smooth', 'repair', 'kah', '']")</f>
        <v>['Telkomsel', 'quota', 'unlimited', 'sosmed', 'knp', 'slow', 'smooth', 'repair', 'kah', '']</v>
      </c>
      <c r="D1363" s="3">
        <v>2.0</v>
      </c>
    </row>
    <row r="1364" ht="15.75" customHeight="1">
      <c r="A1364" s="1">
        <v>1362.0</v>
      </c>
      <c r="B1364" s="3" t="s">
        <v>1365</v>
      </c>
      <c r="C1364" s="3" t="str">
        <f>IFERROR(__xludf.DUMMYFUNCTION("GOOGLETRANSLATE(B1364,""id"",""en"")"),"['Network', 'strongest', 'Indonesia', 'preeeet', 'area', 'signal', 'that's',' government ',' ambitious', 'hahaha', 'win', 'prestige', ' ',' Dri ',' state ',' evenly ',' people ',' city ',' enjoy ',' service ',' signal ',' bags']")</f>
        <v>['Network', 'strongest', 'Indonesia', 'preeeet', 'area', 'signal', 'that's',' government ',' ambitious', 'hahaha', 'win', 'prestige', ' ',' Dri ',' state ',' evenly ',' people ',' city ',' enjoy ',' service ',' signal ',' bags']</v>
      </c>
      <c r="D1364" s="3">
        <v>1.0</v>
      </c>
    </row>
    <row r="1365" ht="15.75" customHeight="1">
      <c r="A1365" s="1">
        <v>1363.0</v>
      </c>
      <c r="B1365" s="3" t="s">
        <v>1366</v>
      </c>
      <c r="C1365" s="3" t="str">
        <f>IFERROR(__xludf.DUMMYFUNCTION("GOOGLETRANSLATE(B1365,""id"",""en"")"),"['What', 'Please', 'Donk', 'Buy', 'Package', 'Unlimitid', 'YouTube', 'Price', 'Dipake', 'Buffering', 'Mlulu', 'Telkomsel', ' Until ',' quotes', 'use']")</f>
        <v>['What', 'Please', 'Donk', 'Buy', 'Package', 'Unlimitid', 'YouTube', 'Price', 'Dipake', 'Buffering', 'Mlulu', 'Telkomsel', ' Until ',' quotes', 'use']</v>
      </c>
      <c r="D1365" s="3">
        <v>1.0</v>
      </c>
    </row>
    <row r="1366" ht="15.75" customHeight="1">
      <c r="A1366" s="1">
        <v>1364.0</v>
      </c>
      <c r="B1366" s="3" t="s">
        <v>1367</v>
      </c>
      <c r="C1366" s="3" t="str">
        <f>IFERROR(__xludf.DUMMYFUNCTION("GOOGLETRANSLATE(B1366,""id"",""en"")"),"['Ntah', 'KNPA', 'KPUPUT', 'Switch', 'Lngganan', 'Indosat', 'Ketelkomsel', 'Krna', 'lied to', 'The network', 'damaging', 'cage', ' Peenah ',' stable ',' signal ',' Indosat ', ""]")</f>
        <v>['Ntah', 'KNPA', 'KPUPUT', 'Switch', 'Lngganan', 'Indosat', 'Ketelkomsel', 'Krna', 'lied to', 'The network', 'damaging', 'cage', ' Peenah ',' stable ',' signal ',' Indosat ', "]</v>
      </c>
      <c r="D1366" s="3">
        <v>1.0</v>
      </c>
    </row>
    <row r="1367" ht="15.75" customHeight="1">
      <c r="A1367" s="1">
        <v>1365.0</v>
      </c>
      <c r="B1367" s="3" t="s">
        <v>1368</v>
      </c>
      <c r="C1367" s="3" t="str">
        <f>IFERROR(__xludf.DUMMYFUNCTION("GOOGLETRANSLATE(B1367,""id"",""en"")"),"['Telkomsel', 'slow', 'rich', 'super', 'fast', 'please', 'min', 'fix', 'stay', 'city', 'village']")</f>
        <v>['Telkomsel', 'slow', 'rich', 'super', 'fast', 'please', 'min', 'fix', 'stay', 'city', 'village']</v>
      </c>
      <c r="D1367" s="3">
        <v>2.0</v>
      </c>
    </row>
    <row r="1368" ht="15.75" customHeight="1">
      <c r="A1368" s="1">
        <v>1366.0</v>
      </c>
      <c r="B1368" s="3" t="s">
        <v>1369</v>
      </c>
      <c r="C1368" s="3" t="str">
        <f>IFERROR(__xludf.DUMMYFUNCTION("GOOGLETRANSLATE(B1368,""id"",""en"")"),"['really', 'Open', 'Samsung', 'Posts',' Close ',' Application ',' Ngapa ',' What's Out ',' Already ',' Bln ',' Change ',' Number ',' Change ',' Sunday ',' ']")</f>
        <v>['really', 'Open', 'Samsung', 'Posts',' Close ',' Application ',' Ngapa ',' What's Out ',' Already ',' Bln ',' Change ',' Number ',' Change ',' Sunday ',' ']</v>
      </c>
      <c r="D1368" s="3">
        <v>1.0</v>
      </c>
    </row>
    <row r="1369" ht="15.75" customHeight="1">
      <c r="A1369" s="1">
        <v>1367.0</v>
      </c>
      <c r="B1369" s="3" t="s">
        <v>1370</v>
      </c>
      <c r="C1369" s="3" t="str">
        <f>IFERROR(__xludf.DUMMYFUNCTION("GOOGLETRANSLATE(B1369,""id"",""en"")"),"['Dear', 'Telkom', 'Package', 'Unlimited', 'Rada', 'Error', 'Untk', 'Msikmax', 'Ama', 'chat', 'gkbisa', 'access',' slow ',' really ',' just ',' sosmed ',' buy ',' package ',' unlimited ',' rb ',' times', 'buy', 'package', 'happy', 'it hurts' , 'buy', 'gin"&amp;"i', 'just', 'error', 'doang', 'already', 'times',' buy ',' gini ',' mulu ',' correction ',' wrong ',' Emang ',' Alamin ', ""]")</f>
        <v>['Dear', 'Telkom', 'Package', 'Unlimited', 'Rada', 'Error', 'Untk', 'Msikmax', 'Ama', 'chat', 'gkbisa', 'access',' slow ',' really ',' just ',' sosmed ',' buy ',' package ',' unlimited ',' rb ',' times', 'buy', 'package', 'happy', 'it hurts' , 'buy', 'gini', 'just', 'error', 'doang', 'already', 'times',' buy ',' gini ',' mulu ',' correction ',' wrong ',' Emang ',' Alamin ', "]</v>
      </c>
      <c r="D1369" s="3">
        <v>3.0</v>
      </c>
    </row>
    <row r="1370" ht="15.75" customHeight="1">
      <c r="A1370" s="1">
        <v>1368.0</v>
      </c>
      <c r="B1370" s="3" t="s">
        <v>1371</v>
      </c>
      <c r="C1370" s="3" t="str">
        <f>IFERROR(__xludf.DUMMYFUNCTION("GOOGLETRANSLATE(B1370,""id"",""en"")"),"['Open', 'app', 'Telkomsel', 'right', 'open', 'app', 'gamau', 'enter', 'menu', 'main', 'always',' yaa ',' App ',' UDH ',' update ',' quota ',' open ',' app ',' tetep ',' gabisa ',' page ',' main ',' app ']")</f>
        <v>['Open', 'app', 'Telkomsel', 'right', 'open', 'app', 'gamau', 'enter', 'menu', 'main', 'always',' yaa ',' App ',' UDH ',' update ',' quota ',' open ',' app ',' tetep ',' gabisa ',' page ',' main ',' app ']</v>
      </c>
      <c r="D1370" s="3">
        <v>1.0</v>
      </c>
    </row>
    <row r="1371" ht="15.75" customHeight="1">
      <c r="A1371" s="1">
        <v>1369.0</v>
      </c>
      <c r="B1371" s="3" t="s">
        <v>1372</v>
      </c>
      <c r="C1371" s="3" t="str">
        <f>IFERROR(__xludf.DUMMYFUNCTION("GOOGLETRANSLATE(B1371,""id"",""en"")"),"['strange', 'friend', 'apk', 'Telkomsel', 'promo', 'price', 'tasty', 'really', 'apk', 'promo', 'price', 'one hundred', ' Thousands', 'poor', 'fair', 'replace', 'provider', 'Telkomsel', 'expensive', 'doang', 'quality', 'below', 'standard', '']")</f>
        <v>['strange', 'friend', 'apk', 'Telkomsel', 'promo', 'price', 'tasty', 'really', 'apk', 'promo', 'price', 'one hundred', ' Thousands', 'poor', 'fair', 'replace', 'provider', 'Telkomsel', 'expensive', 'doang', 'quality', 'below', 'standard', '']</v>
      </c>
      <c r="D1371" s="3">
        <v>1.0</v>
      </c>
    </row>
    <row r="1372" ht="15.75" customHeight="1">
      <c r="A1372" s="1">
        <v>1370.0</v>
      </c>
      <c r="B1372" s="3" t="s">
        <v>1373</v>
      </c>
      <c r="C1372" s="3" t="str">
        <f>IFERROR(__xludf.DUMMYFUNCTION("GOOGLETRANSLATE(B1372,""id"",""en"")"),"['activation', 'reset', 'card', 'Hello', 'CSO', 'DTG', 'Direct', 'GraPARI', 'CSO', 'easy', 'cpt', 'unfortunate', ' Easy ',' what's doing ',' made ',' Ribet ', ""]")</f>
        <v>['activation', 'reset', 'card', 'Hello', 'CSO', 'DTG', 'Direct', 'GraPARI', 'CSO', 'easy', 'cpt', 'unfortunate', ' Easy ',' what's doing ',' made ',' Ribet ', "]</v>
      </c>
      <c r="D1372" s="3">
        <v>1.0</v>
      </c>
    </row>
    <row r="1373" ht="15.75" customHeight="1">
      <c r="A1373" s="1">
        <v>1371.0</v>
      </c>
      <c r="B1373" s="3" t="s">
        <v>1374</v>
      </c>
      <c r="C1373" s="3" t="str">
        <f>IFERROR(__xludf.DUMMYFUNCTION("GOOGLETRANSLATE(B1373,""id"",""en"")"),"['name', 'Alexander', 'Disappointed', 'Telkomsel', 'Customer', 'loyal', 'Telkomsel', 'Turn', 'Package', 'Cheerful', 'Troubled', 'Solution', ' Help ',' Wait ',' Package ',' Karna ',' Package ',' Activation ',' Times', 'Because', 'Credit', 'Jalau', 'Offer',"&amp;" 'Package', 'Cheerful' , 'access', 'April', 'system', 'Telkomsel', 'disappointing', 'Sanga', 'disappointing']")</f>
        <v>['name', 'Alexander', 'Disappointed', 'Telkomsel', 'Customer', 'loyal', 'Telkomsel', 'Turn', 'Package', 'Cheerful', 'Troubled', 'Solution', ' Help ',' Wait ',' Package ',' Karna ',' Package ',' Activation ',' Times', 'Because', 'Credit', 'Jalau', 'Offer', 'Package', 'Cheerful' , 'access', 'April', 'system', 'Telkomsel', 'disappointing', 'Sanga', 'disappointing']</v>
      </c>
      <c r="D1373" s="3">
        <v>1.0</v>
      </c>
    </row>
    <row r="1374" ht="15.75" customHeight="1">
      <c r="A1374" s="1">
        <v>1372.0</v>
      </c>
      <c r="B1374" s="3" t="s">
        <v>1375</v>
      </c>
      <c r="C1374" s="3" t="str">
        <f>IFERROR(__xludf.DUMMYFUNCTION("GOOGLETRANSLATE(B1374,""id"",""en"")"),"['signal', 'ugly', 'difficult', 'pol', 'provider', 'yesterday', 'contents',' balance ',' link ',' enter ',' regret ',' provider ',' ']")</f>
        <v>['signal', 'ugly', 'difficult', 'pol', 'provider', 'yesterday', 'contents',' balance ',' link ',' enter ',' regret ',' provider ',' ']</v>
      </c>
      <c r="D1374" s="3">
        <v>1.0</v>
      </c>
    </row>
    <row r="1375" ht="15.75" customHeight="1">
      <c r="A1375" s="1">
        <v>1373.0</v>
      </c>
      <c r="B1375" s="3" t="s">
        <v>1376</v>
      </c>
      <c r="C1375" s="3" t="str">
        <f>IFERROR(__xludf.DUMMYFUNCTION("GOOGLETRANSLATE(B1375,""id"",""en"")"),"['Knp', 'stlah', 'upgrade', 'application', 'MyTelkomsel', 'menu', 'shopping', 'can', 'use', 'dbuka', 'try', 'date', ' Ttulis ',' access ',' access ',' page ',' pesi ',' menu ',' shopping ',' bln ',' can ',' mppart "", 'package', 'data', 'org' , 'Family', "&amp;"'date', 'Customer', 'card', 'Hello', 'send', 'gift', 'number', 'sympathy', 'load', 'bill', 'monthly', ' hrs', 'buy', 'method', 'payment', 'bln', 'dpn', 'closed', 'card', 'replace', '']")</f>
        <v>['Knp', 'stlah', 'upgrade', 'application', 'MyTelkomsel', 'menu', 'shopping', 'can', 'use', 'dbuka', 'try', 'date', ' Ttulis ',' access ',' access ',' page ',' pesi ',' menu ',' shopping ',' bln ',' can ',' mppart ", 'package', 'data', 'org' , 'Family', 'date', 'Customer', 'card', 'Hello', 'send', 'gift', 'number', 'sympathy', 'load', 'bill', 'monthly', ' hrs', 'buy', 'method', 'payment', 'bln', 'dpn', 'closed', 'card', 'replace', '']</v>
      </c>
      <c r="D1375" s="3">
        <v>1.0</v>
      </c>
    </row>
    <row r="1376" ht="15.75" customHeight="1">
      <c r="A1376" s="1">
        <v>1374.0</v>
      </c>
      <c r="B1376" s="3" t="s">
        <v>1377</v>
      </c>
      <c r="C1376" s="3" t="str">
        <f>IFERROR(__xludf.DUMMYFUNCTION("GOOGLETRANSLATE(B1376,""id"",""en"")"),"['Telkomsel', 'Becus', 'Service', 'Best', 'Network', 'Telkomsel', 'Down', 'Change', 'Card', 'Becus', 'Huuuuuuuuuuu']")</f>
        <v>['Telkomsel', 'Becus', 'Service', 'Best', 'Network', 'Telkomsel', 'Down', 'Change', 'Card', 'Becus', 'Huuuuuuuuuuu']</v>
      </c>
      <c r="D1376" s="3">
        <v>1.0</v>
      </c>
    </row>
    <row r="1377" ht="15.75" customHeight="1">
      <c r="A1377" s="1">
        <v>1375.0</v>
      </c>
      <c r="B1377" s="3" t="s">
        <v>1378</v>
      </c>
      <c r="C1377" s="3" t="str">
        <f>IFERROR(__xludf.DUMMYFUNCTION("GOOGLETRANSLATE(B1377,""id"",""en"")"),"['Please', 'Fix', 'Network', 'Internet', 'Village', 'County', 'Nagan', 'Raya', 'District', 'Seunagan', 'village', 'Alue', ' tho ',' network ',' internet ',' ugly ',' buy ',' package ',' expensive ',' tapu ',' because ',' the network ',' jelyk ',' please '"&amp;",' repaired ' ]")</f>
        <v>['Please', 'Fix', 'Network', 'Internet', 'Village', 'County', 'Nagan', 'Raya', 'District', 'Seunagan', 'village', 'Alue', ' tho ',' network ',' internet ',' ugly ',' buy ',' package ',' expensive ',' tapu ',' because ',' the network ',' jelyk ',' please ',' repaired ' ]</v>
      </c>
      <c r="D1377" s="3">
        <v>1.0</v>
      </c>
    </row>
    <row r="1378" ht="15.75" customHeight="1">
      <c r="A1378" s="1">
        <v>1376.0</v>
      </c>
      <c r="B1378" s="3" t="s">
        <v>1379</v>
      </c>
      <c r="C1378" s="3" t="str">
        <f>IFERROR(__xludf.DUMMYFUNCTION("GOOGLETRANSLATE(B1378,""id"",""en"")"),"['Price', 'TRS', 'GB', 'Padaal', 'Drastic', 'Signal', 'Stable', '']")</f>
        <v>['Price', 'TRS', 'GB', 'Padaal', 'Drastic', 'Signal', 'Stable', '']</v>
      </c>
      <c r="D1378" s="3">
        <v>3.0</v>
      </c>
    </row>
    <row r="1379" ht="15.75" customHeight="1">
      <c r="A1379" s="1">
        <v>1377.0</v>
      </c>
      <c r="B1379" s="3" t="s">
        <v>1380</v>
      </c>
      <c r="C1379" s="3" t="str">
        <f>IFERROR(__xludf.DUMMYFUNCTION("GOOGLETRANSLATE(B1379,""id"",""en"")"),"['', 'Kenpa', 'Package', 'People', 'Different', 'Tman', 'Constraints',' Network ',' Like ',' Ngepreng ',' Package ',' Telk ',' Knpa ',' expensive ',' package ',' just ',' sell ',' Sampe ',' Emples', 'unlimited', 'please', 'card', 'you', 'people', 'rich', "&amp;"'Jdi', 'ksih', 'kringananan', 'teks', ""]")</f>
        <v>['', 'Kenpa', 'Package', 'People', 'Different', 'Tman', 'Constraints',' Network ',' Like ',' Ngepreng ',' Package ',' Telk ',' Knpa ',' expensive ',' package ',' just ',' sell ',' Sampe ',' Emples', 'unlimited', 'please', 'card', 'you', 'people', 'rich', 'Jdi', 'ksih', 'kringananan', 'teks', "]</v>
      </c>
      <c r="D1379" s="3">
        <v>2.0</v>
      </c>
    </row>
    <row r="1380" ht="15.75" customHeight="1">
      <c r="A1380" s="1">
        <v>1378.0</v>
      </c>
      <c r="B1380" s="3" t="s">
        <v>1381</v>
      </c>
      <c r="C1380" s="3" t="str">
        <f>IFERROR(__xludf.DUMMYFUNCTION("GOOGLETRANSLATE(B1380,""id"",""en"")"),"['Loggin', 'told', 'enter', 'loggin', 'karema', 'already', 'move', 'operator', 'just', 'sharing']")</f>
        <v>['Loggin', 'told', 'enter', 'loggin', 'karema', 'already', 'move', 'operator', 'just', 'sharing']</v>
      </c>
      <c r="D1380" s="3">
        <v>1.0</v>
      </c>
    </row>
    <row r="1381" ht="15.75" customHeight="1">
      <c r="A1381" s="1">
        <v>1379.0</v>
      </c>
      <c r="B1381" s="3" t="s">
        <v>1382</v>
      </c>
      <c r="C1381" s="3" t="str">
        <f>IFERROR(__xludf.DUMMYFUNCTION("GOOGLETRANSLATE(B1381,""id"",""en"")"),"['emang', 'Telkomsel', 'anjng', 'klen', 'emng', 'intention', 'card', 'ush', 'created', 'threat', 'network', 'telkomnyett', ' already ',' replace ',' card ',' mampus', 'klen', 'udh', 'mke', 'card', 'telkomnyett', '']")</f>
        <v>['emang', 'Telkomsel', 'anjng', 'klen', 'emng', 'intention', 'card', 'ush', 'created', 'threat', 'network', 'telkomnyett', ' already ',' replace ',' card ',' mampus', 'klen', 'udh', 'mke', 'card', 'telkomnyett', '']</v>
      </c>
      <c r="D1381" s="3">
        <v>1.0</v>
      </c>
    </row>
    <row r="1382" ht="15.75" customHeight="1">
      <c r="A1382" s="1">
        <v>1380.0</v>
      </c>
      <c r="B1382" s="3" t="s">
        <v>1383</v>
      </c>
      <c r="C1382" s="3" t="str">
        <f>IFERROR(__xludf.DUMMYFUNCTION("GOOGLETRANSLATE(B1382,""id"",""en"")"),"['Disappointed', 'Satisfied', 'Next', 'Please', 'Note', 'NMR', 'Region', 'Lottery', 'Java', ""]")</f>
        <v>['Disappointed', 'Satisfied', 'Next', 'Please', 'Note', 'NMR', 'Region', 'Lottery', 'Java', "]</v>
      </c>
      <c r="D1382" s="3">
        <v>5.0</v>
      </c>
    </row>
    <row r="1383" ht="15.75" customHeight="1">
      <c r="A1383" s="1">
        <v>1381.0</v>
      </c>
      <c r="B1383" s="3" t="s">
        <v>1384</v>
      </c>
      <c r="C1383" s="3" t="str">
        <f>IFERROR(__xludf.DUMMYFUNCTION("GOOGLETRANSLATE(B1383,""id"",""en"")"),"['leftover', 'pulse', 'reduced', 'quota', 'internet', 'run out', 'loss',' really ',' min ',' claim ',' except ',' quota ',' Udh ',' Out ',' GPP ',' Quota ',' Msih ',' Credit ',' Take ',' Minjem ',' Quota ',' Emergency ',' Please ',' Return ',' Credit ' , "&amp;"'buy', 'use', 'money', 'leaves', 'that way', 'value', 'valuable', 'learn', 'online', 'min', '']")</f>
        <v>['leftover', 'pulse', 'reduced', 'quota', 'internet', 'run out', 'loss',' really ',' min ',' claim ',' except ',' quota ',' Udh ',' Out ',' GPP ',' Quota ',' Msih ',' Credit ',' Take ',' Minjem ',' Quota ',' Emergency ',' Please ',' Return ',' Credit ' , 'buy', 'use', 'money', 'leaves', 'that way', 'value', 'valuable', 'learn', 'online', 'min', '']</v>
      </c>
      <c r="D1383" s="3">
        <v>1.0</v>
      </c>
    </row>
    <row r="1384" ht="15.75" customHeight="1">
      <c r="A1384" s="1">
        <v>1382.0</v>
      </c>
      <c r="B1384" s="3" t="s">
        <v>1385</v>
      </c>
      <c r="C1384" s="3" t="str">
        <f>IFERROR(__xludf.DUMMYFUNCTION("GOOGLETRANSLATE(B1384,""id"",""en"")"),"['cave', 'buy', 'pulse', 'yng', 'times',' TPI ',' ilang ',' mulu ',' right ',' donlod ',' apk ',' ugly ',' ']")</f>
        <v>['cave', 'buy', 'pulse', 'yng', 'times',' TPI ',' ilang ',' mulu ',' right ',' donlod ',' apk ',' ugly ',' ']</v>
      </c>
      <c r="D1384" s="3">
        <v>1.0</v>
      </c>
    </row>
    <row r="1385" ht="15.75" customHeight="1">
      <c r="A1385" s="1">
        <v>1383.0</v>
      </c>
      <c r="B1385" s="3" t="s">
        <v>1386</v>
      </c>
      <c r="C1385" s="3" t="str">
        <f>IFERROR(__xludf.DUMMYFUNCTION("GOOGLETRANSLATE(B1385,""id"",""en"")"),"['knapa', 'application', 'log', 'bother', 'mauboake', 'verif', 'mending', 'otp', 'click', 'link', 'network', 'good', ' bother ',' application ',' slow ',' What ',' Poor ',' Aplication ',' please ',' please ',' level ']")</f>
        <v>['knapa', 'application', 'log', 'bother', 'mauboake', 'verif', 'mending', 'otp', 'click', 'link', 'network', 'good', ' bother ',' application ',' slow ',' What ',' Poor ',' Aplication ',' please ',' please ',' level ']</v>
      </c>
      <c r="D1385" s="3">
        <v>3.0</v>
      </c>
    </row>
    <row r="1386" ht="15.75" customHeight="1">
      <c r="A1386" s="1">
        <v>1384.0</v>
      </c>
      <c r="B1386" s="3" t="s">
        <v>1387</v>
      </c>
      <c r="C1386" s="3" t="str">
        <f>IFERROR(__xludf.DUMMYFUNCTION("GOOGLETRANSLATE(B1386,""id"",""en"")"),"['Internet', 'slow', 'kb', 'package', 'internet', 'omg', 'contents', 'contact', 'Telkomsel', 'via', 'email', 'do']")</f>
        <v>['Internet', 'slow', 'kb', 'package', 'internet', 'omg', 'contents', 'contact', 'Telkomsel', 'via', 'email', 'do']</v>
      </c>
      <c r="D1386" s="3">
        <v>1.0</v>
      </c>
    </row>
    <row r="1387" ht="15.75" customHeight="1">
      <c r="A1387" s="1">
        <v>1385.0</v>
      </c>
      <c r="B1387" s="3" t="s">
        <v>1388</v>
      </c>
      <c r="C1387" s="3" t="str">
        <f>IFERROR(__xludf.DUMMYFUNCTION("GOOGLETRANSLATE(B1387,""id"",""en"")"),"['The network', 'slow', 'ugly', 'rich', 'good', 'network', 'how', 'play', 'game', 'online', 'ngelag', 'severe', ' Please, 'Fix', 'Network', '']")</f>
        <v>['The network', 'slow', 'ugly', 'rich', 'good', 'network', 'how', 'play', 'game', 'online', 'ngelag', 'severe', ' Please, 'Fix', 'Network', '']</v>
      </c>
      <c r="D1387" s="3">
        <v>1.0</v>
      </c>
    </row>
    <row r="1388" ht="15.75" customHeight="1">
      <c r="A1388" s="1">
        <v>1386.0</v>
      </c>
      <c r="B1388" s="3" t="s">
        <v>1389</v>
      </c>
      <c r="C1388" s="3" t="str">
        <f>IFERROR(__xludf.DUMMYFUNCTION("GOOGLETRANSLATE(B1388,""id"",""en"")"),"['What', 'Telkom', 'lag', 'Sya', 'buy', 'package', 'data', 'please', 'fix', 'price', 'data', 'according to' Quality ',' Different ',' Provider ']")</f>
        <v>['What', 'Telkom', 'lag', 'Sya', 'buy', 'package', 'data', 'please', 'fix', 'price', 'data', 'according to' Quality ',' Different ',' Provider ']</v>
      </c>
      <c r="D1388" s="3">
        <v>1.0</v>
      </c>
    </row>
    <row r="1389" ht="15.75" customHeight="1">
      <c r="A1389" s="1">
        <v>1387.0</v>
      </c>
      <c r="B1389" s="3" t="s">
        <v>1390</v>
      </c>
      <c r="C1389" s="3" t="str">
        <f>IFERROR(__xludf.DUMMYFUNCTION("GOOGLETRANSLATE(B1389,""id"",""en"")"),"['bug', 'truss',' hey ',' gabisa ',' reedem ',' please ',' repaired ',' bug ',' detrimental ',' udh ',' customers', 'telkom', ' regret ',' update ',' gini ',' bug ',' hope ',' fast ',' repaired ',' bug ']")</f>
        <v>['bug', 'truss',' hey ',' gabisa ',' reedem ',' please ',' repaired ',' bug ',' detrimental ',' udh ',' customers', 'telkom', ' regret ',' update ',' gini ',' bug ',' hope ',' fast ',' repaired ',' bug ']</v>
      </c>
      <c r="D1389" s="3">
        <v>1.0</v>
      </c>
    </row>
    <row r="1390" ht="15.75" customHeight="1">
      <c r="A1390" s="1">
        <v>1388.0</v>
      </c>
      <c r="B1390" s="3" t="s">
        <v>1391</v>
      </c>
      <c r="C1390" s="3" t="str">
        <f>IFERROR(__xludf.DUMMYFUNCTION("GOOGLETRANSLATE(B1390,""id"",""en"")"),"['Redeem', 'Points', 'Daily', 'Chekin', 'Pulse', 'BNYAK', 'Chekin', 'Considered', 'Bonus', 'Enter', 'ugly', 'application']")</f>
        <v>['Redeem', 'Points', 'Daily', 'Chekin', 'Pulse', 'BNYAK', 'Chekin', 'Considered', 'Bonus', 'Enter', 'ugly', 'application']</v>
      </c>
      <c r="D1390" s="3">
        <v>2.0</v>
      </c>
    </row>
    <row r="1391" ht="15.75" customHeight="1">
      <c r="A1391" s="1">
        <v>1389.0</v>
      </c>
      <c r="B1391" s="3" t="s">
        <v>1392</v>
      </c>
      <c r="C1391" s="3" t="str">
        <f>IFERROR(__xludf.DUMMYFUNCTION("GOOGLETRANSLATE(B1391,""id"",""en"")"),"['buy', 'Package', 'Telkomsel', 'UDH', 'click', 'payment', 'UDH', 'Success',' appears', 'Package', 'pulses',' times', ' Try ',' Tetep ',' Clear ',' Delete ',' Data ',' Tetep ',' Restart ',' Times', '']")</f>
        <v>['buy', 'Package', 'Telkomsel', 'UDH', 'click', 'payment', 'UDH', 'Success',' appears', 'Package', 'pulses',' times', ' Try ',' Tetep ',' Clear ',' Delete ',' Data ',' Tetep ',' Restart ',' Times', '']</v>
      </c>
      <c r="D1391" s="3">
        <v>2.0</v>
      </c>
    </row>
    <row r="1392" ht="15.75" customHeight="1">
      <c r="A1392" s="1">
        <v>1390.0</v>
      </c>
      <c r="B1392" s="3" t="s">
        <v>1393</v>
      </c>
      <c r="C1392" s="3" t="str">
        <f>IFERROR(__xludf.DUMMYFUNCTION("GOOGLETRANSLATE(B1392,""id"",""en"")"),"['basic', 'app', 'garbage', 'price', 'package', 'week', 'buy', 'vocer', 'week', 'just', 'buy', 'package', ' App ',' kiosk ',' kiosk ',' just ',' thousand ',' doang ',' base ',' app ',' squeezer ',' community ',' direct ',' try ',' company ' , 'private', '"&amp;"permission', 'area', 'lose', 'Telkomsel']")</f>
        <v>['basic', 'app', 'garbage', 'price', 'package', 'week', 'buy', 'vocer', 'week', 'just', 'buy', 'package', ' App ',' kiosk ',' kiosk ',' just ',' thousand ',' doang ',' base ',' app ',' squeezer ',' community ',' direct ',' try ',' company ' , 'private', 'permission', 'area', 'lose', 'Telkomsel']</v>
      </c>
      <c r="D1392" s="3">
        <v>2.0</v>
      </c>
    </row>
    <row r="1393" ht="15.75" customHeight="1">
      <c r="A1393" s="1">
        <v>1391.0</v>
      </c>
      <c r="B1393" s="3" t="s">
        <v>1394</v>
      </c>
      <c r="C1393" s="3" t="str">
        <f>IFERROR(__xludf.DUMMYFUNCTION("GOOGLETRANSLATE(B1393,""id"",""en"")"),"['Telkomsel', 'Please', 'Min', 'Register', 'Quota', 'Learning', 'Teams',' Pas', 'Used', 'Credit', 'Tolling', 'Access',' The internet ',' Turn Off ',' Credit ',' Target ',' Tens', 'Thousand', 'Change', 'Card', 'Action', 'Dri', 'Telkomsel']")</f>
        <v>['Telkomsel', 'Please', 'Min', 'Register', 'Quota', 'Learning', 'Teams',' Pas', 'Used', 'Credit', 'Tolling', 'Access',' The internet ',' Turn Off ',' Credit ',' Target ',' Tens', 'Thousand', 'Change', 'Card', 'Action', 'Dri', 'Telkomsel']</v>
      </c>
      <c r="D1393" s="3">
        <v>1.0</v>
      </c>
    </row>
    <row r="1394" ht="15.75" customHeight="1">
      <c r="A1394" s="1">
        <v>1392.0</v>
      </c>
      <c r="B1394" s="3" t="s">
        <v>1395</v>
      </c>
      <c r="C1394" s="3" t="str">
        <f>IFERROR(__xludf.DUMMYFUNCTION("GOOGLETRANSLATE(B1394,""id"",""en"")"),"['Telkomsel', 'credit', 'reduced', 'ngak', 'reduction', 'ngak', 'notification', 'already', 'times', 'kayak', 'that's']")</f>
        <v>['Telkomsel', 'credit', 'reduced', 'ngak', 'reduction', 'ngak', 'notification', 'already', 'times', 'kayak', 'that's']</v>
      </c>
      <c r="D1394" s="3">
        <v>2.0</v>
      </c>
    </row>
    <row r="1395" ht="15.75" customHeight="1">
      <c r="A1395" s="1">
        <v>1393.0</v>
      </c>
      <c r="B1395" s="3" t="s">
        <v>1396</v>
      </c>
      <c r="C1395" s="3" t="str">
        <f>IFERROR(__xludf.DUMMYFUNCTION("GOOGLETRANSLATE(B1395,""id"",""en"")"),"['Waiting', 'patient', 'program', 'Daily', 'check', 'Reedem', 'quota', 'point', 'pulse', 'come on', 'Telkomsel', 'please', ' cooperation']")</f>
        <v>['Waiting', 'patient', 'program', 'Daily', 'check', 'Reedem', 'quota', 'point', 'pulse', 'come on', 'Telkomsel', 'please', ' cooperation']</v>
      </c>
      <c r="D1395" s="3">
        <v>1.0</v>
      </c>
    </row>
    <row r="1396" ht="15.75" customHeight="1">
      <c r="A1396" s="1">
        <v>1394.0</v>
      </c>
      <c r="B1396" s="3" t="s">
        <v>1397</v>
      </c>
      <c r="C1396" s="3" t="str">
        <f>IFERROR(__xludf.DUMMYFUNCTION("GOOGLETRANSLATE(B1396,""id"",""en"")"),"['Dear', 'Telkomsel', 'price', 'quota', 'moved', 'provider', 'already', 'signal', 'crash', 'price', 'quota', 'expensive', ' Want ',' woi ',' please ',' fix ',' expensive ',' sorry ',' stay ', ""]")</f>
        <v>['Dear', 'Telkomsel', 'price', 'quota', 'moved', 'provider', 'already', 'signal', 'crash', 'price', 'quota', 'expensive', ' Want ',' woi ',' please ',' fix ',' expensive ',' sorry ',' stay ', "]</v>
      </c>
      <c r="D1396" s="3">
        <v>1.0</v>
      </c>
    </row>
    <row r="1397" ht="15.75" customHeight="1">
      <c r="A1397" s="1">
        <v>1395.0</v>
      </c>
      <c r="B1397" s="3" t="s">
        <v>1398</v>
      </c>
      <c r="C1397" s="3" t="str">
        <f>IFERROR(__xludf.DUMMYFUNCTION("GOOGLETRANSLATE(B1397,""id"",""en"")"),"['application', 'update', 'chaotic', 'claim', 'reward', 'check', 'GB', 'pulse', 'point', 'severe', '']")</f>
        <v>['application', 'update', 'chaotic', 'claim', 'reward', 'check', 'GB', 'pulse', 'point', 'severe', '']</v>
      </c>
      <c r="D1397" s="3">
        <v>1.0</v>
      </c>
    </row>
    <row r="1398" ht="15.75" customHeight="1">
      <c r="A1398" s="1">
        <v>1396.0</v>
      </c>
      <c r="B1398" s="3" t="s">
        <v>1399</v>
      </c>
      <c r="C1398" s="3" t="str">
        <f>IFERROR(__xludf.DUMMYFUNCTION("GOOGLETRANSLATE(B1398,""id"",""en"")"),"['updated', 'pay', 'link', 'muter', 'tip', 'transaction', 'succeed', 'gini', 'promo', 'payment', 'according to', 'purchase', ' difficult ',' buy ',' credit ',' link ',' essence ',' payment ',' click ',' link ',' gabisa ',' dipake ', ""]")</f>
        <v>['updated', 'pay', 'link', 'muter', 'tip', 'transaction', 'succeed', 'gini', 'promo', 'payment', 'according to', 'purchase', ' difficult ',' buy ',' credit ',' link ',' essence ',' payment ',' click ',' link ',' gabisa ',' dipake ', "]</v>
      </c>
      <c r="D1398" s="3">
        <v>2.0</v>
      </c>
    </row>
    <row r="1399" ht="15.75" customHeight="1">
      <c r="A1399" s="1">
        <v>1397.0</v>
      </c>
      <c r="B1399" s="3" t="s">
        <v>1400</v>
      </c>
      <c r="C1399" s="3" t="str">
        <f>IFERROR(__xludf.DUMMYFUNCTION("GOOGLETRANSLATE(B1399,""id"",""en"")"),"['Application', 'Worst', 'Provider', 'Telecommunications',' Logout ',' Sndiri ',' Login ',' Difficult ',' Uda ',' That's', 'Proud', 'Pulak', ' Sok ',' Good ',' ']")</f>
        <v>['Application', 'Worst', 'Provider', 'Telecommunications',' Logout ',' Sndiri ',' Login ',' Difficult ',' Uda ',' That's', 'Proud', 'Pulak', ' Sok ',' Good ',' ']</v>
      </c>
      <c r="D1399" s="3">
        <v>1.0</v>
      </c>
    </row>
    <row r="1400" ht="15.75" customHeight="1">
      <c r="A1400" s="1">
        <v>1398.0</v>
      </c>
      <c r="B1400" s="3" t="s">
        <v>1401</v>
      </c>
      <c r="C1400" s="3" t="str">
        <f>IFERROR(__xludf.DUMMYFUNCTION("GOOGLETRANSLATE(B1400,""id"",""en"")"),"['Error', 'Error', 'Telkom', 'Telkom', 'Price', 'Package', 'Network', 'Already', 'Error', 'APL', 'Error', 'Kelon', ' update ',' update ',' good ',' kagak ',' error ',' obstacle ',' reason ',' improvement ',' system ',' improvement ',' obstacle ',' jwb ','"&amp;" increase ' , 'system', 'told', 'waiting', 'clock', 'clock', 'sometimes', 'ngeeles', 'twigs', 'lazy', 'obstacle', 'his grape']")</f>
        <v>['Error', 'Error', 'Telkom', 'Telkom', 'Price', 'Package', 'Network', 'Already', 'Error', 'APL', 'Error', 'Kelon', ' update ',' update ',' good ',' kagak ',' error ',' obstacle ',' reason ',' improvement ',' system ',' improvement ',' obstacle ',' jwb ',' increase ' , 'system', 'told', 'waiting', 'clock', 'clock', 'sometimes', 'ngeeles', 'twigs', 'lazy', 'obstacle', 'his grape']</v>
      </c>
      <c r="D1400" s="3">
        <v>1.0</v>
      </c>
    </row>
    <row r="1401" ht="15.75" customHeight="1">
      <c r="A1401" s="1">
        <v>1399.0</v>
      </c>
      <c r="B1401" s="3" t="s">
        <v>1402</v>
      </c>
      <c r="C1401" s="3" t="str">
        <f>IFERROR(__xludf.DUMMYFUNCTION("GOOGLETRANSLATE(B1401,""id"",""en"")"),"['difficult', 'login', 'promo', 'promo', 'GB', 'RB', 'subscription', 'subscription', 'operator', 'next door', 'forced', 'Stop', ' Clear ',' data ',' cache ',' reset ',' reset ',' ttp ',' login ']")</f>
        <v>['difficult', 'login', 'promo', 'promo', 'GB', 'RB', 'subscription', 'subscription', 'operator', 'next door', 'forced', 'Stop', ' Clear ',' data ',' cache ',' reset ',' reset ',' ttp ',' login ']</v>
      </c>
      <c r="D1401" s="3">
        <v>1.0</v>
      </c>
    </row>
    <row r="1402" ht="15.75" customHeight="1">
      <c r="A1402" s="1">
        <v>1400.0</v>
      </c>
      <c r="B1402" s="3" t="s">
        <v>1403</v>
      </c>
      <c r="C1402" s="3" t="str">
        <f>IFERROR(__xludf.DUMMYFUNCTION("GOOGLETRANSLATE(B1402,""id"",""en"")"),"['', 'Telkomsel', 'internet', 'smooth', 'severe', 'brand', 'next door', 'oath', 'Req', 'really', 'Telkomsel', 'smooth', 'network ',' Thre ',' asw ',' trashhhh ',' waste ',' money ',' ']")</f>
        <v>['', 'Telkomsel', 'internet', 'smooth', 'severe', 'brand', 'next door', 'oath', 'Req', 'really', 'Telkomsel', 'smooth', 'network ',' Thre ',' asw ',' trashhhh ',' waste ',' money ',' ']</v>
      </c>
      <c r="D1402" s="3">
        <v>1.0</v>
      </c>
    </row>
    <row r="1403" ht="15.75" customHeight="1">
      <c r="A1403" s="1">
        <v>1401.0</v>
      </c>
      <c r="B1403" s="3" t="s">
        <v>1404</v>
      </c>
      <c r="C1403" s="3" t="str">
        <f>IFERROR(__xludf.DUMMYFUNCTION("GOOGLETRANSLATE(B1403,""id"",""en"")"),"['Telkomsel', 'here', 'Login', 'Ribet', 'Loading', 'Season', 'People', 'essence', 'ugly', 'Rich', 'Telkomsel', 'Disadvantages',' Most ',' Telkomsel ']")</f>
        <v>['Telkomsel', 'here', 'Login', 'Ribet', 'Loading', 'Season', 'People', 'essence', 'ugly', 'Rich', 'Telkomsel', 'Disadvantages',' Most ',' Telkomsel ']</v>
      </c>
      <c r="D1403" s="3">
        <v>1.0</v>
      </c>
    </row>
    <row r="1404" ht="15.75" customHeight="1">
      <c r="A1404" s="1">
        <v>1402.0</v>
      </c>
      <c r="B1404" s="3" t="s">
        <v>1405</v>
      </c>
      <c r="C1404" s="3" t="str">
        <f>IFERROR(__xludf.DUMMYFUNCTION("GOOGLETRANSLATE(B1404,""id"",""en"")"),"['buy', 'pulse', 'pulse', 'sister', 'friend', 'telkomsel', 'rb', 'point', 'buy', 'no', 'point', 'point', ' Make ',' Promotion ',' Where ',' already ',' Gallery ',' Wait ',' Hub ',' Phone ',' No ',' News', 'Points',' Right ',' Edible ' , 'Employees',' Telk"&amp;"omsel ',' Not bad ',' Points', 'Exchange', 'Fanta', 'Sprite', 'Indomaret', 'Obligations',' Points', 'Rights',' Customer ',' Ora ',' Urus', ""]")</f>
        <v>['buy', 'pulse', 'pulse', 'sister', 'friend', 'telkomsel', 'rb', 'point', 'buy', 'no', 'point', 'point', ' Make ',' Promotion ',' Where ',' already ',' Gallery ',' Wait ',' Hub ',' Phone ',' No ',' News', 'Points',' Right ',' Edible ' , 'Employees',' Telkomsel ',' Not bad ',' Points', 'Exchange', 'Fanta', 'Sprite', 'Indomaret', 'Obligations',' Points', 'Rights',' Customer ',' Ora ',' Urus', "]</v>
      </c>
      <c r="D1404" s="3">
        <v>1.0</v>
      </c>
    </row>
    <row r="1405" ht="15.75" customHeight="1">
      <c r="A1405" s="1">
        <v>1403.0</v>
      </c>
      <c r="B1405" s="3" t="s">
        <v>1406</v>
      </c>
      <c r="C1405" s="3" t="str">
        <f>IFERROR(__xludf.DUMMYFUNCTION("GOOGLETRANSLATE(B1405,""id"",""en"")"),"['Telkomsel', 'slow', 'APLG', 'right', 'Abis',' Ujan ',' comparable ',' paid ',' please ',' nihh ',' area ',' kelurahan ',' The cottage ',' Ranggon ',' Cipayung ',' East Jakarta ',' repaired ',' signal ',' detrimental ',' constrained ',' signal ',' perpet"&amp;"rators', 'business',' kyk ']")</f>
        <v>['Telkomsel', 'slow', 'APLG', 'right', 'Abis',' Ujan ',' comparable ',' paid ',' please ',' nihh ',' area ',' kelurahan ',' The cottage ',' Ranggon ',' Cipayung ',' East Jakarta ',' repaired ',' signal ',' detrimental ',' constrained ',' signal ',' perpetrators', 'business',' kyk ']</v>
      </c>
      <c r="D1405" s="3">
        <v>1.0</v>
      </c>
    </row>
    <row r="1406" ht="15.75" customHeight="1">
      <c r="A1406" s="1">
        <v>1404.0</v>
      </c>
      <c r="B1406" s="3" t="s">
        <v>1407</v>
      </c>
      <c r="C1406" s="3" t="str">
        <f>IFERROR(__xludf.DUMMYFUNCTION("GOOGLETRANSLATE(B1406,""id"",""en"")"),"['Signal', 'Telkomsel', 'Severe', 'yaa', 'lemooooot', 'really', 'fast', 'provider', 'price', 'expensive', 'mercy', 'kirain', ' Telkomsel ',' fast ',' turned ',' Amonn ']")</f>
        <v>['Signal', 'Telkomsel', 'Severe', 'yaa', 'lemooooot', 'really', 'fast', 'provider', 'price', 'expensive', 'mercy', 'kirain', ' Telkomsel ',' fast ',' turned ',' Amonn ']</v>
      </c>
      <c r="D1406" s="3">
        <v>1.0</v>
      </c>
    </row>
    <row r="1407" ht="15.75" customHeight="1">
      <c r="A1407" s="1">
        <v>1405.0</v>
      </c>
      <c r="B1407" s="3" t="s">
        <v>1408</v>
      </c>
      <c r="C1407" s="3" t="str">
        <f>IFERROR(__xludf.DUMMYFUNCTION("GOOGLETRANSLATE(B1407,""id"",""en"")"),"['Sisain', 'plsa', 'like', 'ilang', 'mulu', 'pdhal', 'package', 'internet', 'msih', 'sumps',' krna ',' activated ',' Data ',' Gerah ',' Jga ',' Rebu ',' ilang ',' bgtu ', ""]")</f>
        <v>['Sisain', 'plsa', 'like', 'ilang', 'mulu', 'pdhal', 'package', 'internet', 'msih', 'sumps',' krna ',' activated ',' Data ',' Gerah ',' Jga ',' Rebu ',' ilang ',' bgtu ', "]</v>
      </c>
      <c r="D1407" s="3">
        <v>1.0</v>
      </c>
    </row>
    <row r="1408" ht="15.75" customHeight="1">
      <c r="A1408" s="1">
        <v>1406.0</v>
      </c>
      <c r="B1408" s="3" t="s">
        <v>1409</v>
      </c>
      <c r="C1408" s="3" t="str">
        <f>IFERROR(__xludf.DUMMYFUNCTION("GOOGLETRANSLATE(B1408,""id"",""en"")"),"['bug', 'buy', 'package', 'pulse', 'already', 'cut', 'package', 'notif', 'failed', 'success',' until ',' skrang ',' package ',' enter ',' morning ',' please ',' conducted ',' until ',' detrimental ',' consumer ', ""]")</f>
        <v>['bug', 'buy', 'package', 'pulse', 'already', 'cut', 'package', 'notif', 'failed', 'success',' until ',' skrang ',' package ',' enter ',' morning ',' please ',' conducted ',' until ',' detrimental ',' consumer ', "]</v>
      </c>
      <c r="D1408" s="3">
        <v>3.0</v>
      </c>
    </row>
    <row r="1409" ht="15.75" customHeight="1">
      <c r="A1409" s="1">
        <v>1407.0</v>
      </c>
      <c r="B1409" s="3" t="s">
        <v>1410</v>
      </c>
      <c r="C1409" s="3" t="str">
        <f>IFERROR(__xludf.DUMMYFUNCTION("GOOGLETRANSLATE(B1409,""id"",""en"")"),"['Network', 'Severe', 'expensive', 'Bagusan', 'Provider', 'cheap', 'Kenceng', 'it's',' already ',' already ',' gedeg ',' Next ',' Kaga ',' contents', 'data', 'provider', 'yesterday', 'customer', 'forced', 'migration', 'card', 'sorry', 'bngt', 'gedeg']")</f>
        <v>['Network', 'Severe', 'expensive', 'Bagusan', 'Provider', 'cheap', 'Kenceng', 'it's',' already ',' already ',' gedeg ',' Next ',' Kaga ',' contents', 'data', 'provider', 'yesterday', 'customer', 'forced', 'migration', 'card', 'sorry', 'bngt', 'gedeg']</v>
      </c>
      <c r="D1409" s="3">
        <v>1.0</v>
      </c>
    </row>
    <row r="1410" ht="15.75" customHeight="1">
      <c r="A1410" s="1">
        <v>1408.0</v>
      </c>
      <c r="B1410" s="3" t="s">
        <v>1411</v>
      </c>
      <c r="C1410" s="3" t="str">
        <f>IFERROR(__xludf.DUMMYFUNCTION("GOOGLETRANSLATE(B1410,""id"",""en"")"),"['telephone', 'ask', 'limited', 'games', 'nggk', 'login', 'game', 'mobile', 'legends', 'sya', 'sneng', 'really' Krna ',' Login ',' Play ',' Mobile ',' Legend ',' Nggk ']")</f>
        <v>['telephone', 'ask', 'limited', 'games', 'nggk', 'login', 'game', 'mobile', 'legends', 'sya', 'sneng', 'really' Krna ',' Login ',' Play ',' Mobile ',' Legend ',' Nggk ']</v>
      </c>
      <c r="D1410" s="3">
        <v>2.0</v>
      </c>
    </row>
    <row r="1411" ht="15.75" customHeight="1">
      <c r="A1411" s="1">
        <v>1409.0</v>
      </c>
      <c r="B1411" s="3" t="s">
        <v>1412</v>
      </c>
      <c r="C1411" s="3" t="str">
        <f>IFERROR(__xludf.DUMMYFUNCTION("GOOGLETRANSLATE(B1411,""id"",""en"")"),"['please', 'donk', 'developer', 'info', 'promo', 'gtu', 'love', 'date', 'expired', 'list', 'udh', 'apply', ' omitted ',' user ',' click ',' UDH ',' Wait ',' Loading ',' right ',' finished ',' lngsung ',' zonkkk ',' kyak ',' love ',' hope ' , 'false', '']")</f>
        <v>['please', 'donk', 'developer', 'info', 'promo', 'gtu', 'love', 'date', 'expired', 'list', 'udh', 'apply', ' omitted ',' user ',' click ',' UDH ',' Wait ',' Loading ',' right ',' finished ',' lngsung ',' zonkkk ',' kyak ',' love ',' hope ' , 'false', '']</v>
      </c>
      <c r="D1411" s="3">
        <v>2.0</v>
      </c>
    </row>
    <row r="1412" ht="15.75" customHeight="1">
      <c r="A1412" s="1">
        <v>1410.0</v>
      </c>
      <c r="B1412" s="3" t="s">
        <v>1413</v>
      </c>
      <c r="C1412" s="3" t="str">
        <f>IFERROR(__xludf.DUMMYFUNCTION("GOOGLETRANSLATE(B1412,""id"",""en"")"),"['', 'coordinates',' Network ',' Telkomsel ',' Really ',' bad ',' expect ',' company ',' Telkomsel ',' naunt ',' quality ',' signal ',' receive ', 'love']")</f>
        <v>['', 'coordinates',' Network ',' Telkomsel ',' Really ',' bad ',' expect ',' company ',' Telkomsel ',' naunt ',' quality ',' signal ',' receive ', 'love']</v>
      </c>
      <c r="D1412" s="3">
        <v>1.0</v>
      </c>
    </row>
    <row r="1413" ht="15.75" customHeight="1">
      <c r="A1413" s="1">
        <v>1411.0</v>
      </c>
      <c r="B1413" s="3" t="s">
        <v>1414</v>
      </c>
      <c r="C1413" s="3" t="str">
        <f>IFERROR(__xludf.DUMMYFUNCTION("GOOGLETRANSLATE(B1413,""id"",""en"")"),"['Disappointed', 'Quota', 'Learning', 'Rupiah', 'Removed', 'Choice', 'Quota', 'Zoom', 'Max', 'Use', 'Zoom', 'Telkomsel', ' Love ',' discount ',' hopefully ',' blessings', 'help', 'students',' students']")</f>
        <v>['Disappointed', 'Quota', 'Learning', 'Rupiah', 'Removed', 'Choice', 'Quota', 'Zoom', 'Max', 'Use', 'Zoom', 'Telkomsel', ' Love ',' discount ',' hopefully ',' blessings', 'help', 'students',' students']</v>
      </c>
      <c r="D1413" s="3">
        <v>1.0</v>
      </c>
    </row>
    <row r="1414" ht="15.75" customHeight="1">
      <c r="A1414" s="1">
        <v>1412.0</v>
      </c>
      <c r="B1414" s="3" t="s">
        <v>1415</v>
      </c>
      <c r="C1414" s="3" t="str">
        <f>IFERROR(__xludf.DUMMYFUNCTION("GOOGLETRANSLATE(B1414,""id"",""en"")"),"['Telkomsel', 'Network', 'Disorders',' Jerus', 'MOVER', 'Use', 'Operator', 'Bener', 'Disappointing', 'Rich', 'Gini', 'Mending', ' Change ',' operator ',' expensive ',' network ',' emotion ', ""]")</f>
        <v>['Telkomsel', 'Network', 'Disorders',' Jerus', 'MOVER', 'Use', 'Operator', 'Bener', 'Disappointing', 'Rich', 'Gini', 'Mending', ' Change ',' operator ',' expensive ',' network ',' emotion ', "]</v>
      </c>
      <c r="D1414" s="3">
        <v>1.0</v>
      </c>
    </row>
    <row r="1415" ht="15.75" customHeight="1">
      <c r="A1415" s="1">
        <v>1413.0</v>
      </c>
      <c r="B1415" s="3" t="s">
        <v>1416</v>
      </c>
      <c r="C1415" s="3" t="str">
        <f>IFERROR(__xludf.DUMMYFUNCTION("GOOGLETRANSLATE(B1415,""id"",""en"")"),"['Telkomsel', 'destroyed', 'his net', 'stable', 'down', 'ping', 'down', 'strange', 'telkom', 'good', 'stable', 'plus',' the application ',' like ',' bug ',' difficult ',' opened ',' sometimes', 'loading', 'mulu', 'open', 'just', 'hope', 'telkom', 'smooth'"&amp;" , 'stable', 'net', 'destroyed', 'mending', 'replace', 'provider', ""]")</f>
        <v>['Telkomsel', 'destroyed', 'his net', 'stable', 'down', 'ping', 'down', 'strange', 'telkom', 'good', 'stable', 'plus',' the application ',' like ',' bug ',' difficult ',' opened ',' sometimes', 'loading', 'mulu', 'open', 'just', 'hope', 'telkom', 'smooth' , 'stable', 'net', 'destroyed', 'mending', 'replace', 'provider', "]</v>
      </c>
      <c r="D1415" s="3">
        <v>2.0</v>
      </c>
    </row>
    <row r="1416" ht="15.75" customHeight="1">
      <c r="A1416" s="1">
        <v>1414.0</v>
      </c>
      <c r="B1416" s="3" t="s">
        <v>1417</v>
      </c>
      <c r="C1416" s="3" t="str">
        <f>IFERROR(__xludf.DUMMYFUNCTION("GOOGLETRANSLATE(B1416,""id"",""en"")"),"['Assalammualaikum', 'Telkomsel', 'Writing', 'Review', 'ATW', 'complained', 'Kisah', 'Network', 'Telkomsel', 'Knp', 'night', 'really' network ',' good ',' slow ',' noon ',' reported ',' pussy ',' network ',' mahl ',' package ',' please ',' fix ',' ']")</f>
        <v>['Assalammualaikum', 'Telkomsel', 'Writing', 'Review', 'ATW', 'complained', 'Kisah', 'Network', 'Telkomsel', 'Knp', 'night', 'really' network ',' good ',' slow ',' noon ',' reported ',' pussy ',' network ',' mahl ',' package ',' please ',' fix ',' ']</v>
      </c>
      <c r="D1416" s="3">
        <v>2.0</v>
      </c>
    </row>
    <row r="1417" ht="15.75" customHeight="1">
      <c r="A1417" s="1">
        <v>1415.0</v>
      </c>
      <c r="B1417" s="3" t="s">
        <v>1418</v>
      </c>
      <c r="C1417" s="3" t="str">
        <f>IFERROR(__xludf.DUMMYFUNCTION("GOOGLETRANSLATE(B1417,""id"",""en"")"),"['Telkomsel', 'accessed', 'updated', 'clean', 'cache', 'clean', 'data', 'appear', 'something', 'Went', 'Wrong', 'please', ' TRY ',' Again ',' After ',' Something ',' Sampe ',' Capee ']")</f>
        <v>['Telkomsel', 'accessed', 'updated', 'clean', 'cache', 'clean', 'data', 'appear', 'something', 'Went', 'Wrong', 'please', ' TRY ',' Again ',' After ',' Something ',' Sampe ',' Capee ']</v>
      </c>
      <c r="D1417" s="3">
        <v>1.0</v>
      </c>
    </row>
    <row r="1418" ht="15.75" customHeight="1">
      <c r="A1418" s="1">
        <v>1416.0</v>
      </c>
      <c r="B1418" s="3" t="s">
        <v>1419</v>
      </c>
      <c r="C1418" s="3" t="str">
        <f>IFERROR(__xludf.DUMMYFUNCTION("GOOGLETRANSLATE(B1418,""id"",""en"")"),"['suggestion', 'package', 'unlimited', 'pakek', 'speed', 'network', 'kayak', 'Mbps',' a week ',' so ',' no ',' troubled ',' access', 'application', 'thank', 'love']")</f>
        <v>['suggestion', 'package', 'unlimited', 'pakek', 'speed', 'network', 'kayak', 'Mbps',' a week ',' so ',' no ',' troubled ',' access', 'application', 'thank', 'love']</v>
      </c>
      <c r="D1418" s="3">
        <v>3.0</v>
      </c>
    </row>
    <row r="1419" ht="15.75" customHeight="1">
      <c r="A1419" s="1">
        <v>1417.0</v>
      </c>
      <c r="B1419" s="3" t="s">
        <v>1420</v>
      </c>
      <c r="C1419" s="3" t="str">
        <f>IFERROR(__xludf.DUMMYFUNCTION("GOOGLETRANSLATE(B1419,""id"",""en"")"),"['network', 'Telkomsel', 'Kec', 'finished', 'kab', 'Langkat', 'bad', 'bad', 'times',' network ',' Telkomsel ',' defective ',' UDH ',' Kyak ',' card ',' cheap ',' repay ',' network ',' woy ', ""]")</f>
        <v>['network', 'Telkomsel', 'Kec', 'finished', 'kab', 'Langkat', 'bad', 'bad', 'times',' network ',' Telkomsel ',' defective ',' UDH ',' Kyak ',' card ',' cheap ',' repay ',' network ',' woy ', "]</v>
      </c>
      <c r="D1419" s="3">
        <v>1.0</v>
      </c>
    </row>
    <row r="1420" ht="15.75" customHeight="1">
      <c r="A1420" s="1">
        <v>1418.0</v>
      </c>
      <c r="B1420" s="3" t="s">
        <v>1421</v>
      </c>
      <c r="C1420" s="3" t="str">
        <f>IFERROR(__xludf.DUMMYFUNCTION("GOOGLETRANSLATE(B1420,""id"",""en"")"),"['Please', 'Telkomsel', 'how', 'APK', 'Kaga', 'open', 'enter', 'link', 'rich', 'that's',' link ',' kaga ',' Fill ',' Credit ',' Kaga ',' Telkomsel ',' Data ',' Data ',' Buy ',' Gima ',' Nihh ',' Want ',' Change ',' Card ',' Run ' , 'gini']")</f>
        <v>['Please', 'Telkomsel', 'how', 'APK', 'Kaga', 'open', 'enter', 'link', 'rich', 'that's',' link ',' kaga ',' Fill ',' Credit ',' Kaga ',' Telkomsel ',' Data ',' Data ',' Buy ',' Gima ',' Nihh ',' Want ',' Change ',' Card ',' Run ' , 'gini']</v>
      </c>
      <c r="D1420" s="3">
        <v>1.0</v>
      </c>
    </row>
    <row r="1421" ht="15.75" customHeight="1">
      <c r="A1421" s="1">
        <v>1419.0</v>
      </c>
      <c r="B1421" s="3" t="s">
        <v>1422</v>
      </c>
      <c r="C1421" s="3" t="str">
        <f>IFERROR(__xludf.DUMMYFUNCTION("GOOGLETRANSLATE(B1421,""id"",""en"")"),"['use', 'card', 'Telkomsel', 'price', 'expensive', 'network', 'urban', 'bad', 'really', 'annoying', 'buy', 'package', ' expensive ',' network ',' bad ']")</f>
        <v>['use', 'card', 'Telkomsel', 'price', 'expensive', 'network', 'urban', 'bad', 'really', 'annoying', 'buy', 'package', ' expensive ',' network ',' bad ']</v>
      </c>
      <c r="D1421" s="3">
        <v>1.0</v>
      </c>
    </row>
    <row r="1422" ht="15.75" customHeight="1">
      <c r="A1422" s="1">
        <v>1420.0</v>
      </c>
      <c r="B1422" s="3" t="s">
        <v>1423</v>
      </c>
      <c r="C1422" s="3" t="str">
        <f>IFERROR(__xludf.DUMMYFUNCTION("GOOGLETRANSLATE(B1422,""id"",""en"")"),"['Please', 'fix', 'credit', 'Rp', 'buy', 'quota', 'lap', 'main', 'MB', 'for', 'Rp', 'pulses',' Adequate ',' ']")</f>
        <v>['Please', 'fix', 'credit', 'Rp', 'buy', 'quota', 'lap', 'main', 'MB', 'for', 'Rp', 'pulses',' Adequate ',' ']</v>
      </c>
      <c r="D1422" s="3">
        <v>4.0</v>
      </c>
    </row>
    <row r="1423" ht="15.75" customHeight="1">
      <c r="A1423" s="1">
        <v>1421.0</v>
      </c>
      <c r="B1423" s="3" t="s">
        <v>1424</v>
      </c>
      <c r="C1423" s="3" t="str">
        <f>IFERROR(__xludf.DUMMYFUNCTION("GOOGLETRANSLATE(B1423,""id"",""en"")"),"['Telkomsel', 'clever', 'people', 'Timika', 'Need', 'Dorang', 'TPI', 'APP', 'BGINI', 'Update', 'Enter', 'Update', ' Steady ',' continue ',' friend ', ""]")</f>
        <v>['Telkomsel', 'clever', 'people', 'Timika', 'Need', 'Dorang', 'TPI', 'APP', 'BGINI', 'Update', 'Enter', 'Update', ' Steady ',' continue ',' friend ', "]</v>
      </c>
      <c r="D1423" s="3">
        <v>1.0</v>
      </c>
    </row>
    <row r="1424" ht="15.75" customHeight="1">
      <c r="A1424" s="1">
        <v>1422.0</v>
      </c>
      <c r="B1424" s="3" t="s">
        <v>1425</v>
      </c>
      <c r="C1424" s="3" t="str">
        <f>IFERROR(__xludf.DUMMYFUNCTION("GOOGLETRANSLATE(B1424,""id"",""en"")"),"['Hello', 'admin', 'run out', 'update', 'log', 'difficult', 'link', 'verification', 'kagak', 'enter', 'sms',' already ',' Dozens', 'times',' Try ',' Tetep ',' GMN ',' ']")</f>
        <v>['Hello', 'admin', 'run out', 'update', 'log', 'difficult', 'link', 'verification', 'kagak', 'enter', 'sms',' already ',' Dozens', 'times',' Try ',' Tetep ',' GMN ',' ']</v>
      </c>
      <c r="D1424" s="3">
        <v>3.0</v>
      </c>
    </row>
    <row r="1425" ht="15.75" customHeight="1">
      <c r="A1425" s="1">
        <v>1423.0</v>
      </c>
      <c r="B1425" s="3" t="s">
        <v>1426</v>
      </c>
      <c r="C1425" s="3" t="str">
        <f>IFERROR(__xludf.DUMMYFUNCTION("GOOGLETRANSLATE(B1425,""id"",""en"")"),"['Telkomsel', 'Nga', 'Beres',' NGA ',' Nga ',' already ',' price ',' package ',' expensive ',' network ',' Nga ',' according to ',' expensive ',' package ',' sold ',' disappointed ',' really ',' Telkomsel ',' fix ',' network ',' etc. ',' pity ',' school '"&amp;",' school ',' online ' , 'Lecture', 'Tribulation', 'Collect', 'Tasks', 'Lecturer', ""]")</f>
        <v>['Telkomsel', 'Nga', 'Beres',' NGA ',' Nga ',' already ',' price ',' package ',' expensive ',' network ',' Nga ',' according to ',' expensive ',' package ',' sold ',' disappointed ',' really ',' Telkomsel ',' fix ',' network ',' etc. ',' pity ',' school ',' school ',' online ' , 'Lecture', 'Tribulation', 'Collect', 'Tasks', 'Lecturer', "]</v>
      </c>
      <c r="D1425" s="3">
        <v>1.0</v>
      </c>
    </row>
    <row r="1426" ht="15.75" customHeight="1">
      <c r="A1426" s="1">
        <v>1424.0</v>
      </c>
      <c r="B1426" s="3" t="s">
        <v>1427</v>
      </c>
      <c r="C1426" s="3" t="str">
        <f>IFERROR(__xludf.DUMMYFUNCTION("GOOGLETRANSLATE(B1426,""id"",""en"")"),"['buy', 'package', 'internet', 'expensive', 'really', 'given', 'severe', 'really', 'really', 'friend', 'friend', 'package', ' Internet ',' Reasons', 'Males',' Telkomsel ']")</f>
        <v>['buy', 'package', 'internet', 'expensive', 'really', 'given', 'severe', 'really', 'really', 'friend', 'friend', 'package', ' Internet ',' Reasons', 'Males',' Telkomsel ']</v>
      </c>
      <c r="D1426" s="3">
        <v>1.0</v>
      </c>
    </row>
    <row r="1427" ht="15.75" customHeight="1">
      <c r="A1427" s="1">
        <v>1425.0</v>
      </c>
      <c r="B1427" s="3" t="s">
        <v>1428</v>
      </c>
      <c r="C1427" s="3" t="str">
        <f>IFERROR(__xludf.DUMMYFUNCTION("GOOGLETRANSLATE(B1427,""id"",""en"")"),"['Telkomsel', 'Sampe', 'Package', 'GameSmax', 'quota', 'GAMES', 'GB', 'The application', 'quota', 'Regular', 'Reduced', 'Telkomsel', ' Expensive ',' Naturally ',' The net ',' The widest ',' Honest ',' Jualn ',' Quota ',' Taunya ',' Sell ',' Diamon ',' lol"&amp;" ',' buy ',' card ' , 'his web', 'stable', 'Tegal', 'Lawakak']")</f>
        <v>['Telkomsel', 'Sampe', 'Package', 'GameSmax', 'quota', 'GAMES', 'GB', 'The application', 'quota', 'Regular', 'Reduced', 'Telkomsel', ' Expensive ',' Naturally ',' The net ',' The widest ',' Honest ',' Jualn ',' Quota ',' Taunya ',' Sell ',' Diamon ',' lol ',' buy ',' card ' , 'his web', 'stable', 'Tegal', 'Lawakak']</v>
      </c>
      <c r="D1427" s="3">
        <v>1.0</v>
      </c>
    </row>
    <row r="1428" ht="15.75" customHeight="1">
      <c r="A1428" s="1">
        <v>1426.0</v>
      </c>
      <c r="B1428" s="3" t="s">
        <v>1429</v>
      </c>
      <c r="C1428" s="3" t="str">
        <f>IFERROR(__xludf.DUMMYFUNCTION("GOOGLETRANSLATE(B1428,""id"",""en"")"),"['please', 'Telkomsel', 'fix', 'sinya', 'already', 'Telkomsel', 'turn', 'play', 'game', 'signal', 'full', 'turn', ' play ',' signal ',' down ',' suuu ',' tomorrow ',' gini ',' burn ',' telkomsel ',' replace ',' already ',' quota ',' expensive ',' signal '"&amp;" , 'ugly', 'telek', 'BURIK']")</f>
        <v>['please', 'Telkomsel', 'fix', 'sinya', 'already', 'Telkomsel', 'turn', 'play', 'game', 'signal', 'full', 'turn', ' play ',' signal ',' down ',' suuu ',' tomorrow ',' gini ',' burn ',' telkomsel ',' replace ',' already ',' quota ',' expensive ',' signal ' , 'ugly', 'telek', 'BURIK']</v>
      </c>
      <c r="D1428" s="3">
        <v>1.0</v>
      </c>
    </row>
    <row r="1429" ht="15.75" customHeight="1">
      <c r="A1429" s="1">
        <v>1427.0</v>
      </c>
      <c r="B1429" s="3" t="s">
        <v>1430</v>
      </c>
      <c r="C1429" s="3" t="str">
        <f>IFERROR(__xludf.DUMMYFUNCTION("GOOGLETRANSLATE(B1429,""id"",""en"")"),"['buy', 'package', 'internet', 'enter', 'balance', 'reduced', 'response', 'action', 'application', 'social', 'media', 'Please', ' Fix ',' cs', 'detrimental', 'customers',' ']")</f>
        <v>['buy', 'package', 'internet', 'enter', 'balance', 'reduced', 'response', 'action', 'application', 'social', 'media', 'Please', ' Fix ',' cs', 'detrimental', 'customers',' ']</v>
      </c>
      <c r="D1429" s="3">
        <v>1.0</v>
      </c>
    </row>
    <row r="1430" ht="15.75" customHeight="1">
      <c r="A1430" s="1">
        <v>1428.0</v>
      </c>
      <c r="B1430" s="3" t="s">
        <v>1431</v>
      </c>
      <c r="C1430" s="3" t="str">
        <f>IFERROR(__xludf.DUMMYFUNCTION("GOOGLETRANSLATE(B1430,""id"",""en"")"),"['Disappointed', 'Bat', 'Package', 'Thinking', 'YouTube', 'Lag', 'Naturally', 'Because', 'Emng', 'Price', 'Low', 'Severe', ' BLI ',' Package ',' Daily ',' Clock ',' Twelve ',' Malem ',' Package ',' Abis', 'Clock', 'Imagine', 'Package', 'Should', 'Gaada' ,"&amp;" 'oath', 'please', 'repay', 'deh', 'detrimental', 'really', 'oath', ""]")</f>
        <v>['Disappointed', 'Bat', 'Package', 'Thinking', 'YouTube', 'Lag', 'Naturally', 'Because', 'Emng', 'Price', 'Low', 'Severe', ' BLI ',' Package ',' Daily ',' Clock ',' Twelve ',' Malem ',' Package ',' Abis', 'Clock', 'Imagine', 'Package', 'Should', 'Gaada' , 'oath', 'please', 'repay', 'deh', 'detrimental', 'really', 'oath', "]</v>
      </c>
      <c r="D1430" s="3">
        <v>1.0</v>
      </c>
    </row>
    <row r="1431" ht="15.75" customHeight="1">
      <c r="A1431" s="1">
        <v>1429.0</v>
      </c>
      <c r="B1431" s="3" t="s">
        <v>1432</v>
      </c>
      <c r="C1431" s="3" t="str">
        <f>IFERROR(__xludf.DUMMYFUNCTION("GOOGLETRANSLATE(B1431,""id"",""en"")"),"['Cave', 'Discuss',' Application ',' Discuss', 'Network', 'Telkomsel', 'Where', 'Region', 'North Sumatra', 'Exact', 'Medan', 'Marelan', ' Quota ',' OMG ',' quota ',' motion ',' motion ',' tap ',' network ',' stable ',' youtube ',' video ',' facebook ',' d"&amp;"isappointed ',' Telkomsel ' , 'Where', 'Boarded', 'proud', 'network', 'strong', 'already', 'terapched', 'facility', 'signal', 'strong', ""]")</f>
        <v>['Cave', 'Discuss',' Application ',' Discuss', 'Network', 'Telkomsel', 'Where', 'Region', 'North Sumatra', 'Exact', 'Medan', 'Marelan', ' Quota ',' OMG ',' quota ',' motion ',' motion ',' tap ',' network ',' stable ',' youtube ',' video ',' facebook ',' disappointed ',' Telkomsel ' , 'Where', 'Boarded', 'proud', 'network', 'strong', 'already', 'terapched', 'facility', 'signal', 'strong', "]</v>
      </c>
      <c r="D1431" s="3">
        <v>1.0</v>
      </c>
    </row>
    <row r="1432" ht="15.75" customHeight="1">
      <c r="A1432" s="1">
        <v>1430.0</v>
      </c>
      <c r="B1432" s="3" t="s">
        <v>1433</v>
      </c>
      <c r="C1432" s="3" t="str">
        <f>IFERROR(__xludf.DUMMYFUNCTION("GOOGLETRANSLATE(B1432,""id"",""en"")"),"['Network', 'Telkomsel', 'card', 'Hello', 'Region', 'home', 'Region', 'road', 'Caringin', 'City', 'Depok', 'Kbps',' Sometimes', 'repaired', 'network', 'thank', 'love', ""]")</f>
        <v>['Network', 'Telkomsel', 'card', 'Hello', 'Region', 'home', 'Region', 'road', 'Caringin', 'City', 'Depok', 'Kbps',' Sometimes', 'repaired', 'network', 'thank', 'love', "]</v>
      </c>
      <c r="D1432" s="3">
        <v>2.0</v>
      </c>
    </row>
    <row r="1433" ht="15.75" customHeight="1">
      <c r="A1433" s="1">
        <v>1431.0</v>
      </c>
      <c r="B1433" s="3" t="s">
        <v>1434</v>
      </c>
      <c r="C1433" s="3" t="str">
        <f>IFERROR(__xludf.DUMMYFUNCTION("GOOGLETRANSLATE(B1433,""id"",""en"")"),"['', 'Telkomsek', 'here', 'idiot', 'perchis',' admin ',' stupid ',' stupid ',' package ',' expensive ',' idiot ',' Telkomsel ',' card ',' card ',' scorched ',' ']")</f>
        <v>['', 'Telkomsek', 'here', 'idiot', 'perchis',' admin ',' stupid ',' stupid ',' package ',' expensive ',' idiot ',' Telkomsel ',' card ',' card ',' scorched ',' ']</v>
      </c>
      <c r="D1433" s="3">
        <v>1.0</v>
      </c>
    </row>
    <row r="1434" ht="15.75" customHeight="1">
      <c r="A1434" s="1">
        <v>1432.0</v>
      </c>
      <c r="B1434" s="3" t="s">
        <v>1435</v>
      </c>
      <c r="C1434" s="3" t="str">
        <f>IFERROR(__xludf.DUMMYFUNCTION("GOOGLETRANSLATE(B1434,""id"",""en"")"),"['Update', 'APK', 'Opened', 'Waiting', 'Verification', 'Change', 'Number', 'Email', 'Customer', 'Number', 'APK', 'Telkomsel', ' Smooth ',' ascension ',' use ',' complicated ',' like ',' ']")</f>
        <v>['Update', 'APK', 'Opened', 'Waiting', 'Verification', 'Change', 'Number', 'Email', 'Customer', 'Number', 'APK', 'Telkomsel', ' Smooth ',' ascension ',' use ',' complicated ',' like ',' ']</v>
      </c>
      <c r="D1434" s="3">
        <v>2.0</v>
      </c>
    </row>
    <row r="1435" ht="15.75" customHeight="1">
      <c r="A1435" s="1">
        <v>1433.0</v>
      </c>
      <c r="B1435" s="3" t="s">
        <v>1436</v>
      </c>
      <c r="C1435" s="3" t="str">
        <f>IFERROR(__xludf.DUMMYFUNCTION("GOOGLETRANSLATE(B1435,""id"",""en"")"),"['network', 'worst', 'feels',' slow ',' forgiveness', 'kayak', 'snail', 'buy', 'package', 'expensive', 'network', 'kayak', ' Snails', 'City', 'The network', 'Leet', 'Mending', 'Card', 'Steady', 'The Network']")</f>
        <v>['network', 'worst', 'feels',' slow ',' forgiveness', 'kayak', 'snail', 'buy', 'package', 'expensive', 'network', 'kayak', ' Snails', 'City', 'The network', 'Leet', 'Mending', 'Card', 'Steady', 'The Network']</v>
      </c>
      <c r="D1435" s="3">
        <v>1.0</v>
      </c>
    </row>
    <row r="1436" ht="15.75" customHeight="1">
      <c r="A1436" s="1">
        <v>1434.0</v>
      </c>
      <c r="B1436" s="3" t="s">
        <v>1437</v>
      </c>
      <c r="C1436" s="3" t="str">
        <f>IFERROR(__xludf.DUMMYFUNCTION("GOOGLETRANSLATE(B1436,""id"",""en"")"),"['operator', 'severe', 'package', 'expensive', 'slow', 'mending', 'operator', 'UDH', 'THN', 'Telkomsel', 'good', 'Severe', ' Anjim ',' threat ']")</f>
        <v>['operator', 'severe', 'package', 'expensive', 'slow', 'mending', 'operator', 'UDH', 'THN', 'Telkomsel', 'good', 'Severe', ' Anjim ',' threat ']</v>
      </c>
      <c r="D1436" s="3">
        <v>1.0</v>
      </c>
    </row>
    <row r="1437" ht="15.75" customHeight="1">
      <c r="A1437" s="1">
        <v>1435.0</v>
      </c>
      <c r="B1437" s="3" t="s">
        <v>1438</v>
      </c>
      <c r="C1437" s="3" t="str">
        <f>IFERROR(__xludf.DUMMYFUNCTION("GOOGLETRANSLATE(B1437,""id"",""en"")"),"['WOI', 'Telkomsel', 'Emotion', 'Telkomsel', 'Begooo', 'card', 'Sultann', 'expensive', 'forgiveness',' network ',' rich ',' Taiiii ',' Dego ',' anjimm ',' wanted ',' santing ',' Aji ',' ']")</f>
        <v>['WOI', 'Telkomsel', 'Emotion', 'Telkomsel', 'Begooo', 'card', 'Sultann', 'expensive', 'forgiveness',' network ',' rich ',' Taiiii ',' Dego ',' anjimm ',' wanted ',' santing ',' Aji ',' ']</v>
      </c>
      <c r="D1437" s="3">
        <v>1.0</v>
      </c>
    </row>
    <row r="1438" ht="15.75" customHeight="1">
      <c r="A1438" s="1">
        <v>1436.0</v>
      </c>
      <c r="B1438" s="3" t="s">
        <v>1439</v>
      </c>
      <c r="C1438" s="3" t="str">
        <f>IFERROR(__xludf.DUMMYFUNCTION("GOOGLETRANSLATE(B1438,""id"",""en"")"),"['week', 'login', 'Telkomsel', 'failed', 'appears', 'hope', 'wait', 'number', 'diverivated', 'Please', 'explanation', ""]")</f>
        <v>['week', 'login', 'Telkomsel', 'failed', 'appears', 'hope', 'wait', 'number', 'diverivated', 'Please', 'explanation', "]</v>
      </c>
      <c r="D1438" s="3">
        <v>2.0</v>
      </c>
    </row>
    <row r="1439" ht="15.75" customHeight="1">
      <c r="A1439" s="1">
        <v>1437.0</v>
      </c>
      <c r="B1439" s="3" t="s">
        <v>1440</v>
      </c>
      <c r="C1439" s="3" t="str">
        <f>IFERROR(__xludf.DUMMYFUNCTION("GOOGLETRANSLATE(B1439,""id"",""en"")"),"['I', 'strange', 'deh', 'package', 'night', 'me', 'use', 'night', 'package', 'omg', 'reduced', 'must "",' package ',' night ',' reduced ',' Please ',' repaired ',' Telkomsel ',' tasty ',' network ',' slow ',' use ',' package ',' night ',' fraud ' , 'Honey"&amp;"', 'quota', '']")</f>
        <v>['I', 'strange', 'deh', 'package', 'night', 'me', 'use', 'night', 'package', 'omg', 'reduced', 'must ",' package ',' night ',' reduced ',' Please ',' repaired ',' Telkomsel ',' tasty ',' network ',' slow ',' use ',' package ',' night ',' fraud ' , 'Honey', 'quota', '']</v>
      </c>
      <c r="D1439" s="3">
        <v>5.0</v>
      </c>
    </row>
    <row r="1440" ht="15.75" customHeight="1">
      <c r="A1440" s="1">
        <v>1438.0</v>
      </c>
      <c r="B1440" s="3" t="s">
        <v>1441</v>
      </c>
      <c r="C1440" s="3" t="str">
        <f>IFERROR(__xludf.DUMMYFUNCTION("GOOGLETRANSLATE(B1440,""id"",""en"")"),"['saaya', 'nnya', 'quota', 'internet', 'local', 'gabisa', 'yeah', 'yaa', 'pdahal', 'activation', 'package', 'house', ' Wear ',' Internet ',' JGA ',' RMH ',' Twitter ',' Facebook ',' GMNA ',' Darling ',' Internet ',' Local ',' Gabisa ',' Kekeke ', ""]")</f>
        <v>['saaya', 'nnya', 'quota', 'internet', 'local', 'gabisa', 'yeah', 'yaa', 'pdahal', 'activation', 'package', 'house', ' Wear ',' Internet ',' JGA ',' RMH ',' Twitter ',' Facebook ',' GMNA ',' Darling ',' Internet ',' Local ',' Gabisa ',' Kekeke ', "]</v>
      </c>
      <c r="D1440" s="3">
        <v>1.0</v>
      </c>
    </row>
    <row r="1441" ht="15.75" customHeight="1">
      <c r="A1441" s="1">
        <v>1439.0</v>
      </c>
      <c r="B1441" s="3" t="s">
        <v>1442</v>
      </c>
      <c r="C1441" s="3" t="str">
        <f>IFERROR(__xludf.DUMMYFUNCTION("GOOGLETRANSLATE(B1441,""id"",""en"")"),"['Please', 'Region', 'Live', 'Love', 'Network', 'Normal', 'Honest', 'Difficulties',' Network ',' Difficult ',' Champion ',' Customer ',' Faithful ',' Telkomsel ',' Please ',' Followup ',' Location ',' Village ',' Cisalam ',' District ',' Baros', 'County',"&amp;" 'Serang', 'Province', 'Banten' , 'Ket', 'Network', 'slow']")</f>
        <v>['Please', 'Region', 'Live', 'Love', 'Network', 'Normal', 'Honest', 'Difficulties',' Network ',' Difficult ',' Champion ',' Customer ',' Faithful ',' Telkomsel ',' Please ',' Followup ',' Location ',' Village ',' Cisalam ',' District ',' Baros', 'County', 'Serang', 'Province', 'Banten' , 'Ket', 'Network', 'slow']</v>
      </c>
      <c r="D1441" s="3">
        <v>1.0</v>
      </c>
    </row>
    <row r="1442" ht="15.75" customHeight="1">
      <c r="A1442" s="1">
        <v>1440.0</v>
      </c>
      <c r="B1442" s="3" t="s">
        <v>1443</v>
      </c>
      <c r="C1442" s="3" t="str">
        <f>IFERROR(__xludf.DUMMYFUNCTION("GOOGLETRANSLATE(B1442,""id"",""en"")"),"['Help', 'Telkomsel', 'Application', 'Telkomsel', 'Package', 'Learning', 'Child', 'school', 'hope', 'trimakasih', 'Telkomsel', ""]")</f>
        <v>['Help', 'Telkomsel', 'Application', 'Telkomsel', 'Package', 'Learning', 'Child', 'school', 'hope', 'trimakasih', 'Telkomsel', "]</v>
      </c>
      <c r="D1442" s="3">
        <v>5.0</v>
      </c>
    </row>
    <row r="1443" ht="15.75" customHeight="1">
      <c r="A1443" s="1">
        <v>1441.0</v>
      </c>
      <c r="B1443" s="3" t="s">
        <v>1444</v>
      </c>
      <c r="C1443" s="3" t="str">
        <f>IFERROR(__xludf.DUMMYFUNCTION("GOOGLETRANSLATE(B1443,""id"",""en"")"),"['Disappointed', 'Telkomsel', 'Package', 'Internet', 'Max', 'Lost', 'Shop', 'Telkomsel', 'Package', 'Favorite', 'Please', 'Show', ' Package ',' Disappointed ']")</f>
        <v>['Disappointed', 'Telkomsel', 'Package', 'Internet', 'Max', 'Lost', 'Shop', 'Telkomsel', 'Package', 'Favorite', 'Please', 'Show', ' Package ',' Disappointed ']</v>
      </c>
      <c r="D1443" s="3">
        <v>1.0</v>
      </c>
    </row>
    <row r="1444" ht="15.75" customHeight="1">
      <c r="A1444" s="1">
        <v>1442.0</v>
      </c>
      <c r="B1444" s="3" t="s">
        <v>1445</v>
      </c>
      <c r="C1444" s="3" t="str">
        <f>IFERROR(__xludf.DUMMYFUNCTION("GOOGLETRANSLATE(B1444,""id"",""en"")"),"['here', 'signal', 'Telkomsel', 'bad', 'position', 'home', 'city', 'disappointed', 'user', 'network', 'bad', ""]")</f>
        <v>['here', 'signal', 'Telkomsel', 'bad', 'position', 'home', 'city', 'disappointed', 'user', 'network', 'bad', "]</v>
      </c>
      <c r="D1444" s="3">
        <v>1.0</v>
      </c>
    </row>
    <row r="1445" ht="15.75" customHeight="1">
      <c r="A1445" s="1">
        <v>1443.0</v>
      </c>
      <c r="B1445" s="3" t="s">
        <v>1446</v>
      </c>
      <c r="C1445" s="3" t="str">
        <f>IFERROR(__xludf.DUMMYFUNCTION("GOOGLETRANSLATE(B1445,""id"",""en"")"),"['My quota', 'internet', 'buy', 'quota', 'dipake', 'download', 'play', 'game', 'quota', 'main', 'lap', 'Telkomsel', ' Woe ',' Gini ',' Telkomsel ',' Diyoutube ',' Failed ',' Fake ', ""]")</f>
        <v>['My quota', 'internet', 'buy', 'quota', 'dipake', 'download', 'play', 'game', 'quota', 'main', 'lap', 'Telkomsel', ' Woe ',' Gini ',' Telkomsel ',' Diyoutube ',' Failed ',' Fake ', "]</v>
      </c>
      <c r="D1445" s="3">
        <v>1.0</v>
      </c>
    </row>
    <row r="1446" ht="15.75" customHeight="1">
      <c r="A1446" s="1">
        <v>1444.0</v>
      </c>
      <c r="B1446" s="3" t="s">
        <v>1447</v>
      </c>
      <c r="C1446" s="3" t="str">
        <f>IFERROR(__xludf.DUMMYFUNCTION("GOOGLETRANSLATE(B1446,""id"",""en"")"),"['Alhamdulillah', 'application', 'smooth', 'Jaya', 'like', 'check', 'quota', 'easy', 'stay', 'click', 'application', 'direct', ' Appears', 'Details',' Ribet ', ""]")</f>
        <v>['Alhamdulillah', 'application', 'smooth', 'Jaya', 'like', 'check', 'quota', 'easy', 'stay', 'click', 'application', 'direct', ' Appears', 'Details',' Ribet ', "]</v>
      </c>
      <c r="D1446" s="3">
        <v>5.0</v>
      </c>
    </row>
    <row r="1447" ht="15.75" customHeight="1">
      <c r="A1447" s="1">
        <v>1445.0</v>
      </c>
      <c r="B1447" s="3" t="s">
        <v>1448</v>
      </c>
      <c r="C1447" s="3" t="str">
        <f>IFERROR(__xludf.DUMMYFUNCTION("GOOGLETRANSLATE(B1447,""id"",""en"")"),"['already', 'buy', 'Vocer', 'Pulak', 'Sorry', 'Busy', 'Please', 'Try', 'Please', 'Repaired', 'Already', 'Subscription', ' Tsel ',' Kayak ',' Gini ',' Kelen ',' Thinking ',' Brain ',' Siket ']")</f>
        <v>['already', 'buy', 'Vocer', 'Pulak', 'Sorry', 'Busy', 'Please', 'Try', 'Please', 'Repaired', 'Already', 'Subscription', ' Tsel ',' Kayak ',' Gini ',' Kelen ',' Thinking ',' Brain ',' Siket ']</v>
      </c>
      <c r="D1447" s="3">
        <v>1.0</v>
      </c>
    </row>
    <row r="1448" ht="15.75" customHeight="1">
      <c r="A1448" s="1">
        <v>1446.0</v>
      </c>
      <c r="B1448" s="3" t="s">
        <v>1449</v>
      </c>
      <c r="C1448" s="3" t="str">
        <f>IFERROR(__xludf.DUMMYFUNCTION("GOOGLETRANSLATE(B1448,""id"",""en"")"),"['Telkomsel', 'emang', 'card', 'gada', 'ngilkak', 'gakk', 'imagine', 'signal', 'dubic', 'rain', 'meek', 'wind', ' Gada ',' lightning ',' dead ',' lights', 'signal', 'ugly', 'work', 'based', 'online', 'delayed', 'Taik', 'Telkomsel', 'quota' , 'expensive', "&amp;"'signal', 'cheap', 'gedeg', 'really', 'cheap', 'quota', 'suitable', 'service', 'burikkkk']")</f>
        <v>['Telkomsel', 'emang', 'card', 'gada', 'ngilkak', 'gakk', 'imagine', 'signal', 'dubic', 'rain', 'meek', 'wind', ' Gada ',' lightning ',' dead ',' lights', 'signal', 'ugly', 'work', 'based', 'online', 'delayed', 'Taik', 'Telkomsel', 'quota' , 'expensive', 'signal', 'cheap', 'gedeg', 'really', 'cheap', 'quota', 'suitable', 'service', 'burikkkk']</v>
      </c>
      <c r="D1448" s="3">
        <v>1.0</v>
      </c>
    </row>
    <row r="1449" ht="15.75" customHeight="1">
      <c r="A1449" s="1">
        <v>1447.0</v>
      </c>
      <c r="B1449" s="3" t="s">
        <v>1450</v>
      </c>
      <c r="C1449" s="3" t="str">
        <f>IFERROR(__xludf.DUMMYFUNCTION("GOOGLETRANSLATE(B1449,""id"",""en"")"),"['Jakarta', 'at home', 'signal', 'internet', 'slow', 'really', 'that's',' price ',' quota ',' pretty ',' expensive ',' switch ',' After ',' signal ',' internet ',' good ',' ']")</f>
        <v>['Jakarta', 'at home', 'signal', 'internet', 'slow', 'really', 'that's',' price ',' quota ',' pretty ',' expensive ',' switch ',' After ',' signal ',' internet ',' good ',' ']</v>
      </c>
      <c r="D1449" s="3">
        <v>2.0</v>
      </c>
    </row>
    <row r="1450" ht="15.75" customHeight="1">
      <c r="A1450" s="1">
        <v>1448.0</v>
      </c>
      <c r="B1450" s="3" t="s">
        <v>1451</v>
      </c>
      <c r="C1450" s="3" t="str">
        <f>IFERROR(__xludf.DUMMYFUNCTION("GOOGLETRANSLATE(B1450,""id"",""en"")"),"['less',' star ',' buy ',' package ',' buy ',' manual ',' telkomsel ',' doang ',' smooth ',' already ',' bye ',' bye ',' Leet ']")</f>
        <v>['less',' star ',' buy ',' package ',' buy ',' manual ',' telkomsel ',' doang ',' smooth ',' already ',' bye ',' bye ',' Leet ']</v>
      </c>
      <c r="D1450" s="3">
        <v>3.0</v>
      </c>
    </row>
    <row r="1451" ht="15.75" customHeight="1">
      <c r="A1451" s="1">
        <v>1449.0</v>
      </c>
      <c r="B1451" s="3" t="s">
        <v>1452</v>
      </c>
      <c r="C1451" s="3" t="str">
        <f>IFERROR(__xludf.DUMMYFUNCTION("GOOGLETRANSLATE(B1451,""id"",""en"")"),"['sympathy', 'signal', 'rich', 'inside', 'home', 'slow', 'inside', 'room', 'haduuhh', 'full', 'house', 'hadeeehhh', ' Please, 'Fix', 'Restore', 'Sousal', '']")</f>
        <v>['sympathy', 'signal', 'rich', 'inside', 'home', 'slow', 'inside', 'room', 'haduuhh', 'full', 'house', 'hadeeehhh', ' Please, 'Fix', 'Restore', 'Sousal', '']</v>
      </c>
      <c r="D1451" s="3">
        <v>3.0</v>
      </c>
    </row>
    <row r="1452" ht="15.75" customHeight="1">
      <c r="A1452" s="1">
        <v>1450.0</v>
      </c>
      <c r="B1452" s="3" t="s">
        <v>1453</v>
      </c>
      <c r="C1452" s="3" t="str">
        <f>IFERROR(__xludf.DUMMYFUNCTION("GOOGLETRANSLATE(B1452,""id"",""en"")"),"['Telkomsel', 'Disruption', 'Play', 'Mobile', 'Legend', 'Pub', 'Play', 'Login', 'Failed', 'Connected', 'Network', 'Please', ' Fix ',' thank you ']")</f>
        <v>['Telkomsel', 'Disruption', 'Play', 'Mobile', 'Legend', 'Pub', 'Play', 'Login', 'Failed', 'Connected', 'Network', 'Please', ' Fix ',' thank you ']</v>
      </c>
      <c r="D1452" s="3">
        <v>3.0</v>
      </c>
    </row>
    <row r="1453" ht="15.75" customHeight="1">
      <c r="A1453" s="1">
        <v>1451.0</v>
      </c>
      <c r="B1453" s="3" t="s">
        <v>1454</v>
      </c>
      <c r="C1453" s="3" t="str">
        <f>IFERROR(__xludf.DUMMYFUNCTION("GOOGLETRANSLATE(B1453,""id"",""en"")"),"['Choice', 'Package', 'Package', 'Call', 'SMS', 'Beginny', 'Need', 'Age', 'Quota', 'Please', 'Hold', 'Package', ' quota ',' price ',' Lower ',' expensive ']")</f>
        <v>['Choice', 'Package', 'Package', 'Call', 'SMS', 'Beginny', 'Need', 'Age', 'Quota', 'Please', 'Hold', 'Package', ' quota ',' price ',' Lower ',' expensive ']</v>
      </c>
      <c r="D1453" s="3">
        <v>1.0</v>
      </c>
    </row>
    <row r="1454" ht="15.75" customHeight="1">
      <c r="A1454" s="1">
        <v>1452.0</v>
      </c>
      <c r="B1454" s="3" t="s">
        <v>1455</v>
      </c>
      <c r="C1454" s="3" t="str">
        <f>IFERROR(__xludf.DUMMYFUNCTION("GOOGLETRANSLATE(B1454,""id"",""en"")"),"['update', 'strange', 'update', 'eliminates',' bug ',' present ',' bug ',' update ',' silent ',' steal ',' pulse ',' customer ',' hundred ',' rupiah ',' buy ',' package ',' contents', 'work', 'times',' please ',' Telkomsel ',' strange ',' rich ',' network"&amp;" ',' good ' , 'slow', 'rich']")</f>
        <v>['update', 'strange', 'update', 'eliminates',' bug ',' present ',' bug ',' update ',' silent ',' steal ',' pulse ',' customer ',' hundred ',' rupiah ',' buy ',' package ',' contents', 'work', 'times',' please ',' Telkomsel ',' strange ',' rich ',' network ',' good ' , 'slow', 'rich']</v>
      </c>
      <c r="D1454" s="3">
        <v>1.0</v>
      </c>
    </row>
    <row r="1455" ht="15.75" customHeight="1">
      <c r="A1455" s="1">
        <v>1453.0</v>
      </c>
      <c r="B1455" s="3" t="s">
        <v>1456</v>
      </c>
      <c r="C1455" s="3" t="str">
        <f>IFERROR(__xludf.DUMMYFUNCTION("GOOGLETRANSLATE(B1455,""id"",""en"")"),"['Mimin', 'Application', 'Login', 'appears',' Something ',' Went ',' Wrong ',' Please ',' try ',' Again ',' After ',' sometime ',' Delete ',' cache ',' install ',' reset ',' already ',' tried ',' morning ',' until ',' afternoon ',' SUCCESS ']")</f>
        <v>['Mimin', 'Application', 'Login', 'appears',' Something ',' Went ',' Wrong ',' Please ',' try ',' Again ',' After ',' sometime ',' Delete ',' cache ',' install ',' reset ',' already ',' tried ',' morning ',' until ',' afternoon ',' SUCCESS ']</v>
      </c>
      <c r="D1455" s="3">
        <v>1.0</v>
      </c>
    </row>
    <row r="1456" ht="15.75" customHeight="1">
      <c r="A1456" s="1">
        <v>1454.0</v>
      </c>
      <c r="B1456" s="3" t="s">
        <v>1457</v>
      </c>
      <c r="C1456" s="3" t="str">
        <f>IFERROR(__xludf.DUMMYFUNCTION("GOOGLETRANSLATE(B1456,""id"",""en"")"),"['Severe', 'weve', 'severe', 'really', 'bug', 'detrimental', 'bet', 'buy', 'package', 'kaga', 'buy', 'pulses',' Via ',' Shopee ',' Pay ',' Slow ',' Please ',' Noted ']")</f>
        <v>['Severe', 'weve', 'severe', 'really', 'bug', 'detrimental', 'bet', 'buy', 'package', 'kaga', 'buy', 'pulses',' Via ',' Shopee ',' Pay ',' Slow ',' Please ',' Noted ']</v>
      </c>
      <c r="D1456" s="3">
        <v>1.0</v>
      </c>
    </row>
    <row r="1457" ht="15.75" customHeight="1">
      <c r="A1457" s="1">
        <v>1455.0</v>
      </c>
      <c r="B1457" s="3" t="s">
        <v>1458</v>
      </c>
      <c r="C1457" s="3" t="str">
        <f>IFERROR(__xludf.DUMMYFUNCTION("GOOGLETRANSLATE(B1457,""id"",""en"")"),"['Package', 'unlimited', 'a day', 'lgsung', 'slow', 'fitting', 'quota', 'run out', 'quota', 'local', 'road', 'trus',' Its function ',' what ',' unlimited ',' use ',' buy ',' package ',' name ',' win ',' name ',' doang ']")</f>
        <v>['Package', 'unlimited', 'a day', 'lgsung', 'slow', 'fitting', 'quota', 'run out', 'quota', 'local', 'road', 'trus',' Its function ',' what ',' unlimited ',' use ',' buy ',' package ',' name ',' win ',' name ',' doang ']</v>
      </c>
      <c r="D1457" s="3">
        <v>1.0</v>
      </c>
    </row>
    <row r="1458" ht="15.75" customHeight="1">
      <c r="A1458" s="1">
        <v>1456.0</v>
      </c>
      <c r="B1458" s="3" t="s">
        <v>1459</v>
      </c>
      <c r="C1458" s="3" t="str">
        <f>IFERROR(__xludf.DUMMYFUNCTION("GOOGLETRANSLATE(B1458,""id"",""en"")"),"['already', 'buy', 'package', 'cheerful', 'GB', 'thousand', 'hasn't', 'entry', 'detrimental', 'customer', 'please', 'fix', ' system']")</f>
        <v>['already', 'buy', 'package', 'cheerful', 'GB', 'thousand', 'hasn't', 'entry', 'detrimental', 'customer', 'please', 'fix', ' system']</v>
      </c>
      <c r="D1458" s="3">
        <v>1.0</v>
      </c>
    </row>
    <row r="1459" ht="15.75" customHeight="1">
      <c r="A1459" s="1">
        <v>1457.0</v>
      </c>
      <c r="B1459" s="3" t="s">
        <v>1460</v>
      </c>
      <c r="C1459" s="3" t="str">
        <f>IFERROR(__xludf.DUMMYFUNCTION("GOOGLETRANSLATE(B1459,""id"",""en"")"),"['Please', 'repaired', 'application', 'already', 'install', 'log', 'try', 'application', 'bad', ""]")</f>
        <v>['Please', 'repaired', 'application', 'already', 'install', 'log', 'try', 'application', 'bad', "]</v>
      </c>
      <c r="D1459" s="3">
        <v>1.0</v>
      </c>
    </row>
    <row r="1460" ht="15.75" customHeight="1">
      <c r="A1460" s="1">
        <v>1458.0</v>
      </c>
      <c r="B1460" s="3" t="s">
        <v>1461</v>
      </c>
      <c r="C1460" s="3" t="str">
        <f>IFERROR(__xludf.DUMMYFUNCTION("GOOGLETRANSLATE(B1460,""id"",""en"")"),"['Telkomsel', 'Diligent', 'Promo', 'PRNH', 'Uky', 'Fix', 'Elderness',' Network ',' Place ',' Destroyed ',' Network ',' Semetara ',' Packages', 'PKET', 'MRLATIN', 'in the area', 'remote', 'Indosat', 'Etc.', 'Telkomsel', 'Monopoly', 'users',' capacity ',' s"&amp;"ervice ',' TTP ' , 'era', 'community', 'miserable', 'Gara', 'service', 'Telkomsel', 'Try', 'Horny', 'Professional', 'even though', 'expensive', 'good']")</f>
        <v>['Telkomsel', 'Diligent', 'Promo', 'PRNH', 'Uky', 'Fix', 'Elderness',' Network ',' Place ',' Destroyed ',' Network ',' Semetara ',' Packages', 'PKET', 'MRLATIN', 'in the area', 'remote', 'Indosat', 'Etc.', 'Telkomsel', 'Monopoly', 'users',' capacity ',' service ',' TTP ' , 'era', 'community', 'miserable', 'Gara', 'service', 'Telkomsel', 'Try', 'Horny', 'Professional', 'even though', 'expensive', 'good']</v>
      </c>
      <c r="D1460" s="3">
        <v>5.0</v>
      </c>
    </row>
    <row r="1461" ht="15.75" customHeight="1">
      <c r="A1461" s="1">
        <v>1459.0</v>
      </c>
      <c r="B1461" s="3" t="s">
        <v>1462</v>
      </c>
      <c r="C1461" s="3" t="str">
        <f>IFERROR(__xludf.DUMMYFUNCTION("GOOGLETRANSLATE(B1461,""id"",""en"")"),"['update', 'ngk', 'buy', 'package', 'promo', 'charging', 'pulse', 'application', 'shopee', 'pay', 'time', 'sampe', ' fill in ',' reset ',' because ',' NGK ',' enter ',' double ',' deh ',' fill ',' pulses', 'please', 'fix', 'min', 'buy' , 'Internet package"&amp;"s', '']")</f>
        <v>['update', 'ngk', 'buy', 'package', 'promo', 'charging', 'pulse', 'application', 'shopee', 'pay', 'time', 'sampe', ' fill in ',' reset ',' because ',' NGK ',' enter ',' double ',' deh ',' fill ',' pulses', 'please', 'fix', 'min', 'buy' , 'Internet packages', '']</v>
      </c>
      <c r="D1461" s="3">
        <v>1.0</v>
      </c>
    </row>
    <row r="1462" ht="15.75" customHeight="1">
      <c r="A1462" s="1">
        <v>1460.0</v>
      </c>
      <c r="B1462" s="3" t="s">
        <v>1463</v>
      </c>
      <c r="C1462" s="3" t="str">
        <f>IFERROR(__xludf.DUMMYFUNCTION("GOOGLETRANSLATE(B1462,""id"",""en"")"),"['lure', 'lure', 'pulse', 'thousand', 'tricked', 'trick', 'install', 'application', 'telkomsel', 'pulse', 'thousand', 'right', ' Install ',' Zonk ',' Embarrassing ',' Auto ',' Uninstall ',' Application ',' NGK ',' GERFEDAH ',' ']")</f>
        <v>['lure', 'lure', 'pulse', 'thousand', 'tricked', 'trick', 'install', 'application', 'telkomsel', 'pulse', 'thousand', 'right', ' Install ',' Zonk ',' Embarrassing ',' Auto ',' Uninstall ',' Application ',' NGK ',' GERFEDAH ',' ']</v>
      </c>
      <c r="D1462" s="3">
        <v>1.0</v>
      </c>
    </row>
    <row r="1463" ht="15.75" customHeight="1">
      <c r="A1463" s="1">
        <v>1461.0</v>
      </c>
      <c r="B1463" s="3" t="s">
        <v>1464</v>
      </c>
      <c r="C1463" s="3" t="str">
        <f>IFERROR(__xludf.DUMMYFUNCTION("GOOGLETRANSLATE(B1463,""id"",""en"")"),"['Telkomsel', 'enter', 'user', 'prime', 'already', 'many', 'times',' enter ',' number ',' still ',' not ',' told ',' sms', 'then', 'click', 'link', 'sms',' no ',' enter ',' enter ',' please ',' help ']")</f>
        <v>['Telkomsel', 'enter', 'user', 'prime', 'already', 'many', 'times',' enter ',' number ',' still ',' not ',' told ',' sms', 'then', 'click', 'link', 'sms',' no ',' enter ',' enter ',' please ',' help ']</v>
      </c>
      <c r="D1463" s="3">
        <v>1.0</v>
      </c>
    </row>
    <row r="1464" ht="15.75" customHeight="1">
      <c r="A1464" s="1">
        <v>1462.0</v>
      </c>
      <c r="B1464" s="3" t="s">
        <v>1465</v>
      </c>
      <c r="C1464" s="3" t="str">
        <f>IFERROR(__xludf.DUMMYFUNCTION("GOOGLETRANSLATE(B1464,""id"",""en"")"),"['service', 'quality', 'bad', 'company', 'byk', 'consumer', 'weaker', 'quality', 'signal', 'internet', 'beam', 'card', ' Hello ',' can ',' best ',' can ',' worst ',' non ',' prepaid ',' balikin ',' non ',' prepaid ',' think ',' replace ',' prepaid ' , 'ca"&amp;"rd', 'Hello', 'Please', 'Fix', 'Handle', 'Society', 'Karna', 'Saigan', 'card', 'thenks']")</f>
        <v>['service', 'quality', 'bad', 'company', 'byk', 'consumer', 'weaker', 'quality', 'signal', 'internet', 'beam', 'card', ' Hello ',' can ',' best ',' can ',' worst ',' non ',' prepaid ',' balikin ',' non ',' prepaid ',' think ',' replace ',' prepaid ' , 'card', 'Hello', 'Please', 'Fix', 'Handle', 'Society', 'Karna', 'Saigan', 'card', 'thenks']</v>
      </c>
      <c r="D1464" s="3">
        <v>1.0</v>
      </c>
    </row>
    <row r="1465" ht="15.75" customHeight="1">
      <c r="A1465" s="1">
        <v>1463.0</v>
      </c>
      <c r="B1465" s="3" t="s">
        <v>1466</v>
      </c>
      <c r="C1465" s="3" t="str">
        <f>IFERROR(__xludf.DUMMYFUNCTION("GOOGLETRANSLATE(B1465,""id"",""en"")"),"['appears', 'network', 'setabile', 'package', 'function', 'application', 'bug', 'please', 'developer', 'update', 'produce', 'bad']")</f>
        <v>['appears', 'network', 'setabile', 'package', 'function', 'application', 'bug', 'please', 'developer', 'update', 'produce', 'bad']</v>
      </c>
      <c r="D1465" s="3">
        <v>1.0</v>
      </c>
    </row>
    <row r="1466" ht="15.75" customHeight="1">
      <c r="A1466" s="1">
        <v>1464.0</v>
      </c>
      <c r="B1466" s="3" t="s">
        <v>1467</v>
      </c>
      <c r="C1466" s="3" t="str">
        <f>IFERROR(__xludf.DUMMYFUNCTION("GOOGLETRANSLATE(B1466,""id"",""en"")"),"['ugly', 'quality', 'network', 'Telkomsel', 'quota', 'tetep', 'slow', 'fast', 'really', 'the network', 'please', 'fix', ' Quality ',' its network ',' consumer ',' Telkomsel ',' blur ']")</f>
        <v>['ugly', 'quality', 'network', 'Telkomsel', 'quota', 'tetep', 'slow', 'fast', 'really', 'the network', 'please', 'fix', ' Quality ',' its network ',' consumer ',' Telkomsel ',' blur ']</v>
      </c>
      <c r="D1466" s="3">
        <v>1.0</v>
      </c>
    </row>
    <row r="1467" ht="15.75" customHeight="1">
      <c r="A1467" s="1">
        <v>1465.0</v>
      </c>
      <c r="B1467" s="3" t="s">
        <v>1468</v>
      </c>
      <c r="C1467" s="3" t="str">
        <f>IFERROR(__xludf.DUMMYFUNCTION("GOOGLETRANSLATE(B1467,""id"",""en"")"),"['Application', 'Damaged', 'Entered', 'UDH', 'Ush', 'Dwonload', 'Telkomsel', 'Application', 'Damakkkkk', ""]")</f>
        <v>['Application', 'Damaged', 'Entered', 'UDH', 'Ush', 'Dwonload', 'Telkomsel', 'Application', 'Damakkkkk', "]</v>
      </c>
      <c r="D1467" s="3">
        <v>1.0</v>
      </c>
    </row>
    <row r="1468" ht="15.75" customHeight="1">
      <c r="A1468" s="1">
        <v>1466.0</v>
      </c>
      <c r="B1468" s="3" t="s">
        <v>1469</v>
      </c>
      <c r="C1468" s="3" t="str">
        <f>IFERROR(__xludf.DUMMYFUNCTION("GOOGLETRANSLATE(B1468,""id"",""en"")"),"['Reward', 'quota', 'internet', 'program', 'Daily', 'checkin', 'enactment', 'promo', 'package', 'quota', 'internet', 'as often as',' MGKN ',' HRUS ',' Cheap ',' package ',' data ',' internet ',' quota ',' internet ',' lbh ',' bnyk ',' reasons', 'knp', 'ms"&amp;"h' , 'Ksh', 'star', 'Far', 'good', 'trims', '']")</f>
        <v>['Reward', 'quota', 'internet', 'program', 'Daily', 'checkin', 'enactment', 'promo', 'package', 'quota', 'internet', 'as often as',' MGKN ',' HRUS ',' Cheap ',' package ',' data ',' internet ',' quota ',' internet ',' lbh ',' bnyk ',' reasons', 'knp', 'msh' , 'Ksh', 'star', 'Far', 'good', 'trims', '']</v>
      </c>
      <c r="D1468" s="3">
        <v>4.0</v>
      </c>
    </row>
    <row r="1469" ht="15.75" customHeight="1">
      <c r="A1469" s="1">
        <v>1467.0</v>
      </c>
      <c r="B1469" s="3" t="s">
        <v>1470</v>
      </c>
      <c r="C1469" s="3" t="str">
        <f>IFERROR(__xludf.DUMMYFUNCTION("GOOGLETRANSLATE(B1469,""id"",""en"")"),"['link', 'sms',' click ',' poor ',' how ',' copy ',' link ',' google ',' chrome ',' enter ',' update ',' latest ',' Minutes', 'obstacles']")</f>
        <v>['link', 'sms',' click ',' poor ',' how ',' copy ',' link ',' google ',' chrome ',' enter ',' update ',' latest ',' Minutes', 'obstacles']</v>
      </c>
      <c r="D1469" s="3">
        <v>1.0</v>
      </c>
    </row>
    <row r="1470" ht="15.75" customHeight="1">
      <c r="A1470" s="1">
        <v>1468.0</v>
      </c>
      <c r="B1470" s="3" t="s">
        <v>1471</v>
      </c>
      <c r="C1470" s="3" t="str">
        <f>IFERROR(__xludf.DUMMYFUNCTION("GOOGLETRANSLATE(B1470,""id"",""en"")"),"['', 'Application', 'MyTelkomsel', 'Upgrade', 'Bug', 'Enter', 'Lalod', 'Upgrade', 'Version', 'Latest', 'Delete', 'Cache', 'Delete ',' Data ',' Forced ',' Stop ',' Logout ',' Login ',' Application ',' Restart ',' Stay ',' Bantin ',' Try ',' Difficult ',' E"&amp;"nter ', '']")</f>
        <v>['', 'Application', 'MyTelkomsel', 'Upgrade', 'Bug', 'Enter', 'Lalod', 'Upgrade', 'Version', 'Latest', 'Delete', 'Cache', 'Delete ',' Data ',' Forced ',' Stop ',' Logout ',' Login ',' Application ',' Restart ',' Stay ',' Bantin ',' Try ',' Difficult ',' Enter ', '']</v>
      </c>
      <c r="D1470" s="3">
        <v>1.0</v>
      </c>
    </row>
    <row r="1471" ht="15.75" customHeight="1">
      <c r="A1471" s="1">
        <v>1469.0</v>
      </c>
      <c r="B1471" s="3" t="s">
        <v>1472</v>
      </c>
      <c r="C1471" s="3" t="str">
        <f>IFERROR(__xludf.DUMMYFUNCTION("GOOGLETRANSLATE(B1471,""id"",""en"")"),"['Eliminated', 'balance', 'Link', 'Lansung', 'Read', 'Lansung', 'Pay', 'Credit', 'Smart', ""]")</f>
        <v>['Eliminated', 'balance', 'Link', 'Lansung', 'Read', 'Lansung', 'Pay', 'Credit', 'Smart', "]</v>
      </c>
      <c r="D1471" s="3">
        <v>1.0</v>
      </c>
    </row>
    <row r="1472" ht="15.75" customHeight="1">
      <c r="A1472" s="1">
        <v>1470.0</v>
      </c>
      <c r="B1472" s="3" t="s">
        <v>1473</v>
      </c>
      <c r="C1472" s="3" t="str">
        <f>IFERROR(__xludf.DUMMYFUNCTION("GOOGLETRANSLATE(B1472,""id"",""en"")"),"['The application', 'already', 'download', 'version', 'newest', 'already', 'delete', 'cache', 'delete', 'data', 'forced', 'stop', ' already ',' restart ',' stay ',' HP ',' slammed ',' nge ',' bug ',' entry ',' application ', ""]")</f>
        <v>['The application', 'already', 'download', 'version', 'newest', 'already', 'delete', 'cache', 'delete', 'data', 'forced', 'stop', ' already ',' restart ',' stay ',' HP ',' slammed ',' nge ',' bug ',' entry ',' application ', "]</v>
      </c>
      <c r="D1472" s="3">
        <v>2.0</v>
      </c>
    </row>
    <row r="1473" ht="15.75" customHeight="1">
      <c r="A1473" s="1">
        <v>1471.0</v>
      </c>
      <c r="B1473" s="3" t="s">
        <v>1474</v>
      </c>
      <c r="C1473" s="3" t="str">
        <f>IFERROR(__xludf.DUMMYFUNCTION("GOOGLETRANSLATE(B1473,""id"",""en"")"),"['Logo', 'Doang', 'Signal', 'Stable', 'Repair', 'Silent', 'Results',' Assistant ',' Really ',' Learning ',' TTG ',' Knowledge ',' Learning ',' Network ',' Sorry ',' Sis', 'Constraints',' Signal ',' Stable ',' Please ',' Contact ',' Address', 'All', 'Numbe"&amp;"r', 'so' , 'loss',' improvement ',' pass', 'because', 'money', 'Telkomsel', 'Cap', 'fooling', 'public', 'Indonesia', 'obstacles',' signal ',' stable ']")</f>
        <v>['Logo', 'Doang', 'Signal', 'Stable', 'Repair', 'Silent', 'Results',' Assistant ',' Really ',' Learning ',' TTG ',' Knowledge ',' Learning ',' Network ',' Sorry ',' Sis', 'Constraints',' Signal ',' Stable ',' Please ',' Contact ',' Address', 'All', 'Number', 'so' , 'loss',' improvement ',' pass', 'because', 'money', 'Telkomsel', 'Cap', 'fooling', 'public', 'Indonesia', 'obstacles',' signal ',' stable ']</v>
      </c>
      <c r="D1473" s="3">
        <v>1.0</v>
      </c>
    </row>
    <row r="1474" ht="15.75" customHeight="1">
      <c r="A1474" s="1">
        <v>1472.0</v>
      </c>
      <c r="B1474" s="3" t="s">
        <v>1475</v>
      </c>
      <c r="C1474" s="3" t="str">
        <f>IFERROR(__xludf.DUMMYFUNCTION("GOOGLETRANSLATE(B1474,""id"",""en"")"),"['Good', 'signal', 'mantep', 'dear', 'really', 'quota', 'then', 'data', 'flame', 'pulse', 'sumps',' udh ',' Abis', 'RB', 'Sumpot', ""]")</f>
        <v>['Good', 'signal', 'mantep', 'dear', 'really', 'quota', 'then', 'data', 'flame', 'pulse', 'sumps',' udh ',' Abis', 'RB', 'Sumpot', "]</v>
      </c>
      <c r="D1474" s="3">
        <v>5.0</v>
      </c>
    </row>
    <row r="1475" ht="15.75" customHeight="1">
      <c r="A1475" s="1">
        <v>1473.0</v>
      </c>
      <c r="B1475" s="3" t="s">
        <v>1476</v>
      </c>
      <c r="C1475" s="3" t="str">
        <f>IFERROR(__xludf.DUMMYFUNCTION("GOOGLETRANSLATE(B1475,""id"",""en"")"),"['Click', 'Star', 'infused', 'Suggestion', 'Criticism', 'Application', 'Heavy', 'Life', 'Win', 'Points',' Prize ',' Car ',' DKK ',' loyal ',' Tulus', 'Telkomsel', 'Suggestions',' Development ',' Telkomsel ',' Need ',' Employee ',' Smart ',' Smart ',' Telk"&amp;"omsel ',' Need ' , 'creativity', 'sincerity', 'loyalty', 'hopefully', 'Telkomsel', 'so', 'thank you', ""]")</f>
        <v>['Click', 'Star', 'infused', 'Suggestion', 'Criticism', 'Application', 'Heavy', 'Life', 'Win', 'Points',' Prize ',' Car ',' DKK ',' loyal ',' Tulus', 'Telkomsel', 'Suggestions',' Development ',' Telkomsel ',' Need ',' Employee ',' Smart ',' Smart ',' Telkomsel ',' Need ' , 'creativity', 'sincerity', 'loyalty', 'hopefully', 'Telkomsel', 'so', 'thank you', "]</v>
      </c>
      <c r="D1475" s="3">
        <v>5.0</v>
      </c>
    </row>
    <row r="1476" ht="15.75" customHeight="1">
      <c r="A1476" s="1">
        <v>1474.0</v>
      </c>
      <c r="B1476" s="3" t="s">
        <v>1477</v>
      </c>
      <c r="C1476" s="3" t="str">
        <f>IFERROR(__xludf.DUMMYFUNCTION("GOOGLETRANSLATE(B1476,""id"",""en"")"),"['Disappointed', 'service', 'Telkomsel', 'Krna', 'yesterday', 'right', 'buy', 'package', 'GB', 'price', 'rb', 'package', ' The data ',' BLM ',' entered ',' money ',' truncated ',' disappointed ',' skali ',' application ',' Telkomsel ']")</f>
        <v>['Disappointed', 'service', 'Telkomsel', 'Krna', 'yesterday', 'right', 'buy', 'package', 'GB', 'price', 'rb', 'package', ' The data ',' BLM ',' entered ',' money ',' truncated ',' disappointed ',' skali ',' application ',' Telkomsel ']</v>
      </c>
      <c r="D1476" s="3">
        <v>1.0</v>
      </c>
    </row>
    <row r="1477" ht="15.75" customHeight="1">
      <c r="A1477" s="1">
        <v>1475.0</v>
      </c>
      <c r="B1477" s="3" t="s">
        <v>1478</v>
      </c>
      <c r="C1477" s="3" t="str">
        <f>IFERROR(__xludf.DUMMYFUNCTION("GOOGLETRANSLATE(B1477,""id"",""en"")"),"['Network', 'Play', 'Game', 'Search', 'Really', 'Disappointing', 'Disturbing', 'Please', 'Looked', 'Quality', 'Network', 'Please', ' Repaired ',' ']")</f>
        <v>['Network', 'Play', 'Game', 'Search', 'Really', 'Disappointing', 'Disturbing', 'Please', 'Looked', 'Quality', 'Network', 'Please', ' Repaired ',' ']</v>
      </c>
      <c r="D1477" s="3">
        <v>1.0</v>
      </c>
    </row>
    <row r="1478" ht="15.75" customHeight="1">
      <c r="A1478" s="1">
        <v>1476.0</v>
      </c>
      <c r="B1478" s="3" t="s">
        <v>1479</v>
      </c>
      <c r="C1478" s="3" t="str">
        <f>IFERROR(__xludf.DUMMYFUNCTION("GOOGLETRANSLATE(B1478,""id"",""en"")"),"['Move', 'Mode', 'Automatic', 'Manual', 'Network', 'Cman', 'Sumatra', 'North', 'Network', 'Telkomsel', 'Network', 'Stable', ' Please ',' Help ',' Sumatran ',' North ',' Plosok ',' Sometimes', 'Network', 'Internet', 'Day', 'Learning', 'Please', 'Help', ""]")</f>
        <v>['Move', 'Mode', 'Automatic', 'Manual', 'Network', 'Cman', 'Sumatra', 'North', 'Network', 'Telkomsel', 'Network', 'Stable', ' Please ',' Help ',' Sumatran ',' North ',' Plosok ',' Sometimes', 'Network', 'Internet', 'Day', 'Learning', 'Please', 'Help', "]</v>
      </c>
      <c r="D1478" s="3">
        <v>1.0</v>
      </c>
    </row>
    <row r="1479" ht="15.75" customHeight="1">
      <c r="A1479" s="1">
        <v>1477.0</v>
      </c>
      <c r="B1479" s="3" t="s">
        <v>1480</v>
      </c>
      <c r="C1479" s="3" t="str">
        <f>IFERROR(__xludf.DUMMYFUNCTION("GOOGLETRANSLATE(B1479,""id"",""en"")"),"['oath', 'bad', 'really', 'connection', 'recommend', 'play', 'game', 'card', 'already', 'chat', 'diived', 'chat', ' Tetep ',' troble ',' felt ',' users', 'Telkomsel', 'in the environment', 'feel', 'disappointed', 'network', 'according to', 'price', ""]")</f>
        <v>['oath', 'bad', 'really', 'connection', 'recommend', 'play', 'game', 'card', 'already', 'chat', 'diived', 'chat', ' Tetep ',' troble ',' felt ',' users', 'Telkomsel', 'in the environment', 'feel', 'disappointed', 'network', 'according to', 'price', "]</v>
      </c>
      <c r="D1479" s="3">
        <v>1.0</v>
      </c>
    </row>
    <row r="1480" ht="15.75" customHeight="1">
      <c r="A1480" s="1">
        <v>1478.0</v>
      </c>
      <c r="B1480" s="3" t="s">
        <v>1481</v>
      </c>
      <c r="C1480" s="3" t="str">
        <f>IFERROR(__xludf.DUMMYFUNCTION("GOOGLETRANSLATE(B1480,""id"",""en"")"),"['Telkomsel', 'Quality', 'Network', 'Bad', 'Stable', 'Disappointing', 'Customer', 'Bener', 'Disappointed', 'Want', 'Switch', ""]")</f>
        <v>['Telkomsel', 'Quality', 'Network', 'Bad', 'Stable', 'Disappointing', 'Customer', 'Bener', 'Disappointed', 'Want', 'Switch', "]</v>
      </c>
      <c r="D1480" s="3">
        <v>1.0</v>
      </c>
    </row>
    <row r="1481" ht="15.75" customHeight="1">
      <c r="A1481" s="1">
        <v>1479.0</v>
      </c>
      <c r="B1481" s="3" t="s">
        <v>1482</v>
      </c>
      <c r="C1481" s="3" t="str">
        <f>IFERROR(__xludf.DUMMYFUNCTION("GOOGLETRANSLATE(B1481,""id"",""en"")"),"['Like', 'Network', 'Telkomsel', 'Package', 'Data', 'Expensive', 'Network', 'Delicious',' Cook ',' Lost ',' Next ',' Dlu ',' good ',' sekrng ',' tasty ',' beg ',' quality ',' fix ',' according to ',' Big ',' disappointed ', ""]")</f>
        <v>['Like', 'Network', 'Telkomsel', 'Package', 'Data', 'Expensive', 'Network', 'Delicious',' Cook ',' Lost ',' Next ',' Dlu ',' good ',' sekrng ',' tasty ',' beg ',' quality ',' fix ',' according to ',' Big ',' disappointed ', "]</v>
      </c>
      <c r="D1481" s="3">
        <v>1.0</v>
      </c>
    </row>
    <row r="1482" ht="15.75" customHeight="1">
      <c r="A1482" s="1">
        <v>1480.0</v>
      </c>
      <c r="B1482" s="3" t="s">
        <v>1483</v>
      </c>
      <c r="C1482" s="3" t="str">
        <f>IFERROR(__xludf.DUMMYFUNCTION("GOOGLETRANSLATE(B1482,""id"",""en"")"),"['Internet', 'slow', 'slow', 'damn', 'tegal', 'groove', 'kalideres',' jakarta ',' west ',' please ',' fix ',' teach ',' Leet ',' slow ',' slow ',' snail ', ""]")</f>
        <v>['Internet', 'slow', 'slow', 'damn', 'tegal', 'groove', 'kalideres',' jakarta ',' west ',' please ',' fix ',' teach ',' Leet ',' slow ',' slow ',' snail ', "]</v>
      </c>
      <c r="D1482" s="3">
        <v>1.0</v>
      </c>
    </row>
    <row r="1483" ht="15.75" customHeight="1">
      <c r="A1483" s="1">
        <v>1481.0</v>
      </c>
      <c r="B1483" s="3" t="s">
        <v>1484</v>
      </c>
      <c r="C1483" s="3" t="str">
        <f>IFERROR(__xludf.DUMMYFUNCTION("GOOGLETRANSLATE(B1483,""id"",""en"")"),"['Star', 'good', 'easy', 'APK', 'hope', 'bonus',' donk ',' customer ',' loyal ',' telkomsel ',' jrang ',' bonus', ' Hope ',' in their way ',' Sakin ',' Bgus', 'Easy', 'BNOY', 'BONUS']")</f>
        <v>['Star', 'good', 'easy', 'APK', 'hope', 'bonus',' donk ',' customer ',' loyal ',' telkomsel ',' jrang ',' bonus', ' Hope ',' in their way ',' Sakin ',' Bgus', 'Easy', 'BNOY', 'BONUS']</v>
      </c>
      <c r="D1483" s="3">
        <v>4.0</v>
      </c>
    </row>
    <row r="1484" ht="15.75" customHeight="1">
      <c r="A1484" s="1">
        <v>1482.0</v>
      </c>
      <c r="B1484" s="3" t="s">
        <v>1485</v>
      </c>
      <c r="C1484" s="3" t="str">
        <f>IFERROR(__xludf.DUMMYFUNCTION("GOOGLETRANSLATE(B1484,""id"",""en"")"),"['steady', 'bnyak', 'promo', 'network', 'already', 'stable', 'sometimes',' missing ',' in the future ',' price ',' his work ',' down ',' Because ',' community ',' Kayak ',' cave ',' Not bad ',' heavy ', ""]")</f>
        <v>['steady', 'bnyak', 'promo', 'network', 'already', 'stable', 'sometimes',' missing ',' in the future ',' price ',' his work ',' down ',' Because ',' community ',' Kayak ',' cave ',' Not bad ',' heavy ', "]</v>
      </c>
      <c r="D1484" s="3">
        <v>5.0</v>
      </c>
    </row>
    <row r="1485" ht="15.75" customHeight="1">
      <c r="A1485" s="1">
        <v>1483.0</v>
      </c>
      <c r="B1485" s="3" t="s">
        <v>1486</v>
      </c>
      <c r="C1485" s="3" t="str">
        <f>IFERROR(__xludf.DUMMYFUNCTION("GOOGLETRANSLATE(B1485,""id"",""en"")"),"['Hurran', 'here', 'application', 'quality', 'tuker', 'package', 'cheerful', 'morning', 'until', 'process',' process', 'please', ' Fix ',' System ',' What's', '']")</f>
        <v>['Hurran', 'here', 'application', 'quality', 'tuker', 'package', 'cheerful', 'morning', 'until', 'process',' process', 'please', ' Fix ',' System ',' What's', '']</v>
      </c>
      <c r="D1485" s="3">
        <v>1.0</v>
      </c>
    </row>
    <row r="1486" ht="15.75" customHeight="1">
      <c r="A1486" s="1">
        <v>1484.0</v>
      </c>
      <c r="B1486" s="3" t="s">
        <v>1487</v>
      </c>
      <c r="C1486" s="3" t="str">
        <f>IFERROR(__xludf.DUMMYFUNCTION("GOOGLETRANSLATE(B1486,""id"",""en"")"),"['Congratulations',' night ',' Please ',' sales', 'counter', 'retail', 'sell', 'pulse', 'voucher', 'weekly', 'voucher', 'Tsel', ' Stop ',' Market ',' Region ',' Palembang ',' Voucher ',' Tsel ',' Step ',' Please ',' Review ',' Oknum ',' Employee ',' Play "&amp;"',' Marketing ' , 'Voucher', 'Please', 'Sorry', 'Thank', 'Kasih']")</f>
        <v>['Congratulations',' night ',' Please ',' sales', 'counter', 'retail', 'sell', 'pulse', 'voucher', 'weekly', 'voucher', 'Tsel', ' Stop ',' Market ',' Region ',' Palembang ',' Voucher ',' Tsel ',' Step ',' Please ',' Review ',' Oknum ',' Employee ',' Play ',' Marketing ' , 'Voucher', 'Please', 'Sorry', 'Thank', 'Kasih']</v>
      </c>
      <c r="D1486" s="3">
        <v>3.0</v>
      </c>
    </row>
    <row r="1487" ht="15.75" customHeight="1">
      <c r="A1487" s="1">
        <v>1485.0</v>
      </c>
      <c r="B1487" s="3" t="s">
        <v>1488</v>
      </c>
      <c r="C1487" s="3" t="str">
        <f>IFERROR(__xludf.DUMMYFUNCTION("GOOGLETRANSLATE(B1487,""id"",""en"")"),"['ehh', 'kamvret', 'nyadar', 'ride', 'price', 'that way', 'then', 'signal', 'slow', 'cook', 'signal', 'kayak', ' gini ',' slow ',' really ',' buy ',' kouta ',' expensive ',' expensive ',' make ',' card ',' telkomsel ',' ngelag ',' ngelag ',' smooth ' , 's"&amp;"low', 'really', 'buy', 'expensive', 'slow', 'gini', ""]")</f>
        <v>['ehh', 'kamvret', 'nyadar', 'ride', 'price', 'that way', 'then', 'signal', 'slow', 'cook', 'signal', 'kayak', ' gini ',' slow ',' really ',' buy ',' kouta ',' expensive ',' expensive ',' make ',' card ',' telkomsel ',' ngelag ',' ngelag ',' smooth ' , 'slow', 'really', 'buy', 'expensive', 'slow', 'gini', "]</v>
      </c>
      <c r="D1487" s="3">
        <v>1.0</v>
      </c>
    </row>
    <row r="1488" ht="15.75" customHeight="1">
      <c r="A1488" s="1">
        <v>1486.0</v>
      </c>
      <c r="B1488" s="3" t="s">
        <v>1489</v>
      </c>
      <c r="C1488" s="3" t="str">
        <f>IFERROR(__xludf.DUMMYFUNCTION("GOOGLETRANSLATE(B1488,""id"",""en"")"),"['repair', 'just', 'discourse', 'doang', 'visits',' repaired ',' package ',' slow ',' ampunnn ',' move ',' network ',' lazy ',' card', '']")</f>
        <v>['repair', 'just', 'discourse', 'doang', 'visits',' repaired ',' package ',' slow ',' ampunnn ',' move ',' network ',' lazy ',' card', '']</v>
      </c>
      <c r="D1488" s="3">
        <v>1.0</v>
      </c>
    </row>
    <row r="1489" ht="15.75" customHeight="1">
      <c r="A1489" s="1">
        <v>1487.0</v>
      </c>
      <c r="B1489" s="3" t="s">
        <v>1490</v>
      </c>
      <c r="C1489" s="3" t="str">
        <f>IFERROR(__xludf.DUMMYFUNCTION("GOOGLETRANSLATE(B1489,""id"",""en"")"),"['disappointed', 'bngt', 'Telkomsel', 'package', 'expensive', 'signal', 'bad', 'really', 'reallytttttttttttttttttttttttttt', 'disappointedaaaaaaaaaaaaaaaaaaaaaaaaaaaaaaaaaaaaaaaaaaaaaaaaaaaaaaaaaaaaaaaaaaaaaaaaaaaaaaaaaaaaaaaaaaaaaaaaaaaaaaaaaaaaaaaaaaaaa"&amp;"aaaaaaaaaaaaaaaaaaaaaaaaaaaaaaaaaaaaaaaaaaaaaaaaaaaaaaaaaaaaaaaaaaaaaaaaaaaaaaaaaaaaaaaaaaaaaaaaA")</f>
        <v>['disappointed', 'bngt', 'Telkomsel', 'package', 'expensive', 'signal', 'bad', 'really', 'reallytttttttttttttttttttttttttt', 'disappointedaaaaaaaaaaaaaaaaaaaaaaaaaaaaaaaaaaaaaaaaaaaaaaaaaaaaaaaaaaaaaaaaaaaaaaaaaaaaaaaaaaaaaaaaaaaaaaaaaaaaaaaaaaaaaaaaaaaaaaaaaaaaaaaaaaaaaaaaaaaaaaaaaaaaaaaaaaaaaaaaaaaaaaaaaaaaaaaaaaaaaaaaaaaaaaaaaaaaaaaaaaaaaaaaaaaaaA</v>
      </c>
      <c r="D1489" s="3">
        <v>1.0</v>
      </c>
    </row>
    <row r="1490" ht="15.75" customHeight="1">
      <c r="A1490" s="1">
        <v>1488.0</v>
      </c>
      <c r="B1490" s="3" t="s">
        <v>1491</v>
      </c>
      <c r="C1490" s="3" t="str">
        <f>IFERROR(__xludf.DUMMYFUNCTION("GOOGLETRANSLATE(B1490,""id"",""en"")"),"['Telkomsel', 'prepaid', 'slow', 'network', 'cook', 'move', 'card', 'hello', 'post', 'pay', 'slow', 'smooth', ' card ',' Hello ',' priority ',' kyk ',' moved ',' provider ',' laen ',' ']")</f>
        <v>['Telkomsel', 'prepaid', 'slow', 'network', 'cook', 'move', 'card', 'hello', 'post', 'pay', 'slow', 'smooth', ' card ',' Hello ',' priority ',' kyk ',' moved ',' provider ',' laen ',' ']</v>
      </c>
      <c r="D1490" s="3">
        <v>1.0</v>
      </c>
    </row>
    <row r="1491" ht="15.75" customHeight="1">
      <c r="A1491" s="1">
        <v>1489.0</v>
      </c>
      <c r="B1491" s="3" t="s">
        <v>1492</v>
      </c>
      <c r="C1491" s="3" t="str">
        <f>IFERROR(__xludf.DUMMYFUNCTION("GOOGLETRANSLATE(B1491,""id"",""en"")"),"['Memominfo', 'take action', 'continued', 'Telkomsel', 'lie', 'purchase', 'package', 'detrimental', 'community', 'community', 'feel', 'feel', ' ']")</f>
        <v>['Memominfo', 'take action', 'continued', 'Telkomsel', 'lie', 'purchase', 'package', 'detrimental', 'community', 'community', 'feel', 'feel', ' ']</v>
      </c>
      <c r="D1491" s="3">
        <v>1.0</v>
      </c>
    </row>
    <row r="1492" ht="15.75" customHeight="1">
      <c r="A1492" s="1">
        <v>1490.0</v>
      </c>
      <c r="B1492" s="3" t="s">
        <v>1493</v>
      </c>
      <c r="C1492" s="3" t="str">
        <f>IFERROR(__xludf.DUMMYFUNCTION("GOOGLETRANSLATE(B1492,""id"",""en"")"),"['already', 'difficult', 'access',' price ',' package ',' expensive ',' plus', 'signal', 'gacha', 'bandwidth', 'narrow', 'ad', ' signal ',' Sampe ',' remote ',' country ',' edge ',' city ',' difficult ',' really ',' signal ',' right ',' rain ',' please ',"&amp;"' bandwidth ' , 'according to', 'price', 'package', '']")</f>
        <v>['already', 'difficult', 'access',' price ',' package ',' expensive ',' plus', 'signal', 'gacha', 'bandwidth', 'narrow', 'ad', ' signal ',' Sampe ',' remote ',' country ',' edge ',' city ',' difficult ',' really ',' signal ',' right ',' rain ',' please ',' bandwidth ' , 'according to', 'price', 'package', '']</v>
      </c>
      <c r="D1492" s="3">
        <v>1.0</v>
      </c>
    </row>
    <row r="1493" ht="15.75" customHeight="1">
      <c r="A1493" s="1">
        <v>1491.0</v>
      </c>
      <c r="B1493" s="3" t="s">
        <v>1494</v>
      </c>
      <c r="C1493" s="3" t="str">
        <f>IFERROR(__xludf.DUMMYFUNCTION("GOOGLETRANSLATE(B1493,""id"",""en"")"),"['Please', 'repaired', 'promo', 'check', 'traksaksi', 'missing', 'people', 'disappointed', 'min', 'already', 'bih', 'pulses',' Need ',' Kouta ',' Emergency ']")</f>
        <v>['Please', 'repaired', 'promo', 'check', 'traksaksi', 'missing', 'people', 'disappointed', 'min', 'already', 'bih', 'pulses',' Need ',' Kouta ',' Emergency ']</v>
      </c>
      <c r="D1493" s="3">
        <v>1.0</v>
      </c>
    </row>
    <row r="1494" ht="15.75" customHeight="1">
      <c r="A1494" s="1">
        <v>1492.0</v>
      </c>
      <c r="B1494" s="3" t="s">
        <v>1495</v>
      </c>
      <c r="C1494" s="3" t="str">
        <f>IFERROR(__xludf.DUMMYFUNCTION("GOOGLETRANSLATE(B1494,""id"",""en"")"),"['Application', 'Ginian', 'really', 'buy', 'package', 'data', 'application', 'appearin', 'package', 'data', 'bought']")</f>
        <v>['Application', 'Ginian', 'really', 'buy', 'package', 'data', 'application', 'appearin', 'package', 'data', 'bought']</v>
      </c>
      <c r="D1494" s="3">
        <v>1.0</v>
      </c>
    </row>
    <row r="1495" ht="15.75" customHeight="1">
      <c r="A1495" s="1">
        <v>1493.0</v>
      </c>
      <c r="B1495" s="3" t="s">
        <v>1496</v>
      </c>
      <c r="C1495" s="3" t="str">
        <f>IFERROR(__xludf.DUMMYFUNCTION("GOOGLETRANSLATE(B1495,""id"",""en"")"),"['signal', 'rich', 'gini', 'Telkomsel', 'here', 'signal', 'rotten', 'really', 'napa', 'sinyl', 'improvement', 'until' Tetep ',' rotten ',' ']")</f>
        <v>['signal', 'rich', 'gini', 'Telkomsel', 'here', 'signal', 'rotten', 'really', 'napa', 'sinyl', 'improvement', 'until' Tetep ',' rotten ',' ']</v>
      </c>
      <c r="D1495" s="3">
        <v>1.0</v>
      </c>
    </row>
    <row r="1496" ht="15.75" customHeight="1">
      <c r="A1496" s="1">
        <v>1494.0</v>
      </c>
      <c r="B1496" s="3" t="s">
        <v>1497</v>
      </c>
      <c r="C1496" s="3" t="str">
        <f>IFERROR(__xludf.DUMMYFUNCTION("GOOGLETRANSLATE(B1496,""id"",""en"")"),"['', 'Package', 'Telkomsel', 'Internet', 'Night', 'Ntah', 'Steal', 'People', 'Brother', 'Package', 'OMG', 'Daily', 'Weekly ',' monthly ',' etc. ',' mine ',' internet ',' night ',' pulse ',' buy ',' hundreds', 'thousand', 'looked', 'package', 'pulse', 'mis"&amp;"sing', 'ntah', 'steal', 'you', 'already', 'buy', 'package', 'times',' grandma ',' you ',' buy ',' package ',' people ',' buy ',' pulse ',' belom ',' kepake ',' missing ',' contact ',' admin ',' meek ',' response ', ""]")</f>
        <v>['', 'Package', 'Telkomsel', 'Internet', 'Night', 'Ntah', 'Steal', 'People', 'Brother', 'Package', 'OMG', 'Daily', 'Weekly ',' monthly ',' etc. ',' mine ',' internet ',' night ',' pulse ',' buy ',' hundreds', 'thousand', 'looked', 'package', 'pulse', 'missing', 'ntah', 'steal', 'you', 'already', 'buy', 'package', 'times',' grandma ',' you ',' buy ',' package ',' people ',' buy ',' pulse ',' belom ',' kepake ',' missing ',' contact ',' admin ',' meek ',' response ', "]</v>
      </c>
      <c r="D1496" s="3">
        <v>1.0</v>
      </c>
    </row>
    <row r="1497" ht="15.75" customHeight="1">
      <c r="A1497" s="1">
        <v>1495.0</v>
      </c>
      <c r="B1497" s="3" t="s">
        <v>1498</v>
      </c>
      <c r="C1497" s="3" t="str">
        <f>IFERROR(__xludf.DUMMYFUNCTION("GOOGLETRANSLATE(B1497,""id"",""en"")"),"['Disappointed', 'BNGET', 'Telkomsel', 'The network', 'like', 'ilang', 'Maen', 'game', 'UDH', 'Rich', 'Taiii', 'Telkomsel', ' Skrng ',' buy ',' package ',' expensive ',' doang ',' network ',' like ',' slow ',' rich ',' snail ',' mah ',' stay ',' city ' , "&amp;"'Lined', '']")</f>
        <v>['Disappointed', 'BNGET', 'Telkomsel', 'The network', 'like', 'ilang', 'Maen', 'game', 'UDH', 'Rich', 'Taiii', 'Telkomsel', ' Skrng ',' buy ',' package ',' expensive ',' doang ',' network ',' like ',' slow ',' rich ',' snail ',' mah ',' stay ',' city ' , 'Lined', '']</v>
      </c>
      <c r="D1497" s="3">
        <v>1.0</v>
      </c>
    </row>
    <row r="1498" ht="15.75" customHeight="1">
      <c r="A1498" s="1">
        <v>1496.0</v>
      </c>
      <c r="B1498" s="3" t="s">
        <v>1499</v>
      </c>
      <c r="C1498" s="3" t="str">
        <f>IFERROR(__xludf.DUMMYFUNCTION("GOOGLETRANSLATE(B1498,""id"",""en"")"),"['Disight', 'Application', 'Open', 'My APK', 'TPI', 'Bug', 'Freze', 'PDUS', 'Dri', 'MSLH', 'RAM', 'Like', ' Because ',' BLM ',' Update ',' APK ',' Update ',' Try ',' Delete ',' Data ',' Cache ',' Forced ',' Stop ',' Open ',' Bug ' , 'Freeze', 'please', 'f"&amp;"ix', '']")</f>
        <v>['Disight', 'Application', 'Open', 'My APK', 'TPI', 'Bug', 'Freze', 'PDUS', 'Dri', 'MSLH', 'RAM', 'Like', ' Because ',' BLM ',' Update ',' APK ',' Update ',' Try ',' Delete ',' Data ',' Cache ',' Forced ',' Stop ',' Open ',' Bug ' , 'Freeze', 'please', 'fix', '']</v>
      </c>
      <c r="D1498" s="3">
        <v>1.0</v>
      </c>
    </row>
    <row r="1499" ht="15.75" customHeight="1">
      <c r="A1499" s="1">
        <v>1497.0</v>
      </c>
      <c r="B1499" s="3" t="s">
        <v>1500</v>
      </c>
      <c r="C1499" s="3" t="str">
        <f>IFERROR(__xludf.DUMMYFUNCTION("GOOGLETRANSLATE(B1499,""id"",""en"")"),"['Lahh', 'Rate', 'friend', 'given', 'Rate', 'ugly', 'service', 'package', 'Doang', 'Dinaikin', 'service', 'Kaga', ' ride ',' network ',' slow ',' stable ',' signal ',' ilang ',' online ',' signal ',' ilang ',' until ',' get ',' absent ',' play ' , 'game',"&amp;" 'ngilangin', 'stressed', 'stressed', 'ping', 'yellow', 'red', 'doang', 'be careful', 'please', 'Telkomsel', 'Sis',' Contact ',' BLA ',' BLA ',' BLA ',' already ',' Gaada ',' Solution ',' Mending ',' Rate ',' Network ',' Gabakal ',' Changed ',' Renenya ' "&amp;", 'thank you']")</f>
        <v>['Lahh', 'Rate', 'friend', 'given', 'Rate', 'ugly', 'service', 'package', 'Doang', 'Dinaikin', 'service', 'Kaga', ' ride ',' network ',' slow ',' stable ',' signal ',' ilang ',' online ',' signal ',' ilang ',' until ',' get ',' absent ',' play ' , 'game', 'ngilangin', 'stressed', 'stressed', 'ping', 'yellow', 'red', 'doang', 'be careful', 'please', 'Telkomsel', 'Sis',' Contact ',' BLA ',' BLA ',' BLA ',' already ',' Gaada ',' Solution ',' Mending ',' Rate ',' Network ',' Gabakal ',' Changed ',' Renenya ' , 'thank you']</v>
      </c>
      <c r="D1499" s="3">
        <v>1.0</v>
      </c>
    </row>
    <row r="1500" ht="15.75" customHeight="1">
      <c r="A1500" s="1">
        <v>1498.0</v>
      </c>
      <c r="B1500" s="3" t="s">
        <v>1501</v>
      </c>
      <c r="C1500" s="3" t="str">
        <f>IFERROR(__xludf.DUMMYFUNCTION("GOOGLETRANSLATE(B1500,""id"",""en"")"),"['Please', 'Kasih', 'Registration', 'Card', 'Telkomsel', 'Try', 'Sllu', 'Failed', 'CBA', 'Sruh', 'repeated', 'BSOK', ' already ',' try ',' SLL ',' difficult ',' list ',' card ',' BLI ',' already ',' expired ', ""]")</f>
        <v>['Please', 'Kasih', 'Registration', 'Card', 'Telkomsel', 'Try', 'Sllu', 'Failed', 'CBA', 'Sruh', 'repeated', 'BSOK', ' already ',' try ',' SLL ',' difficult ',' list ',' card ',' BLI ',' already ',' expired ', "]</v>
      </c>
      <c r="D1500" s="3">
        <v>1.0</v>
      </c>
    </row>
    <row r="1501" ht="15.75" customHeight="1">
      <c r="A1501" s="1">
        <v>1499.0</v>
      </c>
      <c r="B1501" s="3" t="s">
        <v>1502</v>
      </c>
      <c r="C1501" s="3" t="str">
        <f>IFERROR(__xludf.DUMMYFUNCTION("GOOGLETRANSLATE(B1501,""id"",""en"")"),"['Times',' Open ',' APL ',' Buy ',' Package ',' Login ',' Something ',' WORNG ',' Telkomsel ',' Buy ',' Package ',' Internet ',' App ',' kahh ',' ']")</f>
        <v>['Times',' Open ',' APL ',' Buy ',' Package ',' Login ',' Something ',' WORNG ',' Telkomsel ',' Buy ',' Package ',' Internet ',' App ',' kahh ',' ']</v>
      </c>
      <c r="D1501" s="3">
        <v>2.0</v>
      </c>
    </row>
    <row r="1502" ht="15.75" customHeight="1">
      <c r="A1502" s="1">
        <v>1500.0</v>
      </c>
      <c r="B1502" s="3" t="s">
        <v>1503</v>
      </c>
      <c r="C1502" s="3" t="str">
        <f>IFERROR(__xludf.DUMMYFUNCTION("GOOGLETRANSLATE(B1502,""id"",""en"")"),"['Dear', 'Telkomsel', 'price', 'expensive', 'quality', 'bad', 'fix', 'quality', 'its network', 'pairs',' price ',' expensive ',' Quality ',' poor ',' suggestion ',' users', 'Telkomsel', 'buy', 'package', 'combo', 'Sakti', 'emang', 'quota', 'disappointing'"&amp;", 'mending' , 'buy', 'package', 'omg']")</f>
        <v>['Dear', 'Telkomsel', 'price', 'expensive', 'quality', 'bad', 'fix', 'quality', 'its network', 'pairs',' price ',' expensive ',' Quality ',' poor ',' suggestion ',' users', 'Telkomsel', 'buy', 'package', 'combo', 'Sakti', 'emang', 'quota', 'disappointing', 'mending' , 'buy', 'package', 'omg']</v>
      </c>
      <c r="D1502" s="3">
        <v>2.0</v>
      </c>
    </row>
    <row r="1503" ht="15.75" customHeight="1">
      <c r="A1503" s="1">
        <v>1501.0</v>
      </c>
      <c r="B1503" s="3" t="s">
        <v>1504</v>
      </c>
      <c r="C1503" s="3" t="str">
        <f>IFERROR(__xludf.DUMMYFUNCTION("GOOGLETRANSLATE(B1503,""id"",""en"")"),"['buy', 'quota', 'expensive', 'quality', 'internet', 'slow', 'rich', 'snail', 'use', 'Telkomsel', 'quota', 'taste', ' quota ',' internet ',' network ',' taste ',' card ',' cheats', 'free', 'access',' tick ',' tok ',' line ',' etc ',' eat ' , 'quota', 'int"&amp;"ernet', 'want', 'rich', 'that's', 'times', ""]")</f>
        <v>['buy', 'quota', 'expensive', 'quality', 'internet', 'slow', 'rich', 'snail', 'use', 'Telkomsel', 'quota', 'taste', ' quota ',' internet ',' network ',' taste ',' card ',' cheats', 'free', 'access',' tick ',' tok ',' line ',' etc ',' eat ' , 'quota', 'internet', 'want', 'rich', 'that's', 'times', "]</v>
      </c>
      <c r="D1503" s="3">
        <v>2.0</v>
      </c>
    </row>
    <row r="1504" ht="15.75" customHeight="1">
      <c r="A1504" s="1">
        <v>1502.0</v>
      </c>
      <c r="B1504" s="3" t="s">
        <v>1505</v>
      </c>
      <c r="C1504" s="3" t="str">
        <f>IFERROR(__xludf.DUMMYFUNCTION("GOOGLETRANSLATE(B1504,""id"",""en"")"),"['skrng', 'respects',' Telkomsel ',' because ',' already ',' price ',' quota ',' expensive ',' expensive ',' TPI ',' quality ',' good ',' Good ',' really ',' drop ',' it's a 'connection', 'fear', 'right', 'bljr', 'online', 'network', 'connection', 'bad', "&amp;"'inhibits' , 'bljr', 'online', '']")</f>
        <v>['skrng', 'respects',' Telkomsel ',' because ',' already ',' price ',' quota ',' expensive ',' expensive ',' TPI ',' quality ',' good ',' Good ',' really ',' drop ',' it's a 'connection', 'fear', 'right', 'bljr', 'online', 'network', 'connection', 'bad', 'inhibits' , 'bljr', 'online', '']</v>
      </c>
      <c r="D1504" s="3">
        <v>1.0</v>
      </c>
    </row>
    <row r="1505" ht="15.75" customHeight="1">
      <c r="A1505" s="1">
        <v>1503.0</v>
      </c>
      <c r="B1505" s="3" t="s">
        <v>1506</v>
      </c>
      <c r="C1505" s="3" t="str">
        <f>IFERROR(__xludf.DUMMYFUNCTION("GOOGLETRANSLATE(B1505,""id"",""en"")"),"['Disappointed', 'Quota', 'Internet', 'TB', 'Sudden', 'Out', 'Credit', 'TB', 'Mendadal', 'Out', 'Rare', ' Quota ',' as expensive ',' Telkomsel ',' service ',' SPT ',' feasible ',' consumers', 'UDH', 'expensive', 'Culture', 'bad', 'smg', 'in the future' , "&amp;"'LGI', 'TRM', 'Love', ""]")</f>
        <v>['Disappointed', 'Quota', 'Internet', 'TB', 'Sudden', 'Out', 'Credit', 'TB', 'Mendadal', 'Out', 'Rare', ' Quota ',' as expensive ',' Telkomsel ',' service ',' SPT ',' feasible ',' consumers', 'UDH', 'expensive', 'Culture', 'bad', 'smg', 'in the future' , 'LGI', 'TRM', 'Love', "]</v>
      </c>
      <c r="D1505" s="3">
        <v>1.0</v>
      </c>
    </row>
    <row r="1506" ht="15.75" customHeight="1">
      <c r="A1506" s="1">
        <v>1504.0</v>
      </c>
      <c r="B1506" s="3" t="s">
        <v>1507</v>
      </c>
      <c r="C1506" s="3" t="str">
        <f>IFERROR(__xludf.DUMMYFUNCTION("GOOGLETRANSLATE(B1506,""id"",""en"")"),"['stop', 'package', 'subscription', 'Telkomsel', 'already', 'dial', 'contact', 'Customer', 'Service', 'result', ""]")</f>
        <v>['stop', 'package', 'subscription', 'Telkomsel', 'already', 'dial', 'contact', 'Customer', 'Service', 'result', "]</v>
      </c>
      <c r="D1506" s="3">
        <v>1.0</v>
      </c>
    </row>
    <row r="1507" ht="15.75" customHeight="1">
      <c r="A1507" s="1">
        <v>1505.0</v>
      </c>
      <c r="B1507" s="3" t="s">
        <v>1508</v>
      </c>
      <c r="C1507" s="3" t="str">
        <f>IFERROR(__xludf.DUMMYFUNCTION("GOOGLETRANSLATE(B1507,""id"",""en"")"),"['user', 'sympathy', 'date', 'April', 'buy', 'credit', 'telkomsel', 'payment', 'via', 'shopee', 'pay', 'pulses',' Enter ',' Shopee ',' Pay ',' Cutting ',' Status', 'Payment', 'Success',' Please ',' Help ',' Telkomsel ',' Accept ',' Love ', ""]")</f>
        <v>['user', 'sympathy', 'date', 'April', 'buy', 'credit', 'telkomsel', 'payment', 'via', 'shopee', 'pay', 'pulses',' Enter ',' Shopee ',' Pay ',' Cutting ',' Status', 'Payment', 'Success',' Please ',' Help ',' Telkomsel ',' Accept ',' Love ', "]</v>
      </c>
      <c r="D1507" s="3">
        <v>2.0</v>
      </c>
    </row>
    <row r="1508" ht="15.75" customHeight="1">
      <c r="A1508" s="1">
        <v>1506.0</v>
      </c>
      <c r="B1508" s="3" t="s">
        <v>1509</v>
      </c>
      <c r="C1508" s="3" t="str">
        <f>IFERROR(__xludf.DUMMYFUNCTION("GOOGLETRANSLATE(B1508,""id"",""en"")"),"['Love', 'Network', 'Good', 'Nambah', 'ugly', 'Rich', 'Gini', 'Discard', 'Card', 'Simcard', 'TPI', 'ugly', ' network ',' mode ',' plane ',' boot ',' reset ',' TPI ',' Tetep ',' ugly ',' Telkomsel ',' TPI ',' rich ',' jdi ',' ugly ' , 'Please', 'Note', 'Mi"&amp;"n', 'Thank', 'Love', ""]")</f>
        <v>['Love', 'Network', 'Good', 'Nambah', 'ugly', 'Rich', 'Gini', 'Discard', 'Card', 'Simcard', 'TPI', 'ugly', ' network ',' mode ',' plane ',' boot ',' reset ',' TPI ',' Tetep ',' ugly ',' Telkomsel ',' TPI ',' rich ',' jdi ',' ugly ' , 'Please', 'Note', 'Min', 'Thank', 'Love', "]</v>
      </c>
      <c r="D1508" s="3">
        <v>1.0</v>
      </c>
    </row>
    <row r="1509" ht="15.75" customHeight="1">
      <c r="A1509" s="1">
        <v>1507.0</v>
      </c>
      <c r="B1509" s="3" t="s">
        <v>1510</v>
      </c>
      <c r="C1509" s="3" t="str">
        <f>IFERROR(__xludf.DUMMYFUNCTION("GOOGLETRANSLATE(B1509,""id"",""en"")"),"['no', 'uda', 'road', 'signal', 'Telkomsel', 'bad', 'morning', 'afternoon', 'night', 'morning', 'signal', 'good', ' Current ',' Jaya ',' Signal ',' ugly ',' then ',' Afternoon ',' Towards', 'Night', 'Lost', 'Troooosss',' Sibnal ',' Where ',' Try ' , 'Maen"&amp;"', 'game', 'AFK', 'Damn', 'AFK', ""]")</f>
        <v>['no', 'uda', 'road', 'signal', 'Telkomsel', 'bad', 'morning', 'afternoon', 'night', 'morning', 'signal', 'good', ' Current ',' Jaya ',' Signal ',' ugly ',' then ',' Afternoon ',' Towards', 'Night', 'Lost', 'Troooosss',' Sibnal ',' Where ',' Try ' , 'Maen', 'game', 'AFK', 'Damn', 'AFK', "]</v>
      </c>
      <c r="D1509" s="3">
        <v>1.0</v>
      </c>
    </row>
    <row r="1510" ht="15.75" customHeight="1">
      <c r="A1510" s="1">
        <v>1508.0</v>
      </c>
      <c r="B1510" s="3" t="s">
        <v>1511</v>
      </c>
      <c r="C1510" s="3" t="str">
        <f>IFERROR(__xludf.DUMMYFUNCTION("GOOGLETRANSLATE(B1510,""id"",""en"")"),"['Hello', 'Telkomsel', 'week', 'signal', 'bad', 'Please', 'fixed', 'hover', 'proveder', 'search', 'fortune', 'ojol', ' location ',' Yogya ',' signal ',' difficult ',' thank you ']")</f>
        <v>['Hello', 'Telkomsel', 'week', 'signal', 'bad', 'Please', 'fixed', 'hover', 'proveder', 'search', 'fortune', 'ojol', ' location ',' Yogya ',' signal ',' difficult ',' thank you ']</v>
      </c>
      <c r="D1510" s="3">
        <v>3.0</v>
      </c>
    </row>
    <row r="1511" ht="15.75" customHeight="1">
      <c r="A1511" s="1">
        <v>1509.0</v>
      </c>
      <c r="B1511" s="3" t="s">
        <v>1512</v>
      </c>
      <c r="C1511" s="3" t="str">
        <f>IFERROR(__xludf.DUMMYFUNCTION("GOOGLETRANSLATE(B1511,""id"",""en"")"),"['signal', 'Kenceng', 'down', 'sentence', 'signal', 'strong', 'apply', 'Telkomsel', ""]")</f>
        <v>['signal', 'Kenceng', 'down', 'sentence', 'signal', 'strong', 'apply', 'Telkomsel', "]</v>
      </c>
      <c r="D1511" s="3">
        <v>1.0</v>
      </c>
    </row>
    <row r="1512" ht="15.75" customHeight="1">
      <c r="A1512" s="1">
        <v>1510.0</v>
      </c>
      <c r="B1512" s="3" t="s">
        <v>1513</v>
      </c>
      <c r="C1512" s="3" t="str">
        <f>IFERROR(__xludf.DUMMYFUNCTION("GOOGLETRANSLATE(B1512,""id"",""en"")"),"['buy', 'unlimited', 'youtube', 'enter', 'already', 'try', 'enter', 'right', 'buy', 'directly', 'enter', 'Mnt', ' Enter ',' accumulation ',' gapapa ',' numpuk ',' how ',' Telkomsel ', ""]")</f>
        <v>['buy', 'unlimited', 'youtube', 'enter', 'already', 'try', 'enter', 'right', 'buy', 'directly', 'enter', 'Mnt', ' Enter ',' accumulation ',' gapapa ',' numpuk ',' how ',' Telkomsel ', "]</v>
      </c>
      <c r="D1512" s="3">
        <v>5.0</v>
      </c>
    </row>
    <row r="1513" ht="15.75" customHeight="1">
      <c r="A1513" s="1">
        <v>1511.0</v>
      </c>
      <c r="B1513" s="3" t="s">
        <v>1514</v>
      </c>
      <c r="C1513" s="3" t="str">
        <f>IFERROR(__xludf.DUMMYFUNCTION("GOOGLETRANSLATE(B1513,""id"",""en"")"),"['The application', 'Severe', 'slow', 'slow', 'slow', 'purchase', 'package', 'quota', 'etc.', 'reviewed', 'tks']")</f>
        <v>['The application', 'Severe', 'slow', 'slow', 'slow', 'purchase', 'package', 'quota', 'etc.', 'reviewed', 'tks']</v>
      </c>
      <c r="D1513" s="3">
        <v>2.0</v>
      </c>
    </row>
    <row r="1514" ht="15.75" customHeight="1">
      <c r="A1514" s="1">
        <v>1512.0</v>
      </c>
      <c r="B1514" s="3" t="s">
        <v>1515</v>
      </c>
      <c r="C1514" s="3" t="str">
        <f>IFERROR(__xludf.DUMMYFUNCTION("GOOGLETRANSLATE(B1514,""id"",""en"")"),"['Points',' no ',' appears', 'application', 'telephone', 'menu', 'point', 'no', 'open', 'msg', 'access',' menu ',' The conditions are ',' biss', 'access',' menu ',' tsb ',' etc. ',' thank you ',' ']")</f>
        <v>['Points',' no ',' appears', 'application', 'telephone', 'menu', 'point', 'no', 'open', 'msg', 'access',' menu ',' The conditions are ',' biss', 'access',' menu ',' tsb ',' etc. ',' thank you ',' ']</v>
      </c>
      <c r="D1514" s="3">
        <v>1.0</v>
      </c>
    </row>
    <row r="1515" ht="15.75" customHeight="1">
      <c r="A1515" s="1">
        <v>1513.0</v>
      </c>
      <c r="B1515" s="3" t="s">
        <v>1516</v>
      </c>
      <c r="C1515" s="3" t="str">
        <f>IFERROR(__xludf.DUMMYFUNCTION("GOOGLETRANSLATE(B1515,""id"",""en"")"),"['Telkomsel', 'slow', 'really', 'appeal', 'package', 'quota', 'expensive', 'ttep', 'slow', 'google', 'slow', 'tsel', ' slow ',' Loading ',' Sangaaat ']")</f>
        <v>['Telkomsel', 'slow', 'really', 'appeal', 'package', 'quota', 'expensive', 'ttep', 'slow', 'google', 'slow', 'tsel', ' slow ',' Loading ',' Sangaaat ']</v>
      </c>
      <c r="D1515" s="3">
        <v>1.0</v>
      </c>
    </row>
    <row r="1516" ht="15.75" customHeight="1">
      <c r="A1516" s="1">
        <v>1514.0</v>
      </c>
      <c r="B1516" s="3" t="s">
        <v>1517</v>
      </c>
      <c r="C1516" s="3" t="str">
        <f>IFERROR(__xludf.DUMMYFUNCTION("GOOGLETRANSLATE(B1516,""id"",""en"")"),"['min', 'please', 'speed', 'improvement', 'network', 'Riau', 'Construction', 'just', 'network', 'slow', 'open', 'min', ' Min ',' since ',' fire ',' Pekanbaru ',' please ',' repair ',' fast ', ""]")</f>
        <v>['min', 'please', 'speed', 'improvement', 'network', 'Riau', 'Construction', 'just', 'network', 'slow', 'open', 'min', ' Min ',' since ',' fire ',' Pekanbaru ',' please ',' repair ',' fast ', "]</v>
      </c>
      <c r="D1516" s="3">
        <v>1.0</v>
      </c>
    </row>
    <row r="1517" ht="15.75" customHeight="1">
      <c r="A1517" s="1">
        <v>1515.0</v>
      </c>
      <c r="B1517" s="3" t="s">
        <v>1518</v>
      </c>
      <c r="C1517" s="3" t="str">
        <f>IFERROR(__xludf.DUMMYFUNCTION("GOOGLETRANSLATE(B1517,""id"",""en"")"),"['', 'Disappointed', 'service', 'Telkomsel', 'already', 'buy', 'pulse', 'buy', 'package', 'internet', 'response', 'Telkomsel', 'as soon as ',' pulse ',' run out ',' package ',' data ',' internet ',' enter ',' application ',' please ',' package ',' promo '"&amp;",' run out ',' delete ', 'Ajh', 'Tick', 'Telkomsel', 'Mao', 'Terms',' Telkomsel ',' Credit ',' buy ',' results', 'work', 'robbing', 'steal', 'responsibility ',' Dego ',' Telkomsel ']")</f>
        <v>['', 'Disappointed', 'service', 'Telkomsel', 'already', 'buy', 'pulse', 'buy', 'package', 'internet', 'response', 'Telkomsel', 'as soon as ',' pulse ',' run out ',' package ',' data ',' internet ',' enter ',' application ',' please ',' package ',' promo ',' run out ',' delete ', 'Ajh', 'Tick', 'Telkomsel', 'Mao', 'Terms',' Telkomsel ',' Credit ',' buy ',' results', 'work', 'robbing', 'steal', 'responsibility ',' Dego ',' Telkomsel ']</v>
      </c>
      <c r="D1517" s="3">
        <v>1.0</v>
      </c>
    </row>
    <row r="1518" ht="15.75" customHeight="1">
      <c r="A1518" s="1">
        <v>1516.0</v>
      </c>
      <c r="B1518" s="3" t="s">
        <v>1519</v>
      </c>
      <c r="C1518" s="3" t="str">
        <f>IFERROR(__xludf.DUMMYFUNCTION("GOOGLETRANSLATE(B1518,""id"",""en"")"),"['Telkomsel', 'difficult', 'open', 'network', 'difficult', 'price', 'package', 'expensive', 'comparable', 'service', 'network', 'bad' Address', 'home', 'change', 'card', '']")</f>
        <v>['Telkomsel', 'difficult', 'open', 'network', 'difficult', 'price', 'package', 'expensive', 'comparable', 'service', 'network', 'bad' Address', 'home', 'change', 'card', '']</v>
      </c>
      <c r="D1518" s="3">
        <v>1.0</v>
      </c>
    </row>
    <row r="1519" ht="15.75" customHeight="1">
      <c r="A1519" s="1">
        <v>1517.0</v>
      </c>
      <c r="B1519" s="3" t="s">
        <v>1520</v>
      </c>
      <c r="C1519" s="3" t="str">
        <f>IFERROR(__xludf.DUMMYFUNCTION("GOOGLETRANSLATE(B1519,""id"",""en"")"),"['Please', 'System', 'how', 'buy', 'package', 'use', 'pulse', 'right', 'check', 'credit', 'blm', 'truncated', ' right ',' ngususin ',' chick ',' an hour ',' can ',' notif ',' package ',' sent ',' sms', 'truncated', 'deh', 'loss',' deh ' , 'Apesss', 'Netwo"&amp;"rk', 'Telkom', '']")</f>
        <v>['Please', 'System', 'how', 'buy', 'package', 'use', 'pulse', 'right', 'check', 'credit', 'blm', 'truncated', ' right ',' ngususin ',' chick ',' an hour ',' can ',' notif ',' package ',' sent ',' sms', 'truncated', 'deh', 'loss',' deh ' , 'Apesss', 'Network', 'Telkom', '']</v>
      </c>
      <c r="D1519" s="3">
        <v>1.0</v>
      </c>
    </row>
    <row r="1520" ht="15.75" customHeight="1">
      <c r="A1520" s="1">
        <v>1518.0</v>
      </c>
      <c r="B1520" s="3" t="s">
        <v>1521</v>
      </c>
      <c r="C1520" s="3" t="str">
        <f>IFERROR(__xludf.DUMMYFUNCTION("GOOGLETRANSLATE(B1520,""id"",""en"")"),"['Sis', 'Package', 'Unlimited', 'Max', 'Telkomsel', 'Card', 'Blm', 'Age', 'Please', 'Give', 'Promo']")</f>
        <v>['Sis', 'Package', 'Unlimited', 'Max', 'Telkomsel', 'Card', 'Blm', 'Age', 'Please', 'Give', 'Promo']</v>
      </c>
      <c r="D1520" s="3">
        <v>3.0</v>
      </c>
    </row>
    <row r="1521" ht="15.75" customHeight="1">
      <c r="A1521" s="1">
        <v>1519.0</v>
      </c>
      <c r="B1521" s="3" t="s">
        <v>1522</v>
      </c>
      <c r="C1521" s="3" t="str">
        <f>IFERROR(__xludf.DUMMYFUNCTION("GOOGLETRANSLATE(B1521,""id"",""en"")"),"['Hello', 'Telkomsel', 'Customers',' Platinum ',' submit ',' complaints', 'slow', 'Telkomsel', 'operator', 'experience', 'Fate', 'Telkomsel', ' Current ',' SKR ',' Severe ',' subscribe ',' package ',' data ',' Telkomsel ',' thank ',' love ', ""]")</f>
        <v>['Hello', 'Telkomsel', 'Customers',' Platinum ',' submit ',' complaints', 'slow', 'Telkomsel', 'operator', 'experience', 'Fate', 'Telkomsel', ' Current ',' SKR ',' Severe ',' subscribe ',' package ',' data ',' Telkomsel ',' thank ',' love ', "]</v>
      </c>
      <c r="D1521" s="3">
        <v>1.0</v>
      </c>
    </row>
    <row r="1522" ht="15.75" customHeight="1">
      <c r="A1522" s="1">
        <v>1520.0</v>
      </c>
      <c r="B1522" s="3" t="s">
        <v>1523</v>
      </c>
      <c r="C1522" s="3" t="str">
        <f>IFERROR(__xludf.DUMMYFUNCTION("GOOGLETRANSLATE(B1522,""id"",""en"")"),"['updete', 'right', 'buy', 'package', 'please', 'lahhh', 'kmi', 'pelqnggan', 'serve', 'kayak', 'gini', 'then', ' gmna ',' work ',' jdi ',' hub ',' person ',' pantes', 'love', 'star', '']")</f>
        <v>['updete', 'right', 'buy', 'package', 'please', 'lahhh', 'kmi', 'pelqnggan', 'serve', 'kayak', 'gini', 'then', ' gmna ',' work ',' jdi ',' hub ',' person ',' pantes', 'love', 'star', '']</v>
      </c>
      <c r="D1522" s="3">
        <v>1.0</v>
      </c>
    </row>
    <row r="1523" ht="15.75" customHeight="1">
      <c r="A1523" s="1">
        <v>1521.0</v>
      </c>
      <c r="B1523" s="3" t="s">
        <v>1524</v>
      </c>
      <c r="C1523" s="3" t="str">
        <f>IFERROR(__xludf.DUMMYFUNCTION("GOOGLETRANSLATE(B1523,""id"",""en"")"),"['crazy', 'crazy', 'application', 'well maintained', 'crazy', 'crazy', 'data', 'already', 'expensive', 'user', 'application', 'satisfied', ' Application ',' Cause ',' Crazy ',' Application ',' Already ',' Emotion ',' Application ',' Error ',' Open ',' Upd"&amp;"ate ',' Already ',' Terms', 'Install' , 'already', 'tasty', 'need', 'entry', 'because', 'customer', 'right', 'customer', 'need', 'error', 'crazy', 'emang', ' Mad, mad, mad']")</f>
        <v>['crazy', 'crazy', 'application', 'well maintained', 'crazy', 'crazy', 'data', 'already', 'expensive', 'user', 'application', 'satisfied', ' Application ',' Cause ',' Crazy ',' Application ',' Already ',' Emotion ',' Application ',' Error ',' Open ',' Update ',' Already ',' Terms', 'Install' , 'already', 'tasty', 'need', 'entry', 'because', 'customer', 'right', 'customer', 'need', 'error', 'crazy', 'emang', ' Mad, mad, mad']</v>
      </c>
      <c r="D1523" s="3">
        <v>1.0</v>
      </c>
    </row>
    <row r="1524" ht="15.75" customHeight="1">
      <c r="A1524" s="1">
        <v>1522.0</v>
      </c>
      <c r="B1524" s="3" t="s">
        <v>1525</v>
      </c>
      <c r="C1524" s="3" t="str">
        <f>IFERROR(__xludf.DUMMYFUNCTION("GOOGLETRANSLATE(B1524,""id"",""en"")"),"['Please', 'repaired', 'service', 'buy', 'package', 'combo', 'unlimited', 'gopay', 'trafficking', 'entered', 'listed', 'purchase', ' Successful ',' balance ',' Gopay ',' Reduced ',' Please ',' Assisted ',' Repaired ',' Thank you ']")</f>
        <v>['Please', 'repaired', 'service', 'buy', 'package', 'combo', 'unlimited', 'gopay', 'trafficking', 'entered', 'listed', 'purchase', ' Successful ',' balance ',' Gopay ',' Reduced ',' Please ',' Assisted ',' Repaired ',' Thank you ']</v>
      </c>
      <c r="D1524" s="3">
        <v>1.0</v>
      </c>
    </row>
    <row r="1525" ht="15.75" customHeight="1">
      <c r="A1525" s="1">
        <v>1523.0</v>
      </c>
      <c r="B1525" s="3" t="s">
        <v>1526</v>
      </c>
      <c r="C1525" s="3" t="str">
        <f>IFERROR(__xludf.DUMMYFUNCTION("GOOGLETRANSLATE(B1525,""id"",""en"")"),"['buy', 'cheerful', 'GB', 'SMS', 'TPI', 'SKRG', 'TPI', 'APK', 'CERIALYA', 'Try', 'buy', 'pulses',' ',' ckup ',' pulse ',' buy ',' pulse ',' hope ',' buy ',' package ',' pulse ',' already ',' internet ',' okay ',' wifi ' , 'push', 'buy', 'appears',' try ',"&amp;"' sorry ',' error ',' please ',' check ',' internet ',' wait ',' minutes', 'default', ' Belain ',' buy ',' pulse ',' buy ',' package ',' right ',' udh ',' buy ',' error ',' think ',' buy ',' pulse ',' leaves' , 'JLEK', 'Systemny', '']")</f>
        <v>['buy', 'cheerful', 'GB', 'SMS', 'TPI', 'SKRG', 'TPI', 'APK', 'CERIALYA', 'Try', 'buy', 'pulses',' ',' ckup ',' pulse ',' buy ',' pulse ',' hope ',' buy ',' package ',' pulse ',' already ',' internet ',' okay ',' wifi ' , 'push', 'buy', 'appears',' try ',' sorry ',' error ',' please ',' check ',' internet ',' wait ',' minutes', 'default', ' Belain ',' buy ',' pulse ',' buy ',' package ',' right ',' udh ',' buy ',' error ',' think ',' buy ',' pulse ',' leaves' , 'JLEK', 'Systemny', '']</v>
      </c>
      <c r="D1525" s="3">
        <v>1.0</v>
      </c>
    </row>
    <row r="1526" ht="15.75" customHeight="1">
      <c r="A1526" s="1">
        <v>1524.0</v>
      </c>
      <c r="B1526" s="3" t="s">
        <v>1527</v>
      </c>
      <c r="C1526" s="3" t="str">
        <f>IFERROR(__xludf.DUMMYFUNCTION("GOOGLETRANSLATE(B1526,""id"",""en"")"),"['Help', 'UDH', 'complain', 'tukkan', 'gini', 'that's',' ngeluarin ',' money ',' enjoy ',' Telkomsel ',' price ',' quality ',' decreases ',' disappointed ',' get ',' signal ',' max ',' kb ',' second ',' then 'down', 'presentation', 'college', 'online', 'l"&amp;"ike' , 'Disconnect', 'signal', 'suggestion', 'pandemic', 'lighten', 'price', 'quota', 'quality', 'decreases',' understand ',' accept ',' love ',' ']")</f>
        <v>['Help', 'UDH', 'complain', 'tukkan', 'gini', 'that's',' ngeluarin ',' money ',' enjoy ',' Telkomsel ',' price ',' quality ',' decreases ',' disappointed ',' get ',' signal ',' max ',' kb ',' second ',' then 'down', 'presentation', 'college', 'online', 'like' , 'Disconnect', 'signal', 'suggestion', 'pandemic', 'lighten', 'price', 'quota', 'quality', 'decreases',' understand ',' accept ',' love ',' ']</v>
      </c>
      <c r="D1526" s="3">
        <v>1.0</v>
      </c>
    </row>
    <row r="1527" ht="15.75" customHeight="1">
      <c r="A1527" s="1">
        <v>1525.0</v>
      </c>
      <c r="B1527" s="3" t="s">
        <v>1528</v>
      </c>
      <c r="C1527" s="3" t="str">
        <f>IFERROR(__xludf.DUMMYFUNCTION("GOOGLETRANSLATE(B1527,""id"",""en"")"),"['buy', 'buy', 'buy', 'pulse', 'me', 'kpotong', 'smpai', 'bad', 'bnget', 'service', 'telkomsel', 'already', ' signal ',' ilang ',' told ',' Clear ',' cache ',' What's', 'Nge', ""]")</f>
        <v>['buy', 'buy', 'buy', 'pulse', 'me', 'kpotong', 'smpai', 'bad', 'bnget', 'service', 'telkomsel', 'already', ' signal ',' ilang ',' told ',' Clear ',' cache ',' What's', 'Nge', "]</v>
      </c>
      <c r="D1527" s="3">
        <v>1.0</v>
      </c>
    </row>
    <row r="1528" ht="15.75" customHeight="1">
      <c r="A1528" s="1">
        <v>1526.0</v>
      </c>
      <c r="B1528" s="3" t="s">
        <v>1529</v>
      </c>
      <c r="C1528" s="3" t="str">
        <f>IFERROR(__xludf.DUMMYFUNCTION("GOOGLETRANSLATE(B1528,""id"",""en"")"),"['times', 'failed', 'transaction', 'funds', 'payment', 'success', 'quota', 'enter', 'loss']")</f>
        <v>['times', 'failed', 'transaction', 'funds', 'payment', 'success', 'quota', 'enter', 'loss']</v>
      </c>
      <c r="D1528" s="3">
        <v>2.0</v>
      </c>
    </row>
    <row r="1529" ht="15.75" customHeight="1">
      <c r="A1529" s="1">
        <v>1527.0</v>
      </c>
      <c r="B1529" s="3" t="s">
        <v>1530</v>
      </c>
      <c r="C1529" s="3" t="str">
        <f>IFERROR(__xludf.DUMMYFUNCTION("GOOGLETRANSLATE(B1529,""id"",""en"")"),"['credit', 'rb', 'then', 'buy', 'package', 'GB', 'price', 'rb', 'pulse', 'cut', 'TPI', 'process',' Failed ',' quota ',' enter ',' credit ',' disappear ',' good ',' job ',' Telkomsel ',' ']")</f>
        <v>['credit', 'rb', 'then', 'buy', 'package', 'GB', 'price', 'rb', 'pulse', 'cut', 'TPI', 'process',' Failed ',' quota ',' enter ',' credit ',' disappear ',' good ',' job ',' Telkomsel ',' ']</v>
      </c>
      <c r="D1529" s="3">
        <v>1.0</v>
      </c>
    </row>
    <row r="1530" ht="15.75" customHeight="1">
      <c r="A1530" s="1">
        <v>1528.0</v>
      </c>
      <c r="B1530" s="3" t="s">
        <v>1531</v>
      </c>
      <c r="C1530" s="3" t="str">
        <f>IFERROR(__xludf.DUMMYFUNCTION("GOOGLETRANSLATE(B1530,""id"",""en"")"),"['Bacot', 'apk', 'ngeselin', 'really', 'cook', 'buy', 'package', 'ngak', 'balance', 'really', 'pulse', 'ngak', ' The tease ',' Tetep ',' loss ',' Cook ',' already ',' buy ',' credit ',' ngak ',' buy ',' package ',' staple ',' since 'update' , 'Latest', 'T"&amp;"elkom', 'acting', 'lazy']")</f>
        <v>['Bacot', 'apk', 'ngeselin', 'really', 'cook', 'buy', 'package', 'ngak', 'balance', 'really', 'pulse', 'ngak', ' The tease ',' Tetep ',' loss ',' Cook ',' already ',' buy ',' credit ',' ngak ',' buy ',' package ',' staple ',' since 'update' , 'Latest', 'Telkom', 'acting', 'lazy']</v>
      </c>
      <c r="D1530" s="3">
        <v>2.0</v>
      </c>
    </row>
    <row r="1531" ht="15.75" customHeight="1">
      <c r="A1531" s="1">
        <v>1529.0</v>
      </c>
      <c r="B1531" s="3" t="s">
        <v>1532</v>
      </c>
      <c r="C1531" s="3" t="str">
        <f>IFERROR(__xludf.DUMMYFUNCTION("GOOGLETRANSLATE(B1531,""id"",""en"")"),"['cave', 'pakek', 'package', 'right', 'package', 'lgi', 'entry', 'application', 'pakek', 'wifi', 'forced', 'cave', ' Package ',' expensive ',' UDH ',' On ',' Package ',' Applikasih ',' Bukak ',' Akir ',' Akir ',' connection ',' internet ',' comfortable ',"&amp;"' signal ' , 'Full', 'slow', 'loss',' buy ',' quota ',' expensive ',' slow ',' buy ',' quota ',' little ',' slow ',' new ',' WOI ',' Telkomsel ',' Activein ',' Package ',' Nelfon ',' Credit ',' Pakek ',' Cut ',' ']")</f>
        <v>['cave', 'pakek', 'package', 'right', 'package', 'lgi', 'entry', 'application', 'pakek', 'wifi', 'forced', 'cave', ' Package ',' expensive ',' UDH ',' On ',' Package ',' Applikasih ',' Bukak ',' Akir ',' Akir ',' connection ',' internet ',' comfortable ',' signal ' , 'Full', 'slow', 'loss',' buy ',' quota ',' expensive ',' slow ',' buy ',' quota ',' little ',' slow ',' new ',' WOI ',' Telkomsel ',' Activein ',' Package ',' Nelfon ',' Credit ',' Pakek ',' Cut ',' ']</v>
      </c>
      <c r="D1531" s="3">
        <v>1.0</v>
      </c>
    </row>
    <row r="1532" ht="15.75" customHeight="1">
      <c r="A1532" s="1">
        <v>1530.0</v>
      </c>
      <c r="B1532" s="3" t="s">
        <v>1533</v>
      </c>
      <c r="C1532" s="3" t="str">
        <f>IFERROR(__xludf.DUMMYFUNCTION("GOOGLETRANSLATE(B1532,""id"",""en"")"),"['Sexelous',' kartuHALO ',' Network ',' Lemottt ',' Pay ',' Tax ',' RB ',' right ',' WKT ',' list ',' kartuHalo ',' talk ',' Taxes', 'pieces',' thousand ',' service ',' feel ',' Belik ',' disappointed ',' ']")</f>
        <v>['Sexelous',' kartuHALO ',' Network ',' Lemottt ',' Pay ',' Tax ',' RB ',' right ',' WKT ',' list ',' kartuHalo ',' talk ',' Taxes', 'pieces',' thousand ',' service ',' feel ',' Belik ',' disappointed ',' ']</v>
      </c>
      <c r="D1532" s="3">
        <v>1.0</v>
      </c>
    </row>
    <row r="1533" ht="15.75" customHeight="1">
      <c r="A1533" s="1">
        <v>1531.0</v>
      </c>
      <c r="B1533" s="3" t="s">
        <v>1534</v>
      </c>
      <c r="C1533" s="3" t="str">
        <f>IFERROR(__xludf.DUMMYFUNCTION("GOOGLETRANSLATE(B1533,""id"",""en"")"),"['right', 'buy', 'Koutaa', 'YouTube', 'lapse', 'right', 'watch', 'youtube', 'muter', 'pulse', 'truncated', 'sia', ' Deket ',' Tower ',' Telkom ']")</f>
        <v>['right', 'buy', 'Koutaa', 'YouTube', 'lapse', 'right', 'watch', 'youtube', 'muter', 'pulse', 'truncated', 'sia', ' Deket ',' Tower ',' Telkom ']</v>
      </c>
      <c r="D1533" s="3">
        <v>1.0</v>
      </c>
    </row>
    <row r="1534" ht="15.75" customHeight="1">
      <c r="A1534" s="1">
        <v>1532.0</v>
      </c>
      <c r="B1534" s="3" t="s">
        <v>1535</v>
      </c>
      <c r="C1534" s="3" t="str">
        <f>IFERROR(__xludf.DUMMYFUNCTION("GOOGLETRANSLATE(B1534,""id"",""en"")"),"['application', 'good', 'already', 'use', 'Telkomsel', 'network', 'severe', 'gini', 'slow', 'tissue', 'chaotic', 'package', ' good ',' the network ',' slow ',' please ',' fix ',' network ',' network ',' supr ',' slow ',' please ',' fix ', ""]")</f>
        <v>['application', 'good', 'already', 'use', 'Telkomsel', 'network', 'severe', 'gini', 'slow', 'tissue', 'chaotic', 'package', ' good ',' the network ',' slow ',' please ',' fix ',' network ',' network ',' supr ',' slow ',' please ',' fix ', "]</v>
      </c>
      <c r="D1534" s="3">
        <v>1.0</v>
      </c>
    </row>
    <row r="1535" ht="15.75" customHeight="1">
      <c r="A1535" s="1">
        <v>1533.0</v>
      </c>
      <c r="B1535" s="3" t="s">
        <v>1536</v>
      </c>
      <c r="C1535" s="3" t="str">
        <f>IFERROR(__xludf.DUMMYFUNCTION("GOOGLETRANSLATE(B1535,""id"",""en"")"),"['Hi', 'Telkomsel', 'buy', 'pulse', 'run out', 'forget', 'turn off', 'data', 'cellular', 'credit', 'run out', ' buy ',' Koutaa ',' combo ',' run out ',' pulses', 'please', 'donk', 'fix', 'feature', 'lock', 'pulses',' no ',' pulses' , 'Kasian', 'no', 'mone"&amp;"y', 'no', 'money', 'already', 'save', 'ilang', 'pulses', 'aduuuh']")</f>
        <v>['Hi', 'Telkomsel', 'buy', 'pulse', 'run out', 'forget', 'turn off', 'data', 'cellular', 'credit', 'run out', ' buy ',' Koutaa ',' combo ',' run out ',' pulses', 'please', 'donk', 'fix', 'feature', 'lock', 'pulses',' no ',' pulses' , 'Kasian', 'no', 'money', 'no', 'money', 'already', 'save', 'ilang', 'pulses', 'aduuuh']</v>
      </c>
      <c r="D1535" s="3">
        <v>1.0</v>
      </c>
    </row>
    <row r="1536" ht="15.75" customHeight="1">
      <c r="A1536" s="1">
        <v>1534.0</v>
      </c>
      <c r="B1536" s="3" t="s">
        <v>1537</v>
      </c>
      <c r="C1536" s="3" t="str">
        <f>IFERROR(__xludf.DUMMYFUNCTION("GOOGLETRANSLATE(B1536,""id"",""en"")"),"['Hello', 'ask', 'Daily', 'check', 'right', 'claim', 'Reward', 'SMS', 'SMS', 'Claim', 'Reward', 'SUCCESS', ' SMS ',' System ',' Busy ',' Points', 'Reward', 'Disa', 'Claimed', 'Please', 'Explanation', 'Thank', 'Love']")</f>
        <v>['Hello', 'ask', 'Daily', 'check', 'right', 'claim', 'Reward', 'SMS', 'SMS', 'Claim', 'Reward', 'SUCCESS', ' SMS ',' System ',' Busy ',' Points', 'Reward', 'Disa', 'Claimed', 'Please', 'Explanation', 'Thank', 'Love']</v>
      </c>
      <c r="D1536" s="3">
        <v>5.0</v>
      </c>
    </row>
    <row r="1537" ht="15.75" customHeight="1">
      <c r="A1537" s="1">
        <v>1535.0</v>
      </c>
      <c r="B1537" s="3" t="s">
        <v>1538</v>
      </c>
      <c r="C1537" s="3" t="str">
        <f>IFERROR(__xludf.DUMMYFUNCTION("GOOGLETRANSLATE(B1537,""id"",""en"")"),"['love', 'tasty', 'his use', 'obstacles',' update ',' version ',' difficult ',' login ',' number ',' phone ',' tetepi ',' fail ',' Enter ',' Please ',' Optimize ',' ']")</f>
        <v>['love', 'tasty', 'his use', 'obstacles',' update ',' version ',' difficult ',' login ',' number ',' phone ',' tetepi ',' fail ',' Enter ',' Please ',' Optimize ',' ']</v>
      </c>
      <c r="D1537" s="3">
        <v>1.0</v>
      </c>
    </row>
    <row r="1538" ht="15.75" customHeight="1">
      <c r="A1538" s="1">
        <v>1536.0</v>
      </c>
      <c r="B1538" s="3" t="s">
        <v>1539</v>
      </c>
      <c r="C1538" s="3" t="str">
        <f>IFERROR(__xludf.DUMMYFUNCTION("GOOGLETRANSLATE(B1538,""id"",""en"")"),"['Assalamualaikum', 'kaka', 'sorry', 'permission', 'daily', 'check', 'point', 'point', 'already', 'stay', 'styled', 'doang', ' Deliberately ',' exchanges', 'quota', 'free', 'quota', 'card', 'check', 'point', 'point', 'collected', 'quota', 'free', 'please'"&amp;" , 'responded', 'Collect', 'Point', '']")</f>
        <v>['Assalamualaikum', 'kaka', 'sorry', 'permission', 'daily', 'check', 'point', 'point', 'already', 'stay', 'styled', 'doang', ' Deliberately ',' exchanges', 'quota', 'free', 'quota', 'card', 'check', 'point', 'point', 'collected', 'quota', 'free', 'please' , 'responded', 'Collect', 'Point', '']</v>
      </c>
      <c r="D1538" s="3">
        <v>4.0</v>
      </c>
    </row>
    <row r="1539" ht="15.75" customHeight="1">
      <c r="A1539" s="1">
        <v>1537.0</v>
      </c>
      <c r="B1539" s="3" t="s">
        <v>1540</v>
      </c>
      <c r="C1539" s="3" t="str">
        <f>IFERROR(__xludf.DUMMYFUNCTION("GOOGLETRANSLATE(B1539,""id"",""en"")"),"['Hello', 'Comments',' Network ',' Developer ',' Telkomsel ',' Please ',' Network ',' Fix ',' Customer ',' Sympathy ',' Disappointed ',' Network ',' bad ',' area ',' network ',' smooth ',' please ',' fix ',' search ',' profit ',' satisfying ',' heart ',' "&amp;"customer ',' disappointed ',' please ' , 'Fix', 'obstacles', 'have', 'obstacles', 'network', 'people', ""]")</f>
        <v>['Hello', 'Comments',' Network ',' Developer ',' Telkomsel ',' Please ',' Network ',' Fix ',' Customer ',' Sympathy ',' Disappointed ',' Network ',' bad ',' area ',' network ',' smooth ',' please ',' fix ',' search ',' profit ',' satisfying ',' heart ',' customer ',' disappointed ',' please ' , 'Fix', 'obstacles', 'have', 'obstacles', 'network', 'people', "]</v>
      </c>
      <c r="D1539" s="3">
        <v>1.0</v>
      </c>
    </row>
    <row r="1540" ht="15.75" customHeight="1">
      <c r="A1540" s="1">
        <v>1538.0</v>
      </c>
      <c r="B1540" s="3" t="s">
        <v>1541</v>
      </c>
      <c r="C1540" s="3" t="str">
        <f>IFERROR(__xludf.DUMMYFUNCTION("GOOGLETRANSLATE(B1540,""id"",""en"")"),"['Severe', 'Bener', 'Network', 'Telkomsel', 'mentang', 'mentang', 'chasing', 'era', 'sophisticated', 'TEWL', 'CUSTOMER', 'loyal', ' Give ',' Signal ',' Kayak ',' Fart ',' Wind ',' Doang ',' HSPA ',' AJJ ',' GTH ',' Improved ',' Give ',' Securities', 'Seve"&amp;"re' , 'really', 'device', 'android', 'severe', 'hope', 'ajj', 'number', 'users',' cell ',' network ',' telecommunications', 'Indonesia', ' Tbk ',' bad ',' development ',' ']")</f>
        <v>['Severe', 'Bener', 'Network', 'Telkomsel', 'mentang', 'mentang', 'chasing', 'era', 'sophisticated', 'TEWL', 'CUSTOMER', 'loyal', ' Give ',' Signal ',' Kayak ',' Fart ',' Wind ',' Doang ',' HSPA ',' AJJ ',' GTH ',' Improved ',' Give ',' Securities', 'Severe' , 'really', 'device', 'android', 'severe', 'hope', 'ajj', 'number', 'users',' cell ',' network ',' telecommunications', 'Indonesia', ' Tbk ',' bad ',' development ',' ']</v>
      </c>
      <c r="D1540" s="3">
        <v>5.0</v>
      </c>
    </row>
    <row r="1541" ht="15.75" customHeight="1">
      <c r="A1541" s="1">
        <v>1539.0</v>
      </c>
      <c r="B1541" s="3" t="s">
        <v>1542</v>
      </c>
      <c r="C1541" s="3" t="str">
        <f>IFERROR(__xludf.DUMMYFUNCTION("GOOGLETRANSLATE(B1541,""id"",""en"")"),"['send', 'gift', 'choice', 'already', 'that's',' connection ',' stable ',' lemotttt ',' buy ',' package ',' expensive ',' slow ',' Change ',' jargon ',' ']")</f>
        <v>['send', 'gift', 'choice', 'already', 'that's',' connection ',' stable ',' lemotttt ',' buy ',' package ',' expensive ',' slow ',' Change ',' jargon ',' ']</v>
      </c>
      <c r="D1541" s="3">
        <v>1.0</v>
      </c>
    </row>
    <row r="1542" ht="15.75" customHeight="1">
      <c r="A1542" s="1">
        <v>1540.0</v>
      </c>
      <c r="B1542" s="3" t="s">
        <v>1543</v>
      </c>
      <c r="C1542" s="3" t="str">
        <f>IFERROR(__xludf.DUMMYFUNCTION("GOOGLETRANSLATE(B1542,""id"",""en"")"),"['Network', 'Telkom', 'Kutai', 'West', 'Disruption', 'Cable', 'Disconnect', 'get', 'Tebas',' get ',' sambar ',' lightning ',' Etc. ',' price ',' Kouta ',' expensive ',' quality ',' network ',' maximum ',' child ',' school ',' online ',' online ',' selling"&amp;" ',' online ' , 'Etc.', 'harm', '']")</f>
        <v>['Network', 'Telkom', 'Kutai', 'West', 'Disruption', 'Cable', 'Disconnect', 'get', 'Tebas',' get ',' sambar ',' lightning ',' Etc. ',' price ',' Kouta ',' expensive ',' quality ',' network ',' maximum ',' child ',' school ',' online ',' online ',' selling ',' online ' , 'Etc.', 'harm', '']</v>
      </c>
      <c r="D1542" s="3">
        <v>1.0</v>
      </c>
    </row>
    <row r="1543" ht="15.75" customHeight="1">
      <c r="A1543" s="1">
        <v>1541.0</v>
      </c>
      <c r="B1543" s="3" t="s">
        <v>1544</v>
      </c>
      <c r="C1543" s="3" t="str">
        <f>IFERROR(__xludf.DUMMYFUNCTION("GOOGLETRANSLATE(B1543,""id"",""en"")"),"['network', 'Telkomsel', 'ugly', 'bad', 'complaints',' application ',' run ',' smooth ',' should ',' influence ',' aspects', 'sales',' Sexitations', 'Costumer', 'Decreases',' ']")</f>
        <v>['network', 'Telkomsel', 'ugly', 'bad', 'complaints',' application ',' run ',' smooth ',' should ',' influence ',' aspects', 'sales',' Sexitations', 'Costumer', 'Decreases',' ']</v>
      </c>
      <c r="D1543" s="3">
        <v>1.0</v>
      </c>
    </row>
    <row r="1544" ht="15.75" customHeight="1">
      <c r="A1544" s="1">
        <v>1542.0</v>
      </c>
      <c r="B1544" s="3" t="s">
        <v>1545</v>
      </c>
      <c r="C1544" s="3" t="str">
        <f>IFERROR(__xludf.DUMMYFUNCTION("GOOGLETRANSLATE(B1544,""id"",""en"")"),"['Application', 'SIH', 'BERIK', 'BANGETTT', 'Saying', 'Update', 'UDH', 'Update', 'Enter', 'Picture', 'White', 'Doang', ' Abis', 'Abis',' Unistal ',' TRS ',' Install ',' Fixx ',' UDH ',' Useful ',' Gaisss', ""]")</f>
        <v>['Application', 'SIH', 'BERIK', 'BANGETTT', 'Saying', 'Update', 'UDH', 'Update', 'Enter', 'Picture', 'White', 'Doang', ' Abis', 'Abis',' Unistal ',' TRS ',' Install ',' Fixx ',' UDH ',' Useful ',' Gaisss', "]</v>
      </c>
      <c r="D1544" s="3">
        <v>1.0</v>
      </c>
    </row>
    <row r="1545" ht="15.75" customHeight="1">
      <c r="A1545" s="1">
        <v>1543.0</v>
      </c>
      <c r="B1545" s="3" t="s">
        <v>1546</v>
      </c>
      <c r="C1545" s="3" t="str">
        <f>IFERROR(__xludf.DUMMYFUNCTION("GOOGLETRANSLATE(B1545,""id"",""en"")"),"['Love', 'Bintang', 'Application', 'Error', 'Credit', 'Cut', 'Package', 'Data', 'Report', 'Until', 'skrg', 'Udh', ' active ',' surprised ',' really ',' pket ',' package ',' kepepet ',' dipakee ',' buy ',' expensive ',' active ',' also ',' how ',' Dongg ' "&amp;", 'really lazy', '']")</f>
        <v>['Love', 'Bintang', 'Application', 'Error', 'Credit', 'Cut', 'Package', 'Data', 'Report', 'Until', 'skrg', 'Udh', ' active ',' surprised ',' really ',' pket ',' package ',' kepepet ',' dipakee ',' buy ',' expensive ',' active ',' also ',' how ',' Dongg ' , 'really lazy', '']</v>
      </c>
      <c r="D1545" s="3">
        <v>1.0</v>
      </c>
    </row>
    <row r="1546" ht="15.75" customHeight="1">
      <c r="A1546" s="1">
        <v>1544.0</v>
      </c>
      <c r="B1546" s="3" t="s">
        <v>1547</v>
      </c>
      <c r="C1546" s="3" t="str">
        <f>IFERROR(__xludf.DUMMYFUNCTION("GOOGLETRANSLATE(B1546,""id"",""en"")"),"['How', 'good', 'access',' application ',' charged ',' data ',' quota ',' remaining ',' unlimited ',' application ',' need ',' load ',' content ',' as a result ',' shopping ',' Telkomsel ',' constrained ',' tasty ',' jga ',' hitch ',' wifi ',' neighbor ',"&amp;"' shopping ',' quota ',' Telkomsel ' , 'wkwkk']")</f>
        <v>['How', 'good', 'access',' application ',' charged ',' data ',' quota ',' remaining ',' unlimited ',' application ',' need ',' load ',' content ',' as a result ',' shopping ',' Telkomsel ',' constrained ',' tasty ',' jga ',' hitch ',' wifi ',' neighbor ',' shopping ',' quota ',' Telkomsel ' , 'wkwkk']</v>
      </c>
      <c r="D1546" s="3">
        <v>4.0</v>
      </c>
    </row>
    <row r="1547" ht="15.75" customHeight="1">
      <c r="A1547" s="1">
        <v>1545.0</v>
      </c>
      <c r="B1547" s="3" t="s">
        <v>1548</v>
      </c>
      <c r="C1547" s="3" t="str">
        <f>IFERROR(__xludf.DUMMYFUNCTION("GOOGLETRANSLATE(B1547,""id"",""en"")"),"['How', 'bad', 'Singal', 'network', 'Telkomsel', 'package', 'internet', 'expensive', 'DAK', 'according to', 'quality', 'replace', ' card', '']")</f>
        <v>['How', 'bad', 'Singal', 'network', 'Telkomsel', 'package', 'internet', 'expensive', 'DAK', 'according to', 'quality', 'replace', ' card', '']</v>
      </c>
      <c r="D1547" s="3">
        <v>1.0</v>
      </c>
    </row>
    <row r="1548" ht="15.75" customHeight="1">
      <c r="A1548" s="1">
        <v>1546.0</v>
      </c>
      <c r="B1548" s="3" t="s">
        <v>1549</v>
      </c>
      <c r="C1548" s="3" t="str">
        <f>IFERROR(__xludf.DUMMYFUNCTION("GOOGLETRANSLATE(B1548,""id"",""en"")"),"['Network', 'Telkomsel', 'Good', 'Kek', 'Gini', 'Change', 'card', 'sister', 'make', 'card', 'tri', 'good', ' The network is', 'Telkomsel', 'Please', 'repaired', '']")</f>
        <v>['Network', 'Telkomsel', 'Good', 'Kek', 'Gini', 'Change', 'card', 'sister', 'make', 'card', 'tri', 'good', ' The network is', 'Telkomsel', 'Please', 'repaired', '']</v>
      </c>
      <c r="D1548" s="3">
        <v>1.0</v>
      </c>
    </row>
    <row r="1549" ht="15.75" customHeight="1">
      <c r="A1549" s="1">
        <v>1547.0</v>
      </c>
      <c r="B1549" s="3" t="s">
        <v>1550</v>
      </c>
      <c r="C1549" s="3" t="str">
        <f>IFERROR(__xludf.DUMMYFUNCTION("GOOGLETRANSLATE(B1549,""id"",""en"")"),"['Please', 'Donk', 'Telkomsel', 'Transparent', 'Donk', 'Credit', 'Out', 'Data', 'Live', 'Karna', 'Paketan', 'Out', ' Credit ',' Cut ',' Run ',' Where ',' ']")</f>
        <v>['Please', 'Donk', 'Telkomsel', 'Transparent', 'Donk', 'Credit', 'Out', 'Data', 'Live', 'Karna', 'Paketan', 'Out', ' Credit ',' Cut ',' Run ',' Where ',' ']</v>
      </c>
      <c r="D1549" s="3">
        <v>1.0</v>
      </c>
    </row>
    <row r="1550" ht="15.75" customHeight="1">
      <c r="A1550" s="1">
        <v>1548.0</v>
      </c>
      <c r="B1550" s="3" t="s">
        <v>1551</v>
      </c>
      <c r="C1550" s="3" t="str">
        <f>IFERROR(__xludf.DUMMYFUNCTION("GOOGLETRANSLATE(B1550,""id"",""en"")"),"['Please', 'Telkomsel', 'Contact', 'Number', 'Drain', 'Credit', 'Have', 'Message', 'Contact', 'Enter', 'Blocking', 'Experience', ' Losses', 'Not bad', 'warn', 'rude', 'people', ""]")</f>
        <v>['Please', 'Telkomsel', 'Contact', 'Number', 'Drain', 'Credit', 'Have', 'Message', 'Contact', 'Enter', 'Blocking', 'Experience', ' Losses', 'Not bad', 'warn', 'rude', 'people', "]</v>
      </c>
      <c r="D1550" s="3">
        <v>1.0</v>
      </c>
    </row>
    <row r="1551" ht="15.75" customHeight="1">
      <c r="A1551" s="1">
        <v>1549.0</v>
      </c>
      <c r="B1551" s="3" t="s">
        <v>1552</v>
      </c>
      <c r="C1551" s="3" t="str">
        <f>IFERROR(__xludf.DUMMYFUNCTION("GOOGLETRANSLATE(B1551,""id"",""en"")"),"['Many', 'times',' complain ',' response ',' response ',' in the field ',' network ',' internet ',' signal ',' in place ',' experience ',' disorder ',' Telkomsel ',' fix it ']")</f>
        <v>['Many', 'times',' complain ',' response ',' response ',' in the field ',' network ',' internet ',' signal ',' in place ',' experience ',' disorder ',' Telkomsel ',' fix it ']</v>
      </c>
      <c r="D1551" s="3">
        <v>1.0</v>
      </c>
    </row>
    <row r="1552" ht="15.75" customHeight="1">
      <c r="A1552" s="1">
        <v>1550.0</v>
      </c>
      <c r="B1552" s="3" t="s">
        <v>1553</v>
      </c>
      <c r="C1552" s="3" t="str">
        <f>IFERROR(__xludf.DUMMYFUNCTION("GOOGLETRANSLATE(B1552,""id"",""en"")"),"['use', 'provider', 'oath', 'ugly', 'really', 'storm', 'rain', 'office', 'Telkomsel', 'destroyed', 'what', 'government', ' Nge ',' down ',' signal ',' heeeeeeee ',' tolil ']")</f>
        <v>['use', 'provider', 'oath', 'ugly', 'really', 'storm', 'rain', 'office', 'Telkomsel', 'destroyed', 'what', 'government', ' Nge ',' down ',' signal ',' heeeeeeee ',' tolil ']</v>
      </c>
      <c r="D1552" s="3">
        <v>1.0</v>
      </c>
    </row>
    <row r="1553" ht="15.75" customHeight="1">
      <c r="A1553" s="1">
        <v>1551.0</v>
      </c>
      <c r="B1553" s="3" t="s">
        <v>1554</v>
      </c>
      <c r="C1553" s="3" t="str">
        <f>IFERROR(__xludf.DUMMYFUNCTION("GOOGLETRANSLATE(B1553,""id"",""en"")"),"['Good', 'Game', 'Loading', 'Request', 'Time', 'Out', 'Rich', 'Provider', 'Next Next', 'Loading', 'Mulu', 'Difficult', ' the entry ',' sentence ',' phrase ',' lies', 'difficult', 'enter', 'application', 'game', 'request', 'time', 'out', 'price', 'expensiv"&amp;"e' , 'merely', 'reflect', 'quality']")</f>
        <v>['Good', 'Game', 'Loading', 'Request', 'Time', 'Out', 'Rich', 'Provider', 'Next Next', 'Loading', 'Mulu', 'Difficult', ' the entry ',' sentence ',' phrase ',' lies', 'difficult', 'enter', 'application', 'game', 'request', 'time', 'out', 'price', 'expensive' , 'merely', 'reflect', 'quality']</v>
      </c>
      <c r="D1553" s="3">
        <v>1.0</v>
      </c>
    </row>
    <row r="1554" ht="15.75" customHeight="1">
      <c r="A1554" s="1">
        <v>1552.0</v>
      </c>
      <c r="B1554" s="3" t="s">
        <v>1555</v>
      </c>
      <c r="C1554" s="3" t="str">
        <f>IFERROR(__xludf.DUMMYFUNCTION("GOOGLETRANSLATE(B1554,""id"",""en"")"),"['app', 'Telkomsel', 'apdet', 'missing', 'display', 'menu', 'app', 'play', 'stored', 'no', 'open', 'uninstall', ' Please, 'Help', 'Thank you', ""]")</f>
        <v>['app', 'Telkomsel', 'apdet', 'missing', 'display', 'menu', 'app', 'play', 'stored', 'no', 'open', 'uninstall', ' Please, 'Help', 'Thank you', "]</v>
      </c>
      <c r="D1554" s="3">
        <v>5.0</v>
      </c>
    </row>
    <row r="1555" ht="15.75" customHeight="1">
      <c r="A1555" s="1">
        <v>1553.0</v>
      </c>
      <c r="B1555" s="3" t="s">
        <v>1556</v>
      </c>
      <c r="C1555" s="3" t="str">
        <f>IFERROR(__xludf.DUMMYFUNCTION("GOOGLETRANSLATE(B1555,""id"",""en"")"),"['TELKOMSEL', 'Update', 'smooth', 'leeeeeeeeeeemoooooooooooooooooooooooooooooooooooooooooooooooooooooooooooooooooooooooooooooooooooooooooooooooooooooooooooooo', 'open', 'apk', 'slow', 'use', 'wifi', 'open', 'apk', ' Service ',' Telkomsel ',' slow ',' call"&amp;" ',' card ',' active ',' pulse ',' package ']")</f>
        <v>['TELKOMSEL', 'Update', 'smooth', 'leeeeeeeeeeemoooooooooooooooooooooooooooooooooooooooooooooooooooooooooooooooooooooooooooooooooooooooooooooooooooooooooooooo', 'open', 'apk', 'slow', 'use', 'wifi', 'open', 'apk', ' Service ',' Telkomsel ',' slow ',' call ',' card ',' active ',' pulse ',' package ']</v>
      </c>
      <c r="D1555" s="3">
        <v>1.0</v>
      </c>
    </row>
    <row r="1556" ht="15.75" customHeight="1">
      <c r="A1556" s="1">
        <v>1554.0</v>
      </c>
      <c r="B1556" s="3" t="s">
        <v>1557</v>
      </c>
      <c r="C1556" s="3" t="str">
        <f>IFERROR(__xludf.DUMMYFUNCTION("GOOGLETRANSLATE(B1556,""id"",""en"")"),"['price', 'expensive', 'signal', 'threat', 'cloudy', 'kayak', 'mode', 'plane', 'Surabaya', 'city', 'tower', 'signal', ' slow ',' region ',' remote ',' submit ',' complaint ',' change ',' ']")</f>
        <v>['price', 'expensive', 'signal', 'threat', 'cloudy', 'kayak', 'mode', 'plane', 'Surabaya', 'city', 'tower', 'signal', ' slow ',' region ',' remote ',' submit ',' complaint ',' change ',' ']</v>
      </c>
      <c r="D1556" s="3">
        <v>1.0</v>
      </c>
    </row>
    <row r="1557" ht="15.75" customHeight="1">
      <c r="A1557" s="1">
        <v>1555.0</v>
      </c>
      <c r="B1557" s="3" t="s">
        <v>1558</v>
      </c>
      <c r="C1557" s="3" t="str">
        <f>IFERROR(__xludf.DUMMYFUNCTION("GOOGLETRANSLATE(B1557,""id"",""en"")"),"['closed', 'duration', 'setting', 'application', 'closed', 'already', 'update', 'already', 'android', 'newest', 'sleep', 'buy', ' Paketan ',' failed ',' just ',' please ',' repaired ',' star ',' full ']")</f>
        <v>['closed', 'duration', 'setting', 'application', 'closed', 'already', 'update', 'already', 'android', 'newest', 'sleep', 'buy', ' Paketan ',' failed ',' just ',' please ',' repaired ',' star ',' full ']</v>
      </c>
      <c r="D1557" s="3">
        <v>1.0</v>
      </c>
    </row>
    <row r="1558" ht="15.75" customHeight="1">
      <c r="A1558" s="1">
        <v>1556.0</v>
      </c>
      <c r="B1558" s="3" t="s">
        <v>1559</v>
      </c>
      <c r="C1558" s="3" t="str">
        <f>IFERROR(__xludf.DUMMYFUNCTION("GOOGLETRANSLATE(B1558,""id"",""en"")"),"['Please', 'Telkomsel', 'Network', 'Batang', 'Region', 'Bangka', 'City', 'Pangkal', 'Pinang', 'Rain', 'Okay', 'Weather', ' Normal ',' a day ',' play ',' games', 'smooth', 'cook', 'ping', 'ngestalk', 'mulu', 'salespeople', 'salespeople', 'sleep', 'cook' , "&amp;"'Happy', 'Telkomsel']")</f>
        <v>['Please', 'Telkomsel', 'Network', 'Batang', 'Region', 'Bangka', 'City', 'Pangkal', 'Pinang', 'Rain', 'Okay', 'Weather', ' Normal ',' a day ',' play ',' games', 'smooth', 'cook', 'ping', 'ngestalk', 'mulu', 'salespeople', 'salespeople', 'sleep', 'cook' , 'Happy', 'Telkomsel']</v>
      </c>
      <c r="D1558" s="3">
        <v>1.0</v>
      </c>
    </row>
    <row r="1559" ht="15.75" customHeight="1">
      <c r="A1559" s="1">
        <v>1557.0</v>
      </c>
      <c r="B1559" s="3" t="s">
        <v>1560</v>
      </c>
      <c r="C1559" s="3" t="str">
        <f>IFERROR(__xludf.DUMMYFUNCTION("GOOGLETRANSLATE(B1559,""id"",""en"")"),"['Please', 'Fix', 'Application', 'Buy', 'Paketan', 'A Week', 'Rb', 'Remnant', 'Credit', 'Rb', 'Tetep', 'Credit', ' Cave ',' Sumpot ',' Cave ',' Paketan ',' A Week ',' ']")</f>
        <v>['Please', 'Fix', 'Application', 'Buy', 'Paketan', 'A Week', 'Rb', 'Remnant', 'Credit', 'Rb', 'Tetep', 'Credit', ' Cave ',' Sumpot ',' Cave ',' Paketan ',' A Week ',' ']</v>
      </c>
      <c r="D1559" s="3">
        <v>1.0</v>
      </c>
    </row>
    <row r="1560" ht="15.75" customHeight="1">
      <c r="A1560" s="1">
        <v>1558.0</v>
      </c>
      <c r="B1560" s="3" t="s">
        <v>1561</v>
      </c>
      <c r="C1560" s="3" t="str">
        <f>IFERROR(__xludf.DUMMYFUNCTION("GOOGLETRANSLATE(B1560,""id"",""en"")"),"['signal', 'in the area', 'reduced', 'signal', 'play', 'game', 'online', 'ngelag', 'please', 'Telkomsel', 'repaired', 'quality', ' signal ',' dear ',' kouta ',' bought ',' expensive ',' enjoyed ',' thanks']")</f>
        <v>['signal', 'in the area', 'reduced', 'signal', 'play', 'game', 'online', 'ngelag', 'please', 'Telkomsel', 'repaired', 'quality', ' signal ',' dear ',' kouta ',' bought ',' expensive ',' enjoyed ',' thanks']</v>
      </c>
      <c r="D1560" s="3">
        <v>1.0</v>
      </c>
    </row>
    <row r="1561" ht="15.75" customHeight="1">
      <c r="A1561" s="1">
        <v>1559.0</v>
      </c>
      <c r="B1561" s="3" t="s">
        <v>1562</v>
      </c>
      <c r="C1561" s="3" t="str">
        <f>IFERROR(__xludf.DUMMYFUNCTION("GOOGLETRANSLATE(B1561,""id"",""en"")"),"['Sorry', 'Lower', 'Star', 'Please', 'Service', 'Card', 'Hello', 'Equipped', 'Description', 'Details',' Use ',' Purchase ',' dsb ',' written ',' usage ',' domestic ',' package ',' please ',' send ',' notification ',' deactive ',' notification ',' activati"&amp;"on ',' confusing ',' ']")</f>
        <v>['Sorry', 'Lower', 'Star', 'Please', 'Service', 'Card', 'Hello', 'Equipped', 'Description', 'Details',' Use ',' Purchase ',' dsb ',' written ',' usage ',' domestic ',' package ',' please ',' send ',' notification ',' deactive ',' notification ',' activation ',' confusing ',' ']</v>
      </c>
      <c r="D1561" s="3">
        <v>3.0</v>
      </c>
    </row>
    <row r="1562" ht="15.75" customHeight="1">
      <c r="A1562" s="1">
        <v>1560.0</v>
      </c>
      <c r="B1562" s="3" t="s">
        <v>1563</v>
      </c>
      <c r="C1562" s="3" t="str">
        <f>IFERROR(__xludf.DUMMYFUNCTION("GOOGLETRANSLATE(B1562,""id"",""en"")"),"['Try', 'please', 'fix', 'tower', 'tower', 'die', 'lights',' dead ',' total ',' signal ',' udh ',' udh ',' Modern ',' Tower ',' Power ',' PLN ',' ']")</f>
        <v>['Try', 'please', 'fix', 'tower', 'tower', 'die', 'lights',' dead ',' total ',' signal ',' udh ',' udh ',' Modern ',' Tower ',' Power ',' PLN ',' ']</v>
      </c>
      <c r="D1562" s="3">
        <v>2.0</v>
      </c>
    </row>
    <row r="1563" ht="15.75" customHeight="1">
      <c r="A1563" s="1">
        <v>1561.0</v>
      </c>
      <c r="B1563" s="3" t="s">
        <v>1564</v>
      </c>
      <c r="C1563" s="3" t="str">
        <f>IFERROR(__xludf.DUMMYFUNCTION("GOOGLETRANSLATE(B1563,""id"",""en"")"),"['Application', 'Stlah', 'Update', 'Bug', 'Buy', 'Package', 'Data', 'Nongol', 'Product', 'Biling', 'Nongol', 'already', ' Contact ',' according to the info ',' restart ',' update ',' version ',' latest ',' logout ',' clear ',' cache ',' clear ',' data ','"&amp;" force ' , 'Stop', 'application', 'already', 'dilten', 'slamming', 'not', 'install', 'reset', 'he knows',' sophisticated ',' dongok ',' his application ',' Try ', the' solution ',' told ',' Clear ',' Chace ',' Force ',' Stop ',' App ',' Chat ',' Teleg ', "&amp;"""]")</f>
        <v>['Application', 'Stlah', 'Update', 'Bug', 'Buy', 'Package', 'Data', 'Nongol', 'Product', 'Biling', 'Nongol', 'already', ' Contact ',' according to the info ',' restart ',' update ',' version ',' latest ',' logout ',' clear ',' cache ',' clear ',' data ',' force ' , 'Stop', 'application', 'already', 'dilten', 'slamming', 'not', 'install', 'reset', 'he knows',' sophisticated ',' dongok ',' his application ',' Try ', the' solution ',' told ',' Clear ',' Chace ',' Force ',' Stop ',' App ',' Chat ',' Teleg ', "]</v>
      </c>
      <c r="D1563" s="3">
        <v>1.0</v>
      </c>
    </row>
    <row r="1564" ht="15.75" customHeight="1">
      <c r="A1564" s="1">
        <v>1562.0</v>
      </c>
      <c r="B1564" s="3" t="s">
        <v>1565</v>
      </c>
      <c r="C1564" s="3" t="str">
        <f>IFERROR(__xludf.DUMMYFUNCTION("GOOGLETRANSLATE(B1564,""id"",""en"")"),"['APK', 'Ngen', 'Buy', 'Package', 'Process', 'Konto']")</f>
        <v>['APK', 'Ngen', 'Buy', 'Package', 'Process', 'Konto']</v>
      </c>
      <c r="D1564" s="3">
        <v>1.0</v>
      </c>
    </row>
    <row r="1565" ht="15.75" customHeight="1">
      <c r="A1565" s="1">
        <v>1563.0</v>
      </c>
      <c r="B1565" s="3" t="s">
        <v>1566</v>
      </c>
      <c r="C1565" s="3" t="str">
        <f>IFERROR(__xludf.DUMMYFUNCTION("GOOGLETRANSLATE(B1565,""id"",""en"")"),"['really', 'disappointing', 'service', 'stop', 'advertising', 'pop', 'popscreen', 'popads', 'report', 'reduced', 'increase', 'sometimes' Deliberately ',' squashed ',' drained ',' pulse ',' run out ',' really ',' disappointing ',' please ',' lawyer ',' hel"&amp;"p ',' tukkan ']")</f>
        <v>['really', 'disappointing', 'service', 'stop', 'advertising', 'pop', 'popscreen', 'popads', 'report', 'reduced', 'increase', 'sometimes' Deliberately ',' squashed ',' drained ',' pulse ',' run out ',' really ',' disappointing ',' please ',' lawyer ',' help ',' tukkan ']</v>
      </c>
      <c r="D1565" s="3">
        <v>1.0</v>
      </c>
    </row>
    <row r="1566" ht="15.75" customHeight="1">
      <c r="A1566" s="1">
        <v>1564.0</v>
      </c>
      <c r="B1566" s="3" t="s">
        <v>1567</v>
      </c>
      <c r="C1566" s="3" t="str">
        <f>IFERROR(__xludf.DUMMYFUNCTION("GOOGLETRANSLATE(B1566,""id"",""en"")"),"['update', 'Telkomsel', 'menu', 'shopping', 'report', 'report', 'AGK', 'Follow', 'instructions',' please ',' Telkomsel ',' experience ',' ']")</f>
        <v>['update', 'Telkomsel', 'menu', 'shopping', 'report', 'report', 'AGK', 'Follow', 'instructions',' please ',' Telkomsel ',' experience ',' ']</v>
      </c>
      <c r="D1566" s="3">
        <v>1.0</v>
      </c>
    </row>
    <row r="1567" ht="15.75" customHeight="1">
      <c r="A1567" s="1">
        <v>1565.0</v>
      </c>
      <c r="B1567" s="3" t="s">
        <v>1568</v>
      </c>
      <c r="C1567" s="3" t="str">
        <f>IFERROR(__xludf.DUMMYFUNCTION("GOOGLETRANSLATE(B1567,""id"",""en"")"),"['Signal', 'Telkomsel', 'Threat', 'Ajaaaaaa', 'Heraaaaaan', 'Kuita', 'Package', 'already', 'according to', 'play', 'pub', 'a little', ' Reconnect ',' Disappointed ',' Tlkomsel ',' Skarang ',' Different ',' Th ',' Soon ',' Slalu ',' Stable ',' Skarang ',' "&amp;"Ancuuuuuuurrrrrrrr ',' Kek ',' Gini ' , 'Kek', 'move', 'propider', 'next door', '']")</f>
        <v>['Signal', 'Telkomsel', 'Threat', 'Ajaaaaaa', 'Heraaaaaan', 'Kuita', 'Package', 'already', 'according to', 'play', 'pub', 'a little', ' Reconnect ',' Disappointed ',' Tlkomsel ',' Skarang ',' Different ',' Th ',' Soon ',' Slalu ',' Stable ',' Skarang ',' Ancuuuuuuurrrrrrrr ',' Kek ',' Gini ' , 'Kek', 'move', 'propider', 'next door', '']</v>
      </c>
      <c r="D1567" s="3">
        <v>1.0</v>
      </c>
    </row>
    <row r="1568" ht="15.75" customHeight="1">
      <c r="A1568" s="1">
        <v>1566.0</v>
      </c>
      <c r="B1568" s="3" t="s">
        <v>1569</v>
      </c>
      <c r="C1568" s="3" t="str">
        <f>IFERROR(__xludf.DUMMYFUNCTION("GOOGLETRANSLATE(B1568,""id"",""en"")"),"['business',' selling ',' pulse ',' at home ',' shopping ',' voucher ',' data ',' TDC ',' told ',' Download ',' Digipos', 'Top', ' Digypos', 'Shop', 'Kesanny', 'Coercion', 'Forced', 'Makai', 'Application', 'Nambah', 'Capital', 'Program', 'Telkomsel', 'Sup"&amp;"port', 'MSME' , 'slogan', 'it seems', ""]")</f>
        <v>['business',' selling ',' pulse ',' at home ',' shopping ',' voucher ',' data ',' TDC ',' told ',' Download ',' Digipos', 'Top', ' Digypos', 'Shop', 'Kesanny', 'Coercion', 'Forced', 'Makai', 'Application', 'Nambah', 'Capital', 'Program', 'Telkomsel', 'Support', 'MSME' , 'slogan', 'it seems', "]</v>
      </c>
      <c r="D1568" s="3">
        <v>1.0</v>
      </c>
    </row>
    <row r="1569" ht="15.75" customHeight="1">
      <c r="A1569" s="1">
        <v>1567.0</v>
      </c>
      <c r="B1569" s="3" t="s">
        <v>1570</v>
      </c>
      <c r="C1569" s="3" t="str">
        <f>IFERROR(__xludf.DUMMYFUNCTION("GOOGLETRANSLATE(B1569,""id"",""en"")"),"['Please', 'Looked', 'Kalu', 'Quota', 'Out', 'Stop', 'Stop', 'Continue', 'Credit', 'Regular', 'Kekeke', 'Out', ' Ryesel ',' Thank you ',' Telkomsel ',' ugly ',' difficult ',' access']")</f>
        <v>['Please', 'Looked', 'Kalu', 'Quota', 'Out', 'Stop', 'Stop', 'Continue', 'Credit', 'Regular', 'Kekeke', 'Out', ' Ryesel ',' Thank you ',' Telkomsel ',' ugly ',' difficult ',' access']</v>
      </c>
      <c r="D1569" s="3">
        <v>3.0</v>
      </c>
    </row>
    <row r="1570" ht="15.75" customHeight="1">
      <c r="A1570" s="1">
        <v>1568.0</v>
      </c>
      <c r="B1570" s="3" t="s">
        <v>1571</v>
      </c>
      <c r="C1570" s="3" t="str">
        <f>IFERROR(__xludf.DUMMYFUNCTION("GOOGLETRANSLATE(B1570,""id"",""en"")"),"['oii', 'signal', 'nyampe', 'kb', 'how', 'sinyall', 'nyaaa', 'lgi', 'disorder', 'love', 'stupid', 'Jan', ' Square ',' customers', 'UDH', 'expensive', 'ksh', 'info', 'dlu', 'work', 'bnr', 'donk', 'brain', 'play', 'game' , 'comfortable', 'GNI', 'GNTI', 'car"&amp;"d', 'dahhh']")</f>
        <v>['oii', 'signal', 'nyampe', 'kb', 'how', 'sinyall', 'nyaaa', 'lgi', 'disorder', 'love', 'stupid', 'Jan', ' Square ',' customers', 'UDH', 'expensive', 'ksh', 'info', 'dlu', 'work', 'bnr', 'donk', 'brain', 'play', 'game' , 'comfortable', 'GNI', 'GNTI', 'card', 'dahhh']</v>
      </c>
      <c r="D1570" s="3">
        <v>5.0</v>
      </c>
    </row>
    <row r="1571" ht="15.75" customHeight="1">
      <c r="A1571" s="1">
        <v>1569.0</v>
      </c>
      <c r="B1571" s="3" t="s">
        <v>1572</v>
      </c>
      <c r="C1571" s="3" t="str">
        <f>IFERROR(__xludf.DUMMYFUNCTION("GOOGLETRANSLATE(B1571,""id"",""en"")"),"['Suggestion', 'Sis',' Hope ',' Listen ',' Reply ',' Suggestions', 'Addin', 'Features',' Key ',' Credit ',' Quota ',' Main ',' run out ',' pulses', 'scorched', 'data', 'ajah', 'suggestion', 'change', 'pulse', 'take-up', 'data', 'cellular', 'quota', 'main'"&amp;" , 'Out', 'Please', 'Listen', 'complaints', 'Kisah', '']")</f>
        <v>['Suggestion', 'Sis',' Hope ',' Listen ',' Reply ',' Suggestions', 'Addin', 'Features',' Key ',' Credit ',' Quota ',' Main ',' run out ',' pulses', 'scorched', 'data', 'ajah', 'suggestion', 'change', 'pulse', 'take-up', 'data', 'cellular', 'quota', 'main' , 'Out', 'Please', 'Listen', 'complaints', 'Kisah', '']</v>
      </c>
      <c r="D1571" s="3">
        <v>3.0</v>
      </c>
    </row>
    <row r="1572" ht="15.75" customHeight="1">
      <c r="A1572" s="1">
        <v>1570.0</v>
      </c>
      <c r="B1572" s="3" t="s">
        <v>1573</v>
      </c>
      <c r="C1572" s="3" t="str">
        <f>IFERROR(__xludf.DUMMYFUNCTION("GOOGLETRANSLATE(B1572,""id"",""en"")"),"['Nidak', 'good', 'broken', 'already', 'rates',' expensive ',' quality ',' NOT ',' Keep ',' Damaged ',' disappointing ',' application ',' Opened ',' Direct ',' Force ',' Close ',' Network ',' Disconnected ',' Application ',' System ',' Direct ',' Error ',"&amp;"' PKOK ',' Tsel ',' Bad ' , '']")</f>
        <v>['Nidak', 'good', 'broken', 'already', 'rates',' expensive ',' quality ',' NOT ',' Keep ',' Damaged ',' disappointing ',' application ',' Opened ',' Direct ',' Force ',' Close ',' Network ',' Disconnected ',' Application ',' System ',' Direct ',' Error ',' PKOK ',' Tsel ',' Bad ' , '']</v>
      </c>
      <c r="D1572" s="3">
        <v>1.0</v>
      </c>
    </row>
    <row r="1573" ht="15.75" customHeight="1">
      <c r="A1573" s="1">
        <v>1571.0</v>
      </c>
      <c r="B1573" s="3" t="s">
        <v>1574</v>
      </c>
      <c r="C1573" s="3" t="str">
        <f>IFERROR(__xludf.DUMMYFUNCTION("GOOGLETRANSLATE(B1573,""id"",""en"")"),"['Customer', 'Card', 'Hello', 'Kekewe', 'Service', 'Complaints',' Customers', 'Call', 'Center', 'Tickets',' Complaints', 'SDAH', ' awaited ',' clock ',' solution ',' told ',' waiting ',' clock ',' reasons', 'ticket', 'complaint', 'close', 'close', 'told',"&amp;" 'waiting' , 'hours', 'Min', 'Taon', 'waiting', '']")</f>
        <v>['Customer', 'Card', 'Hello', 'Kekewe', 'Service', 'Complaints',' Customers', 'Call', 'Center', 'Tickets',' Complaints', 'SDAH', ' awaited ',' clock ',' solution ',' told ',' waiting ',' clock ',' reasons', 'ticket', 'complaint', 'close', 'close', 'told', 'waiting' , 'hours', 'Min', 'Taon', 'waiting', '']</v>
      </c>
      <c r="D1573" s="3">
        <v>1.0</v>
      </c>
    </row>
    <row r="1574" ht="15.75" customHeight="1">
      <c r="A1574" s="1">
        <v>1572.0</v>
      </c>
      <c r="B1574" s="3" t="s">
        <v>1575</v>
      </c>
      <c r="C1574" s="3" t="str">
        <f>IFERROR(__xludf.DUMMYFUNCTION("GOOGLETRANSLATE(B1574,""id"",""en"")"),"['Min', 'Login', 'FAILUR', 'SOMETHING', 'WENT', 'WRONG', 'Please', 'Try', 'Again', 'After', 'sometime', ' network ',' Sya ',' good ',' Please ',' response ',' Min ', ""]")</f>
        <v>['Min', 'Login', 'FAILUR', 'SOMETHING', 'WENT', 'WRONG', 'Please', 'Try', 'Again', 'After', 'sometime', ' network ',' Sya ',' good ',' Please ',' response ',' Min ', "]</v>
      </c>
      <c r="D1574" s="3">
        <v>3.0</v>
      </c>
    </row>
    <row r="1575" ht="15.75" customHeight="1">
      <c r="A1575" s="1">
        <v>1573.0</v>
      </c>
      <c r="B1575" s="3" t="s">
        <v>1576</v>
      </c>
      <c r="C1575" s="3" t="str">
        <f>IFERROR(__xludf.DUMMYFUNCTION("GOOGLETRANSLATE(B1575,""id"",""en"")"),"['Sya', 'disappointed', 'high school', 'apk', 'Telkomsel', 'pulse', 'already', 'promo', 'suprise', 'deal', 'right', 'sya', ' buy ',' ehh ',' confirm ',' dri ',' telkomsel ',' right ',' sya ',' buy ',' direct ',' cut ',' pulse ',' sya ',' sya ' , 'buy', 'l"&amp;"gi', 'suprise', 'deal', 'sruh', 'buy', 'pulse', 'disappointed', 'sya']")</f>
        <v>['Sya', 'disappointed', 'high school', 'apk', 'Telkomsel', 'pulse', 'already', 'promo', 'suprise', 'deal', 'right', 'sya', ' buy ',' ehh ',' confirm ',' dri ',' telkomsel ',' right ',' sya ',' buy ',' direct ',' cut ',' pulse ',' sya ',' sya ' , 'buy', 'lgi', 'suprise', 'deal', 'sruh', 'buy', 'pulse', 'disappointed', 'sya']</v>
      </c>
      <c r="D1575" s="3">
        <v>2.0</v>
      </c>
    </row>
    <row r="1576" ht="15.75" customHeight="1">
      <c r="A1576" s="1">
        <v>1574.0</v>
      </c>
      <c r="B1576" s="3" t="s">
        <v>1577</v>
      </c>
      <c r="C1576" s="3" t="str">
        <f>IFERROR(__xludf.DUMMYFUNCTION("GOOGLETRANSLATE(B1576,""id"",""en"")"),"['', 'KONLOLLL', 'Balikin', 'balance', 'Telkomsel', 'cave', 'buy', 'a day', 'direct', 'abis',' balance ',' destroyed ',' application ',' MADE ',' KONLOLL ',' ']")</f>
        <v>['', 'KONLOLLL', 'Balikin', 'balance', 'Telkomsel', 'cave', 'buy', 'a day', 'direct', 'abis',' balance ',' destroyed ',' application ',' MADE ',' KONLOLL ',' ']</v>
      </c>
      <c r="D1576" s="3">
        <v>1.0</v>
      </c>
    </row>
    <row r="1577" ht="15.75" customHeight="1">
      <c r="A1577" s="1">
        <v>1575.0</v>
      </c>
      <c r="B1577" s="3" t="s">
        <v>1578</v>
      </c>
      <c r="C1577" s="3" t="str">
        <f>IFERROR(__xludf.DUMMYFUNCTION("GOOGLETRANSLATE(B1577,""id"",""en"")"),"['Update', 'Application', 'Error', 'Claim', 'Dily', 'Check', 'Claim', 'Error', 'Package', 'Special', 'User', 'Already', ' signal ',' stable ',' Telkomsel ',' comfortable ']")</f>
        <v>['Update', 'Application', 'Error', 'Claim', 'Dily', 'Check', 'Claim', 'Error', 'Package', 'Special', 'User', 'Already', ' signal ',' stable ',' Telkomsel ',' comfortable ']</v>
      </c>
      <c r="D1577" s="3">
        <v>2.0</v>
      </c>
    </row>
    <row r="1578" ht="15.75" customHeight="1">
      <c r="A1578" s="1">
        <v>1576.0</v>
      </c>
      <c r="B1578" s="3" t="s">
        <v>1579</v>
      </c>
      <c r="C1578" s="3" t="str">
        <f>IFERROR(__xludf.DUMMYFUNCTION("GOOGLETRANSLATE(B1578,""id"",""en"")"),"['Telkomsel', 'skrg', 'ugly', 'sorry', 'star', 'collapse', 'signal', 'slow', 'cloud', 'rain', 'card', 'Hello', ' Pay ',' expensive ',' priority ',' ']")</f>
        <v>['Telkomsel', 'skrg', 'ugly', 'sorry', 'star', 'collapse', 'signal', 'slow', 'cloud', 'rain', 'card', 'Hello', ' Pay ',' expensive ',' priority ',' ']</v>
      </c>
      <c r="D1578" s="3">
        <v>2.0</v>
      </c>
    </row>
    <row r="1579" ht="15.75" customHeight="1">
      <c r="A1579" s="1">
        <v>1577.0</v>
      </c>
      <c r="B1579" s="3" t="s">
        <v>1580</v>
      </c>
      <c r="C1579" s="3" t="str">
        <f>IFERROR(__xludf.DUMMYFUNCTION("GOOGLETRANSLATE(B1579,""id"",""en"")"),"['Hello', 'Telkomsel', 'Activation', 'Package', 'Data', 'Contact', 'Live', 'Agent', 'Facebook', 'Waiting', 'Haru']")</f>
        <v>['Hello', 'Telkomsel', 'Activation', 'Package', 'Data', 'Contact', 'Live', 'Agent', 'Facebook', 'Waiting', 'Haru']</v>
      </c>
      <c r="D1579" s="3">
        <v>3.0</v>
      </c>
    </row>
    <row r="1580" ht="15.75" customHeight="1">
      <c r="A1580" s="1">
        <v>1578.0</v>
      </c>
      <c r="B1580" s="3" t="s">
        <v>1581</v>
      </c>
      <c r="C1580" s="3" t="str">
        <f>IFERROR(__xludf.DUMMYFUNCTION("GOOGLETRANSLATE(B1580,""id"",""en"")"),"['gabisa', 'buy', 'quota', 'promo', 'request', 'processed', 'correct', 'it's appropriate', 'emang', 'package', 'promo', 'problematic', ' Telkomsel ',' the network ',' ugly ',' mending ',' cave ',' moved ',' Telkomsel ',' yak ',' apan ',' price ',' expensi"&amp;"ve ',' the network ',' rich ' , 'That's']")</f>
        <v>['gabisa', 'buy', 'quota', 'promo', 'request', 'processed', 'correct', 'it's appropriate', 'emang', 'package', 'promo', 'problematic', ' Telkomsel ',' the network ',' ugly ',' mending ',' cave ',' moved ',' Telkomsel ',' yak ',' apan ',' price ',' expensive ',' the network ',' rich ' , 'That's']</v>
      </c>
      <c r="D1580" s="3">
        <v>1.0</v>
      </c>
    </row>
    <row r="1581" ht="15.75" customHeight="1">
      <c r="A1581" s="1">
        <v>1579.0</v>
      </c>
      <c r="B1581" s="3" t="s">
        <v>1582</v>
      </c>
      <c r="C1581" s="3" t="str">
        <f>IFERROR(__xludf.DUMMYFUNCTION("GOOGLETRANSLATE(B1581,""id"",""en"")"),"['Telkomsel', 'buy', 'credit', 'RbU', 'no', 'entry', 'udh', 'get', 'notif', 'charging', 'pulse', 'pulse', ' Tetep ',' RbU ',' RbU ',' buy ',' RbU ',' RbU ',' buy ',' package ',' price ',' Rbu ',' pulse ',' Rbu ',' Notif ' , 'Adequate', 'Bae', 'Telkomsel',"&amp;" 'go up', 'quality', 'come on', 'here', 'down', 'quality', 'good', 'yaa', 'quality', ' Times', 'Doang', 'Disaster', 'Telkomsel', '']")</f>
        <v>['Telkomsel', 'buy', 'credit', 'RbU', 'no', 'entry', 'udh', 'get', 'notif', 'charging', 'pulse', 'pulse', ' Tetep ',' RbU ',' RbU ',' buy ',' RbU ',' RbU ',' buy ',' package ',' price ',' Rbu ',' pulse ',' Rbu ',' Notif ' , 'Adequate', 'Bae', 'Telkomsel', 'go up', 'quality', 'come on', 'here', 'down', 'quality', 'good', 'yaa', 'quality', ' Times', 'Doang', 'Disaster', 'Telkomsel', '']</v>
      </c>
      <c r="D1581" s="3">
        <v>1.0</v>
      </c>
    </row>
    <row r="1582" ht="15.75" customHeight="1">
      <c r="A1582" s="1">
        <v>1580.0</v>
      </c>
      <c r="B1582" s="3" t="s">
        <v>1583</v>
      </c>
      <c r="C1582" s="3" t="str">
        <f>IFERROR(__xludf.DUMMYFUNCTION("GOOGLETRANSLATE(B1582,""id"",""en"")"),"['times',' turn ',' data ',' credit ',' directly ',' absorbed ',' run out ',' second ',' buy ',' package ',' special ',' promo ',' disruption ',' hope ',' hurt ',' continue ',' Telkomsel ']")</f>
        <v>['times',' turn ',' data ',' credit ',' directly ',' absorbed ',' run out ',' second ',' buy ',' package ',' special ',' promo ',' disruption ',' hope ',' hurt ',' continue ',' Telkomsel ']</v>
      </c>
      <c r="D1582" s="3">
        <v>2.0</v>
      </c>
    </row>
    <row r="1583" ht="15.75" customHeight="1">
      <c r="A1583" s="1">
        <v>1581.0</v>
      </c>
      <c r="B1583" s="3" t="s">
        <v>1584</v>
      </c>
      <c r="C1583" s="3" t="str">
        <f>IFERROR(__xludf.DUMMYFUNCTION("GOOGLETRANSLATE(B1583,""id"",""en"")"),"['Ancor', 'Sinyal', 'Doang', 'Ntar', 'Sinyal', 'ilang', 'Sampe', 'Sunday', 'Tetep', 'ilang', 'intention', 'ngeladenin', ' Males', 'Ngelintanin', 'Disappointed', 'Telkomsel', 'Different', 'Defense', 'Disappointed', 'Telkomsel']")</f>
        <v>['Ancor', 'Sinyal', 'Doang', 'Ntar', 'Sinyal', 'ilang', 'Sampe', 'Sunday', 'Tetep', 'ilang', 'intention', 'ngeladenin', ' Males', 'Ngelintanin', 'Disappointed', 'Telkomsel', 'Different', 'Defense', 'Disappointed', 'Telkomsel']</v>
      </c>
      <c r="D1583" s="3">
        <v>1.0</v>
      </c>
    </row>
    <row r="1584" ht="15.75" customHeight="1">
      <c r="A1584" s="1">
        <v>1582.0</v>
      </c>
      <c r="B1584" s="3" t="s">
        <v>1585</v>
      </c>
      <c r="C1584" s="3" t="str">
        <f>IFERROR(__xludf.DUMMYFUNCTION("GOOGLETRANSLATE(B1584,""id"",""en"")"),"['card', 'Sultan', 'quota', 'expensive', 'signal', 'network', 'difficult', 'disappointed', 'really', 'kalok', 'already', 'rich', ' Such is', 'fell', 'weve', 'Merdeka', 'garbage', '']")</f>
        <v>['card', 'Sultan', 'quota', 'expensive', 'signal', 'network', 'difficult', 'disappointed', 'really', 'kalok', 'already', 'rich', ' Such is', 'fell', 'weve', 'Merdeka', 'garbage', '']</v>
      </c>
      <c r="D1584" s="3">
        <v>1.0</v>
      </c>
    </row>
    <row r="1585" ht="15.75" customHeight="1">
      <c r="A1585" s="1">
        <v>1583.0</v>
      </c>
      <c r="B1585" s="3" t="s">
        <v>1586</v>
      </c>
      <c r="C1585" s="3" t="str">
        <f>IFERROR(__xludf.DUMMYFUNCTION("GOOGLETRANSLATE(B1585,""id"",""en"")"),"['already', 'go bankrupt', 'how', 'cook', 'network', 'deteriorate', 'see', 'see', 'lose', 'network', 'Next', 'forgiveness',' network ',' Telkomsel ']")</f>
        <v>['already', 'go bankrupt', 'how', 'cook', 'network', 'deteriorate', 'see', 'see', 'lose', 'network', 'Next', 'forgiveness',' network ',' Telkomsel ']</v>
      </c>
      <c r="D1585" s="3">
        <v>1.0</v>
      </c>
    </row>
    <row r="1586" ht="15.75" customHeight="1">
      <c r="A1586" s="1">
        <v>1584.0</v>
      </c>
      <c r="B1586" s="3" t="s">
        <v>1587</v>
      </c>
      <c r="C1586" s="3" t="str">
        <f>IFERROR(__xludf.DUMMYFUNCTION("GOOGLETRANSLATE(B1586,""id"",""en"")"),"['application', 'bad', 'buy', 'quota', 'apply', 'buy', 'date', 'April', 'Date', 'April', 'fraud', 'his name', ' ']")</f>
        <v>['application', 'bad', 'buy', 'quota', 'apply', 'buy', 'date', 'April', 'Date', 'April', 'fraud', 'his name', ' ']</v>
      </c>
      <c r="D1586" s="3">
        <v>1.0</v>
      </c>
    </row>
    <row r="1587" ht="15.75" customHeight="1">
      <c r="A1587" s="1">
        <v>1585.0</v>
      </c>
      <c r="B1587" s="3" t="s">
        <v>1588</v>
      </c>
      <c r="C1587" s="3" t="str">
        <f>IFERROR(__xludf.DUMMYFUNCTION("GOOGLETRANSLATE(B1587,""id"",""en"")"),"['Telkomsel', 'severe', 'signal', 'chat', 'threat', 'good', 'rich', 'dlu', 'already', 'send', 'email', 'Telkomsel', ' Action ',' Advanced ',' KKecewa ',' SMA ',' Telkomsel ', ""]")</f>
        <v>['Telkomsel', 'severe', 'signal', 'chat', 'threat', 'good', 'rich', 'dlu', 'already', 'send', 'email', 'Telkomsel', ' Action ',' Advanced ',' KKecewa ',' SMA ',' Telkomsel ', "]</v>
      </c>
      <c r="D1587" s="3">
        <v>1.0</v>
      </c>
    </row>
    <row r="1588" ht="15.75" customHeight="1">
      <c r="A1588" s="1">
        <v>1586.0</v>
      </c>
      <c r="B1588" s="3" t="s">
        <v>1589</v>
      </c>
      <c r="C1588" s="3" t="str">
        <f>IFERROR(__xludf.DUMMYFUNCTION("GOOGLETRANSLATE(B1588,""id"",""en"")"),"['Stop', 'card', 'Hello', 'prepaid', 'already', 'expensive', 'quota', 'little', 'nyampe', 'a month', 'already', 'Abis',' Mending ',' Change ',' Card ',' Guys', 'Card', 'Telkomsel', 'Benefit', 'Dapati']")</f>
        <v>['Stop', 'card', 'Hello', 'prepaid', 'already', 'expensive', 'quota', 'little', 'nyampe', 'a month', 'already', 'Abis',' Mending ',' Change ',' Card ',' Guys', 'Card', 'Telkomsel', 'Benefit', 'Dapati']</v>
      </c>
      <c r="D1588" s="3">
        <v>1.0</v>
      </c>
    </row>
    <row r="1589" ht="15.75" customHeight="1">
      <c r="A1589" s="1">
        <v>1587.0</v>
      </c>
      <c r="B1589" s="3" t="s">
        <v>1590</v>
      </c>
      <c r="C1589" s="3" t="str">
        <f>IFERROR(__xludf.DUMMYFUNCTION("GOOGLETRANSLATE(B1589,""id"",""en"")"),"['Telkomsel', 'have', 'Pilian', 'Package', 'Combo', 'Sakti', 'Friend', 'Choice', 'Package', 'Combo', 'Sakti', 'Influential', ' cards', 'please', 'conditioned', 'impression', 'fair', 'customer', 'facilities',' offered ',' dream ',' difference ',' customer "&amp;"',' card ',' broken ' , 'Nyempulung', 'water', 'automatic', 'ybs',' replace ',' card ',' Please ',' program ',' offer ',' Telkomsel ',' Different ',' distinguish ',' Min ',' treated ',' tolonh ']")</f>
        <v>['Telkomsel', 'have', 'Pilian', 'Package', 'Combo', 'Sakti', 'Friend', 'Choice', 'Package', 'Combo', 'Sakti', 'Influential', ' cards', 'please', 'conditioned', 'impression', 'fair', 'customer', 'facilities',' offered ',' dream ',' difference ',' customer ',' card ',' broken ' , 'Nyempulung', 'water', 'automatic', 'ybs',' replace ',' card ',' Please ',' program ',' offer ',' Telkomsel ',' Different ',' distinguish ',' Min ',' treated ',' tolonh ']</v>
      </c>
      <c r="D1589" s="3">
        <v>3.0</v>
      </c>
    </row>
    <row r="1590" ht="15.75" customHeight="1">
      <c r="A1590" s="1">
        <v>1588.0</v>
      </c>
      <c r="B1590" s="3" t="s">
        <v>1591</v>
      </c>
      <c r="C1590" s="3" t="str">
        <f>IFERROR(__xludf.DUMMYFUNCTION("GOOGLETRANSLATE(B1590,""id"",""en"")"),"['oath', 'disappointed', 'bnget', 'cave', 'buy', 'package', 'telkomsel', 'already', 'network', 'appears',' ilang ',' kek ',' Mntan ',' oath ',' severe ',' really ',' Telkomsel ',' pketan ',' expensive ',' TPI ',' network ',' stable ',' untk ',' internet '"&amp;"]")</f>
        <v>['oath', 'disappointed', 'bnget', 'cave', 'buy', 'package', 'telkomsel', 'already', 'network', 'appears',' ilang ',' kek ',' Mntan ',' oath ',' severe ',' really ',' Telkomsel ',' pketan ',' expensive ',' TPI ',' network ',' stable ',' untk ',' internet ']</v>
      </c>
      <c r="D1590" s="3">
        <v>2.0</v>
      </c>
    </row>
    <row r="1591" ht="15.75" customHeight="1">
      <c r="A1591" s="1">
        <v>1589.0</v>
      </c>
      <c r="B1591" s="3" t="s">
        <v>1592</v>
      </c>
      <c r="C1591" s="3" t="str">
        <f>IFERROR(__xludf.DUMMYFUNCTION("GOOGLETRANSLATE(B1591,""id"",""en"")"),"['Network', 'Bullik', 'edit', 'clock', 'night', 'send', 'sms', 'uda', 'closed', 'office', 'Telkomsel', 'yes' Please ',' Closed ',' Office ',' Postponed ',' Karna ',' Network ',' Burik ',' Super ',' Banggain ',' Telkomnt ', ""]")</f>
        <v>['Network', 'Bullik', 'edit', 'clock', 'night', 'send', 'sms', 'uda', 'closed', 'office', 'Telkomsel', 'yes' Please ',' Closed ',' Office ',' Postponed ',' Karna ',' Network ',' Burik ',' Super ',' Banggain ',' Telkomnt ', "]</v>
      </c>
      <c r="D1591" s="3">
        <v>1.0</v>
      </c>
    </row>
    <row r="1592" ht="15.75" customHeight="1">
      <c r="A1592" s="1">
        <v>1590.0</v>
      </c>
      <c r="B1592" s="3" t="s">
        <v>1593</v>
      </c>
      <c r="C1592" s="3" t="str">
        <f>IFERROR(__xludf.DUMMYFUNCTION("GOOGLETRANSLATE(B1592,""id"",""en"")"),"['already', 'sms',' package ',' cheerful ',' right ',' buy ',' process', 'kouta', 'purchase', 'already', 'contact', 'ngak', ' response ',' severe ',' deh ',' donwload ']")</f>
        <v>['already', 'sms',' package ',' cheerful ',' right ',' buy ',' process', 'kouta', 'purchase', 'already', 'contact', 'ngak', ' response ',' severe ',' deh ',' donwload ']</v>
      </c>
      <c r="D1592" s="3">
        <v>1.0</v>
      </c>
    </row>
    <row r="1593" ht="15.75" customHeight="1">
      <c r="A1593" s="1">
        <v>1591.0</v>
      </c>
      <c r="B1593" s="3" t="s">
        <v>1594</v>
      </c>
      <c r="C1593" s="3" t="str">
        <f>IFERROR(__xludf.DUMMYFUNCTION("GOOGLETRANSLATE(B1593,""id"",""en"")"),"['Telkomsel', 'here', 'slow', 'dialed', 'Play', 'video', 'loading', 'laaaamaaaa', 'emotion', 'atuh', 'quota', ""]")</f>
        <v>['Telkomsel', 'here', 'slow', 'dialed', 'Play', 'video', 'loading', 'laaaamaaaa', 'emotion', 'atuh', 'quota', "]</v>
      </c>
      <c r="D1593" s="3">
        <v>1.0</v>
      </c>
    </row>
    <row r="1594" ht="15.75" customHeight="1">
      <c r="A1594" s="1">
        <v>1592.0</v>
      </c>
      <c r="B1594" s="3" t="s">
        <v>1595</v>
      </c>
      <c r="C1594" s="3" t="str">
        <f>IFERROR(__xludf.DUMMYFUNCTION("GOOGLETRANSLATE(B1594,""id"",""en"")"),"['customers',' Telkomsel ',' many years', 'compared', 'network', 'slow', 'signal', 'sometimes',' missing ',' quota ',' unfortunate ',' disappointing ',' ']")</f>
        <v>['customers',' Telkomsel ',' many years', 'compared', 'network', 'slow', 'signal', 'sometimes',' missing ',' quota ',' unfortunate ',' disappointing ',' ']</v>
      </c>
      <c r="D1594" s="3">
        <v>1.0</v>
      </c>
    </row>
    <row r="1595" ht="15.75" customHeight="1">
      <c r="A1595" s="1">
        <v>1593.0</v>
      </c>
      <c r="B1595" s="3" t="s">
        <v>1596</v>
      </c>
      <c r="C1595" s="3" t="str">
        <f>IFERROR(__xludf.DUMMYFUNCTION("GOOGLETRANSLATE(B1595,""id"",""en"")"),"['Telkomsel', 'signal', 'full', 'quota', 'gabisa', 'ngeta', 'in', 'chat', 'see', 'Tiktok', 'Story', 'gabisa', ' Ryesel ',' Make ',' Telkomsel ']")</f>
        <v>['Telkomsel', 'signal', 'full', 'quota', 'gabisa', 'ngeta', 'in', 'chat', 'see', 'Tiktok', 'Story', 'gabisa', ' Ryesel ',' Make ',' Telkomsel ']</v>
      </c>
      <c r="D1595" s="3">
        <v>1.0</v>
      </c>
    </row>
    <row r="1596" ht="15.75" customHeight="1">
      <c r="A1596" s="1">
        <v>1594.0</v>
      </c>
      <c r="B1596" s="3" t="s">
        <v>1597</v>
      </c>
      <c r="C1596" s="3" t="str">
        <f>IFERROR(__xludf.DUMMYFUNCTION("GOOGLETRANSLATE(B1596,""id"",""en"")"),"['Woy', 'quota', 'expensive', 'network', 'ugly', 'ugly', 'gini', 'cheap', 'price', 'price', 'according to', 'network', ' hours', 'good', 'clock', 'morning', 'ugly', 'intention', 'benerin', '']")</f>
        <v>['Woy', 'quota', 'expensive', 'network', 'ugly', 'ugly', 'gini', 'cheap', 'price', 'price', 'according to', 'network', ' hours', 'good', 'clock', 'morning', 'ugly', 'intention', 'benerin', '']</v>
      </c>
      <c r="D1596" s="3">
        <v>1.0</v>
      </c>
    </row>
    <row r="1597" ht="15.75" customHeight="1">
      <c r="A1597" s="1">
        <v>1595.0</v>
      </c>
      <c r="B1597" s="3" t="s">
        <v>1598</v>
      </c>
      <c r="C1597" s="3" t="str">
        <f>IFERROR(__xludf.DUMMYFUNCTION("GOOGLETRANSLATE(B1597,""id"",""en"")"),"['Sorry', 'Lower', 'The Star', 'Already', 'Try', 'Nge', 'Ngeluh', 'Telkomsel', 'Tetep', 'Repair', 'Signal', 'around', ' development ',' Garut ',' signal ',' good ',' slow ',' loading ',' kdang ',' use ',' chat ',' sosmed ',' trutama ',' telegram ',' loadi"&amp;"ng ' , 'Dibpakai', 'Maen', 'Game', 'Mobile', 'Legend', 'Emotion', 'Level', 'Dewa', 'Heria', 'Use', 'You', 'Tube', ' Current ',' Sya ',' try ',' BBRAPA ',' friend ',' area ',' gossiping ',' yng ',' high school ',' penavunan ',' quality ',' signal ',' inter"&amp;"net ' ]")</f>
        <v>['Sorry', 'Lower', 'The Star', 'Already', 'Try', 'Nge', 'Ngeluh', 'Telkomsel', 'Tetep', 'Repair', 'Signal', 'around', ' development ',' Garut ',' signal ',' good ',' slow ',' loading ',' kdang ',' use ',' chat ',' sosmed ',' trutama ',' telegram ',' loading ' , 'Dibpakai', 'Maen', 'Game', 'Mobile', 'Legend', 'Emotion', 'Level', 'Dewa', 'Heria', 'Use', 'You', 'Tube', ' Current ',' Sya ',' try ',' BBRAPA ',' friend ',' area ',' gossiping ',' yng ',' high school ',' penavunan ',' quality ',' signal ',' internet ' ]</v>
      </c>
      <c r="D1597" s="3">
        <v>1.0</v>
      </c>
    </row>
    <row r="1598" ht="15.75" customHeight="1">
      <c r="A1598" s="1">
        <v>1596.0</v>
      </c>
      <c r="B1598" s="3" t="s">
        <v>1599</v>
      </c>
      <c r="C1598" s="3" t="str">
        <f>IFERROR(__xludf.DUMMYFUNCTION("GOOGLETRANSLATE(B1598,""id"",""en"")"),"['Buy', 'Package', 'Internet', 'App', 'Telkomsel', 'Method', 'Payment', 'Linkaja', 'SUCCESS', 'APP', 'Delete', 'Cahce', ' Delete ',' Data ',' Delete ',' App ',' Intrial ',' reset ',' Restar ',' reset ', ""]")</f>
        <v>['Buy', 'Package', 'Internet', 'App', 'Telkomsel', 'Method', 'Payment', 'Linkaja', 'SUCCESS', 'APP', 'Delete', 'Cahce', ' Delete ',' Data ',' Delete ',' App ',' Intrial ',' reset ',' Restar ',' reset ', "]</v>
      </c>
      <c r="D1598" s="3">
        <v>1.0</v>
      </c>
    </row>
    <row r="1599" ht="15.75" customHeight="1">
      <c r="A1599" s="1">
        <v>1597.0</v>
      </c>
      <c r="B1599" s="3" t="s">
        <v>1600</v>
      </c>
      <c r="C1599" s="3" t="str">
        <f>IFERROR(__xludf.DUMMYFUNCTION("GOOGLETRANSLATE(B1599,""id"",""en"")"),"['please', 'Telkomsel', 'buy', 'quota', 'obstacle', 'registration', 'managed', 'registration', 'card', 'internet', 'access',' anything ',' quota ',' full ',' anything ',' active ',' vain ',' vain ',' buy ',' what ',' wait ',' solution ']")</f>
        <v>['please', 'Telkomsel', 'buy', 'quota', 'obstacle', 'registration', 'managed', 'registration', 'card', 'internet', 'access',' anything ',' quota ',' full ',' anything ',' active ',' vain ',' vain ',' buy ',' what ',' wait ',' solution ']</v>
      </c>
      <c r="D1599" s="3">
        <v>1.0</v>
      </c>
    </row>
    <row r="1600" ht="15.75" customHeight="1">
      <c r="A1600" s="1">
        <v>1598.0</v>
      </c>
      <c r="B1600" s="3" t="s">
        <v>1601</v>
      </c>
      <c r="C1600" s="3" t="str">
        <f>IFERROR(__xludf.DUMMYFUNCTION("GOOGLETRANSLATE(B1600,""id"",""en"")"),"['last night', 'take', 'package', 'emergency', 'right', 'pay', 'morning', 'cut', 'pulse', 'run out', 'Degan', 'pay', ' package ',' emergency ',' cut ',' pegical ',' reset ',' sagat ',' disappointed ',' Degan ',' Telkomsel ',' please ',' fix ',' bug ',' sa"&amp;"gat ' , 'Disappointed', 'friend', 'Fast', 'Top', 'pub', 'thousand', 'take', 'Degan', 'heck', 'heck', 'Telkomsel', 'take', ' profit', '']")</f>
        <v>['last night', 'take', 'package', 'emergency', 'right', 'pay', 'morning', 'cut', 'pulse', 'run out', 'Degan', 'pay', ' package ',' emergency ',' cut ',' pegical ',' reset ',' sagat ',' disappointed ',' Degan ',' Telkomsel ',' please ',' fix ',' bug ',' sagat ' , 'Disappointed', 'friend', 'Fast', 'Top', 'pub', 'thousand', 'take', 'Degan', 'heck', 'heck', 'Telkomsel', 'take', ' profit', '']</v>
      </c>
      <c r="D1600" s="3">
        <v>1.0</v>
      </c>
    </row>
    <row r="1601" ht="15.75" customHeight="1">
      <c r="A1601" s="1">
        <v>1599.0</v>
      </c>
      <c r="B1601" s="3" t="s">
        <v>1602</v>
      </c>
      <c r="C1601" s="3" t="str">
        <f>IFERROR(__xludf.DUMMYFUNCTION("GOOGLETRANSLATE(B1601,""id"",""en"")"),"['how', 'purchase', 'package', 'data', 'ilang', 'access',' call ',' oprator ',' answer ',' mpe ',' second ',' complaint ',' Nie ',' Customer ',' YTH ',' Thank "", 'Love', 'Contact', 'Visit', 'Request', 'Complaints', 'Accept', 'Processed', 'Number', 'Ticke"&amp;"t' , 'Status', 'Ticket', 'Please', 'Call', 'Call', 'Center', '']")</f>
        <v>['how', 'purchase', 'package', 'data', 'ilang', 'access',' call ',' oprator ',' answer ',' mpe ',' second ',' complaint ',' Nie ',' Customer ',' YTH ',' Thank ", 'Love', 'Contact', 'Visit', 'Request', 'Complaints', 'Accept', 'Processed', 'Number', 'Ticket' , 'Status', 'Ticket', 'Please', 'Call', 'Call', 'Center', '']</v>
      </c>
      <c r="D1601" s="3">
        <v>1.0</v>
      </c>
    </row>
    <row r="1602" ht="15.75" customHeight="1">
      <c r="A1602" s="1">
        <v>1600.0</v>
      </c>
      <c r="B1602" s="3" t="s">
        <v>1603</v>
      </c>
      <c r="C1602" s="3" t="str">
        <f>IFERROR(__xludf.DUMMYFUNCTION("GOOGLETRANSLATE(B1602,""id"",""en"")"),"['signal', 'disconnected', 'sometimes',' signal ',' lost ',' buy ',' kouta ',' pkek ',' link ',' choice ',' payment ',' pkel ',' Link ',' ']")</f>
        <v>['signal', 'disconnected', 'sometimes',' signal ',' lost ',' buy ',' kouta ',' pkek ',' link ',' choice ',' payment ',' pkel ',' Link ',' ']</v>
      </c>
      <c r="D1602" s="3">
        <v>1.0</v>
      </c>
    </row>
    <row r="1603" ht="15.75" customHeight="1">
      <c r="A1603" s="1">
        <v>1601.0</v>
      </c>
      <c r="B1603" s="3" t="s">
        <v>1604</v>
      </c>
      <c r="C1603" s="3" t="str">
        <f>IFERROR(__xludf.DUMMYFUNCTION("GOOGLETRANSLATE(B1603,""id"",""en"")"),"['Unlimited', 'Open', 'Application', 'Shopping', 'Appears',' Image ',' Game ',' Supports', 'Bngt', 'Come', 'Severe', 'Network', ' Ripe ',' Choice ',' Change ',' Card ',' Good ',' Network ',' ']")</f>
        <v>['Unlimited', 'Open', 'Application', 'Shopping', 'Appears',' Image ',' Game ',' Supports', 'Bngt', 'Come', 'Severe', 'Network', ' Ripe ',' Choice ',' Change ',' Card ',' Good ',' Network ',' ']</v>
      </c>
      <c r="D1603" s="3">
        <v>1.0</v>
      </c>
    </row>
    <row r="1604" ht="15.75" customHeight="1">
      <c r="A1604" s="1">
        <v>1602.0</v>
      </c>
      <c r="B1604" s="3" t="s">
        <v>1605</v>
      </c>
      <c r="C1604" s="3" t="str">
        <f>IFERROR(__xludf.DUMMYFUNCTION("GOOGLETRANSLATE(B1604,""id"",""en"")"),"['Severe', 'Telkomsel', 'usually', 'network', 'data', 'cellular', 'ilang', 'right', 'play', 'game', 'TPI', 'signal', ' card ',' signal ',' good ',' stay ',' ungaran ']")</f>
        <v>['Severe', 'Telkomsel', 'usually', 'network', 'data', 'cellular', 'ilang', 'right', 'play', 'game', 'TPI', 'signal', ' card ',' signal ',' good ',' stay ',' ungaran ']</v>
      </c>
      <c r="D1604" s="3">
        <v>2.0</v>
      </c>
    </row>
    <row r="1605" ht="15.75" customHeight="1">
      <c r="A1605" s="1">
        <v>1603.0</v>
      </c>
      <c r="B1605" s="3" t="s">
        <v>1606</v>
      </c>
      <c r="C1605" s="3" t="str">
        <f>IFERROR(__xludf.DUMMYFUNCTION("GOOGLETRANSLATE(B1605,""id"",""en"")"),"['application', 'ugly', 'yes', 'emang', 'ugly']")</f>
        <v>['application', 'ugly', 'yes', 'emang', 'ugly']</v>
      </c>
      <c r="D1605" s="3">
        <v>5.0</v>
      </c>
    </row>
    <row r="1606" ht="15.75" customHeight="1">
      <c r="A1606" s="1">
        <v>1604.0</v>
      </c>
      <c r="B1606" s="3" t="s">
        <v>1607</v>
      </c>
      <c r="C1606" s="3" t="str">
        <f>IFERROR(__xludf.DUMMYFUNCTION("GOOGLETRANSLATE(B1606,""id"",""en"")"),"['Telkomsel', 'Network', 'Telkomsel', 'deteriorating', 'play', 'mobile', 'Legends', 'Free', 'Fire', 'Difficult', 'Forgiveness', ""]")</f>
        <v>['Telkomsel', 'Network', 'Telkomsel', 'deteriorating', 'play', 'mobile', 'Legends', 'Free', 'Fire', 'Difficult', 'Forgiveness', "]</v>
      </c>
      <c r="D1606" s="3">
        <v>1.0</v>
      </c>
    </row>
    <row r="1607" ht="15.75" customHeight="1">
      <c r="A1607" s="1">
        <v>1605.0</v>
      </c>
      <c r="B1607" s="3" t="s">
        <v>1608</v>
      </c>
      <c r="C1607" s="3" t="str">
        <f>IFERROR(__xludf.DUMMYFUNCTION("GOOGLETRANSLATE(B1607,""id"",""en"")"),"['number', 'Hello', 'Feature', 'Send', 'Gift', 'Daily', 'Check', 'Lost', 'Number', 'Hello', 'Clear', 'Cache', ' Delete ',' Data ',' Force ',' Stop ',' Restart ',' Tetep ',' appears', 'features',' ']")</f>
        <v>['number', 'Hello', 'Feature', 'Send', 'Gift', 'Daily', 'Check', 'Lost', 'Number', 'Hello', 'Clear', 'Cache', ' Delete ',' Data ',' Force ',' Stop ',' Restart ',' Tetep ',' appears', 'features',' ']</v>
      </c>
      <c r="D1607" s="3">
        <v>1.0</v>
      </c>
    </row>
    <row r="1608" ht="15.75" customHeight="1">
      <c r="A1608" s="1">
        <v>1606.0</v>
      </c>
      <c r="B1608" s="3" t="s">
        <v>1609</v>
      </c>
      <c r="C1608" s="3" t="str">
        <f>IFERROR(__xludf.DUMMYFUNCTION("GOOGLETRANSLATE(B1608,""id"",""en"")"),"['friend', 'friend', 'like', 'play', 'game', 'suggestion', 'make', 'network', 'original', 'signal', 'ilang', 'price', ' quota ',' expensive ',' according to ',' quality ',' service ',' ujan ',' little ',' direct ',' ilang ',' run out ',' sleep ',' play ',"&amp;"' wind ' , 'storm', 'Ujan', 'ilang', 'sampe', 'AFK', 'clock', 'normal', 'already', 'like', 'gini', 'play', 'game', ' Saranin ',' Thank you ']")</f>
        <v>['friend', 'friend', 'like', 'play', 'game', 'suggestion', 'make', 'network', 'original', 'signal', 'ilang', 'price', ' quota ',' expensive ',' according to ',' quality ',' service ',' ujan ',' little ',' direct ',' ilang ',' run out ',' sleep ',' play ',' wind ' , 'storm', 'Ujan', 'ilang', 'sampe', 'AFK', 'clock', 'normal', 'already', 'like', 'gini', 'play', 'game', ' Saranin ',' Thank you ']</v>
      </c>
      <c r="D1608" s="3">
        <v>1.0</v>
      </c>
    </row>
    <row r="1609" ht="15.75" customHeight="1">
      <c r="A1609" s="1">
        <v>1607.0</v>
      </c>
      <c r="B1609" s="3" t="s">
        <v>1610</v>
      </c>
      <c r="C1609" s="3" t="str">
        <f>IFERROR(__xludf.DUMMYFUNCTION("GOOGLETRANSLATE(B1609,""id"",""en"")"),"['network', 'Telkomsel', 'skrg', 'tasty', 'already', 'down', 'my network', 'right', 'play', 'game', 'Hadeh', 'regret', ' Cave ',' Please ',' Fix ',' Network ',' Telkomsel ',' Thanks']")</f>
        <v>['network', 'Telkomsel', 'skrg', 'tasty', 'already', 'down', 'my network', 'right', 'play', 'game', 'Hadeh', 'regret', ' Cave ',' Please ',' Fix ',' Network ',' Telkomsel ',' Thanks']</v>
      </c>
      <c r="D1609" s="3">
        <v>2.0</v>
      </c>
    </row>
    <row r="1610" ht="15.75" customHeight="1">
      <c r="A1610" s="1">
        <v>1608.0</v>
      </c>
      <c r="B1610" s="3" t="s">
        <v>1611</v>
      </c>
      <c r="C1610" s="3" t="str">
        <f>IFERROR(__xludf.DUMMYFUNCTION("GOOGLETRANSLATE(B1610,""id"",""en"")"),"['Please', 'Network', 'level', 'Region', 'Mendalo', 'Land', 'Jambi', 'Road', 'Aurduri', 'Come', 'Severe', 'Sinyal', ' Telkomsel ',' please ',' repaired ',' thank ',' love ',' Dear ',' Telkomsel ',' area ',' area ',' city ',' plus', 'tower', 'broken' , 'im"&amp;"provement', 'please', 'prioritize', 'represent', 'citizens', 'like', 'nge', 'thank', 'love']")</f>
        <v>['Please', 'Network', 'level', 'Region', 'Mendalo', 'Land', 'Jambi', 'Road', 'Aurduri', 'Come', 'Severe', 'Sinyal', ' Telkomsel ',' please ',' repaired ',' thank ',' love ',' Dear ',' Telkomsel ',' area ',' area ',' city ',' plus', 'tower', 'broken' , 'improvement', 'please', 'prioritize', 'represent', 'citizens', 'like', 'nge', 'thank', 'love']</v>
      </c>
      <c r="D1610" s="3">
        <v>1.0</v>
      </c>
    </row>
    <row r="1611" ht="15.75" customHeight="1">
      <c r="A1611" s="1">
        <v>1609.0</v>
      </c>
      <c r="B1611" s="3" t="s">
        <v>1612</v>
      </c>
      <c r="C1611" s="3" t="str">
        <f>IFERROR(__xludf.DUMMYFUNCTION("GOOGLETRANSLATE(B1611,""id"",""en"")"),"['Please', 'repaired', 'Yesterday', 'buy', 'quota', 'success',' pay ',' application ',' notification ',' pulse ',' truncated ',' need ',' Quota ',' Application ',' Telkomsel ',' Price ',' Affordable ',' Thank you ', ""]")</f>
        <v>['Please', 'repaired', 'Yesterday', 'buy', 'quota', 'success',' pay ',' application ',' notification ',' pulse ',' truncated ',' need ',' Quota ',' Application ',' Telkomsel ',' Price ',' Affordable ',' Thank you ', "]</v>
      </c>
      <c r="D1611" s="3">
        <v>1.0</v>
      </c>
    </row>
    <row r="1612" ht="15.75" customHeight="1">
      <c r="A1612" s="1">
        <v>1610.0</v>
      </c>
      <c r="B1612" s="3" t="s">
        <v>1613</v>
      </c>
      <c r="C1612" s="3" t="str">
        <f>IFERROR(__xludf.DUMMYFUNCTION("GOOGLETRANSLATE(B1612,""id"",""en"")"),"['signal', 'please', 'reinforced', 'right', 'Maen', 'Game', 'Leg', 'Leg', 'Severe', 'Telkomsel', 'Sinyal', 'Severe', ' Operators', 'Please', 'Fix', 'Comfortable', '']")</f>
        <v>['signal', 'please', 'reinforced', 'right', 'Maen', 'Game', 'Leg', 'Leg', 'Severe', 'Telkomsel', 'Sinyal', 'Severe', ' Operators', 'Please', 'Fix', 'Comfortable', '']</v>
      </c>
      <c r="D1612" s="3">
        <v>1.0</v>
      </c>
    </row>
    <row r="1613" ht="15.75" customHeight="1">
      <c r="A1613" s="1">
        <v>1611.0</v>
      </c>
      <c r="B1613" s="3" t="s">
        <v>1614</v>
      </c>
      <c r="C1613" s="3" t="str">
        <f>IFERROR(__xludf.DUMMYFUNCTION("GOOGLETRANSLATE(B1613,""id"",""en"")"),"['BANGJE', 'already', 'times',' Download ',' Kirain ',' Download ',' Disruption ',' Display ',' Page ',' Signal ',' Full ',' Unstable ',' Connection ',' ']")</f>
        <v>['BANGJE', 'already', 'times',' Download ',' Kirain ',' Download ',' Disruption ',' Display ',' Page ',' Signal ',' Full ',' Unstable ',' Connection ',' ']</v>
      </c>
      <c r="D1613" s="3">
        <v>1.0</v>
      </c>
    </row>
    <row r="1614" ht="15.75" customHeight="1">
      <c r="A1614" s="1">
        <v>1612.0</v>
      </c>
      <c r="B1614" s="3" t="s">
        <v>1615</v>
      </c>
      <c r="C1614" s="3" t="str">
        <f>IFERROR(__xludf.DUMMYFUNCTION("GOOGLETRANSLATE(B1614,""id"",""en"")"),"['Please', 'Sorry', 'Telkomsel', 'About', 'Signal', 'Ill', 'Nilagan', 'Disappointed', 'Very', 'Switch', 'Operator', 'rather than' Telkomsel ',' expensive ',' signal ',' so ',' hope ',' Read ']")</f>
        <v>['Please', 'Sorry', 'Telkomsel', 'About', 'Signal', 'Ill', 'Nilagan', 'Disappointed', 'Very', 'Switch', 'Operator', 'rather than' Telkomsel ',' expensive ',' signal ',' so ',' hope ',' Read ']</v>
      </c>
      <c r="D1614" s="3">
        <v>1.0</v>
      </c>
    </row>
    <row r="1615" ht="15.75" customHeight="1">
      <c r="A1615" s="1">
        <v>1613.0</v>
      </c>
      <c r="B1615" s="3" t="s">
        <v>1616</v>
      </c>
      <c r="C1615" s="3" t="str">
        <f>IFERROR(__xludf.DUMMYFUNCTION("GOOGLETRANSLATE(B1615,""id"",""en"")"),"['buy', 'package', 'code', 'dial', 'bacaanya', 'sorry', 'buy', 'product', 'apk', 'telkomsel', 'education', 'Confrenc', ' Combo ',' Sakti ',' Please ',' Assisted ']")</f>
        <v>['buy', 'package', 'code', 'dial', 'bacaanya', 'sorry', 'buy', 'product', 'apk', 'telkomsel', 'education', 'Confrenc', ' Combo ',' Sakti ',' Please ',' Assisted ']</v>
      </c>
      <c r="D1615" s="3">
        <v>2.0</v>
      </c>
    </row>
    <row r="1616" ht="15.75" customHeight="1">
      <c r="A1616" s="1">
        <v>1614.0</v>
      </c>
      <c r="B1616" s="3" t="s">
        <v>1617</v>
      </c>
      <c r="C1616" s="3" t="str">
        <f>IFERROR(__xludf.DUMMYFUNCTION("GOOGLETRANSLATE(B1616,""id"",""en"")"),"['already', 'rich', 'ngak', 'care', 'network', 'already', 'package', 'expensive', 'network', 'weak', 'mancer', 'card', ' So ',' package ',' cheap ',' network ',' stable ',' work ',' NUNGGUNA ',' already ',' subscription ',' Telkomsel ',' upset ',' totengo"&amp;"k ']")</f>
        <v>['already', 'rich', 'ngak', 'care', 'network', 'already', 'package', 'expensive', 'network', 'weak', 'mancer', 'card', ' So ',' package ',' cheap ',' network ',' stable ',' work ',' NUNGGUNA ',' already ',' subscription ',' Telkomsel ',' upset ',' totengok ']</v>
      </c>
      <c r="D1616" s="3">
        <v>3.0</v>
      </c>
    </row>
    <row r="1617" ht="15.75" customHeight="1">
      <c r="A1617" s="1">
        <v>1615.0</v>
      </c>
      <c r="B1617" s="3" t="s">
        <v>1618</v>
      </c>
      <c r="C1617" s="3" t="str">
        <f>IFERROR(__xludf.DUMMYFUNCTION("GOOGLETRANSLATE(B1617,""id"",""en"")"),"['thisi', 'buy', 'pulse', 'pulses', 'lngsung', 'entry', 'package', 'extra', 'pulse', 'tapii', 'function', 'wat']")</f>
        <v>['thisi', 'buy', 'pulse', 'pulses', 'lngsung', 'entry', 'package', 'extra', 'pulse', 'tapii', 'function', 'wat']</v>
      </c>
      <c r="D1617" s="3">
        <v>1.0</v>
      </c>
    </row>
    <row r="1618" ht="15.75" customHeight="1">
      <c r="A1618" s="1">
        <v>1616.0</v>
      </c>
      <c r="B1618" s="3" t="s">
        <v>1619</v>
      </c>
      <c r="C1618" s="3" t="str">
        <f>IFERROR(__xludf.DUMMYFUNCTION("GOOGLETRANSLATE(B1618,""id"",""en"")"),"['menu', 'Daily', 'check', 'eliminated', 'live', 'claim', 'prize', 'quota', 'GB', 'exchanging', 'voucher', 'game', ' Cashback ',' Quota ',' Quota ',' Switch ',' Daily ',' Checkin ',' Can ',' Gift ',' Quota ',' GB ',' Tired ',' Collect ' , 'Stamp', 'every "&amp;"day', 'was eliminated', 'that's', 'really', 'disappointing', '']")</f>
        <v>['menu', 'Daily', 'check', 'eliminated', 'live', 'claim', 'prize', 'quota', 'GB', 'exchanging', 'voucher', 'game', ' Cashback ',' Quota ',' Quota ',' Switch ',' Daily ',' Checkin ',' Can ',' Gift ',' Quota ',' GB ',' Tired ',' Collect ' , 'Stamp', 'every day', 'was eliminated', 'that's', 'really', 'disappointing', '']</v>
      </c>
      <c r="D1618" s="3">
        <v>4.0</v>
      </c>
    </row>
    <row r="1619" ht="15.75" customHeight="1">
      <c r="A1619" s="1">
        <v>1617.0</v>
      </c>
      <c r="B1619" s="3" t="s">
        <v>1620</v>
      </c>
      <c r="C1619" s="3" t="str">
        <f>IFERROR(__xludf.DUMMYFUNCTION("GOOGLETRANSLATE(B1619,""id"",""en"")"),"['', 'Appl', 'Gga', 'Open', 'kmren', 'Uda', 'Try', 'Gga', 'Open', 'Forced', 'Uninstall']")</f>
        <v>['', 'Appl', 'Gga', 'Open', 'kmren', 'Uda', 'Try', 'Gga', 'Open', 'Forced', 'Uninstall']</v>
      </c>
      <c r="D1619" s="3">
        <v>2.0</v>
      </c>
    </row>
    <row r="1620" ht="15.75" customHeight="1">
      <c r="A1620" s="1">
        <v>1618.0</v>
      </c>
      <c r="B1620" s="3" t="s">
        <v>1621</v>
      </c>
      <c r="C1620" s="3" t="str">
        <f>IFERROR(__xludf.DUMMYFUNCTION("GOOGLETRANSLATE(B1620,""id"",""en"")"),"['okay', 'signal', 'parahhhhh', 'parahhhh', 'win', 'name', 'quality', 'down', 'pke', 'Telkomsel', 'recommendation', 'complaint', ' Listen to ',' read ',' repair ',' Jor ',' rod ',' Paketan ',' Doang ', ""]")</f>
        <v>['okay', 'signal', 'parahhhhh', 'parahhhh', 'win', 'name', 'quality', 'down', 'pke', 'Telkomsel', 'recommendation', 'complaint', ' Listen to ',' read ',' repair ',' Jor ',' rod ',' Paketan ',' Doang ', "]</v>
      </c>
      <c r="D1620" s="3">
        <v>1.0</v>
      </c>
    </row>
    <row r="1621" ht="15.75" customHeight="1">
      <c r="A1621" s="1">
        <v>1619.0</v>
      </c>
      <c r="B1621" s="3" t="s">
        <v>1622</v>
      </c>
      <c r="C1621" s="3" t="str">
        <f>IFERROR(__xludf.DUMMYFUNCTION("GOOGLETRANSLATE(B1621,""id"",""en"")"),"['Network', 'Medan', 'destroyed', 'stable', 'home', 'disappointed', 'Telkomsel', 'BECU', '']")</f>
        <v>['Network', 'Medan', 'destroyed', 'stable', 'home', 'disappointed', 'Telkomsel', 'BECU', '']</v>
      </c>
      <c r="D1621" s="3">
        <v>1.0</v>
      </c>
    </row>
    <row r="1622" ht="15.75" customHeight="1">
      <c r="A1622" s="1">
        <v>1620.0</v>
      </c>
      <c r="B1622" s="3" t="s">
        <v>1623</v>
      </c>
      <c r="C1622" s="3" t="str">
        <f>IFERROR(__xludf.DUMMYFUNCTION("GOOGLETRANSLATE(B1622,""id"",""en"")"),"['please', 'Telkomsel', 'high school', 'mentang', 'already', 'provider', 'intention', 'really', 'network', 'please', 'hear', 'input', ' Consumers', 'Denger', 'Respond', ""]")</f>
        <v>['please', 'Telkomsel', 'high school', 'mentang', 'already', 'provider', 'intention', 'really', 'network', 'please', 'hear', 'input', ' Consumers', 'Denger', 'Respond', "]</v>
      </c>
      <c r="D1622" s="3">
        <v>1.0</v>
      </c>
    </row>
    <row r="1623" ht="15.75" customHeight="1">
      <c r="A1623" s="1">
        <v>1621.0</v>
      </c>
      <c r="B1623" s="3" t="s">
        <v>1624</v>
      </c>
      <c r="C1623" s="3" t="str">
        <f>IFERROR(__xludf.DUMMYFUNCTION("GOOGLETRANSLATE(B1623,""id"",""en"")"),"['Please', 'Sorry', 'Sis',' Telkomsel ',' Constraints', 'Buy', 'Credit', 'Top', 'His Writing', 'Credit', 'Pulse', 'Disappointed', ' Buy ',' Credit ',' Event ',' Game ',' Giniin ',' ']")</f>
        <v>['Please', 'Sorry', 'Sis',' Telkomsel ',' Constraints', 'Buy', 'Credit', 'Top', 'His Writing', 'Credit', 'Pulse', 'Disappointed', ' Buy ',' Credit ',' Event ',' Game ',' Giniin ',' ']</v>
      </c>
      <c r="D1623" s="3">
        <v>1.0</v>
      </c>
    </row>
    <row r="1624" ht="15.75" customHeight="1">
      <c r="A1624" s="1">
        <v>1622.0</v>
      </c>
      <c r="B1624" s="3" t="s">
        <v>1625</v>
      </c>
      <c r="C1624" s="3" t="str">
        <f>IFERROR(__xludf.DUMMYFUNCTION("GOOGLETRANSLATE(B1624,""id"",""en"")"),"['right', 'buy', 'credit', 'use', 'card', 'credit', 'yesterday', 'difficult', 'contents',' pulse ',' direct ',' app ',' Please ',' Fix ']")</f>
        <v>['right', 'buy', 'credit', 'use', 'card', 'credit', 'yesterday', 'difficult', 'contents',' pulse ',' direct ',' app ',' Please ',' Fix ']</v>
      </c>
      <c r="D1624" s="3">
        <v>3.0</v>
      </c>
    </row>
    <row r="1625" ht="15.75" customHeight="1">
      <c r="A1625" s="1">
        <v>1623.0</v>
      </c>
      <c r="B1625" s="3" t="s">
        <v>1626</v>
      </c>
      <c r="C1625" s="3" t="str">
        <f>IFERROR(__xludf.DUMMYFUNCTION("GOOGLETRANSLATE(B1625,""id"",""en"")"),"['Telkomsel', 'pig', 'contents',' data ',' ngelag ',' forgiveness', 'please', 'increase', 'stability', 'network', 'harmed', 'play', ' game ',' signal ',' bad ',' please ',' service ',' network ',' customize ',' price ',' price ',' expensive ',' signal ','"&amp;" abal ',' then ' , 'Mending', 'Search', 'Provider', 'relatives', 'experience', 'home', 'Tower', 'Network', 'Telkomsel', ""]")</f>
        <v>['Telkomsel', 'pig', 'contents',' data ',' ngelag ',' forgiveness', 'please', 'increase', 'stability', 'network', 'harmed', 'play', ' game ',' signal ',' bad ',' please ',' service ',' network ',' customize ',' price ',' price ',' expensive ',' signal ',' abal ',' then ' , 'Mending', 'Search', 'Provider', 'relatives', 'experience', 'home', 'Tower', 'Network', 'Telkomsel', "]</v>
      </c>
      <c r="D1625" s="3">
        <v>1.0</v>
      </c>
    </row>
    <row r="1626" ht="15.75" customHeight="1">
      <c r="A1626" s="1">
        <v>1624.0</v>
      </c>
      <c r="B1626" s="3" t="s">
        <v>1627</v>
      </c>
      <c r="C1626" s="3" t="str">
        <f>IFERROR(__xludf.DUMMYFUNCTION("GOOGLETRANSLATE(B1626,""id"",""en"")"),"['Sorry', 'star', 'less',' Telkomsel ',' Udh ',' skrg ',' disappointed ',' because ',' content ',' reset ',' pulse ',' hours', ' Lost ',' JLS ',' PDHL ',' anything ',' Dipake ',' subscribe ',' Whatever ',' Sorry ',' Telkomsel ',' Disappointed ',' Credit '"&amp;",' ilang ']")</f>
        <v>['Sorry', 'star', 'less',' Telkomsel ',' Udh ',' skrg ',' disappointed ',' because ',' content ',' reset ',' pulse ',' hours', ' Lost ',' JLS ',' PDHL ',' anything ',' Dipake ',' subscribe ',' Whatever ',' Sorry ',' Telkomsel ',' Disappointed ',' Credit ',' ilang ']</v>
      </c>
      <c r="D1626" s="3">
        <v>2.0</v>
      </c>
    </row>
    <row r="1627" ht="15.75" customHeight="1">
      <c r="A1627" s="1">
        <v>1625.0</v>
      </c>
      <c r="B1627" s="3" t="s">
        <v>1628</v>
      </c>
      <c r="C1627" s="3" t="str">
        <f>IFERROR(__xludf.DUMMYFUNCTION("GOOGLETRANSLATE(B1627,""id"",""en"")"),"['Installing', 'Package', 'Unlimited', 'Written', 'Available', 'MaxStream', 'Download', 'Application', 'MaxStream', 'Open it', 'Buffering', 'Disappointed', ' Telkomsel ',' Utilizing ',' Unlimited ',' MaxStream ',' Please ',' explanation ']")</f>
        <v>['Installing', 'Package', 'Unlimited', 'Written', 'Available', 'MaxStream', 'Download', 'Application', 'MaxStream', 'Open it', 'Buffering', 'Disappointed', ' Telkomsel ',' Utilizing ',' Unlimited ',' MaxStream ',' Please ',' explanation ']</v>
      </c>
      <c r="D1627" s="3">
        <v>2.0</v>
      </c>
    </row>
    <row r="1628" ht="15.75" customHeight="1">
      <c r="A1628" s="1">
        <v>1626.0</v>
      </c>
      <c r="B1628" s="3" t="s">
        <v>1629</v>
      </c>
      <c r="C1628" s="3" t="str">
        <f>IFERROR(__xludf.DUMMYFUNCTION("GOOGLETRANSLATE(B1628,""id"",""en"")"),"['Star', 'Suitable', 'really', 'Telkomsel', 'Kouta', 'expensive', 'expensive', 'signal', 'ugly', 'really', 'ngeluarin', 'kouta', ' Unlimited ',' Benahin ',' Tower ',' Network ',' Telkomsel ',' Customer ',' Satisfied ',' Customer ',' blur ',' Ngeluh ',' Ne"&amp;"twork ',' Customer ',' Ngeluh ' , 'network', 'repaired', '']")</f>
        <v>['Star', 'Suitable', 'really', 'Telkomsel', 'Kouta', 'expensive', 'expensive', 'signal', 'ugly', 'really', 'ngeluarin', 'kouta', ' Unlimited ',' Benahin ',' Tower ',' Network ',' Telkomsel ',' Customer ',' Satisfied ',' Customer ',' blur ',' Ngeluh ',' Network ',' Customer ',' Ngeluh ' , 'network', 'repaired', '']</v>
      </c>
      <c r="D1628" s="3">
        <v>1.0</v>
      </c>
    </row>
    <row r="1629" ht="15.75" customHeight="1">
      <c r="A1629" s="1">
        <v>1627.0</v>
      </c>
      <c r="B1629" s="3" t="s">
        <v>1630</v>
      </c>
      <c r="C1629" s="3" t="str">
        <f>IFERROR(__xludf.DUMMYFUNCTION("GOOGLETRANSLATE(B1629,""id"",""en"")"),"['telephone', 'his hey', 'missing', 'already', 'cave', 'Wait', 'watch', 'Yurube', 'play', 'game', 'down', 'Rank', ' As a result ',' network ',' red ',' network ',' network ',' sediain ',' Telkomsel ',' cave ',' idiot ',' hope ',' incomer ',' obstacles', '"&amp;"already' , 'Safe', 'love', 'star', 'deh']")</f>
        <v>['telephone', 'his hey', 'missing', 'already', 'cave', 'Wait', 'watch', 'Yurube', 'play', 'game', 'down', 'Rank', ' As a result ',' network ',' red ',' network ',' network ',' sediain ',' Telkomsel ',' cave ',' idiot ',' hope ',' incomer ',' obstacles', 'already' , 'Safe', 'love', 'star', 'deh']</v>
      </c>
      <c r="D1629" s="3">
        <v>1.0</v>
      </c>
    </row>
    <row r="1630" ht="15.75" customHeight="1">
      <c r="A1630" s="1">
        <v>1628.0</v>
      </c>
      <c r="B1630" s="3" t="s">
        <v>1631</v>
      </c>
      <c r="C1630" s="3" t="str">
        <f>IFERROR(__xludf.DUMMYFUNCTION("GOOGLETRANSLATE(B1630,""id"",""en"")"),"['already', 'a week', 'husband', 'upset', 'use', 'cell', 'husband', 'Vicon', 'zoom', 'until', 'embarrassed', 'colleague', ' work ',' its network ',' super ',' slow ',' many ',' out ',' sndri ',' dri ',' zoom ',' cell ',' skrg ',' quality ',' good ' , 'Net"&amp;"work', 'competitors', 'expensive', 'yes', 'ugly', 'yes', 'cell', 'skrg']")</f>
        <v>['already', 'a week', 'husband', 'upset', 'use', 'cell', 'husband', 'Vicon', 'zoom', 'until', 'embarrassed', 'colleague', ' work ',' its network ',' super ',' slow ',' many ',' out ',' sndri ',' dri ',' zoom ',' cell ',' skrg ',' quality ',' good ' , 'Network', 'competitors', 'expensive', 'yes', 'ugly', 'yes', 'cell', 'skrg']</v>
      </c>
      <c r="D1630" s="3">
        <v>1.0</v>
      </c>
    </row>
    <row r="1631" ht="15.75" customHeight="1">
      <c r="A1631" s="1">
        <v>1629.0</v>
      </c>
      <c r="B1631" s="3" t="s">
        <v>1632</v>
      </c>
      <c r="C1631" s="3" t="str">
        <f>IFERROR(__xludf.DUMMYFUNCTION("GOOGLETRANSLATE(B1631,""id"",""en"")"),"['skrg', 'network', 'evenaloh', 'slow', 'quota', 'fast', 'run out', 'Please', 'wasteful', 'boss',' already ',' run out ',' GB ',' Allah ',' unlimited ',' ladies', 'Please', 'repaired', 'Thank you', ""]")</f>
        <v>['skrg', 'network', 'evenaloh', 'slow', 'quota', 'fast', 'run out', 'Please', 'wasteful', 'boss',' already ',' run out ',' GB ',' Allah ',' unlimited ',' ladies', 'Please', 'repaired', 'Thank you', "]</v>
      </c>
      <c r="D1631" s="3">
        <v>1.0</v>
      </c>
    </row>
    <row r="1632" ht="15.75" customHeight="1">
      <c r="A1632" s="1">
        <v>1630.0</v>
      </c>
      <c r="B1632" s="3" t="s">
        <v>1633</v>
      </c>
      <c r="C1632" s="3" t="str">
        <f>IFERROR(__xludf.DUMMYFUNCTION("GOOGLETRANSLATE(B1632,""id"",""en"")"),"['clay', 'pulse', 'little', 'direct', 'automatic', 'packagein', 'data', 'internet', 'package', 'already', 'most', 'package', ' Local ',' rather than ',' Package ',' national ',' signal ',' ugly ',' job ',' already ',' replace ',' provider ',' deh ',' shar"&amp;"e ',' friend ' , 'card', 'disappointed', 'users', 'telkom']")</f>
        <v>['clay', 'pulse', 'little', 'direct', 'automatic', 'packagein', 'data', 'internet', 'package', 'already', 'most', 'package', ' Local ',' rather than ',' Package ',' national ',' signal ',' ugly ',' job ',' already ',' replace ',' provider ',' deh ',' share ',' friend ' , 'card', 'disappointed', 'users', 'telkom']</v>
      </c>
      <c r="D1632" s="3">
        <v>1.0</v>
      </c>
    </row>
    <row r="1633" ht="15.75" customHeight="1">
      <c r="A1633" s="1">
        <v>1631.0</v>
      </c>
      <c r="B1633" s="3" t="s">
        <v>1634</v>
      </c>
      <c r="C1633" s="3" t="str">
        <f>IFERROR(__xludf.DUMMYFUNCTION("GOOGLETRANSLATE(B1633,""id"",""en"")"),"['Contents',' pulse ',' run out ',' sucked ',' credit ',' card ',' SIM ',' Activate ',' data ',' cellular ',' let ',' assisted ',' admin ',' loss', 'contents',' pulse ',' run out ']")</f>
        <v>['Contents',' pulse ',' run out ',' sucked ',' credit ',' card ',' SIM ',' Activate ',' data ',' cellular ',' let ',' assisted ',' admin ',' loss', 'contents',' pulse ',' run out ']</v>
      </c>
      <c r="D1633" s="3">
        <v>3.0</v>
      </c>
    </row>
    <row r="1634" ht="15.75" customHeight="1">
      <c r="A1634" s="1">
        <v>1632.0</v>
      </c>
      <c r="B1634" s="3" t="s">
        <v>1635</v>
      </c>
      <c r="C1634" s="3" t="str">
        <f>IFERROR(__xludf.DUMMYFUNCTION("GOOGLETRANSLATE(B1634,""id"",""en"")"),"['application', 'slow', 'see', 'bill', 'card', 'hello', 'fix', 'application', 'operator', 'biggest', 'the application', 'disappointing', ' ']")</f>
        <v>['application', 'slow', 'see', 'bill', 'card', 'hello', 'fix', 'application', 'operator', 'biggest', 'the application', 'disappointing', ' ']</v>
      </c>
      <c r="D1634" s="3">
        <v>1.0</v>
      </c>
    </row>
    <row r="1635" ht="15.75" customHeight="1">
      <c r="A1635" s="1">
        <v>1633.0</v>
      </c>
      <c r="B1635" s="3" t="s">
        <v>1636</v>
      </c>
      <c r="C1635" s="3" t="str">
        <f>IFERROR(__xludf.DUMMYFUNCTION("GOOGLETRANSLATE(B1635,""id"",""en"")"),"['monetary', 'Telkomsel', 'functions',' monetary ',' Telkomsel ',' activity ',' package ',' combo ',' for ',' in ',' package ',' package ',' Calls', 'Minutes',' SMS ',' Number ',' Telkomsel ',' Monetary ',' Please ',' Telkomsel ',' Change ',' Appregiate '"&amp;",' Loyalty ',' User ',' Useful ' , 'Sorry', 'error', 'thank you', ""]")</f>
        <v>['monetary', 'Telkomsel', 'functions',' monetary ',' Telkomsel ',' activity ',' package ',' combo ',' for ',' in ',' package ',' package ',' Calls', 'Minutes',' SMS ',' Number ',' Telkomsel ',' Monetary ',' Please ',' Telkomsel ',' Change ',' Appregiate ',' Loyalty ',' User ',' Useful ' , 'Sorry', 'error', 'thank you', "]</v>
      </c>
      <c r="D1635" s="3">
        <v>4.0</v>
      </c>
    </row>
    <row r="1636" ht="15.75" customHeight="1">
      <c r="A1636" s="1">
        <v>1634.0</v>
      </c>
      <c r="B1636" s="3" t="s">
        <v>1637</v>
      </c>
      <c r="C1636" s="3" t="str">
        <f>IFERROR(__xludf.DUMMYFUNCTION("GOOGLETRANSLATE(B1636,""id"",""en"")"),"['hi', 'Telkomnyet', 'listen', 'can', 'love', 'facility', 'signal', 'good', 'already', 'pull out', 'tower', 'kek', ' Deliberately ',' turned off ',' lived ',' turned off ',' hit ',' maki ',' because 'AFK', 'Terooss', 'PHP', 'basic', 'price', 'expensive' ,"&amp;" 'Quality', 'Low', 'already', 'Mari', 'Change', 'Provider']")</f>
        <v>['hi', 'Telkomnyet', 'listen', 'can', 'love', 'facility', 'signal', 'good', 'already', 'pull out', 'tower', 'kek', ' Deliberately ',' turned off ',' lived ',' turned off ',' hit ',' maki ',' because 'AFK', 'Terooss', 'PHP', 'basic', 'price', 'expensive' , 'Quality', 'Low', 'already', 'Mari', 'Change', 'Provider']</v>
      </c>
      <c r="D1636" s="3">
        <v>3.0</v>
      </c>
    </row>
    <row r="1637" ht="15.75" customHeight="1">
      <c r="A1637" s="1">
        <v>1635.0</v>
      </c>
      <c r="B1637" s="3" t="s">
        <v>1638</v>
      </c>
      <c r="C1637" s="3" t="str">
        <f>IFERROR(__xludf.DUMMYFUNCTION("GOOGLETRANSLATE(B1637,""id"",""en"")"),"['Rain', 'little', 'network', 'direct', 'lost', 'electricity', 'dead', 'network', 'lost', 'severe', 'prank', 'cave', ' buy ',' UNLI ',' right ',' check ',' Telkomsel ',' dri ',' date ',' skrng ',' right ',' week ',' cave ',' check ',' the date ' , 'Change"&amp;"d', 'okay', 'violated', 'Telkomsel', 'dri', 'moved', 'operator', 'company', 'network', 'pay attention']")</f>
        <v>['Rain', 'little', 'network', 'direct', 'lost', 'electricity', 'dead', 'network', 'lost', 'severe', 'prank', 'cave', ' buy ',' UNLI ',' right ',' check ',' Telkomsel ',' dri ',' date ',' skrng ',' right ',' week ',' cave ',' check ',' the date ' , 'Changed', 'okay', 'violated', 'Telkomsel', 'dri', 'moved', 'operator', 'company', 'network', 'pay attention']</v>
      </c>
      <c r="D1637" s="3">
        <v>1.0</v>
      </c>
    </row>
    <row r="1638" ht="15.75" customHeight="1">
      <c r="A1638" s="1">
        <v>1636.0</v>
      </c>
      <c r="B1638" s="3" t="s">
        <v>1639</v>
      </c>
      <c r="C1638" s="3" t="str">
        <f>IFERROR(__xludf.DUMMYFUNCTION("GOOGLETRANSLATE(B1638,""id"",""en"")"),"['Please', 'Telkomsel', 'Try', 'fix', 'The application', 'experience', 'bug', 'fix', 'signal', 'according to', 'price', 'Please', ' Fix ',' Kendaan ',' ']")</f>
        <v>['Please', 'Telkomsel', 'Try', 'fix', 'The application', 'experience', 'bug', 'fix', 'signal', 'according to', 'price', 'Please', ' Fix ',' Kendaan ',' ']</v>
      </c>
      <c r="D1638" s="3">
        <v>1.0</v>
      </c>
    </row>
    <row r="1639" ht="15.75" customHeight="1">
      <c r="A1639" s="1">
        <v>1637.0</v>
      </c>
      <c r="B1639" s="3" t="s">
        <v>1640</v>
      </c>
      <c r="C1639" s="3" t="str">
        <f>IFERROR(__xludf.DUMMYFUNCTION("GOOGLETRANSLATE(B1639,""id"",""en"")"),"['', 'update', 'bad', 'his writing', 'spacious',' space ',' empty ',' rather than ',' writing ',' loading ',' most ',' ads', 'bring ',' direction ',' application ',' purpose ',' easy ',' angry ']")</f>
        <v>['', 'update', 'bad', 'his writing', 'spacious',' space ',' empty ',' rather than ',' writing ',' loading ',' most ',' ads', 'bring ',' direction ',' application ',' purpose ',' easy ',' angry ']</v>
      </c>
      <c r="D1639" s="3">
        <v>1.0</v>
      </c>
    </row>
    <row r="1640" ht="15.75" customHeight="1">
      <c r="A1640" s="1">
        <v>1638.0</v>
      </c>
      <c r="B1640" s="3" t="s">
        <v>1641</v>
      </c>
      <c r="C1640" s="3" t="str">
        <f>IFERROR(__xludf.DUMMYFUNCTION("GOOGLETRANSLATE(B1640,""id"",""en"")"),"['Honest', 'Wear', 'Telkomsel', 'Service', 'Disappointing', 'Bad', 'Service', 'Package', 'Data', 'Bad', 'Friend', 'Kalimantan', ' Mari ',' Move ',' Operator ',' Diphongi ',' Telkomsel ',' ']")</f>
        <v>['Honest', 'Wear', 'Telkomsel', 'Service', 'Disappointing', 'Bad', 'Service', 'Package', 'Data', 'Bad', 'Friend', 'Kalimantan', ' Mari ',' Move ',' Operator ',' Diphongi ',' Telkomsel ',' ']</v>
      </c>
      <c r="D1640" s="3">
        <v>1.0</v>
      </c>
    </row>
    <row r="1641" ht="15.75" customHeight="1">
      <c r="A1641" s="1">
        <v>1639.0</v>
      </c>
      <c r="B1641" s="3" t="s">
        <v>1642</v>
      </c>
      <c r="C1641" s="3" t="str">
        <f>IFERROR(__xludf.DUMMYFUNCTION("GOOGLETRANSLATE(B1641,""id"",""en"")"),"['Special', 'for you', 'got "",' quota ',' GB ',' HR ',' IDR ',' MyTelkomsel ',' Download ',' Claim ',' Tsel ',' Hotoffers ',' program ',' limited ',' apr ',' sms', 'bgm', 'please', 'tasty', 'read', 'access',' ggk ']")</f>
        <v>['Special', 'for you', 'got ",' quota ',' GB ',' HR ',' IDR ',' MyTelkomsel ',' Download ',' Claim ',' Tsel ',' Hotoffers ',' program ',' limited ',' apr ',' sms', 'bgm', 'please', 'tasty', 'read', 'access',' ggk ']</v>
      </c>
      <c r="D1641" s="3">
        <v>3.0</v>
      </c>
    </row>
    <row r="1642" ht="15.75" customHeight="1">
      <c r="A1642" s="1">
        <v>1640.0</v>
      </c>
      <c r="B1642" s="3" t="s">
        <v>1643</v>
      </c>
      <c r="C1642" s="3" t="str">
        <f>IFERROR(__xludf.DUMMYFUNCTION("GOOGLETRANSLATE(B1642,""id"",""en"")"),"['Wear', 'pulse', 'Telkomsel', 'use', 'anything', 'day', 'truncated', 'disappointed', 'contents',' pulse ',' his intention ',' just ',' Extension ',' active ',' Cut ',' intact ',' pulse ', ""]")</f>
        <v>['Wear', 'pulse', 'Telkomsel', 'use', 'anything', 'day', 'truncated', 'disappointed', 'contents',' pulse ',' his intention ',' just ',' Extension ',' active ',' Cut ',' intact ',' pulse ', "]</v>
      </c>
      <c r="D1642" s="3">
        <v>1.0</v>
      </c>
    </row>
    <row r="1643" ht="15.75" customHeight="1">
      <c r="A1643" s="1">
        <v>1641.0</v>
      </c>
      <c r="B1643" s="3" t="s">
        <v>1644</v>
      </c>
      <c r="C1643" s="3" t="str">
        <f>IFERROR(__xludf.DUMMYFUNCTION("GOOGLETRANSLATE(B1643,""id"",""en"")"),"['Telkomsel', 'knp', 'use', 'pdhl', 'routine', 'contents',' phone ',' p for umility ',' pay attention ',' use ',' hrs', 'bgmana', ' ']")</f>
        <v>['Telkomsel', 'knp', 'use', 'pdhl', 'routine', 'contents',' phone ',' p for umility ',' pay attention ',' use ',' hrs', 'bgmana', ' ']</v>
      </c>
      <c r="D1643" s="3">
        <v>2.0</v>
      </c>
    </row>
    <row r="1644" ht="15.75" customHeight="1">
      <c r="A1644" s="1">
        <v>1642.0</v>
      </c>
      <c r="B1644" s="3" t="s">
        <v>1645</v>
      </c>
      <c r="C1644" s="3" t="str">
        <f>IFERROR(__xludf.DUMMYFUNCTION("GOOGLETRANSLATE(B1644,""id"",""en"")"),"['', 'Sorry', 'trs',' transparent ',' bnyk ',' read ',' email ',' ngumpet ',' pket ',' youtube ',' unlimited ',' quota ',' kecakan ',' pls', 'ties',' knp ',' Telkomsel ',' cheats', 'gini', 'money', 'wat', 'byr', 'demands',' wat ',' bang ', 'Denny', 'Serek"&amp;"', 'ATS', 'lawsuit', 'leaked', 'info', 'personal', 'his family', 'Mnt', 'donations',' blng ',' lbh ',' jngn ',' Nipu ',' Gini ',' Donk ',' Customer ',' Harmed ',' Credit ',' Sumpot ',' TRS ',' Expensive ',' Superanan ',' MKN ',' MLH ', 'maybe', 'bad', 're"&amp;"place', 'Prlu', 'filled', 'PKET', '']")</f>
        <v>['', 'Sorry', 'trs',' transparent ',' bnyk ',' read ',' email ',' ngumpet ',' pket ',' youtube ',' unlimited ',' quota ',' kecakan ',' pls', 'ties',' knp ',' Telkomsel ',' cheats', 'gini', 'money', 'wat', 'byr', 'demands',' wat ',' bang ', 'Denny', 'Serek', 'ATS', 'lawsuit', 'leaked', 'info', 'personal', 'his family', 'Mnt', 'donations',' blng ',' lbh ',' jngn ',' Nipu ',' Gini ',' Donk ',' Customer ',' Harmed ',' Credit ',' Sumpot ',' TRS ',' Expensive ',' Superanan ',' MKN ',' MLH ', 'maybe', 'bad', 'replace', 'Prlu', 'filled', 'PKET', '']</v>
      </c>
      <c r="D1644" s="3">
        <v>1.0</v>
      </c>
    </row>
    <row r="1645" ht="15.75" customHeight="1">
      <c r="A1645" s="1">
        <v>1643.0</v>
      </c>
      <c r="B1645" s="3" t="s">
        <v>1646</v>
      </c>
      <c r="C1645" s="3" t="str">
        <f>IFERROR(__xludf.DUMMYFUNCTION("GOOGLETRANSLATE(B1645,""id"",""en"")"),"['Severe', 'already', 'tasty', 'package', 'Unlimited', 'One', 'Time', 'Purchase', 'One', 'Time', 'Purchase', 'already', ' Seneng ',' Paketan ',' That's', 'Taunya', 'Buy', 'Doang', '']")</f>
        <v>['Severe', 'already', 'tasty', 'package', 'Unlimited', 'One', 'Time', 'Purchase', 'One', 'Time', 'Purchase', 'already', ' Seneng ',' Paketan ',' That's', 'Taunya', 'Buy', 'Doang', '']</v>
      </c>
      <c r="D1645" s="3">
        <v>3.0</v>
      </c>
    </row>
    <row r="1646" ht="15.75" customHeight="1">
      <c r="A1646" s="1">
        <v>1644.0</v>
      </c>
      <c r="B1646" s="3" t="s">
        <v>1647</v>
      </c>
      <c r="C1646" s="3" t="str">
        <f>IFERROR(__xludf.DUMMYFUNCTION("GOOGLETRANSLATE(B1646,""id"",""en"")"),"['', 'transaction', 'transfer', 'pulse', 'old school', 'android', 'Telkomsel', 'forced', 'told', 'transaction', 'APK', 'emg', 'old school ',' Download ',' APK ',' MyTelkomsel ',' forced ',' really ',' service ',' APK ',' Spec ',' Customer ',' ']")</f>
        <v>['', 'transaction', 'transfer', 'pulse', 'old school', 'android', 'Telkomsel', 'forced', 'told', 'transaction', 'APK', 'emg', 'old school ',' Download ',' APK ',' MyTelkomsel ',' forced ',' really ',' service ',' APK ',' Spec ',' Customer ',' ']</v>
      </c>
      <c r="D1646" s="3">
        <v>1.0</v>
      </c>
    </row>
    <row r="1647" ht="15.75" customHeight="1">
      <c r="A1647" s="1">
        <v>1645.0</v>
      </c>
      <c r="B1647" s="3" t="s">
        <v>1648</v>
      </c>
      <c r="C1647" s="3" t="str">
        <f>IFERROR(__xludf.DUMMYFUNCTION("GOOGLETRANSLATE(B1647,""id"",""en"")"),"['Good', 'help', 'complicated', 'hopefully', 'Telkomsel', 'forward', 'forget', 'love', 'promo', 'bonus', 'ramadhan', 'ntar']")</f>
        <v>['Good', 'help', 'complicated', 'hopefully', 'Telkomsel', 'forward', 'forget', 'love', 'promo', 'bonus', 'ramadhan', 'ntar']</v>
      </c>
      <c r="D1647" s="3">
        <v>5.0</v>
      </c>
    </row>
    <row r="1648" ht="15.75" customHeight="1">
      <c r="A1648" s="1">
        <v>1646.0</v>
      </c>
      <c r="B1648" s="3" t="s">
        <v>1649</v>
      </c>
      <c r="C1648" s="3" t="str">
        <f>IFERROR(__xludf.DUMMYFUNCTION("GOOGLETRANSLATE(B1648,""id"",""en"")"),"['Please', 'min', 'package', 'data', 'Telkomsel', 'expensive', 'donk', 'suggestion', 'ininbukan', 'star', ""]")</f>
        <v>['Please', 'min', 'package', 'data', 'Telkomsel', 'expensive', 'donk', 'suggestion', 'ininbukan', 'star', "]</v>
      </c>
      <c r="D1648" s="3">
        <v>5.0</v>
      </c>
    </row>
    <row r="1649" ht="15.75" customHeight="1">
      <c r="A1649" s="1">
        <v>1647.0</v>
      </c>
      <c r="B1649" s="3" t="s">
        <v>1650</v>
      </c>
      <c r="C1649" s="3" t="str">
        <f>IFERROR(__xludf.DUMMYFUNCTION("GOOGLETRANSLATE(B1649,""id"",""en"")"),"['Telkomsel', 'tower', 'already', 'near', 'lag', 'please', 'really', 'sinynya', 'love', 'star', 'package', 'games',' ']")</f>
        <v>['Telkomsel', 'tower', 'already', 'near', 'lag', 'please', 'really', 'sinynya', 'love', 'star', 'package', 'games',' ']</v>
      </c>
      <c r="D1649" s="3">
        <v>1.0</v>
      </c>
    </row>
    <row r="1650" ht="15.75" customHeight="1">
      <c r="A1650" s="1">
        <v>1648.0</v>
      </c>
      <c r="B1650" s="3" t="s">
        <v>1651</v>
      </c>
      <c r="C1650" s="3" t="str">
        <f>IFERROR(__xludf.DUMMYFUNCTION("GOOGLETRANSLATE(B1650,""id"",""en"")"),"['Speed', 'Reduced', 'Try', 'Contact', 'Link', 'APK', 'Messenger', 'EMG', 'EMG', 'Contact', 'Lite', 'Different', ' emg ',' smartfren ',' expected ',' already ',' cheap ',' strength ',' signal ',' pretty ',' different ',' Telkomsel ',' strength ',' signal "&amp;"',' Telkomsel ' , 'KB', 'SEDNAGKAN', 'Smartfren', 'achieving', 'Hopefully', 'Telkomsel', 'advanced', 'MAYAL', 'future']")</f>
        <v>['Speed', 'Reduced', 'Try', 'Contact', 'Link', 'APK', 'Messenger', 'EMG', 'EMG', 'Contact', 'Lite', 'Different', ' emg ',' smartfren ',' expected ',' already ',' cheap ',' strength ',' signal ',' pretty ',' different ',' Telkomsel ',' strength ',' signal ',' Telkomsel ' , 'KB', 'SEDNAGKAN', 'Smartfren', 'achieving', 'Hopefully', 'Telkomsel', 'advanced', 'MAYAL', 'future']</v>
      </c>
      <c r="D1650" s="3">
        <v>1.0</v>
      </c>
    </row>
    <row r="1651" ht="15.75" customHeight="1">
      <c r="A1651" s="1">
        <v>1649.0</v>
      </c>
      <c r="B1651" s="3" t="s">
        <v>1652</v>
      </c>
      <c r="C1651" s="3" t="str">
        <f>IFERROR(__xludf.DUMMYFUNCTION("GOOGLETRANSLATE(B1651,""id"",""en"")"),"['Hallo', 'Telkomsel', 'Dear', 'Provider', 'expensive', 'aspects',' service ',' internet ',' disappointing ',' slow ',' bin ',' Matot ',' Lost ',' neighbors', 'next door', 'not yetaben', 'cheap', 'customer', 'auto', 'kaborrrr', '']")</f>
        <v>['Hallo', 'Telkomsel', 'Dear', 'Provider', 'expensive', 'aspects',' service ',' internet ',' disappointing ',' slow ',' bin ',' Matot ',' Lost ',' neighbors', 'next door', 'not yetaben', 'cheap', 'customer', 'auto', 'kaborrrr', '']</v>
      </c>
      <c r="D1651" s="3">
        <v>1.0</v>
      </c>
    </row>
    <row r="1652" ht="15.75" customHeight="1">
      <c r="A1652" s="1">
        <v>1650.0</v>
      </c>
      <c r="B1652" s="3" t="s">
        <v>1653</v>
      </c>
      <c r="C1652" s="3" t="str">
        <f>IFERROR(__xludf.DUMMYFUNCTION("GOOGLETRANSLATE(B1652,""id"",""en"")"),"['crazy', 'Telkomsel', 'chaotic', 'times', 'pulse', 'drained', 'abis', 'quota', 'pulse', 'zero', 'disappointed', '']")</f>
        <v>['crazy', 'Telkomsel', 'chaotic', 'times', 'pulse', 'drained', 'abis', 'quota', 'pulse', 'zero', 'disappointed', '']</v>
      </c>
      <c r="D1652" s="3">
        <v>1.0</v>
      </c>
    </row>
    <row r="1653" ht="15.75" customHeight="1">
      <c r="A1653" s="1">
        <v>1651.0</v>
      </c>
      <c r="B1653" s="3" t="s">
        <v>1654</v>
      </c>
      <c r="C1653" s="3" t="str">
        <f>IFERROR(__xludf.DUMMYFUNCTION("GOOGLETRANSLATE(B1653,""id"",""en"")"),"['application', 'good', 'hnya', 'signal', 'provider', 'no', 'okay', 'signal', 'telkomsel', 'sngat', 'proud of', 'bbrp', ' Disappointed ',' signal ',' no ',' stable ',' missing ',' please ',' fix ',' ']")</f>
        <v>['application', 'good', 'hnya', 'signal', 'provider', 'no', 'okay', 'signal', 'telkomsel', 'sngat', 'proud of', 'bbrp', ' Disappointed ',' signal ',' no ',' stable ',' missing ',' please ',' fix ',' ']</v>
      </c>
      <c r="D1653" s="3">
        <v>2.0</v>
      </c>
    </row>
    <row r="1654" ht="15.75" customHeight="1">
      <c r="A1654" s="1">
        <v>1652.0</v>
      </c>
      <c r="B1654" s="3" t="s">
        <v>1655</v>
      </c>
      <c r="C1654" s="3" t="str">
        <f>IFERROR(__xludf.DUMMYFUNCTION("GOOGLETRANSLATE(B1654,""id"",""en"")"),"['Notification', 'sent', 'quota', 'run out', 'notification', 'quota', 'run out', 'late', 'send', 'eat', 'pulse', 'run out', ' Notifications', 'quota', 'run out', 'please', 'repaired', the 'comfortable', 'comfortable', 'use', 'Telkomsel', ""]")</f>
        <v>['Notification', 'sent', 'quota', 'run out', 'notification', 'quota', 'run out', 'late', 'send', 'eat', 'pulse', 'run out', ' Notifications', 'quota', 'run out', 'please', 'repaired', the 'comfortable', 'comfortable', 'use', 'Telkomsel', "]</v>
      </c>
      <c r="D1654" s="3">
        <v>1.0</v>
      </c>
    </row>
    <row r="1655" ht="15.75" customHeight="1">
      <c r="A1655" s="1">
        <v>1653.0</v>
      </c>
      <c r="B1655" s="3" t="s">
        <v>1656</v>
      </c>
      <c r="C1655" s="3" t="str">
        <f>IFERROR(__xludf.DUMMYFUNCTION("GOOGLETRANSLATE(B1655,""id"",""en"")"),"['Telkomsel', 'dozens', 'disappointed', 'network', 'internet', 'Telkomsel', 'expensive', 'slow']")</f>
        <v>['Telkomsel', 'dozens', 'disappointed', 'network', 'internet', 'Telkomsel', 'expensive', 'slow']</v>
      </c>
      <c r="D1655" s="3">
        <v>1.0</v>
      </c>
    </row>
    <row r="1656" ht="15.75" customHeight="1">
      <c r="A1656" s="1">
        <v>1654.0</v>
      </c>
      <c r="B1656" s="3" t="s">
        <v>1657</v>
      </c>
      <c r="C1656" s="3" t="str">
        <f>IFERROR(__xludf.DUMMYFUNCTION("GOOGLETRANSLATE(B1656,""id"",""en"")"),"['Hi', 'Sis',' Sorry ',' Love ',' Rating ',' Star ',' Honest ',' Signal ',' Telkomsel ',' Slow ',' Stable ',' Think "" Telkomsel ',' Sousiny ',' Good ',' Please ',' Check ',' Repaired ',' Sis', 'Thank you', 'Hope', 'Admin', 'Help', 'Overcome', 'Signal' , "&amp;"'good', '']")</f>
        <v>['Hi', 'Sis',' Sorry ',' Love ',' Rating ',' Star ',' Honest ',' Signal ',' Telkomsel ',' Slow ',' Stable ',' Think " Telkomsel ',' Sousiny ',' Good ',' Please ',' Check ',' Repaired ',' Sis', 'Thank you', 'Hope', 'Admin', 'Help', 'Overcome', 'Signal' , 'good', '']</v>
      </c>
      <c r="D1656" s="3">
        <v>1.0</v>
      </c>
    </row>
    <row r="1657" ht="15.75" customHeight="1">
      <c r="A1657" s="1">
        <v>1655.0</v>
      </c>
      <c r="B1657" s="3" t="s">
        <v>1658</v>
      </c>
      <c r="C1657" s="3" t="str">
        <f>IFERROR(__xludf.DUMMYFUNCTION("GOOGLETRANSLATE(B1657,""id"",""en"")"),"['Hello', 'Telkomsel', 'wrong', 'owner', 'outlet', 'pulse', 'area', 'North Sumatra', 'week', 'outlet', 'area', 'difficulty', ' Voucher ',' card ',' prime ',' reason ',' item ',' empty ',' stock ',' restricted ',' outlet ',' max ',' pcs', 'user', 'Telkomse"&amp;"l' , 'area', 'counted', 'customers', 'moved', 'provider', 'please', 'related', 'fixed', 'system', 'sorry', 'review', 'according to' context ',' ']")</f>
        <v>['Hello', 'Telkomsel', 'wrong', 'owner', 'outlet', 'pulse', 'area', 'North Sumatra', 'week', 'outlet', 'area', 'difficulty', ' Voucher ',' card ',' prime ',' reason ',' item ',' empty ',' stock ',' restricted ',' outlet ',' max ',' pcs', 'user', 'Telkomsel' , 'area', 'counted', 'customers', 'moved', 'provider', 'please', 'related', 'fixed', 'system', 'sorry', 'review', 'according to' context ',' ']</v>
      </c>
      <c r="D1657" s="3">
        <v>2.0</v>
      </c>
    </row>
    <row r="1658" ht="15.75" customHeight="1">
      <c r="A1658" s="1">
        <v>1656.0</v>
      </c>
      <c r="B1658" s="3" t="s">
        <v>1659</v>
      </c>
      <c r="C1658" s="3" t="str">
        <f>IFERROR(__xludf.DUMMYFUNCTION("GOOGLETRANSLATE(B1658,""id"",""en"")"),"['disappointed', 'network', 'Telkomsel', 'signal', 'home', 'signal', 'bad', 'price', 'quota', 'expensive', 'network', 'bad', ' really ',' named ',' justice ',' ']")</f>
        <v>['disappointed', 'network', 'Telkomsel', 'signal', 'home', 'signal', 'bad', 'price', 'quota', 'expensive', 'network', 'bad', ' really ',' named ',' justice ',' ']</v>
      </c>
      <c r="D1658" s="3">
        <v>1.0</v>
      </c>
    </row>
    <row r="1659" ht="15.75" customHeight="1">
      <c r="A1659" s="1">
        <v>1657.0</v>
      </c>
      <c r="B1659" s="3" t="s">
        <v>1660</v>
      </c>
      <c r="C1659" s="3" t="str">
        <f>IFERROR(__xludf.DUMMYFUNCTION("GOOGLETRANSLATE(B1659,""id"",""en"")"),"['Love', 'Bintang', 'Ngrasain', 'Service', 'Raying', 'Love', 'Star', 'Unplug', 'Change', 'Star', 'Expensive', 'Service', ' ']")</f>
        <v>['Love', 'Bintang', 'Ngrasain', 'Service', 'Raying', 'Love', 'Star', 'Unplug', 'Change', 'Star', 'Expensive', 'Service', ' ']</v>
      </c>
      <c r="D1659" s="3">
        <v>1.0</v>
      </c>
    </row>
    <row r="1660" ht="15.75" customHeight="1">
      <c r="A1660" s="1">
        <v>1658.0</v>
      </c>
      <c r="B1660" s="3" t="s">
        <v>1661</v>
      </c>
      <c r="C1660" s="3" t="str">
        <f>IFERROR(__xludf.DUMMYFUNCTION("GOOGLETRANSLATE(B1660,""id"",""en"")"),"['application', 'Telkomsel', 'difficult', 'really', 'access',' frequency ',' display ',' face ',' appears', 'something', 'Went', 'Wrong', ' Please, 'Try', 'Again', 'Later', 'Card', 'Perdana', 'Waiting', 'Contents', 'Credit', 'Buy', 'Package', 'And then', "&amp;"'Fill' , 'credit', 'dlu', 'lwt', 'counter', 'pulse', 'choice', 'package', 'card', 'prime', 'expensive', 'direct', 'promo', ' Attention ',' in the future ',' thank ',' love ', ""]")</f>
        <v>['application', 'Telkomsel', 'difficult', 'really', 'access',' frequency ',' display ',' face ',' appears', 'something', 'Went', 'Wrong', ' Please, 'Try', 'Again', 'Later', 'Card', 'Perdana', 'Waiting', 'Contents', 'Credit', 'Buy', 'Package', 'And then', 'Fill' , 'credit', 'dlu', 'lwt', 'counter', 'pulse', 'choice', 'package', 'card', 'prime', 'expensive', 'direct', 'promo', ' Attention ',' in the future ',' thank ',' love ', "]</v>
      </c>
      <c r="D1660" s="3">
        <v>4.0</v>
      </c>
    </row>
    <row r="1661" ht="15.75" customHeight="1">
      <c r="A1661" s="1">
        <v>1659.0</v>
      </c>
      <c r="B1661" s="3" t="s">
        <v>1662</v>
      </c>
      <c r="C1661" s="3" t="str">
        <f>IFERROR(__xludf.DUMMYFUNCTION("GOOGLETRANSLATE(B1661,""id"",""en"")"),"['', 'love', 'star', 'good', 'addin', 'complaints', 'centered', 'help', 'operator', 'then' waiting ',' operator ',' sleep ',' PKET ',' Description ',' Language ',' Pketnya ',' Cheap ',' Pket ',' Internet ',' Lost ',' Neighbor ',' Next "", 'Cape', 'Writish"&amp;"', '']")</f>
        <v>['', 'love', 'star', 'good', 'addin', 'complaints', 'centered', 'help', 'operator', 'then' waiting ',' operator ',' sleep ',' PKET ',' Description ',' Language ',' Pketnya ',' Cheap ',' Pket ',' Internet ',' Lost ',' Neighbor ',' Next ", 'Cape', 'Writish', '']</v>
      </c>
      <c r="D1661" s="3">
        <v>2.0</v>
      </c>
    </row>
    <row r="1662" ht="15.75" customHeight="1">
      <c r="A1662" s="1">
        <v>1660.0</v>
      </c>
      <c r="B1662" s="3" t="s">
        <v>1663</v>
      </c>
      <c r="C1662" s="3" t="str">
        <f>IFERROR(__xludf.DUMMYFUNCTION("GOOGLETRANSLATE(B1662,""id"",""en"")"),"['Price', 'Not bad', 'expensive', 'TPI', 'qualityx', 'please', 'network', 'internet', 'area', 'Angasan', 'land', 'spices',' South Kalimantan ',' Benerin ',' Cook ',' UDH ',' a month ',' Network ',' rotten ',' then ',' Katux ',' network ',' the widest ',' "&amp;"TPI ',' the result ' , 'Move', 'Klu', 'Gini', '']")</f>
        <v>['Price', 'Not bad', 'expensive', 'TPI', 'qualityx', 'please', 'network', 'internet', 'area', 'Angasan', 'land', 'spices',' South Kalimantan ',' Benerin ',' Cook ',' UDH ',' a month ',' Network ',' rotten ',' then ',' Katux ',' network ',' the widest ',' TPI ',' the result ' , 'Move', 'Klu', 'Gini', '']</v>
      </c>
      <c r="D1662" s="3">
        <v>1.0</v>
      </c>
    </row>
    <row r="1663" ht="15.75" customHeight="1">
      <c r="A1663" s="1">
        <v>1661.0</v>
      </c>
      <c r="B1663" s="3" t="s">
        <v>1664</v>
      </c>
      <c r="C1663" s="3" t="str">
        <f>IFERROR(__xludf.DUMMYFUNCTION("GOOGLETRANSLATE(B1663,""id"",""en"")"),"['Signal', 'Telkomsel', 'Region', 'Eliminates',' Disappointed ',' Play ',' Game ',' Online ',' Watch ',' YouTube ',' Please ',' repaired ',' ']")</f>
        <v>['Signal', 'Telkomsel', 'Region', 'Eliminates',' Disappointed ',' Play ',' Game ',' Online ',' Watch ',' YouTube ',' Please ',' repaired ',' ']</v>
      </c>
      <c r="D1663" s="3">
        <v>1.0</v>
      </c>
    </row>
    <row r="1664" ht="15.75" customHeight="1">
      <c r="A1664" s="1">
        <v>1662.0</v>
      </c>
      <c r="B1664" s="3" t="s">
        <v>1665</v>
      </c>
      <c r="C1664" s="3" t="str">
        <f>IFERROR(__xludf.DUMMYFUNCTION("GOOGLETRANSLATE(B1664,""id"",""en"")"),"['Imagine', 'in', 'Urgent', 'fast', 'download', 'Material', 'PDF', 'Email', 'City', 'Solo', 'Notabane', 'City', ' Afternoon ',' Bright ',' Rain ',' Wind ',' Dead ',' Lights', 'Smartphone', 'Please', 'Sorry', 'Card', 'Telkomsel', 'Need', 'Minutes' , 'downl"&amp;"oad', 'gedek', 'ndak', 'cave', 'patient', 'how', 'niihhh', 'work', 'ngepain', 'woozyy', 'expensive', ' Sinya ',' Okay ',' Worth ',' HLA ',' News', ""]")</f>
        <v>['Imagine', 'in', 'Urgent', 'fast', 'download', 'Material', 'PDF', 'Email', 'City', 'Solo', 'Notabane', 'City', ' Afternoon ',' Bright ',' Rain ',' Wind ',' Dead ',' Lights', 'Smartphone', 'Please', 'Sorry', 'Card', 'Telkomsel', 'Need', 'Minutes' , 'download', 'gedek', 'ndak', 'cave', 'patient', 'how', 'niihhh', 'work', 'ngepain', 'woozyy', 'expensive', ' Sinya ',' Okay ',' Worth ',' HLA ',' News', "]</v>
      </c>
      <c r="D1664" s="3">
        <v>1.0</v>
      </c>
    </row>
    <row r="1665" ht="15.75" customHeight="1">
      <c r="A1665" s="1">
        <v>1663.0</v>
      </c>
      <c r="B1665" s="3" t="s">
        <v>1666</v>
      </c>
      <c r="C1665" s="3" t="str">
        <f>IFERROR(__xludf.DUMMYFUNCTION("GOOGLETRANSLATE(B1665,""id"",""en"")"),"['card', 'yes', 'expensive', 'network', 'good', 'open', 'login', 'game', 'wait', 'card', 'expensive', 'rare' Cheap ',' Please ',' Telkomsel ',' Fix ',' Network ',' Network ',' Beh ',' Kayak ',' Card ',' Cheap ',' Confused ',' friend ',' can ' , 'quota', '"&amp;"GB', 'DPT', '']")</f>
        <v>['card', 'yes', 'expensive', 'network', 'good', 'open', 'login', 'game', 'wait', 'card', 'expensive', 'rare' Cheap ',' Please ',' Telkomsel ',' Fix ',' Network ',' Network ',' Beh ',' Kayak ',' Card ',' Cheap ',' Confused ',' friend ',' can ' , 'quota', 'GB', 'DPT', '']</v>
      </c>
      <c r="D1665" s="3">
        <v>1.0</v>
      </c>
    </row>
    <row r="1666" ht="15.75" customHeight="1">
      <c r="A1666" s="1">
        <v>1664.0</v>
      </c>
      <c r="B1666" s="3" t="s">
        <v>1667</v>
      </c>
      <c r="C1666" s="3" t="str">
        <f>IFERROR(__xludf.DUMMYFUNCTION("GOOGLETRANSLATE(B1666,""id"",""en"")"),"['regret', 'buy', 'package', 'gamemax', 'buy', 'claim', 'diamond', 'description', 'code', 'promotion', 'wrong', 'past', ' The limit ',' use ',' kalok ',' limit ',' run out ',' application ',' Masi ',' sell ',' disappointed ']")</f>
        <v>['regret', 'buy', 'package', 'gamemax', 'buy', 'claim', 'diamond', 'description', 'code', 'promotion', 'wrong', 'past', ' The limit ',' use ',' kalok ',' limit ',' run out ',' application ',' Masi ',' sell ',' disappointed ']</v>
      </c>
      <c r="D1666" s="3">
        <v>1.0</v>
      </c>
    </row>
    <row r="1667" ht="15.75" customHeight="1">
      <c r="A1667" s="1">
        <v>1665.0</v>
      </c>
      <c r="B1667" s="3" t="s">
        <v>1668</v>
      </c>
      <c r="C1667" s="3" t="str">
        <f>IFERROR(__xludf.DUMMYFUNCTION("GOOGLETRANSLATE(B1667,""id"",""en"")"),"['Recent', 'transaction', 'Please', 'repaired', 'detail', 'yaa', 'TDI', 'fill in', 'pulse', 'rb', 'times',' TPI ',' Enter ',' Rb ',' right ',' check ',' usage ',' no ',' notes', 'details',' purchase ',' pulses', 'and then', 'detail']")</f>
        <v>['Recent', 'transaction', 'Please', 'repaired', 'detail', 'yaa', 'TDI', 'fill in', 'pulse', 'rb', 'times',' TPI ',' Enter ',' Rb ',' right ',' check ',' usage ',' no ',' notes', 'details',' purchase ',' pulses', 'and then', 'detail']</v>
      </c>
      <c r="D1667" s="3">
        <v>2.0</v>
      </c>
    </row>
    <row r="1668" ht="15.75" customHeight="1">
      <c r="A1668" s="1">
        <v>1666.0</v>
      </c>
      <c r="B1668" s="3" t="s">
        <v>1669</v>
      </c>
      <c r="C1668" s="3" t="str">
        <f>IFERROR(__xludf.DUMMYFUNCTION("GOOGLETRANSLATE(B1668,""id"",""en"")"),"['Check', 'right', 'take', 'gift', 'point', 'there', 'pulse', 'pulse', 'strange']")</f>
        <v>['Check', 'right', 'take', 'gift', 'point', 'there', 'pulse', 'pulse', 'strange']</v>
      </c>
      <c r="D1668" s="3">
        <v>1.0</v>
      </c>
    </row>
    <row r="1669" ht="15.75" customHeight="1">
      <c r="A1669" s="1">
        <v>1667.0</v>
      </c>
      <c r="B1669" s="3" t="s">
        <v>1670</v>
      </c>
      <c r="C1669" s="3" t="str">
        <f>IFERROR(__xludf.DUMMYFUNCTION("GOOGLETRANSLATE(B1669,""id"",""en"")"),"['Network', 'bad', 'then', 'please', 'Telkomsel', 'gini', 'then', 'satisfied', 'love', 'contact', 'twitter', ' Email ',' UDH ',' Contacted ',' Tetep ',' ']")</f>
        <v>['Network', 'bad', 'then', 'please', 'Telkomsel', 'gini', 'then', 'satisfied', 'love', 'contact', 'twitter', ' Email ',' UDH ',' Contacted ',' Tetep ',' ']</v>
      </c>
      <c r="D1669" s="3">
        <v>1.0</v>
      </c>
    </row>
    <row r="1670" ht="15.75" customHeight="1">
      <c r="A1670" s="1">
        <v>1668.0</v>
      </c>
      <c r="B1670" s="3" t="s">
        <v>1671</v>
      </c>
      <c r="C1670" s="3" t="str">
        <f>IFERROR(__xludf.DUMMYFUNCTION("GOOGLETRANSLATE(B1670,""id"",""en"")"),"['', 'Blak', 'Please', 'please', 'Telkomsel', 'Love', 'System', 'Rich', 'Axis',' Net ',' Where ',' Ngelock ',' Credit ',' Kekeake ',' contents', 'credit', 'Gara', 'Gara', 'Data', 'On', 'Direct', 'Abis',' Sumpot ',' Enter ',' Kind ', 'buy', 'package', 'pul"&amp;"se', 'run out', '']")</f>
        <v>['', 'Blak', 'Please', 'please', 'Telkomsel', 'Love', 'System', 'Rich', 'Axis',' Net ',' Where ',' Ngelock ',' Credit ',' Kekeake ',' contents', 'credit', 'Gara', 'Gara', 'Data', 'On', 'Direct', 'Abis',' Sumpot ',' Enter ',' Kind ', 'buy', 'package', 'pulse', 'run out', '']</v>
      </c>
      <c r="D1670" s="3">
        <v>2.0</v>
      </c>
    </row>
    <row r="1671" ht="15.75" customHeight="1">
      <c r="A1671" s="1">
        <v>1669.0</v>
      </c>
      <c r="B1671" s="3" t="s">
        <v>1672</v>
      </c>
      <c r="C1671" s="3" t="str">
        <f>IFERROR(__xludf.DUMMYFUNCTION("GOOGLETRANSLATE(B1671,""id"",""en"")"),"['right', 'package', 'run out', 'direct', 'cut', 'pulse', 'package', 'active', 'disappointed', 'dech', 'user', 'Telkomsel', ' right ',' activated ',' package ',' data ',' business', 'pulse', 'stay', 'truncated', 'automatic', 'suggestion', 'ane', 'sich', '"&amp;"jdi' , 'Experience', 'ane', '']")</f>
        <v>['right', 'package', 'run out', 'direct', 'cut', 'pulse', 'package', 'active', 'disappointed', 'dech', 'user', 'Telkomsel', ' right ',' activated ',' package ',' data ',' business', 'pulse', 'stay', 'truncated', 'automatic', 'suggestion', 'ane', 'sich', 'jdi' , 'Experience', 'ane', '']</v>
      </c>
      <c r="D1671" s="3">
        <v>1.0</v>
      </c>
    </row>
    <row r="1672" ht="15.75" customHeight="1">
      <c r="A1672" s="1">
        <v>1670.0</v>
      </c>
      <c r="B1672" s="3" t="s">
        <v>1673</v>
      </c>
      <c r="C1672" s="3" t="str">
        <f>IFERROR(__xludf.DUMMYFUNCTION("GOOGLETRANSLATE(B1672,""id"",""en"")"),"['strange', 'App', 'logout', 'logout', 'network', 'error', 'right', 'login', 'verifykasi', 'sms',' gamukun ',' enter ',' SMS ',' Price ',' Doang ',' Expensive ',' Quality ',' Benerin ',' Disappointed ',' Bner ',' Wonder ', ""]")</f>
        <v>['strange', 'App', 'logout', 'logout', 'network', 'error', 'right', 'login', 'verifykasi', 'sms',' gamukun ',' enter ',' SMS ',' Price ',' Doang ',' Expensive ',' Quality ',' Benerin ',' Disappointed ',' Bner ',' Wonder ', "]</v>
      </c>
      <c r="D1672" s="3">
        <v>1.0</v>
      </c>
    </row>
    <row r="1673" ht="15.75" customHeight="1">
      <c r="A1673" s="1">
        <v>1671.0</v>
      </c>
      <c r="B1673" s="3" t="s">
        <v>1674</v>
      </c>
      <c r="C1673" s="3" t="str">
        <f>IFERROR(__xludf.DUMMYFUNCTION("GOOGLETRANSLATE(B1673,""id"",""en"")"),"['Plis',' network ',' Sulawesi ',' southeast ',' kendari ',' getting ',' network ',' upload ',' video ',' You ',' Tube ',' failed ',' Gara ',' Gara ',' Network ',' WiFi ',' Expensive ',' Pay ',' Please ',' Operator ',' Telkomsel ',' Divide ',' The Network"&amp;" ',' Lost ',' Ama ' , 'operator']")</f>
        <v>['Plis',' network ',' Sulawesi ',' southeast ',' kendari ',' getting ',' network ',' upload ',' video ',' You ',' Tube ',' failed ',' Gara ',' Gara ',' Network ',' WiFi ',' Expensive ',' Pay ',' Please ',' Operator ',' Telkomsel ',' Divide ',' The Network ',' Lost ',' Ama ' , 'operator']</v>
      </c>
      <c r="D1673" s="3">
        <v>1.0</v>
      </c>
    </row>
    <row r="1674" ht="15.75" customHeight="1">
      <c r="A1674" s="1">
        <v>1672.0</v>
      </c>
      <c r="B1674" s="3" t="s">
        <v>1675</v>
      </c>
      <c r="C1674" s="3" t="str">
        <f>IFERROR(__xludf.DUMMYFUNCTION("GOOGLETRANSLATE(B1674,""id"",""en"")"),"['Send', 'SMS', 'Link', 'Enter', 'Balesan', 'SMS', 'Link', 'Stale', 'Credit', 'Abis',' Sampe ',' Many ',' "", 'Send', 'SMS', 'Link', 'Provider', 'Choice', 'Comfortable', 'Constant', 'Comfortable', 'Stay', 'Search', 'Provider', 'Comfortable' , 'Simple', 't"&amp;"he application', 'difficult', 'answer', 'already', 'bother', 'served', 'stay', 'uninstall']")</f>
        <v>['Send', 'SMS', 'Link', 'Enter', 'Balesan', 'SMS', 'Link', 'Stale', 'Credit', 'Abis',' Sampe ',' Many ',' ", 'Send', 'SMS', 'Link', 'Provider', 'Choice', 'Comfortable', 'Constant', 'Comfortable', 'Stay', 'Search', 'Provider', 'Comfortable' , 'Simple', 'the application', 'difficult', 'answer', 'already', 'bother', 'served', 'stay', 'uninstall']</v>
      </c>
      <c r="D1674" s="3">
        <v>1.0</v>
      </c>
    </row>
    <row r="1675" ht="15.75" customHeight="1">
      <c r="A1675" s="1">
        <v>1673.0</v>
      </c>
      <c r="B1675" s="3" t="s">
        <v>1676</v>
      </c>
      <c r="C1675" s="3" t="str">
        <f>IFERROR(__xludf.DUMMYFUNCTION("GOOGLETRANSLATE(B1675,""id"",""en"")"),"['lyingi', 'quota', 'daily', 'check', 'ina', 'run out', 'claims',' quota ',' reduced ',' quota ',' main ',' no ',' quota ',' main ',' pulses', 'reduced', 'how', 'Telkomsel', 'please', 'fix', ""]")</f>
        <v>['lyingi', 'quota', 'daily', 'check', 'ina', 'run out', 'claims',' quota ',' reduced ',' quota ',' main ',' no ',' quota ',' main ',' pulses', 'reduced', 'how', 'Telkomsel', 'please', 'fix', "]</v>
      </c>
      <c r="D1675" s="3">
        <v>2.0</v>
      </c>
    </row>
    <row r="1676" ht="15.75" customHeight="1">
      <c r="A1676" s="1">
        <v>1674.0</v>
      </c>
      <c r="B1676" s="3" t="s">
        <v>1677</v>
      </c>
      <c r="C1676" s="3" t="str">
        <f>IFERROR(__xludf.DUMMYFUNCTION("GOOGLETRANSLATE(B1676,""id"",""en"")"),"['', 'PKE', 'Telkomsel', 'disappointed', 'PDHAL', 'Jakarta', 'East', 'Pulogadung', 'signal', 'internet', 'disorder', 'right', 'die ',' lights', 'Snyal', 'follow', 'die', 'severe', 'phone', 'can', 'emergency', 'sya', 'telkomsel', 'bsa', 'count on', 'lgi', "&amp;"'mnding', 'moved', 'operator', 'next door', 'ajaa']")</f>
        <v>['', 'PKE', 'Telkomsel', 'disappointed', 'PDHAL', 'Jakarta', 'East', 'Pulogadung', 'signal', 'internet', 'disorder', 'right', 'die ',' lights', 'Snyal', 'follow', 'die', 'severe', 'phone', 'can', 'emergency', 'sya', 'telkomsel', 'bsa', 'count on', 'lgi', 'mnding', 'moved', 'operator', 'next door', 'ajaa']</v>
      </c>
      <c r="D1676" s="3">
        <v>1.0</v>
      </c>
    </row>
    <row r="1677" ht="15.75" customHeight="1">
      <c r="A1677" s="1">
        <v>1675.0</v>
      </c>
      <c r="B1677" s="3" t="s">
        <v>1678</v>
      </c>
      <c r="C1677" s="3" t="str">
        <f>IFERROR(__xludf.DUMMYFUNCTION("GOOGLETRANSLATE(B1677,""id"",""en"")"),"['Update', 'Terossss',' Network ',' kagak ',' Perny ',' update ',' price ',' expensive ',' according to ',' network ',' bro ',' Telkomsel ',' You ',' Reply ',' Hi ',' Sis', 'Sorry', 'Sister', 'Comfortable', 'Complaints',' Information ',' Application ',' T"&amp;"elkomsel ',' account ',' Blablabla ' , 'You', 'Benerin', 'Network', 'Glad', 'Masala', 'Your Application', 'Nyusul', 'Ntar', 'The Network', ""]")</f>
        <v>['Update', 'Terossss',' Network ',' kagak ',' Perny ',' update ',' price ',' expensive ',' according to ',' network ',' bro ',' Telkomsel ',' You ',' Reply ',' Hi ',' Sis', 'Sorry', 'Sister', 'Comfortable', 'Complaints',' Information ',' Application ',' Telkomsel ',' account ',' Blablabla ' , 'You', 'Benerin', 'Network', 'Glad', 'Masala', 'Your Application', 'Nyusul', 'Ntar', 'The Network', "]</v>
      </c>
      <c r="D1677" s="3">
        <v>1.0</v>
      </c>
    </row>
    <row r="1678" ht="15.75" customHeight="1">
      <c r="A1678" s="1">
        <v>1676.0</v>
      </c>
      <c r="B1678" s="3" t="s">
        <v>1679</v>
      </c>
      <c r="C1678" s="3" t="str">
        <f>IFERROR(__xludf.DUMMYFUNCTION("GOOGLETRANSLATE(B1678,""id"",""en"")"),"['Force', 'closed', 'emotion', 'Need', 'really', 'quota', 'right', 'exam', 'something', 'Went', 'Wrong', 'Mulu', ' Repaired ',' ']")</f>
        <v>['Force', 'closed', 'emotion', 'Need', 'really', 'quota', 'right', 'exam', 'something', 'Went', 'Wrong', 'Mulu', ' Repaired ',' ']</v>
      </c>
      <c r="D1678" s="3">
        <v>1.0</v>
      </c>
    </row>
    <row r="1679" ht="15.75" customHeight="1">
      <c r="A1679" s="1">
        <v>1677.0</v>
      </c>
      <c r="B1679" s="3" t="s">
        <v>1680</v>
      </c>
      <c r="C1679" s="3" t="str">
        <f>IFERROR(__xludf.DUMMYFUNCTION("GOOGLETRANSLATE(B1679,""id"",""en"")"),"['Contents',' pulse ',' many ',' times', 'access',' package ',' data ',' entry ',' balance ',' pulse ',' reduced ',' experience ',' Constraints', 'Please', 'Repaired', 'Customers',' Disappointed ',' Thank you ']")</f>
        <v>['Contents',' pulse ',' many ',' times', 'access',' package ',' data ',' entry ',' balance ',' pulse ',' reduced ',' experience ',' Constraints', 'Please', 'Repaired', 'Customers',' Disappointed ',' Thank you ']</v>
      </c>
      <c r="D1679" s="3">
        <v>2.0</v>
      </c>
    </row>
    <row r="1680" ht="15.75" customHeight="1">
      <c r="A1680" s="1">
        <v>1678.0</v>
      </c>
      <c r="B1680" s="3" t="s">
        <v>1681</v>
      </c>
      <c r="C1680" s="3" t="str">
        <f>IFERROR(__xludf.DUMMYFUNCTION("GOOGLETRANSLATE(B1680,""id"",""en"")"),"['buy', 'package', 'request', 'process',' mulu ',' already ',' many ',' times', 'tetep', 'rich', 'that's',' right ',' Buy ',' Direct ',' SMS ',' Sign in ',' Tetep ',' Request ',' Process', 'Mulu', 'Fear', 'Lost', 'Pulse', 'first']")</f>
        <v>['buy', 'package', 'request', 'process',' mulu ',' already ',' many ',' times', 'tetep', 'rich', 'that's',' right ',' Buy ',' Direct ',' SMS ',' Sign in ',' Tetep ',' Request ',' Process', 'Mulu', 'Fear', 'Lost', 'Pulse', 'first']</v>
      </c>
      <c r="D1680" s="3">
        <v>3.0</v>
      </c>
    </row>
    <row r="1681" ht="15.75" customHeight="1">
      <c r="A1681" s="1">
        <v>1679.0</v>
      </c>
      <c r="B1681" s="3" t="s">
        <v>1682</v>
      </c>
      <c r="C1681" s="3" t="str">
        <f>IFERROR(__xludf.DUMMYFUNCTION("GOOGLETRANSLATE(B1681,""id"",""en"")"),"['application', 'poor', 'NOT', 'The way', 'slow', 'network', 'Telkomsel', 'Ajir', 'Severe', 'open', 'appears',' free ',' quota ',' GB ',' work ',' wfh ',' signal ',' poor ',' yes', 'gini', 'Telkomsel', 'lazy']")</f>
        <v>['application', 'poor', 'NOT', 'The way', 'slow', 'network', 'Telkomsel', 'Ajir', 'Severe', 'open', 'appears',' free ',' quota ',' GB ',' work ',' wfh ',' signal ',' poor ',' yes', 'gini', 'Telkomsel', 'lazy']</v>
      </c>
      <c r="D1681" s="3">
        <v>1.0</v>
      </c>
    </row>
    <row r="1682" ht="15.75" customHeight="1">
      <c r="A1682" s="1">
        <v>1680.0</v>
      </c>
      <c r="B1682" s="3" t="s">
        <v>1683</v>
      </c>
      <c r="C1682" s="3" t="str">
        <f>IFERROR(__xludf.DUMMYFUNCTION("GOOGLETRANSLATE(B1682,""id"",""en"")"),"['KKA', 'ABG', 'NOTS', 'KNP', 'Network', 'Telkomsel', 'Error', 'Please', 'Confirm', 'Error']")</f>
        <v>['KKA', 'ABG', 'NOTS', 'KNP', 'Network', 'Telkomsel', 'Error', 'Please', 'Confirm', 'Error']</v>
      </c>
      <c r="D1682" s="3">
        <v>1.0</v>
      </c>
    </row>
    <row r="1683" ht="15.75" customHeight="1">
      <c r="A1683" s="1">
        <v>1681.0</v>
      </c>
      <c r="B1683" s="3" t="s">
        <v>1684</v>
      </c>
      <c r="C1683" s="3" t="str">
        <f>IFERROR(__xludf.DUMMYFUNCTION("GOOGLETRANSLATE(B1683,""id"",""en"")"),"['kog', 'difficult', 'list', 'package', 'turn', 'please', 'Lahh', 'satisfied', 'customer', 'promo', 'buy', 'packetan', ' Internet ',' difficult ',' ']")</f>
        <v>['kog', 'difficult', 'list', 'package', 'turn', 'please', 'Lahh', 'satisfied', 'customer', 'promo', 'buy', 'packetan', ' Internet ',' difficult ',' ']</v>
      </c>
      <c r="D1683" s="3">
        <v>1.0</v>
      </c>
    </row>
    <row r="1684" ht="15.75" customHeight="1">
      <c r="A1684" s="1">
        <v>1682.0</v>
      </c>
      <c r="B1684" s="3" t="s">
        <v>1685</v>
      </c>
      <c r="C1684" s="3" t="str">
        <f>IFERROR(__xludf.DUMMYFUNCTION("GOOGLETRANSLATE(B1684,""id"",""en"")"),"['Congratulations',' noon ',' Telkomsel ',' Application ',' Telkomsel ',' Package ',' Combo ',' Sakti ',' Unlimted ',' Price ',' Unlimited ',' Price ',' Please ',' Appealed ',' What ',' Respect ',' Telkomsel ',' Klu ',' Choose ',' Love ',' Costumer ',' Us"&amp;"e ',' Card ',' Number ' , 'thank', 'love', 'please', 'appeared', '']")</f>
        <v>['Congratulations',' noon ',' Telkomsel ',' Application ',' Telkomsel ',' Package ',' Combo ',' Sakti ',' Unlimted ',' Price ',' Unlimited ',' Price ',' Please ',' Appealed ',' What ',' Respect ',' Telkomsel ',' Klu ',' Choose ',' Love ',' Costumer ',' Use ',' Card ',' Number ' , 'thank', 'love', 'please', 'appeared', '']</v>
      </c>
      <c r="D1684" s="3">
        <v>1.0</v>
      </c>
    </row>
    <row r="1685" ht="15.75" customHeight="1">
      <c r="A1685" s="1">
        <v>1683.0</v>
      </c>
      <c r="B1685" s="3" t="s">
        <v>1686</v>
      </c>
      <c r="C1685" s="3" t="str">
        <f>IFERROR(__xludf.DUMMYFUNCTION("GOOGLETRANSLATE(B1685,""id"",""en"")"),"['number', 'apk', 'Telkomsel', 'right', 'login', 'number', 'login', 'reset', 'told', 'click', 'link', 'sms',' Link ',' Sent ',' expiration ',' Please ',' Fix ',' Bug ',' Edit ',' Hadeh ',' Severe ',' Nggk ',' Enter ',' Network ',' Good ' ]")</f>
        <v>['number', 'apk', 'Telkomsel', 'right', 'login', 'number', 'login', 'reset', 'told', 'click', 'link', 'sms',' Link ',' Sent ',' expiration ',' Please ',' Fix ',' Bug ',' Edit ',' Hadeh ',' Severe ',' Nggk ',' Enter ',' Network ',' Good ' ]</v>
      </c>
      <c r="D1685" s="3">
        <v>1.0</v>
      </c>
    </row>
    <row r="1686" ht="15.75" customHeight="1">
      <c r="A1686" s="1">
        <v>1684.0</v>
      </c>
      <c r="B1686" s="3" t="s">
        <v>1687</v>
      </c>
      <c r="C1686" s="3" t="str">
        <f>IFERROR(__xludf.DUMMYFUNCTION("GOOGLETRANSLATE(B1686,""id"",""en"")"),"['complicated', 'like', 'entered', 'many', 'times',' application ',' mantau ',' quota ',' modem ',' verification ',' number ',' complicated ',' Disconnect ',' Install ',' card ',' move ',' modem ',' modem ']")</f>
        <v>['complicated', 'like', 'entered', 'many', 'times',' application ',' mantau ',' quota ',' modem ',' verification ',' number ',' complicated ',' Disconnect ',' Install ',' card ',' move ',' modem ',' modem ']</v>
      </c>
      <c r="D1686" s="3">
        <v>1.0</v>
      </c>
    </row>
    <row r="1687" ht="15.75" customHeight="1">
      <c r="A1687" s="1">
        <v>1685.0</v>
      </c>
      <c r="B1687" s="3" t="s">
        <v>1688</v>
      </c>
      <c r="C1687" s="3" t="str">
        <f>IFERROR(__xludf.DUMMYFUNCTION("GOOGLETRANSLATE(B1687,""id"",""en"")"),"['Hello', 'Telkomsel', 'quota', 'package', 'network', 'pulse', 'rb', 'cut out', 'pulses',' rb ',' more ',' uda ',' TLP ',' Telkomsel ',' Telkomsel ',' solution ',' buk ',' please ',' kasi ',' solution ',' package ',' get ',' cut ',' pulse ',' right ' , 'O"&amp;"pen', 'Internet', '']")</f>
        <v>['Hello', 'Telkomsel', 'quota', 'package', 'network', 'pulse', 'rb', 'cut out', 'pulses',' rb ',' more ',' uda ',' TLP ',' Telkomsel ',' Telkomsel ',' solution ',' buk ',' please ',' kasi ',' solution ',' package ',' get ',' cut ',' pulse ',' right ' , 'Open', 'Internet', '']</v>
      </c>
      <c r="D1687" s="3">
        <v>3.0</v>
      </c>
    </row>
    <row r="1688" ht="15.75" customHeight="1">
      <c r="A1688" s="1">
        <v>1686.0</v>
      </c>
      <c r="B1688" s="3" t="s">
        <v>1689</v>
      </c>
      <c r="C1688" s="3" t="str">
        <f>IFERROR(__xludf.DUMMYFUNCTION("GOOGLETRANSLATE(B1688,""id"",""en"")"),"['APK', 'Telkomsel', 'Bank', 'Costs',' Admin ',' Credit ',' Reduced ',' Check ',' Credit ',' Reduced ',' Wonder ',' APK ',' Please, 'repaired', 'APK', '']")</f>
        <v>['APK', 'Telkomsel', 'Bank', 'Costs',' Admin ',' Credit ',' Reduced ',' Check ',' Credit ',' Reduced ',' Wonder ',' APK ',' Please, 'repaired', 'APK', '']</v>
      </c>
      <c r="D1688" s="3">
        <v>1.0</v>
      </c>
    </row>
    <row r="1689" ht="15.75" customHeight="1">
      <c r="A1689" s="1">
        <v>1687.0</v>
      </c>
      <c r="B1689" s="3" t="s">
        <v>1690</v>
      </c>
      <c r="C1689" s="3" t="str">
        <f>IFERROR(__xludf.DUMMYFUNCTION("GOOGLETRANSLATE(B1689,""id"",""en"")"),"['YTH', 'officials',' Telkomsel ',' Fix ',' Quality ',' Signal ',' Internet ',' Telkomsel ',' Severe ',' Serasa ',' Network ',' lag ',' Severe ',' Cuman ',' chase ',' Sales', 'Fix', 'Quality', 'Package', 'Internet', 'Tsel', 'Cheap', 'Use', 'Luatrr', 'Repo"&amp;"rt' , 'Veronica', 'help', 'help', 'noted', 'disability', 'Tsel', 'star', 'Play', 'Store', 'love', 'tsel']")</f>
        <v>['YTH', 'officials',' Telkomsel ',' Fix ',' Quality ',' Signal ',' Internet ',' Telkomsel ',' Severe ',' Serasa ',' Network ',' lag ',' Severe ',' Cuman ',' chase ',' Sales', 'Fix', 'Quality', 'Package', 'Internet', 'Tsel', 'Cheap', 'Use', 'Luatrr', 'Report' , 'Veronica', 'help', 'help', 'noted', 'disability', 'Tsel', 'star', 'Play', 'Store', 'love', 'tsel']</v>
      </c>
      <c r="D1689" s="3">
        <v>1.0</v>
      </c>
    </row>
    <row r="1690" ht="15.75" customHeight="1">
      <c r="A1690" s="1">
        <v>1688.0</v>
      </c>
      <c r="B1690" s="3" t="s">
        <v>1691</v>
      </c>
      <c r="C1690" s="3" t="str">
        <f>IFERROR(__xludf.DUMMYFUNCTION("GOOGLETRANSLATE(B1690,""id"",""en"")"),"['price', 'expensive', 'network', 'lag', 'return', 'money', 'loss',' price ',' expensive ',' package ',' data ',' internet ',' network ',' missing ',' network ',' customer ',' loyal ',' Telkomsel ',' disappointed ',' humor ',' development ',' loss']")</f>
        <v>['price', 'expensive', 'network', 'lag', 'return', 'money', 'loss',' price ',' expensive ',' package ',' data ',' internet ',' network ',' missing ',' network ',' customer ',' loyal ',' Telkomsel ',' disappointed ',' humor ',' development ',' loss']</v>
      </c>
      <c r="D1690" s="3">
        <v>1.0</v>
      </c>
    </row>
    <row r="1691" ht="15.75" customHeight="1">
      <c r="A1691" s="1">
        <v>1689.0</v>
      </c>
      <c r="B1691" s="3" t="s">
        <v>1692</v>
      </c>
      <c r="C1691" s="3" t="str">
        <f>IFERROR(__xludf.DUMMYFUNCTION("GOOGLETRANSLATE(B1691,""id"",""en"")"),"['Disruption', 'Network', 'Service', 'Costs',' Remove ',' On ',' Wear ',' Telkomsel ',' Harm ',' Materil ',' Non ',' Materil ',' network ',' broken ',' disappointed ',' Connect ',' Call ',' Center ',' love ',' fun ',' complaints', 'network', ""]")</f>
        <v>['Disruption', 'Network', 'Service', 'Costs',' Remove ',' On ',' Wear ',' Telkomsel ',' Harm ',' Materil ',' Non ',' Materil ',' network ',' broken ',' disappointed ',' Connect ',' Call ',' Center ',' love ',' fun ',' complaints', 'network', "]</v>
      </c>
      <c r="D1691" s="3">
        <v>1.0</v>
      </c>
    </row>
    <row r="1692" ht="15.75" customHeight="1">
      <c r="A1692" s="1">
        <v>1690.0</v>
      </c>
      <c r="B1692" s="3" t="s">
        <v>1693</v>
      </c>
      <c r="C1692" s="3" t="str">
        <f>IFERROR(__xludf.DUMMYFUNCTION("GOOGLETRANSLATE(B1692,""id"",""en"")"),"['Assalamualaikum', 'please', 'sympathy', 'fill', 'quota', 'night', 'until', 'morning', 'clock', 'please', 'speed', 'repair', ' Comfortable ',' entry ',' sympathy ',' muter ',' losing ',' enter ',' virtual ',' whatsapp ',' ']")</f>
        <v>['Assalamualaikum', 'please', 'sympathy', 'fill', 'quota', 'night', 'until', 'morning', 'clock', 'please', 'speed', 'repair', ' Comfortable ',' entry ',' sympathy ',' muter ',' losing ',' enter ',' virtual ',' whatsapp ',' ']</v>
      </c>
      <c r="D1692" s="3">
        <v>1.0</v>
      </c>
    </row>
    <row r="1693" ht="15.75" customHeight="1">
      <c r="A1693" s="1">
        <v>1691.0</v>
      </c>
      <c r="B1693" s="3" t="s">
        <v>1694</v>
      </c>
      <c r="C1693" s="3" t="str">
        <f>IFERROR(__xludf.DUMMYFUNCTION("GOOGLETRANSLATE(B1693,""id"",""en"")"),"['The application', 'poor', 'buy', 'package', 'data', 'told', 'TOP', 'pulses',' because ',' STAH ',' Top ',' No ',' buy ',' package ',' Mending ',' Uninstall ',' Ajah ',' The application ',' ']")</f>
        <v>['The application', 'poor', 'buy', 'package', 'data', 'told', 'TOP', 'pulses',' because ',' STAH ',' Top ',' No ',' buy ',' package ',' Mending ',' Uninstall ',' Ajah ',' The application ',' ']</v>
      </c>
      <c r="D1693" s="3">
        <v>1.0</v>
      </c>
    </row>
    <row r="1694" ht="15.75" customHeight="1">
      <c r="A1694" s="1">
        <v>1692.0</v>
      </c>
      <c r="B1694" s="3" t="s">
        <v>1695</v>
      </c>
      <c r="C1694" s="3" t="str">
        <f>IFERROR(__xludf.DUMMYFUNCTION("GOOGLETRANSLATE(B1694,""id"",""en"")"),"['', 'Telkomsel', 'Sya', 'open', 'times',' uninstall ',' install ',' ttap ',' SJA ',' tdak ',' open ',' picture ',' white ',' empty ',' app ',' garbage ',' spend ',' data ']")</f>
        <v>['', 'Telkomsel', 'Sya', 'open', 'times',' uninstall ',' install ',' ttap ',' SJA ',' tdak ',' open ',' picture ',' white ',' empty ',' app ',' garbage ',' spend ',' data ']</v>
      </c>
      <c r="D1694" s="3">
        <v>1.0</v>
      </c>
    </row>
    <row r="1695" ht="15.75" customHeight="1">
      <c r="A1695" s="1">
        <v>1693.0</v>
      </c>
      <c r="B1695" s="3" t="s">
        <v>1696</v>
      </c>
      <c r="C1695" s="3" t="str">
        <f>IFERROR(__xludf.DUMMYFUNCTION("GOOGLETRANSLATE(B1695,""id"",""en"")"),"['complaints',' package ',' internet ',' locally ',' quota ',' multimedian ',' game ',' quota ',' unlimited ',' what ',' developer ',' edit ',' UDH ',' Try ',' Suggestion ',' Developer ',' Saranin ',' Telkomsel ',' Thinking ',' Times', 'Sousal', 'Good', '"&amp;"Service', 'Good', ""]")</f>
        <v>['complaints',' package ',' internet ',' locally ',' quota ',' multimedian ',' game ',' quota ',' unlimited ',' what ',' developer ',' edit ',' UDH ',' Try ',' Suggestion ',' Developer ',' Saranin ',' Telkomsel ',' Thinking ',' Times', 'Sousal', 'Good', 'Service', 'Good', "]</v>
      </c>
      <c r="D1695" s="3">
        <v>1.0</v>
      </c>
    </row>
    <row r="1696" ht="15.75" customHeight="1">
      <c r="A1696" s="1">
        <v>1694.0</v>
      </c>
      <c r="B1696" s="3" t="s">
        <v>1697</v>
      </c>
      <c r="C1696" s="3" t="str">
        <f>IFERROR(__xludf.DUMMYFUNCTION("GOOGLETRANSLATE(B1696,""id"",""en"")"),"['Kaga', 'buy', 'package', 'yng', 'promo', 'promo', 'smpai', 'April', 'bought', 'writing', 'activation', 'package', ' Processed ',' Wait ',' enter ',' ']")</f>
        <v>['Kaga', 'buy', 'package', 'yng', 'promo', 'promo', 'smpai', 'April', 'bought', 'writing', 'activation', 'package', ' Processed ',' Wait ',' enter ',' ']</v>
      </c>
      <c r="D1696" s="3">
        <v>1.0</v>
      </c>
    </row>
    <row r="1697" ht="15.75" customHeight="1">
      <c r="A1697" s="1">
        <v>1695.0</v>
      </c>
      <c r="B1697" s="3" t="s">
        <v>1698</v>
      </c>
      <c r="C1697" s="3" t="str">
        <f>IFERROR(__xludf.DUMMYFUNCTION("GOOGLETRANSLATE(B1697,""id"",""en"")"),"['Gajelas',' Telkomsel ',' package ',' expensive ',' signal ',' bad ',' begging ',' buy ',' SIM ',' slow ',' good ',' play ',' Game ',' difficult ',' slow ',' lost ',' network ',' watch ',' strong ',' network ',' watch ',' film ',' slow ',' please ',' dev"&amp;" ' , 'Repaired', 'SIMKU', 'Telkomsel', 'SIM', 'THN', 'SIM', 'WEEK', 'TEKOMSCEL', 'Network', 'right', 'play', 'game', ' ']")</f>
        <v>['Gajelas',' Telkomsel ',' package ',' expensive ',' signal ',' bad ',' begging ',' buy ',' SIM ',' slow ',' good ',' play ',' Game ',' difficult ',' slow ',' lost ',' network ',' watch ',' strong ',' network ',' watch ',' film ',' slow ',' please ',' dev ' , 'Repaired', 'SIMKU', 'Telkomsel', 'SIM', 'THN', 'SIM', 'WEEK', 'TEKOMSCEL', 'Network', 'right', 'play', 'game', ' ']</v>
      </c>
      <c r="D1697" s="3">
        <v>1.0</v>
      </c>
    </row>
    <row r="1698" ht="15.75" customHeight="1">
      <c r="A1698" s="1">
        <v>1696.0</v>
      </c>
      <c r="B1698" s="3" t="s">
        <v>1699</v>
      </c>
      <c r="C1698" s="3" t="str">
        <f>IFERROR(__xludf.DUMMYFUNCTION("GOOGLETRANSLATE(B1698,""id"",""en"")"),"['Kasi', 'star', 'because', 'make', 'Make', 'Telkomsel', 'number', 'Telkomsel', 'trusted', 'already', 'Jarinhan', 'internet', ' the road ',' morning ',' road ',' missing ',' embossed ',' clarity ',' bar ',' signal ',' bar ',' please ',' donk ',' repair ',"&amp;"' as soon as possible , 'contents',' package ',' ampe ',' thousand ',' per month ',' screen ',' cellphone ',' ngeta ',' already ',' business', 'run', 'smooth', ' Kec ',' Lubuk ',' Akaping ',' Kab ',' Pasaman ']")</f>
        <v>['Kasi', 'star', 'because', 'make', 'Make', 'Telkomsel', 'number', 'Telkomsel', 'trusted', 'already', 'Jarinhan', 'internet', ' the road ',' morning ',' road ',' missing ',' embossed ',' clarity ',' bar ',' signal ',' bar ',' please ',' donk ',' repair ',' as soon as possible , 'contents',' package ',' ampe ',' thousand ',' per month ',' screen ',' cellphone ',' ngeta ',' already ',' business', 'run', 'smooth', ' Kec ',' Lubuk ',' Akaping ',' Kab ',' Pasaman ']</v>
      </c>
      <c r="D1698" s="3">
        <v>5.0</v>
      </c>
    </row>
    <row r="1699" ht="15.75" customHeight="1">
      <c r="A1699" s="1">
        <v>1697.0</v>
      </c>
      <c r="B1699" s="3" t="s">
        <v>1700</v>
      </c>
      <c r="C1699" s="3" t="str">
        <f>IFERROR(__xludf.DUMMYFUNCTION("GOOGLETRANSLATE(B1699,""id"",""en"")"),"['Slalu', 'buy', 'card', 'Telkomsel', 'signal', 'good', 'smooth', 'open', 'application', 'anything', 'buy', 'card', ' telkomsel ',' GB ',' unlimited ',' quota ',' main ',' run out ',' turn ',' GB ',' gabisa ',' slow ',' really ',' kek ',' gada ' , 'quota'"&amp;", 'pdahal', 'gmna', 'solution', 'please', 'help', 'darling', 'really', 'buy', 'expensive', '']")</f>
        <v>['Slalu', 'buy', 'card', 'Telkomsel', 'signal', 'good', 'smooth', 'open', 'application', 'anything', 'buy', 'card', ' telkomsel ',' GB ',' unlimited ',' quota ',' main ',' run out ',' turn ',' GB ',' gabisa ',' slow ',' really ',' kek ',' gada ' , 'quota', 'pdahal', 'gmna', 'solution', 'please', 'help', 'darling', 'really', 'buy', 'expensive', '']</v>
      </c>
      <c r="D1699" s="3">
        <v>1.0</v>
      </c>
    </row>
    <row r="1700" ht="15.75" customHeight="1">
      <c r="A1700" s="1">
        <v>1698.0</v>
      </c>
      <c r="B1700" s="3" t="s">
        <v>1701</v>
      </c>
      <c r="C1700" s="3" t="str">
        <f>IFERROR(__xludf.DUMMYFUNCTION("GOOGLETRANSLATE(B1700,""id"",""en"")"),"['buy', 'package', 'unlimited', 'youtube', 'message', 'klw', 'tomorrow', 'purchase', 'buy', 'a day', 'pulse', 'udh', ' Cut ',' according to ',' price ',' healthy ',' kah ',' telk ',' msel ',' sorry ',' klw ',' rough ',' emng ',' basically ',' ngelunjak ' "&amp;", '']")</f>
        <v>['buy', 'package', 'unlimited', 'youtube', 'message', 'klw', 'tomorrow', 'purchase', 'buy', 'a day', 'pulse', 'udh', ' Cut ',' according to ',' price ',' healthy ',' kah ',' telk ',' msel ',' sorry ',' klw ',' rough ',' emng ',' basically ',' ngelunjak ' , '']</v>
      </c>
      <c r="D1700" s="3">
        <v>1.0</v>
      </c>
    </row>
    <row r="1701" ht="15.75" customHeight="1">
      <c r="A1701" s="1">
        <v>1699.0</v>
      </c>
      <c r="B1701" s="3" t="s">
        <v>1702</v>
      </c>
      <c r="C1701" s="3" t="str">
        <f>IFERROR(__xludf.DUMMYFUNCTION("GOOGLETRANSLATE(B1701,""id"",""en"")"),"['admin', 'buy', 'package', 'combo', 'sick', 'free', 'sms',' call ',' package ',' sms', 'free', 'call', ' Sihh ']")</f>
        <v>['admin', 'buy', 'package', 'combo', 'sick', 'free', 'sms',' call ',' package ',' sms', 'free', 'call', ' Sihh ']</v>
      </c>
      <c r="D1701" s="3">
        <v>1.0</v>
      </c>
    </row>
    <row r="1702" ht="15.75" customHeight="1">
      <c r="A1702" s="1">
        <v>1700.0</v>
      </c>
      <c r="B1702" s="3" t="s">
        <v>1703</v>
      </c>
      <c r="C1702" s="3" t="str">
        <f>IFERROR(__xludf.DUMMYFUNCTION("GOOGLETRANSLATE(B1702,""id"",""en"")"),"['bug', 'fix', 'renewal', 'times', 'usually', 'program', 'daily', 'chekin', 'safe', '']")</f>
        <v>['bug', 'fix', 'renewal', 'times', 'usually', 'program', 'daily', 'chekin', 'safe', '']</v>
      </c>
      <c r="D1702" s="3">
        <v>1.0</v>
      </c>
    </row>
    <row r="1703" ht="15.75" customHeight="1">
      <c r="A1703" s="1">
        <v>1701.0</v>
      </c>
      <c r="B1703" s="3" t="s">
        <v>1704</v>
      </c>
      <c r="C1703" s="3" t="str">
        <f>IFERROR(__xludf.DUMMYFUNCTION("GOOGLETRANSLATE(B1703,""id"",""en"")"),"['Best', 'rotten', 'The network', 'please', 'network', 'repaired', 'customer', 'complaining', 'area', 'Badau', 'Kapuas',' Hulu ',' Kalimantan ',' West ',' a week ',' until ',' network ',' lost ',' tower ',' just ',' kilo ',' meter ',' lost ',' signal ',' "&amp;"until ' , 'All day', 'brand', 'Next to', 'Safe', 'Law', 'Lose', 'Paketan', 'Masi', 'Dead', 'Aktiv', 'Udh', 'Out', ' Loss', 'Bandar', ""]")</f>
        <v>['Best', 'rotten', 'The network', 'please', 'network', 'repaired', 'customer', 'complaining', 'area', 'Badau', 'Kapuas',' Hulu ',' Kalimantan ',' West ',' a week ',' until ',' network ',' lost ',' tower ',' just ',' kilo ',' meter ',' lost ',' signal ',' until ' , 'All day', 'brand', 'Next to', 'Safe', 'Law', 'Lose', 'Paketan', 'Masi', 'Dead', 'Aktiv', 'Udh', 'Out', ' Loss', 'Bandar', "]</v>
      </c>
      <c r="D1703" s="3">
        <v>1.0</v>
      </c>
    </row>
    <row r="1704" ht="15.75" customHeight="1">
      <c r="A1704" s="1">
        <v>1702.0</v>
      </c>
      <c r="B1704" s="3" t="s">
        <v>1705</v>
      </c>
      <c r="C1704" s="3" t="str">
        <f>IFERROR(__xludf.DUMMYFUNCTION("GOOGLETRANSLATE(B1704,""id"",""en"")"),"['Assalamualaikum', 'Java', 'Telkomsel', 'Network', 'Dipelek', 'Mendelek', 'Please', 'Fix', 'Office', 'Telkomsel']")</f>
        <v>['Assalamualaikum', 'Java', 'Telkomsel', 'Network', 'Dipelek', 'Mendelek', 'Please', 'Fix', 'Office', 'Telkomsel']</v>
      </c>
      <c r="D1704" s="3">
        <v>3.0</v>
      </c>
    </row>
    <row r="1705" ht="15.75" customHeight="1">
      <c r="A1705" s="1">
        <v>1703.0</v>
      </c>
      <c r="B1705" s="3" t="s">
        <v>1706</v>
      </c>
      <c r="C1705" s="3" t="str">
        <f>IFERROR(__xludf.DUMMYFUNCTION("GOOGLETRANSLATE(B1705,""id"",""en"")"),"['Package', 'Hello', 'unlimited', 'gimmick', 'quota', 'main', 'run out', 'access',' anything ',' application ',' access', 'unlimited', ' ']")</f>
        <v>['Package', 'Hello', 'unlimited', 'gimmick', 'quota', 'main', 'run out', 'access',' anything ',' application ',' access', 'unlimited', ' ']</v>
      </c>
      <c r="D1705" s="3">
        <v>1.0</v>
      </c>
    </row>
    <row r="1706" ht="15.75" customHeight="1">
      <c r="A1706" s="1">
        <v>1704.0</v>
      </c>
      <c r="B1706" s="3" t="s">
        <v>1707</v>
      </c>
      <c r="C1706" s="3" t="str">
        <f>IFERROR(__xludf.DUMMYFUNCTION("GOOGLETRANSLATE(B1706,""id"",""en"")"),"['believe', 'Telkomsel', 'price', 'expensive', 'name', 'doang', 'signal', 'right', 'good', 'Axix', 'Telkomsel', 'dlu', ' Bgus', 'skrg', 'corruption', 'tower', 'reduce']")</f>
        <v>['believe', 'Telkomsel', 'price', 'expensive', 'name', 'doang', 'signal', 'right', 'good', 'Axix', 'Telkomsel', 'dlu', ' Bgus', 'skrg', 'corruption', 'tower', 'reduce']</v>
      </c>
      <c r="D1706" s="3">
        <v>1.0</v>
      </c>
    </row>
    <row r="1707" ht="15.75" customHeight="1">
      <c r="A1707" s="1">
        <v>1705.0</v>
      </c>
      <c r="B1707" s="3" t="s">
        <v>1708</v>
      </c>
      <c r="C1707" s="3" t="str">
        <f>IFERROR(__xludf.DUMMYFUNCTION("GOOGLETRANSLATE(B1707,""id"",""en"")"),"['Points',' exchanged ',' boro ',' boro ',' get ',' car ',' get ',' Samsung ',' note ',' kagak ',' how come ',' gifts', 'real', 'Telkomsel', 'hopefully', 'be visited', 'fast', 'hope', 'aamiin']")</f>
        <v>['Points',' exchanged ',' boro ',' boro ',' get ',' car ',' get ',' Samsung ',' note ',' kagak ',' how come ',' gifts', 'real', 'Telkomsel', 'hopefully', 'be visited', 'fast', 'hope', 'aamiin']</v>
      </c>
      <c r="D1707" s="3">
        <v>5.0</v>
      </c>
    </row>
    <row r="1708" ht="15.75" customHeight="1">
      <c r="A1708" s="1">
        <v>1706.0</v>
      </c>
      <c r="B1708" s="3" t="s">
        <v>1709</v>
      </c>
      <c r="C1708" s="3" t="str">
        <f>IFERROR(__xludf.DUMMYFUNCTION("GOOGLETRANSLATE(B1708,""id"",""en"")"),"['Customer', 'Post', 'Pay', 'Enter', 'Customer', 'Loyal', 'Card', 'Hello', 'Package', 'Harm', 'Signal', 'Leet', ' quota ',' little ',' add ',' package ',' hello ',' mending ',' deleted ',' intention ',' package ',' right ',' right ',' idiot ',' boss' , 'H"&amp;"ello', 'postpaid', 'Hina', 'Kek', 'gini']")</f>
        <v>['Customer', 'Post', 'Pay', 'Enter', 'Customer', 'Loyal', 'Card', 'Hello', 'Package', 'Harm', 'Signal', 'Leet', ' quota ',' little ',' add ',' package ',' hello ',' mending ',' deleted ',' intention ',' package ',' right ',' right ',' idiot ',' boss' , 'Hello', 'postpaid', 'Hina', 'Kek', 'gini']</v>
      </c>
      <c r="D1708" s="3">
        <v>1.0</v>
      </c>
    </row>
    <row r="1709" ht="15.75" customHeight="1">
      <c r="A1709" s="1">
        <v>1707.0</v>
      </c>
      <c r="B1709" s="3" t="s">
        <v>1710</v>
      </c>
      <c r="C1709" s="3" t="str">
        <f>IFERROR(__xludf.DUMMYFUNCTION("GOOGLETRANSLATE(B1709,""id"",""en"")"),"['Telkomsel', 'slow', 'times',' play ',' game ',' slow ',' get ',' network ',' good ',' already ',' expensive ',' slow ',' Maleslah ',' Telkomsel ',' Change ']")</f>
        <v>['Telkomsel', 'slow', 'times',' play ',' game ',' slow ',' get ',' network ',' good ',' already ',' expensive ',' slow ',' Maleslah ',' Telkomsel ',' Change ']</v>
      </c>
      <c r="D1709" s="3">
        <v>1.0</v>
      </c>
    </row>
    <row r="1710" ht="15.75" customHeight="1">
      <c r="A1710" s="1">
        <v>1708.0</v>
      </c>
      <c r="B1710" s="3" t="s">
        <v>1711</v>
      </c>
      <c r="C1710" s="3" t="str">
        <f>IFERROR(__xludf.DUMMYFUNCTION("GOOGLETRANSLATE(B1710,""id"",""en"")"),"['users',' Telkomsel ',' loyal ',' knapa ',' like ',' slow ',' times', 'buy', 'package', 'unlimited', 'package', 'quota', ' mainly ',' run out ',' access', 'application', 'example', 'like', 'game', 'music', 'tiktok', 'dsb', 'difficult', 'enter', 'enter' ,"&amp;" 'slow', 'quota', 'main', 'access', 'smooth', 'input', 'friend', 'trims']")</f>
        <v>['users',' Telkomsel ',' loyal ',' knapa ',' like ',' slow ',' times', 'buy', 'package', 'unlimited', 'package', 'quota', ' mainly ',' run out ',' access', 'application', 'example', 'like', 'game', 'music', 'tiktok', 'dsb', 'difficult', 'enter', 'enter' , 'slow', 'quota', 'main', 'access', 'smooth', 'input', 'friend', 'trims']</v>
      </c>
      <c r="D1710" s="3">
        <v>3.0</v>
      </c>
    </row>
    <row r="1711" ht="15.75" customHeight="1">
      <c r="A1711" s="1">
        <v>1709.0</v>
      </c>
      <c r="B1711" s="3" t="s">
        <v>1712</v>
      </c>
      <c r="C1711" s="3" t="str">
        <f>IFERROR(__xludf.DUMMYFUNCTION("GOOGLETRANSLATE(B1711,""id"",""en"")"),"['Woiii', 'Telkomsel', 'electricity', 'go out', 'network', 'Markahan', 'South Kalimantan', 'disorder', 'tower', 'transmitter', 'backup', 'electricity', ' Pay ',' Paketan ',' expensive ',' Telkomsel ',' principal ',' electricity ',' dead ',' Telkomsel ',' "&amp;"follow ',' disruption ', ""]")</f>
        <v>['Woiii', 'Telkomsel', 'electricity', 'go out', 'network', 'Markahan', 'South Kalimantan', 'disorder', 'tower', 'transmitter', 'backup', 'electricity', ' Pay ',' Paketan ',' expensive ',' Telkomsel ',' principal ',' electricity ',' dead ',' Telkomsel ',' follow ',' disruption ', "]</v>
      </c>
      <c r="D1711" s="3">
        <v>1.0</v>
      </c>
    </row>
    <row r="1712" ht="15.75" customHeight="1">
      <c r="A1712" s="1">
        <v>1710.0</v>
      </c>
      <c r="B1712" s="3" t="s">
        <v>1713</v>
      </c>
      <c r="C1712" s="3" t="str">
        <f>IFERROR(__xludf.DUMMYFUNCTION("GOOGLETRANSLATE(B1712,""id"",""en"")"),"['promotion', 'heavy', 'slow', 'good', 'simple', 'rich', 'advertising', 'special', 'service', 'card', 'SIM', 'sell', ' advertisement']")</f>
        <v>['promotion', 'heavy', 'slow', 'good', 'simple', 'rich', 'advertising', 'special', 'service', 'card', 'SIM', 'sell', ' advertisement']</v>
      </c>
      <c r="D1712" s="3">
        <v>1.0</v>
      </c>
    </row>
    <row r="1713" ht="15.75" customHeight="1">
      <c r="A1713" s="1">
        <v>1711.0</v>
      </c>
      <c r="B1713" s="3" t="s">
        <v>1714</v>
      </c>
      <c r="C1713" s="3" t="str">
        <f>IFERROR(__xludf.DUMMYFUNCTION("GOOGLETRANSLATE(B1713,""id"",""en"")"),"['Read', 'Review', 'Do', 'Consumer', 'Kayak', 'Satisfied', 'Buy', 'Kouta', 'Already', 'Expensive', 'Leet', 'Tower', ' Dimna ',' tetep ',' slow ',' reflect ',' reviews', 'consumer', 'price', 'network', 'super', 'slow', 'kouta', 'slow', 'maklumin' , 'Koutaa"&amp;"', 'GB', 'LEGEN', 'Kenceng', 'right', 'buy', 'Doang']")</f>
        <v>['Read', 'Review', 'Do', 'Consumer', 'Kayak', 'Satisfied', 'Buy', 'Kouta', 'Already', 'Expensive', 'Leet', 'Tower', ' Dimna ',' tetep ',' slow ',' reflect ',' reviews', 'consumer', 'price', 'network', 'super', 'slow', 'kouta', 'slow', 'maklumin' , 'Koutaa', 'GB', 'LEGEN', 'Kenceng', 'right', 'buy', 'Doang']</v>
      </c>
      <c r="D1713" s="3">
        <v>1.0</v>
      </c>
    </row>
    <row r="1714" ht="15.75" customHeight="1">
      <c r="A1714" s="1">
        <v>1712.0</v>
      </c>
      <c r="B1714" s="3" t="s">
        <v>1715</v>
      </c>
      <c r="C1714" s="3" t="str">
        <f>IFERROR(__xludf.DUMMYFUNCTION("GOOGLETRANSLATE(B1714,""id"",""en"")"),"['verytttttt', 'disappointed', 'make', 'Telkomsel', 'yrs',' regret ',' migration ',' hello ',' package ',' expensive ',' network ',' clemet ',' The clemet ',' number ',' bwt ',' work ',' replace ',' please ',' Telkomsel ',' fix ',' complains', 'Kisah', 'y"&amp;"our customer', 'comment', 'disappointed' , 'Sepua', 'contents', 'Hadehhhh', 'Hufftt', 'really', '']")</f>
        <v>['verytttttt', 'disappointed', 'make', 'Telkomsel', 'yrs',' regret ',' migration ',' hello ',' package ',' expensive ',' network ',' clemet ',' The clemet ',' number ',' bwt ',' work ',' replace ',' please ',' Telkomsel ',' fix ',' complains', 'Kisah', 'your customer', 'comment', 'disappointed' , 'Sepua', 'contents', 'Hadehhhh', 'Hufftt', 'really', '']</v>
      </c>
      <c r="D1714" s="3">
        <v>1.0</v>
      </c>
    </row>
    <row r="1715" ht="15.75" customHeight="1">
      <c r="A1715" s="1">
        <v>1713.0</v>
      </c>
      <c r="B1715" s="3" t="s">
        <v>1716</v>
      </c>
      <c r="C1715" s="3" t="str">
        <f>IFERROR(__xludf.DUMMYFUNCTION("GOOGLETRANSLATE(B1715,""id"",""en"")"),"['Slalu', 'Slalu', 'Faithful', 'Use', 'Telkomsel', 'Network', 'Where', 'Easy', 'Slalu', 'Convenience', 'Network', 'Slalu', ' Success', 'Telkomsel', 'Love', 'You']")</f>
        <v>['Slalu', 'Slalu', 'Faithful', 'Use', 'Telkomsel', 'Network', 'Where', 'Easy', 'Slalu', 'Convenience', 'Network', 'Slalu', ' Success', 'Telkomsel', 'Love', 'You']</v>
      </c>
      <c r="D1715" s="3">
        <v>5.0</v>
      </c>
    </row>
    <row r="1716" ht="15.75" customHeight="1">
      <c r="A1716" s="1">
        <v>1714.0</v>
      </c>
      <c r="B1716" s="3" t="s">
        <v>1717</v>
      </c>
      <c r="C1716" s="3" t="str">
        <f>IFERROR(__xludf.DUMMYFUNCTION("GOOGLETRANSLATE(B1716,""id"",""en"")"),"['signal', 'bad', 'card', 'garbage', 'signal', 'internet', 'break up', 'Mulu', 'users',' Telkomsel ',' era ',' Telkomsel ',' hnya ',' contents', 'reset', 'rb', 'now', 'udh', 'contents',' reset ',' sekrng ',' traste ',' slow ',' Telkomsel ',' already ' , '"&amp;"deh', 'oake', 'card', 'Telkomsel', 'internet', 'mending', 'replace', 'tuk', 'nlfon', 'kdng', 'bner', 'mugease', ' Telkomsel ',' ']")</f>
        <v>['signal', 'bad', 'card', 'garbage', 'signal', 'internet', 'break up', 'Mulu', 'users',' Telkomsel ',' era ',' Telkomsel ',' hnya ',' contents', 'reset', 'rb', 'now', 'udh', 'contents',' reset ',' sekrng ',' traste ',' slow ',' Telkomsel ',' already ' , 'deh', 'oake', 'card', 'Telkomsel', 'internet', 'mending', 'replace', 'tuk', 'nlfon', 'kdng', 'bner', 'mugease', ' Telkomsel ',' ']</v>
      </c>
      <c r="D1716" s="3">
        <v>1.0</v>
      </c>
    </row>
    <row r="1717" ht="15.75" customHeight="1">
      <c r="A1717" s="1">
        <v>1715.0</v>
      </c>
      <c r="B1717" s="3" t="s">
        <v>1718</v>
      </c>
      <c r="C1717" s="3" t="str">
        <f>IFERROR(__xludf.DUMMYFUNCTION("GOOGLETRANSLATE(B1717,""id"",""en"")"),"['', 'location', 'complained', 'Telkomsel', 'slow', 'try', 'signal', 'use', 'watch', 'striming', 'muter', 'doang', 'application ',' Update ',' restart ',' result ',' nihil ',' come on ',' Telkomsel ',' your opinion ',' years', 'use', 'Telkomsel', 'your op"&amp;"inion', ""]")</f>
        <v>['', 'location', 'complained', 'Telkomsel', 'slow', 'try', 'signal', 'use', 'watch', 'striming', 'muter', 'doang', 'application ',' Update ',' restart ',' result ',' nihil ',' come on ',' Telkomsel ',' your opinion ',' years', 'use', 'Telkomsel', 'your opinion', "]</v>
      </c>
      <c r="D1717" s="3">
        <v>1.0</v>
      </c>
    </row>
    <row r="1718" ht="15.75" customHeight="1">
      <c r="A1718" s="1">
        <v>1716.0</v>
      </c>
      <c r="B1718" s="3" t="s">
        <v>1719</v>
      </c>
      <c r="C1718" s="3" t="str">
        <f>IFERROR(__xludf.DUMMYFUNCTION("GOOGLETRANSLATE(B1718,""id"",""en"")"),"['Telkomsel', 'provides',' package ',' cheap ',' use ',' slow ',' really ',' Different ',' really ',' Sibiru ',' Ungu ',' Telkomsel ',' Uda ',' disappointed ',' really ', ""]")</f>
        <v>['Telkomsel', 'provides',' package ',' cheap ',' use ',' slow ',' really ',' Different ',' really ',' Sibiru ',' Ungu ',' Telkomsel ',' Uda ',' disappointed ',' really ', "]</v>
      </c>
      <c r="D1718" s="3">
        <v>1.0</v>
      </c>
    </row>
    <row r="1719" ht="15.75" customHeight="1">
      <c r="A1719" s="1">
        <v>1717.0</v>
      </c>
      <c r="B1719" s="3" t="s">
        <v>1720</v>
      </c>
      <c r="C1719" s="3" t="str">
        <f>IFERROR(__xludf.DUMMYFUNCTION("GOOGLETRANSLATE(B1719,""id"",""en"")"),"['Please', 'Abis',' Update ',' Package ',' Buy ',' Lost ',' Cuman ',' Package ',' Combo ',' Sakti ',' Doang ',' expensive ',' Please, 'Package', 'Net', 'Max', 'Continues', 'Move', 'Provider', 'Customer', 'Price', 'Package', 'craze', ""]")</f>
        <v>['Please', 'Abis',' Update ',' Package ',' Buy ',' Lost ',' Cuman ',' Package ',' Combo ',' Sakti ',' Doang ',' expensive ',' Please, 'Package', 'Net', 'Max', 'Continues', 'Move', 'Provider', 'Customer', 'Price', 'Package', 'craze', "]</v>
      </c>
      <c r="D1719" s="3">
        <v>1.0</v>
      </c>
    </row>
    <row r="1720" ht="15.75" customHeight="1">
      <c r="A1720" s="1">
        <v>1718.0</v>
      </c>
      <c r="B1720" s="3" t="s">
        <v>1721</v>
      </c>
      <c r="C1720" s="3" t="str">
        <f>IFERROR(__xludf.DUMMYFUNCTION("GOOGLETRANSLATE(B1720,""id"",""en"")"),"['Severe', 'really', 'download', 'file', 'GB', 'ilang', 'udh', 'MB', 'ilang', 'the network', 'reset', 'download', ' economical ',' expenditure ',' Hadeh ',' Season ',' hope ',' repaired ']")</f>
        <v>['Severe', 'really', 'download', 'file', 'GB', 'ilang', 'udh', 'MB', 'ilang', 'the network', 'reset', 'download', ' economical ',' expenditure ',' Hadeh ',' Season ',' hope ',' repaired ']</v>
      </c>
      <c r="D1720" s="3">
        <v>1.0</v>
      </c>
    </row>
    <row r="1721" ht="15.75" customHeight="1">
      <c r="A1721" s="1">
        <v>1719.0</v>
      </c>
      <c r="B1721" s="3" t="s">
        <v>1722</v>
      </c>
      <c r="C1721" s="3" t="str">
        <f>IFERROR(__xludf.DUMMYFUNCTION("GOOGLETRANSLATE(B1721,""id"",""en"")"),"['buy', 'quota', 'apk', 'no', 'response', 'quota', 'buy', 'appears',' processed ',' halah ',' wait ',' hour ',' Kag ',' activation ',' please ',' response ', ""]")</f>
        <v>['buy', 'quota', 'apk', 'no', 'response', 'quota', 'buy', 'appears',' processed ',' halah ',' wait ',' hour ',' Kag ',' activation ',' please ',' response ', "]</v>
      </c>
      <c r="D1721" s="3">
        <v>1.0</v>
      </c>
    </row>
    <row r="1722" ht="15.75" customHeight="1">
      <c r="A1722" s="1">
        <v>1720.0</v>
      </c>
      <c r="B1722" s="3" t="s">
        <v>1723</v>
      </c>
      <c r="C1722" s="3" t="str">
        <f>IFERROR(__xludf.DUMMYFUNCTION("GOOGLETRANSLATE(B1722,""id"",""en"")"),"['application', 'bad', 'open', 'application', 'MyTelkomsel', 'Force', 'Close', 'potatoes',' have ',' spec ',' low ',' really ',' Disappointed ',' application ',' Please ',' fix ',' application ',' as fast as', ""]")</f>
        <v>['application', 'bad', 'open', 'application', 'MyTelkomsel', 'Force', 'Close', 'potatoes',' have ',' spec ',' low ',' really ',' Disappointed ',' application ',' Please ',' fix ',' application ',' as fast as', "]</v>
      </c>
      <c r="D1722" s="3">
        <v>1.0</v>
      </c>
    </row>
    <row r="1723" ht="15.75" customHeight="1">
      <c r="A1723" s="1">
        <v>1721.0</v>
      </c>
      <c r="B1723" s="3" t="s">
        <v>1724</v>
      </c>
      <c r="C1723" s="3" t="str">
        <f>IFERROR(__xludf.DUMMYFUNCTION("GOOGLETRANSLATE(B1723,""id"",""en"")"),"['apk', 'sucks',' apk ',' enter ',' screen ',' white ',' doang ',' already ',' uninstall ',' screen ',' white ',' disappointed ',' signal ',' ugly ',' please ',' fix ',' user ',' satisfied ',' apk ',' please ']")</f>
        <v>['apk', 'sucks',' apk ',' enter ',' screen ',' white ',' doang ',' already ',' uninstall ',' screen ',' white ',' disappointed ',' signal ',' ugly ',' please ',' fix ',' user ',' satisfied ',' apk ',' please ']</v>
      </c>
      <c r="D1723" s="3">
        <v>1.0</v>
      </c>
    </row>
    <row r="1724" ht="15.75" customHeight="1">
      <c r="A1724" s="1">
        <v>1722.0</v>
      </c>
      <c r="B1724" s="3" t="s">
        <v>1725</v>
      </c>
      <c r="C1724" s="3" t="str">
        <f>IFERROR(__xludf.DUMMYFUNCTION("GOOGLETRANSLATE(B1724,""id"",""en"")"),"['buy', 'quota', 'lap', 'unlimitide', 'TPI', 'dipake', 'ngeloading', 'truuuss',' truuuuuss', 'package', 'lap', 'YouTube', ' Tetep ',' bsa ',' used ',' poor ',' Telkomsel ',' expensive ',' doang ', ""]")</f>
        <v>['buy', 'quota', 'lap', 'unlimitide', 'TPI', 'dipake', 'ngeloading', 'truuuss',' truuuuuss', 'package', 'lap', 'YouTube', ' Tetep ',' bsa ',' used ',' poor ',' Telkomsel ',' expensive ',' doang ', "]</v>
      </c>
      <c r="D1724" s="3">
        <v>1.0</v>
      </c>
    </row>
    <row r="1725" ht="15.75" customHeight="1">
      <c r="A1725" s="1">
        <v>1723.0</v>
      </c>
      <c r="B1725" s="3" t="s">
        <v>1726</v>
      </c>
      <c r="C1725" s="3" t="str">
        <f>IFERROR(__xludf.DUMMYFUNCTION("GOOGLETRANSLATE(B1725,""id"",""en"")"),"['please', 'Telkomsel', 'Dear', 'price', 'ngak', 'entry', 'sense', 'cook', 'kouta', 'youtube', 'expensive', 'really' Like ',' Kalok ',' Mending ',' Change ',' card ',' price ',' according to ',' pocket ',' Student ',' Thank you ']")</f>
        <v>['please', 'Telkomsel', 'Dear', 'price', 'ngak', 'entry', 'sense', 'cook', 'kouta', 'youtube', 'expensive', 'really' Like ',' Kalok ',' Mending ',' Change ',' card ',' price ',' according to ',' pocket ',' Student ',' Thank you ']</v>
      </c>
      <c r="D1725" s="3">
        <v>1.0</v>
      </c>
    </row>
    <row r="1726" ht="15.75" customHeight="1">
      <c r="A1726" s="1">
        <v>1724.0</v>
      </c>
      <c r="B1726" s="3" t="s">
        <v>1727</v>
      </c>
      <c r="C1726" s="3" t="str">
        <f>IFERROR(__xludf.DUMMYFUNCTION("GOOGLETRANSLATE(B1726,""id"",""en"")"),"['save', 'credit', 'Telkomsel', 'signal', 'ugly', 'claim', 'as a' provider ',' best ',' take ',' pulse ',' data ',' Internet ',' use ',' msh ',' package ',' data ',' sdg ',' run ',' ']")</f>
        <v>['save', 'credit', 'Telkomsel', 'signal', 'ugly', 'claim', 'as a' provider ',' best ',' take ',' pulse ',' data ',' Internet ',' use ',' msh ',' package ',' data ',' sdg ',' run ',' ']</v>
      </c>
      <c r="D1726" s="3">
        <v>1.0</v>
      </c>
    </row>
    <row r="1727" ht="15.75" customHeight="1">
      <c r="A1727" s="1">
        <v>1725.0</v>
      </c>
      <c r="B1727" s="3" t="s">
        <v>1728</v>
      </c>
      <c r="C1727" s="3" t="str">
        <f>IFERROR(__xludf.DUMMYFUNCTION("GOOGLETRANSLATE(B1727,""id"",""en"")"),"['APL', 'good', 'easier', 'buy', 'package', 'anything', 'sustained', 'need', 'choice', 'pallet', 'Dark', 'package', ' Nelp ',' sosmed ',' internet ',' satisfied ']")</f>
        <v>['APL', 'good', 'easier', 'buy', 'package', 'anything', 'sustained', 'need', 'choice', 'pallet', 'Dark', 'package', ' Nelp ',' sosmed ',' internet ',' satisfied ']</v>
      </c>
      <c r="D1727" s="3">
        <v>5.0</v>
      </c>
    </row>
    <row r="1728" ht="15.75" customHeight="1">
      <c r="A1728" s="1">
        <v>1726.0</v>
      </c>
      <c r="B1728" s="3" t="s">
        <v>1729</v>
      </c>
      <c r="C1728" s="3" t="str">
        <f>IFERROR(__xludf.DUMMYFUNCTION("GOOGLETRANSLATE(B1728,""id"",""en"")"),"['wee', 'Jing', 'try', 'quota', 'play', 'lag', 'open', 'status',' ajg ',' conditioned ',' network ',' noon ',' Afternoon ',' night ',' Dih ',' buy ',' quota ',' internet ',' expensive ',' tip ',' pakek ',' night ',' ajg ']")</f>
        <v>['wee', 'Jing', 'try', 'quota', 'play', 'lag', 'open', 'status',' ajg ',' conditioned ',' network ',' noon ',' Afternoon ',' night ',' Dih ',' buy ',' quota ',' internet ',' expensive ',' tip ',' pakek ',' night ',' ajg ']</v>
      </c>
      <c r="D1728" s="3">
        <v>1.0</v>
      </c>
    </row>
    <row r="1729" ht="15.75" customHeight="1">
      <c r="A1729" s="1">
        <v>1727.0</v>
      </c>
      <c r="B1729" s="3" t="s">
        <v>1730</v>
      </c>
      <c r="C1729" s="3" t="str">
        <f>IFERROR(__xludf.DUMMYFUNCTION("GOOGLETRANSLATE(B1729,""id"",""en"")"),"['Please', 'Telkomsel', 'Region', 'Riau', 'Exact', 'City', 'Duri', 'County', 'Bengkalis',' The Network ',' Lost ',' Embossed ',' Buy ',' quota ',' expensive ',' service ',' bad ',' disappointed ',' card ',' area ',' use ',' Telkomsel ',' sudi ',' expensiv"&amp;"e ',' doang ' , 'service', 'bad', '']")</f>
        <v>['Please', 'Telkomsel', 'Region', 'Riau', 'Exact', 'City', 'Duri', 'County', 'Bengkalis',' The Network ',' Lost ',' Embossed ',' Buy ',' quota ',' expensive ',' service ',' bad ',' disappointed ',' card ',' area ',' use ',' Telkomsel ',' sudi ',' expensive ',' doang ' , 'service', 'bad', '']</v>
      </c>
      <c r="D1729" s="3">
        <v>1.0</v>
      </c>
    </row>
    <row r="1730" ht="15.75" customHeight="1">
      <c r="A1730" s="1">
        <v>1728.0</v>
      </c>
      <c r="B1730" s="3" t="s">
        <v>1731</v>
      </c>
      <c r="C1730" s="3" t="str">
        <f>IFERROR(__xludf.DUMMYFUNCTION("GOOGLETRANSLATE(B1730,""id"",""en"")"),"['Live', 'East Java', 'Knp', 'Nets',' Stable ',' Advertising ',' Telkomsel ',' Network ',' Fastest ',' Indoneaia ',' Please ',' Hope ',' Delete ',' according to ',' Ralita ',' Jaringa ',' Stable ',' aka ',' Disconnect ',' Developer ',' Developer ',' Pleas"&amp;"e ',' Love ',' Complaints', 'Network' , 'logically', 'human', 'told', 'complain', 'bot', 'computer', 'just', 'want', 'Telkomsel', 'full', 'kedzolyman', 'Telkomsel', ' Mending ',' quota ',' expensive ',' big one ',' error ']")</f>
        <v>['Live', 'East Java', 'Knp', 'Nets',' Stable ',' Advertising ',' Telkomsel ',' Network ',' Fastest ',' Indoneaia ',' Please ',' Hope ',' Delete ',' according to ',' Ralita ',' Jaringa ',' Stable ',' aka ',' Disconnect ',' Developer ',' Developer ',' Please ',' Love ',' Complaints', 'Network' , 'logically', 'human', 'told', 'complain', 'bot', 'computer', 'just', 'want', 'Telkomsel', 'full', 'kedzolyman', 'Telkomsel', ' Mending ',' quota ',' expensive ',' big one ',' error ']</v>
      </c>
      <c r="D1730" s="3">
        <v>1.0</v>
      </c>
    </row>
    <row r="1731" ht="15.75" customHeight="1">
      <c r="A1731" s="1">
        <v>1729.0</v>
      </c>
      <c r="B1731" s="3" t="s">
        <v>1732</v>
      </c>
      <c r="C1731" s="3" t="str">
        <f>IFERROR(__xludf.DUMMYFUNCTION("GOOGLETRANSLATE(B1731,""id"",""en"")"),"['dlm', 'backward', 'application', 'Telkomsel', 'difficult', 'entry', 'yaa', 'kmren', 'smooth', 'terooossssssssss',' rich ',' gini ',' Tebilang ',' good ',' knpa ',' skrng ',' jammed ',' ']")</f>
        <v>['dlm', 'backward', 'application', 'Telkomsel', 'difficult', 'entry', 'yaa', 'kmren', 'smooth', 'terooossssssssss',' rich ',' gini ',' Tebilang ',' good ',' knpa ',' skrng ',' jammed ',' ']</v>
      </c>
      <c r="D1731" s="3">
        <v>1.0</v>
      </c>
    </row>
    <row r="1732" ht="15.75" customHeight="1">
      <c r="A1732" s="1">
        <v>1730.0</v>
      </c>
      <c r="B1732" s="3" t="s">
        <v>1733</v>
      </c>
      <c r="C1732" s="3" t="str">
        <f>IFERROR(__xludf.DUMMYFUNCTION("GOOGLETRANSLATE(B1732,""id"",""en"")"),"['love', 'Package', 'special', 'bought', 'no', 'buy', 'love', 'special', 'special', 'fear', 'loss',' Telkomsel ',' ']")</f>
        <v>['love', 'Package', 'special', 'bought', 'no', 'buy', 'love', 'special', 'special', 'fear', 'loss',' Telkomsel ',' ']</v>
      </c>
      <c r="D1732" s="3">
        <v>1.0</v>
      </c>
    </row>
    <row r="1733" ht="15.75" customHeight="1">
      <c r="A1733" s="1">
        <v>1731.0</v>
      </c>
      <c r="B1733" s="3" t="s">
        <v>1734</v>
      </c>
      <c r="C1733" s="3" t="str">
        <f>IFERROR(__xludf.DUMMYFUNCTION("GOOGLETRANSLATE(B1733,""id"",""en"")"),"['fill', 'code', 'Vocer', 'quota', 'week', 'maap', 'system', 'busy', 'please', 'wait', 'already', 'rstat', ' already ',' mode ',' paired ',' bsa ',' sell ',' vocer ',' ']")</f>
        <v>['fill', 'code', 'Vocer', 'quota', 'week', 'maap', 'system', 'busy', 'please', 'wait', 'already', 'rstat', ' already ',' mode ',' paired ',' bsa ',' sell ',' vocer ',' ']</v>
      </c>
      <c r="D1733" s="3">
        <v>2.0</v>
      </c>
    </row>
    <row r="1734" ht="15.75" customHeight="1">
      <c r="A1734" s="1">
        <v>1732.0</v>
      </c>
      <c r="B1734" s="3" t="s">
        <v>1735</v>
      </c>
      <c r="C1734" s="3" t="str">
        <f>IFERROR(__xludf.DUMMYFUNCTION("GOOGLETRANSLATE(B1734,""id"",""en"")"),"['Telkomsel', 'already', 'package', 'thousand', 'area', 'banjarmasin', 'network', 'super', 'super', 'lemott', 'please', 'repaired', ' Gini ',' spent ',' money ',' already ',' Gede ',' package ',' slow ',' forgiveness', 'please', 'read', 'Telkomsel', 'disa"&amp;"ppointed', 'Telkomsel' ]")</f>
        <v>['Telkomsel', 'already', 'package', 'thousand', 'area', 'banjarmasin', 'network', 'super', 'super', 'lemott', 'please', 'repaired', ' Gini ',' spent ',' money ',' already ',' Gede ',' package ',' slow ',' forgiveness', 'please', 'read', 'Telkomsel', 'disappointed', 'Telkomsel' ]</v>
      </c>
      <c r="D1734" s="3">
        <v>2.0</v>
      </c>
    </row>
    <row r="1735" ht="15.75" customHeight="1">
      <c r="A1735" s="1">
        <v>1733.0</v>
      </c>
      <c r="B1735" s="3" t="s">
        <v>1736</v>
      </c>
      <c r="C1735" s="3" t="str">
        <f>IFERROR(__xludf.DUMMYFUNCTION("GOOGLETRANSLATE(B1735,""id"",""en"")"),"['Location', 'Banjarmasin', 'City', 'Signal', 'Network', 'Down', 'Sometimes',' Sometimes', 'City', 'Plosok', 'Village', 'Signal', ' Full ',' network ',' slow ',' please ',' Telkomsel ',' fix ',' satisfaction ',' customer ',' user ',' Telkomsel ',' thank '"&amp;",' love ']")</f>
        <v>['Location', 'Banjarmasin', 'City', 'Signal', 'Network', 'Down', 'Sometimes',' Sometimes', 'City', 'Plosok', 'Village', 'Signal', ' Full ',' network ',' slow ',' please ',' Telkomsel ',' fix ',' satisfaction ',' customer ',' user ',' Telkomsel ',' thank ',' love ']</v>
      </c>
      <c r="D1735" s="3">
        <v>2.0</v>
      </c>
    </row>
    <row r="1736" ht="15.75" customHeight="1">
      <c r="A1736" s="1">
        <v>1734.0</v>
      </c>
      <c r="B1736" s="3" t="s">
        <v>1737</v>
      </c>
      <c r="C1736" s="3" t="str">
        <f>IFERROR(__xludf.DUMMYFUNCTION("GOOGLETRANSLATE(B1736,""id"",""en"")"),"['Please', 'Sorry', 'Telkomsel', 'Application', 'Listed', 'Button', 'Buy', 'Buy', 'Package', 'Via', 'App', '']")</f>
        <v>['Please', 'Sorry', 'Telkomsel', 'Application', 'Listed', 'Button', 'Buy', 'Buy', 'Package', 'Via', 'App', '']</v>
      </c>
      <c r="D1736" s="3">
        <v>1.0</v>
      </c>
    </row>
    <row r="1737" ht="15.75" customHeight="1">
      <c r="A1737" s="1">
        <v>1735.0</v>
      </c>
      <c r="B1737" s="3" t="s">
        <v>1738</v>
      </c>
      <c r="C1737" s="3" t="str">
        <f>IFERROR(__xludf.DUMMYFUNCTION("GOOGLETRANSLATE(B1737,""id"",""en"")"),"['Telkomsel', 'Please', 'Sorry', 'Region', 'Area', 'Has',' Rajalasa ',' Sinyal ',' Slow ',' Please ',' Move ',' Repaired ',' Strengthened ',' Sousal ',' City ',' yes', 'slow', 'Litu', 'shy', 'Telkomsel', 'city', 'signal', 'slow', 'thanks',' Telkomsel ' ]")</f>
        <v>['Telkomsel', 'Please', 'Sorry', 'Region', 'Area', 'Has',' Rajalasa ',' Sinyal ',' Slow ',' Please ',' Move ',' Repaired ',' Strengthened ',' Sousal ',' City ',' yes', 'slow', 'Litu', 'shy', 'Telkomsel', 'city', 'signal', 'slow', 'thanks',' Telkomsel ' ]</v>
      </c>
      <c r="D1737" s="3">
        <v>3.0</v>
      </c>
    </row>
    <row r="1738" ht="15.75" customHeight="1">
      <c r="A1738" s="1">
        <v>1736.0</v>
      </c>
      <c r="B1738" s="3" t="s">
        <v>1739</v>
      </c>
      <c r="C1738" s="3" t="str">
        <f>IFERROR(__xludf.DUMMYFUNCTION("GOOGLETRANSLATE(B1738,""id"",""en"")"),"['subscription', 'many years', 'since' Hold ',' signal ',' destroyed ',' connects ',' telephone ',' maintance ',' buy ',' package ',' expensive ',' The connection is', 'bad', '']")</f>
        <v>['subscription', 'many years', 'since' Hold ',' signal ',' destroyed ',' connects ',' telephone ',' maintance ',' buy ',' package ',' expensive ',' The connection is', 'bad', '']</v>
      </c>
      <c r="D1738" s="3">
        <v>3.0</v>
      </c>
    </row>
    <row r="1739" ht="15.75" customHeight="1">
      <c r="A1739" s="1">
        <v>1737.0</v>
      </c>
      <c r="B1739" s="3" t="s">
        <v>1740</v>
      </c>
      <c r="C1739" s="3" t="str">
        <f>IFERROR(__xludf.DUMMYFUNCTION("GOOGLETRANSLATE(B1739,""id"",""en"")"),"['Sya', 'Reduce', 'Bintang', 'Star', 'star', 'zero', 'Sya', 'love', 'star', 'because of his' worry ',' quality ',' network ',' Telkomsel ',' bad ',' bad ',' bad ',' a little ']")</f>
        <v>['Sya', 'Reduce', 'Bintang', 'Star', 'star', 'zero', 'Sya', 'love', 'star', 'because of his' worry ',' quality ',' network ',' Telkomsel ',' bad ',' bad ',' bad ',' a little ']</v>
      </c>
      <c r="D1739" s="3">
        <v>1.0</v>
      </c>
    </row>
    <row r="1740" ht="15.75" customHeight="1">
      <c r="A1740" s="1">
        <v>1738.0</v>
      </c>
      <c r="B1740" s="3" t="s">
        <v>1741</v>
      </c>
      <c r="C1740" s="3" t="str">
        <f>IFERROR(__xludf.DUMMYFUNCTION("GOOGLETRANSLATE(B1740,""id"",""en"")"),"['Telkomsel', 'Threat', 'Credit', 'Constraints',' System ',' Busy ',' Wait ',' Until ',' Please ',' Fix ',' Change ',' Card ',' already ',' in touch ']")</f>
        <v>['Telkomsel', 'Threat', 'Credit', 'Constraints',' System ',' Busy ',' Wait ',' Until ',' Please ',' Fix ',' Change ',' Card ',' already ',' in touch ']</v>
      </c>
      <c r="D1740" s="3">
        <v>1.0</v>
      </c>
    </row>
    <row r="1741" ht="15.75" customHeight="1">
      <c r="A1741" s="1">
        <v>1739.0</v>
      </c>
      <c r="B1741" s="3" t="s">
        <v>1742</v>
      </c>
      <c r="C1741" s="3" t="str">
        <f>IFERROR(__xludf.DUMMYFUNCTION("GOOGLETRANSLATE(B1741,""id"",""en"")"),"['UTJ', 'users',' Telkomsel ',' Switch ',' card ',' buy ',' Telkomsel ',' buy ',' Telkomsel ',' his writing ',' unlimited ',' right ',' Check out ',' unlimited ',' unlimited ',' fraud ',' users', 'Telkomsel', 'card', 'Telkomsel', 'hope', 'replace', 'card'"&amp;", 'Uninstall', 'Uninstall' , 'The application', 'Telkomsel', 'launch', 'satellite', 'TPI', 'Network', 'kayak', 'cheap', 'card', ""]")</f>
        <v>['UTJ', 'users',' Telkomsel ',' Switch ',' card ',' buy ',' Telkomsel ',' buy ',' Telkomsel ',' his writing ',' unlimited ',' right ',' Check out ',' unlimited ',' unlimited ',' fraud ',' users', 'Telkomsel', 'card', 'Telkomsel', 'hope', 'replace', 'card', 'Uninstall', 'Uninstall' , 'The application', 'Telkomsel', 'launch', 'satellite', 'TPI', 'Network', 'kayak', 'cheap', 'card', "]</v>
      </c>
      <c r="D1741" s="3">
        <v>1.0</v>
      </c>
    </row>
    <row r="1742" ht="15.75" customHeight="1">
      <c r="A1742" s="1">
        <v>1740.0</v>
      </c>
      <c r="B1742" s="3" t="s">
        <v>1743</v>
      </c>
      <c r="C1742" s="3" t="str">
        <f>IFERROR(__xludf.DUMMYFUNCTION("GOOGLETRANSLATE(B1742,""id"",""en"")"),"['Please', 'Increase', 'Quality', 'Signal', 'Karna', 'Signal', 'Weak', 'Disruption', 'Hard', 'Receive', 'Order', 'Thank you', ' ']")</f>
        <v>['Please', 'Increase', 'Quality', 'Signal', 'Karna', 'Signal', 'Weak', 'Disruption', 'Hard', 'Receive', 'Order', 'Thank you', ' ']</v>
      </c>
      <c r="D1742" s="3">
        <v>5.0</v>
      </c>
    </row>
    <row r="1743" ht="15.75" customHeight="1">
      <c r="A1743" s="1">
        <v>1741.0</v>
      </c>
      <c r="B1743" s="3" t="s">
        <v>1744</v>
      </c>
      <c r="C1743" s="3" t="str">
        <f>IFERROR(__xludf.DUMMYFUNCTION("GOOGLETRANSLATE(B1743,""id"",""en"")"),"['said', 'good', 'please', 'contents',' pulse ',' pulse ',' sumps', 'leftover', 'quota', 'GB', 'Notif', 'Telkom', ' Use ',' Data ',' Wear ',' Rates', 'Normal', 'Package', 'Government']")</f>
        <v>['said', 'good', 'please', 'contents',' pulse ',' pulse ',' sumps', 'leftover', 'quota', 'GB', 'Notif', 'Telkom', ' Use ',' Data ',' Wear ',' Rates', 'Normal', 'Package', 'Government']</v>
      </c>
      <c r="D1743" s="3">
        <v>1.0</v>
      </c>
    </row>
    <row r="1744" ht="15.75" customHeight="1">
      <c r="A1744" s="1">
        <v>1742.0</v>
      </c>
      <c r="B1744" s="3" t="s">
        <v>1745</v>
      </c>
      <c r="C1744" s="3" t="str">
        <f>IFERROR(__xludf.DUMMYFUNCTION("GOOGLETRANSLATE(B1744,""id"",""en"")"),"['Please', 'officer', 'Tsel', 'notification', 'via', 'SMS', 'NTah', 'leftover', 'quota', 'promo', 'discount', 'annoying', ' Users', 'Tsel', 'Remnants',' Quota ',' Really ',' Then ',' APK ',' MyTelkomsel ',' Notif ',' Via ',' SMS ',' Please ',' Definition "&amp;"' ]")</f>
        <v>['Please', 'officer', 'Tsel', 'notification', 'via', 'SMS', 'NTah', 'leftover', 'quota', 'promo', 'discount', 'annoying', ' Users', 'Tsel', 'Remnants',' Quota ',' Really ',' Then ',' APK ',' MyTelkomsel ',' Notif ',' Via ',' SMS ',' Please ',' Definition ' ]</v>
      </c>
      <c r="D1744" s="3">
        <v>1.0</v>
      </c>
    </row>
    <row r="1745" ht="15.75" customHeight="1">
      <c r="A1745" s="1">
        <v>1743.0</v>
      </c>
      <c r="B1745" s="3" t="s">
        <v>1746</v>
      </c>
      <c r="C1745" s="3" t="str">
        <f>IFERROR(__xludf.DUMMYFUNCTION("GOOGLETRANSLATE(B1745,""id"",""en"")"),"['Since', 'Update', 'Application', 'Features',' Daily ',' Check ',' Check ',' Check ',' Already ',' Confirmation ',' Veronika ',' told ',' Delete ',' cache ',' restart ',' check ',' daily ',' ']")</f>
        <v>['Since', 'Update', 'Application', 'Features',' Daily ',' Check ',' Check ',' Check ',' Already ',' Confirmation ',' Veronika ',' told ',' Delete ',' cache ',' restart ',' check ',' daily ',' ']</v>
      </c>
      <c r="D1745" s="3">
        <v>1.0</v>
      </c>
    </row>
    <row r="1746" ht="15.75" customHeight="1">
      <c r="A1746" s="1">
        <v>1744.0</v>
      </c>
      <c r="B1746" s="3" t="s">
        <v>1747</v>
      </c>
      <c r="C1746" s="3" t="str">
        <f>IFERROR(__xludf.DUMMYFUNCTION("GOOGLETRANSLATE(B1746,""id"",""en"")"),"['enter', 'app', 'Telkomsel', 'update', 'please', 'help', 'admin', 'check', 'setting', ""]")</f>
        <v>['enter', 'app', 'Telkomsel', 'update', 'please', 'help', 'admin', 'check', 'setting', "]</v>
      </c>
      <c r="D1746" s="3">
        <v>1.0</v>
      </c>
    </row>
    <row r="1747" ht="15.75" customHeight="1">
      <c r="A1747" s="1">
        <v>1745.0</v>
      </c>
      <c r="B1747" s="3" t="s">
        <v>1748</v>
      </c>
      <c r="C1747" s="3" t="str">
        <f>IFERROR(__xludf.DUMMYFUNCTION("GOOGLETRANSLATE(B1747,""id"",""en"")"),"['unlimited', 'newest', 'new', 'good', 'multi', 'tasking', 'slow', 'example', 'download', 'open', 'application', 'download', ' delay ']")</f>
        <v>['unlimited', 'newest', 'new', 'good', 'multi', 'tasking', 'slow', 'example', 'download', 'open', 'application', 'download', ' delay ']</v>
      </c>
      <c r="D1747" s="3">
        <v>2.0</v>
      </c>
    </row>
    <row r="1748" ht="15.75" customHeight="1">
      <c r="A1748" s="1">
        <v>1746.0</v>
      </c>
      <c r="B1748" s="3" t="s">
        <v>1749</v>
      </c>
      <c r="C1748" s="3" t="str">
        <f>IFERROR(__xludf.DUMMYFUNCTION("GOOGLETRANSLATE(B1748,""id"",""en"")"),"['Telkomsel', 'Network', 'Severe', 'Bad', 'please', 'repaired', 'signal', 'ilang', 'apalgi', 'play', 'game', 'delicious',' Really ',' Surfing ',' ']")</f>
        <v>['Telkomsel', 'Network', 'Severe', 'Bad', 'please', 'repaired', 'signal', 'ilang', 'apalgi', 'play', 'game', 'delicious',' Really ',' Surfing ',' ']</v>
      </c>
      <c r="D1748" s="3">
        <v>1.0</v>
      </c>
    </row>
    <row r="1749" ht="15.75" customHeight="1">
      <c r="A1749" s="1">
        <v>1747.0</v>
      </c>
      <c r="B1749" s="3" t="s">
        <v>1750</v>
      </c>
      <c r="C1749" s="3" t="str">
        <f>IFERROR(__xludf.DUMMYFUNCTION("GOOGLETRANSLATE(B1749,""id"",""en"")"),"['Network', 'ugly', 'signal', 'appears', 'catch', 'network', 'sms', 'difficult', 'forgiveness', 'internet', 'emotion', 'mulu']")</f>
        <v>['Network', 'ugly', 'signal', 'appears', 'catch', 'network', 'sms', 'difficult', 'forgiveness', 'internet', 'emotion', 'mulu']</v>
      </c>
      <c r="D1749" s="3">
        <v>1.0</v>
      </c>
    </row>
    <row r="1750" ht="15.75" customHeight="1">
      <c r="A1750" s="1">
        <v>1748.0</v>
      </c>
      <c r="B1750" s="3" t="s">
        <v>1751</v>
      </c>
      <c r="C1750" s="3" t="str">
        <f>IFERROR(__xludf.DUMMYFUNCTION("GOOGLETRANSLATE(B1750,""id"",""en"")"),"['SMS', 'Verification', 'Link', 'Verification', 'Number', 'Enter', 'Application', 'Telkomsel', 'Please', 'Fix', 'Receive', 'SMS', ' Link ',' Verification ',' Understood ',' ']")</f>
        <v>['SMS', 'Verification', 'Link', 'Verification', 'Number', 'Enter', 'Application', 'Telkomsel', 'Please', 'Fix', 'Receive', 'SMS', ' Link ',' Verification ',' Understood ',' ']</v>
      </c>
      <c r="D1750" s="3">
        <v>2.0</v>
      </c>
    </row>
    <row r="1751" ht="15.75" customHeight="1">
      <c r="A1751" s="1">
        <v>1749.0</v>
      </c>
      <c r="B1751" s="3" t="s">
        <v>1752</v>
      </c>
      <c r="C1751" s="3" t="str">
        <f>IFERROR(__xludf.DUMMYFUNCTION("GOOGLETRANSLATE(B1751,""id"",""en"")"),"['Severe', 'menu', 'Daily', 'Check', 'Nambah', 'Ribet', 'Detinent', 'Kouta', 'Please', 'Deliberate', 'Bingun', 'Customer', ' The results', 'enjoyed', 'people', 'service', 'satisfying', '']")</f>
        <v>['Severe', 'menu', 'Daily', 'Check', 'Nambah', 'Ribet', 'Detinent', 'Kouta', 'Please', 'Deliberate', 'Bingun', 'Customer', ' The results', 'enjoyed', 'people', 'service', 'satisfying', '']</v>
      </c>
      <c r="D1751" s="3">
        <v>3.0</v>
      </c>
    </row>
    <row r="1752" ht="15.75" customHeight="1">
      <c r="A1752" s="1">
        <v>1750.0</v>
      </c>
      <c r="B1752" s="3" t="s">
        <v>1753</v>
      </c>
      <c r="C1752" s="3" t="str">
        <f>IFERROR(__xludf.DUMMYFUNCTION("GOOGLETRANSLATE(B1752,""id"",""en"")"),"['signal', 'here', 'ugly', 'choice', 'exchange', 'point', 'useless',' suggestion ',' points', 'exchanged', 'pulse', 'location', ' Bitung ',' Tangerang ']")</f>
        <v>['signal', 'here', 'ugly', 'choice', 'exchange', 'point', 'useless',' suggestion ',' points', 'exchanged', 'pulse', 'location', ' Bitung ',' Tangerang ']</v>
      </c>
      <c r="D1752" s="3">
        <v>4.0</v>
      </c>
    </row>
    <row r="1753" ht="15.75" customHeight="1">
      <c r="A1753" s="1">
        <v>1751.0</v>
      </c>
      <c r="B1753" s="3" t="s">
        <v>1754</v>
      </c>
      <c r="C1753" s="3" t="str">
        <f>IFERROR(__xludf.DUMMYFUNCTION("GOOGLETRANSLATE(B1753,""id"",""en"")"),"['Please', 'Telkomsel', 'Network', 'Fix', 'Buy', 'Package', 'Data', 'Expensive', 'Signal', 'Leet', 'Gunain', 'Play', ' games', 'watch', 'youtube', 'super', 'severe', 'network', 'expensive', 'doank', 'network', 'slow', 'klw', 'like', 'gini' , 'Mending', 'S"&amp;"witch', 'Card', 'Disappointed', 'Night', 'Sampe', 'Morning', 'Severe', 'Signal', 'Access',' Super ',' Slow ',' Kyk ',' snail ',' snail ',' snail ', ""]")</f>
        <v>['Please', 'Telkomsel', 'Network', 'Fix', 'Buy', 'Package', 'Data', 'Expensive', 'Signal', 'Leet', 'Gunain', 'Play', ' games', 'watch', 'youtube', 'super', 'severe', 'network', 'expensive', 'doank', 'network', 'slow', 'klw', 'like', 'gini' , 'Mending', 'Switch', 'Card', 'Disappointed', 'Night', 'Sampe', 'Morning', 'Severe', 'Signal', 'Access',' Super ',' Slow ',' Kyk ',' snail ',' snail ',' snail ', "]</v>
      </c>
      <c r="D1753" s="3">
        <v>1.0</v>
      </c>
    </row>
    <row r="1754" ht="15.75" customHeight="1">
      <c r="A1754" s="1">
        <v>1752.0</v>
      </c>
      <c r="B1754" s="3" t="s">
        <v>1755</v>
      </c>
      <c r="C1754" s="3" t="str">
        <f>IFERROR(__xludf.DUMMYFUNCTION("GOOGLETRANSLATE(B1754,""id"",""en"")"),"['number', 'enter', 'application', 'update', 'outlet', 'Telkomsel', 'Please', 'help']")</f>
        <v>['number', 'enter', 'application', 'update', 'outlet', 'Telkomsel', 'Please', 'help']</v>
      </c>
      <c r="D1754" s="3">
        <v>1.0</v>
      </c>
    </row>
    <row r="1755" ht="15.75" customHeight="1">
      <c r="A1755" s="1">
        <v>1753.0</v>
      </c>
      <c r="B1755" s="3" t="s">
        <v>1756</v>
      </c>
      <c r="C1755" s="3" t="str">
        <f>IFERROR(__xludf.DUMMYFUNCTION("GOOGLETRANSLATE(B1755,""id"",""en"")"),"['Package', 'expensive', 'use', 'Telkomsel', 'use', 'axis',' package ',' monthly ',' cheap ',' GB ',' user ',' loyal ',' Telkomsel ',' Unfortunately ',' Telkomsel ',' DAK ',' Competing ',' Severe ',' Network ',' Lemot ',' User ',' Telkomsel ']")</f>
        <v>['Package', 'expensive', 'use', 'Telkomsel', 'use', 'axis',' package ',' monthly ',' cheap ',' GB ',' user ',' loyal ',' Telkomsel ',' Unfortunately ',' Telkomsel ',' DAK ',' Competing ',' Severe ',' Network ',' Lemot ',' User ',' Telkomsel ']</v>
      </c>
      <c r="D1755" s="3">
        <v>2.0</v>
      </c>
    </row>
    <row r="1756" ht="15.75" customHeight="1">
      <c r="A1756" s="1">
        <v>1754.0</v>
      </c>
      <c r="B1756" s="3" t="s">
        <v>1757</v>
      </c>
      <c r="C1756" s="3" t="str">
        <f>IFERROR(__xludf.DUMMYFUNCTION("GOOGLETRANSLATE(B1756,""id"",""en"")"),"['APK', 'Minimize', 'Mbps', 'Ram', 'friend', 'complaining', 'Mbps', 'thank you']")</f>
        <v>['APK', 'Minimize', 'Mbps', 'Ram', 'friend', 'complaining', 'Mbps', 'thank you']</v>
      </c>
      <c r="D1756" s="3">
        <v>2.0</v>
      </c>
    </row>
    <row r="1757" ht="15.75" customHeight="1">
      <c r="A1757" s="1">
        <v>1755.0</v>
      </c>
      <c r="B1757" s="3" t="s">
        <v>1758</v>
      </c>
      <c r="C1757" s="3" t="str">
        <f>IFERROR(__xludf.DUMMYFUNCTION("GOOGLETRANSLATE(B1757,""id"",""en"")"),"['Understanding', 'positive', 'Application', 'MyTelkomsel', 'motivates',' system ',' network ',' business', 'Lottery', 'Dadia', 'MyTelkomsel', 'Make', ' Story ',' Novel ',' business', 'culinary', 'promotion', 'tour', 'business',' online ',' Banhak ',' pro"&amp;"fit ',' personal ',' learn it ',' application ' , 'MyTelkomsel', '']")</f>
        <v>['Understanding', 'positive', 'Application', 'MyTelkomsel', 'motivates',' system ',' network ',' business', 'Lottery', 'Dadia', 'MyTelkomsel', 'Make', ' Story ',' Novel ',' business', 'culinary', 'promotion', 'tour', 'business',' online ',' Banhak ',' profit ',' personal ',' learn it ',' application ' , 'MyTelkomsel', '']</v>
      </c>
      <c r="D1757" s="3">
        <v>5.0</v>
      </c>
    </row>
    <row r="1758" ht="15.75" customHeight="1">
      <c r="A1758" s="1">
        <v>1756.0</v>
      </c>
      <c r="B1758" s="3" t="s">
        <v>1759</v>
      </c>
      <c r="C1758" s="3" t="str">
        <f>IFERROR(__xludf.DUMMYFUNCTION("GOOGLETRANSLATE(B1758,""id"",""en"")"),"['The application', 'difficult', 'opened', 'check', 'quota', 'emotion', 'already', 'upgrade', 'smpek', 'uninstall', 'then', 'install', ' TTEP ',' Bad ',' Please ',' repaired ']")</f>
        <v>['The application', 'difficult', 'opened', 'check', 'quota', 'emotion', 'already', 'upgrade', 'smpek', 'uninstall', 'then', 'install', ' TTEP ',' Bad ',' Please ',' repaired ']</v>
      </c>
      <c r="D1758" s="3">
        <v>1.0</v>
      </c>
    </row>
    <row r="1759" ht="15.75" customHeight="1">
      <c r="A1759" s="1">
        <v>1757.0</v>
      </c>
      <c r="B1759" s="3" t="s">
        <v>1760</v>
      </c>
      <c r="C1759" s="3" t="str">
        <f>IFERROR(__xludf.DUMMYFUNCTION("GOOGLETRANSLATE(B1759,""id"",""en"")"),"['Download', 'application', 'neat', 'boong', 'hyu', 'download', 'application', 'good', 'really']")</f>
        <v>['Download', 'application', 'neat', 'boong', 'hyu', 'download', 'application', 'good', 'really']</v>
      </c>
      <c r="D1759" s="3">
        <v>5.0</v>
      </c>
    </row>
    <row r="1760" ht="15.75" customHeight="1">
      <c r="A1760" s="1">
        <v>1758.0</v>
      </c>
      <c r="B1760" s="3" t="s">
        <v>1761</v>
      </c>
      <c r="C1760" s="3" t="str">
        <f>IFERROR(__xludf.DUMMYFUNCTION("GOOGLETRANSLATE(B1760,""id"",""en"")"),"['Signal', 'Telkomsel', 'Severe', 'really', 'weve', 'already', 'replace', 'provider', 'rich', 'package', 'doang', 'expensive', ' signal ',' ugly ',' Lok ',' tegelgede ',' cikarang ',' south ',' city ',' signal ',' ugly ',' ']")</f>
        <v>['Signal', 'Telkomsel', 'Severe', 'really', 'weve', 'already', 'replace', 'provider', 'rich', 'package', 'doang', 'expensive', ' signal ',' ugly ',' Lok ',' tegelgede ',' cikarang ',' south ',' city ',' signal ',' ugly ',' ']</v>
      </c>
      <c r="D1760" s="3">
        <v>1.0</v>
      </c>
    </row>
    <row r="1761" ht="15.75" customHeight="1">
      <c r="A1761" s="1">
        <v>1759.0</v>
      </c>
      <c r="B1761" s="3" t="s">
        <v>1762</v>
      </c>
      <c r="C1761" s="3" t="str">
        <f>IFERROR(__xludf.DUMMYFUNCTION("GOOGLETRANSLATE(B1761,""id"",""en"")"),"['disappointing', 'access',' menu ',' shop ',' point ',' Telkomsel ',' application ',' shop ',' shopping ',' package ',' gift ',' internet ',' Family ',' April ',' Contact ',' Telkomsel ',' Change ',' Delete ',' Install ',' reset ']")</f>
        <v>['disappointing', 'access',' menu ',' shop ',' point ',' Telkomsel ',' application ',' shop ',' shopping ',' package ',' gift ',' internet ',' Family ',' April ',' Contact ',' Telkomsel ',' Change ',' Delete ',' Install ',' reset ']</v>
      </c>
      <c r="D1761" s="3">
        <v>1.0</v>
      </c>
    </row>
    <row r="1762" ht="15.75" customHeight="1">
      <c r="A1762" s="1">
        <v>1760.0</v>
      </c>
      <c r="B1762" s="3" t="s">
        <v>1763</v>
      </c>
      <c r="C1762" s="3" t="str">
        <f>IFERROR(__xludf.DUMMYFUNCTION("GOOGLETRANSLATE(B1762,""id"",""en"")"),"['Telkomsel', 'Select', 'Love', 'I', 'Fill', 'Credit', 'Good', 'Menu', 'Service', 'Internet', 'Choice', 'ehhh', ' rare ',' content ',' pulse ',' menu ',' service ',' package ',' internet ',' muahalllllllllllllllllllll ']")</f>
        <v>['Telkomsel', 'Select', 'Love', 'I', 'Fill', 'Credit', 'Good', 'Menu', 'Service', 'Internet', 'Choice', 'ehhh', ' rare ',' content ',' pulse ',' menu ',' service ',' package ',' internet ',' muahalllllllllllllllllllll ']</v>
      </c>
      <c r="D1762" s="3">
        <v>1.0</v>
      </c>
    </row>
    <row r="1763" ht="15.75" customHeight="1">
      <c r="A1763" s="1">
        <v>1761.0</v>
      </c>
      <c r="B1763" s="3" t="s">
        <v>1764</v>
      </c>
      <c r="C1763" s="3" t="str">
        <f>IFERROR(__xludf.DUMMYFUNCTION("GOOGLETRANSLATE(B1763,""id"",""en"")"),"['Contents',' pulse ',' turn off ',' stlh ',' pulse ',' enter ',' mgu ',' activate ',' pulse ',' finished ',' where ',' crazy ',' times', 'weve', 'tuyul', 'nyolong', 'pulse', 'that's',' ']")</f>
        <v>['Contents',' pulse ',' turn off ',' stlh ',' pulse ',' enter ',' mgu ',' activate ',' pulse ',' finished ',' where ',' crazy ',' times', 'weve', 'tuyul', 'nyolong', 'pulse', 'that's',' ']</v>
      </c>
      <c r="D1763" s="3">
        <v>1.0</v>
      </c>
    </row>
    <row r="1764" ht="15.75" customHeight="1">
      <c r="A1764" s="1">
        <v>1762.0</v>
      </c>
      <c r="B1764" s="3" t="s">
        <v>1765</v>
      </c>
      <c r="C1764" s="3" t="str">
        <f>IFERROR(__xludf.DUMMYFUNCTION("GOOGLETRANSLATE(B1764,""id"",""en"")"),"['Telkomsel', 'Ter', 'Homat', 'Dear', 'Network', 'Telkomsel', 'Rotten', 'Worth', 'Use', 'Hope', 'Brain', ""]")</f>
        <v>['Telkomsel', 'Ter', 'Homat', 'Dear', 'Network', 'Telkomsel', 'Rotten', 'Worth', 'Use', 'Hope', 'Brain', "]</v>
      </c>
      <c r="D1764" s="3">
        <v>1.0</v>
      </c>
    </row>
    <row r="1765" ht="15.75" customHeight="1">
      <c r="A1765" s="1">
        <v>1763.0</v>
      </c>
      <c r="B1765" s="3" t="s">
        <v>1766</v>
      </c>
      <c r="C1765" s="3" t="str">
        <f>IFERROR(__xludf.DUMMYFUNCTION("GOOGLETRANSLATE(B1765,""id"",""en"")"),"['min', 'how', 'solution', 'pulse', 'chick', 'buy', 'package', 'mytelkomsel', 'feature', 'pulses',' sumps', 'internet', ' Active ',' Package ',' Rp ',' GB ',' found ',' missing ',' ']")</f>
        <v>['min', 'how', 'solution', 'pulse', 'chick', 'buy', 'package', 'mytelkomsel', 'feature', 'pulses',' sumps', 'internet', ' Active ',' Package ',' Rp ',' GB ',' found ',' missing ',' ']</v>
      </c>
      <c r="D1765" s="3">
        <v>1.0</v>
      </c>
    </row>
    <row r="1766" ht="15.75" customHeight="1">
      <c r="A1766" s="1">
        <v>1764.0</v>
      </c>
      <c r="B1766" s="3" t="s">
        <v>1767</v>
      </c>
      <c r="C1766" s="3" t="str">
        <f>IFERROR(__xludf.DUMMYFUNCTION("GOOGLETRANSLATE(B1766,""id"",""en"")"),"['Network', 'disappear', 'internet', 'telephone', 'signal', 'please', 'repaired', '']")</f>
        <v>['Network', 'disappear', 'internet', 'telephone', 'signal', 'please', 'repaired', '']</v>
      </c>
      <c r="D1766" s="3">
        <v>2.0</v>
      </c>
    </row>
    <row r="1767" ht="15.75" customHeight="1">
      <c r="A1767" s="1">
        <v>1765.0</v>
      </c>
      <c r="B1767" s="3" t="s">
        <v>1768</v>
      </c>
      <c r="C1767" s="3" t="str">
        <f>IFERROR(__xludf.DUMMYFUNCTION("GOOGLETRANSLATE(B1767,""id"",""en"")"),"['', 'The network', 'broad', 'evenly', 'internet', 'stable', 'clock', 'busy', 'stable', 'price', 'quota', 'package', 'expensive ',' DST ',' Addin ',' Provider ',' Indonesia ',' competitors', 'name', 'quality', 'criticism', 'suggestion', 'ignored']")</f>
        <v>['', 'The network', 'broad', 'evenly', 'internet', 'stable', 'clock', 'busy', 'stable', 'price', 'quota', 'package', 'expensive ',' DST ',' Addin ',' Provider ',' Indonesia ',' competitors', 'name', 'quality', 'criticism', 'suggestion', 'ignored']</v>
      </c>
      <c r="D1767" s="3">
        <v>1.0</v>
      </c>
    </row>
    <row r="1768" ht="15.75" customHeight="1">
      <c r="A1768" s="1">
        <v>1766.0</v>
      </c>
      <c r="B1768" s="3" t="s">
        <v>1769</v>
      </c>
      <c r="C1768" s="3" t="str">
        <f>IFERROR(__xludf.DUMMYFUNCTION("GOOGLETRANSLATE(B1768,""id"",""en"")"),"['suggestion', 'jngn', 'buy', 'pulse', 'mending', 'buy', 'voucher', 'quota', 'contents',' reset ',' quota ',' direct ',' Buy ',' pulses', 'already', 'Abis',' Dipake ',' ']")</f>
        <v>['suggestion', 'jngn', 'buy', 'pulse', 'mending', 'buy', 'voucher', 'quota', 'contents',' reset ',' quota ',' direct ',' Buy ',' pulses', 'already', 'Abis',' Dipake ',' ']</v>
      </c>
      <c r="D1768" s="3">
        <v>1.0</v>
      </c>
    </row>
    <row r="1769" ht="15.75" customHeight="1">
      <c r="A1769" s="1">
        <v>1767.0</v>
      </c>
      <c r="B1769" s="3" t="s">
        <v>1770</v>
      </c>
      <c r="C1769" s="3" t="str">
        <f>IFERROR(__xludf.DUMMYFUNCTION("GOOGLETRANSLATE(B1769,""id"",""en"")"),"['sympathy', 'JNG', 'expensive', 'internet', 'Lolaaa', 'Dri', 'TDI', 'please', 'service', 'prioritize', 'klu', 'bni', ' work ',' difficult ',' contents', 'kouta', 'data', 'ajaa', 'error', 'network', '']")</f>
        <v>['sympathy', 'JNG', 'expensive', 'internet', 'Lolaaa', 'Dri', 'TDI', 'please', 'service', 'prioritize', 'klu', 'bni', ' work ',' difficult ',' contents', 'kouta', 'data', 'ajaa', 'error', 'network', '']</v>
      </c>
      <c r="D1769" s="3">
        <v>3.0</v>
      </c>
    </row>
    <row r="1770" ht="15.75" customHeight="1">
      <c r="A1770" s="1">
        <v>1768.0</v>
      </c>
      <c r="B1770" s="3" t="s">
        <v>1771</v>
      </c>
      <c r="C1770" s="3" t="str">
        <f>IFERROR(__xludf.DUMMYFUNCTION("GOOGLETRANSLATE(B1770,""id"",""en"")"),"['gumana', 'quota', 'local', 'no', 'buy', 'stay', 'quota', 'local', 'ngatifin', 'package', 'house', 'mesk', ' home ',' tetep ',' no ',' no ',' road ',' quota ',' locally ']")</f>
        <v>['gumana', 'quota', 'local', 'no', 'buy', 'stay', 'quota', 'local', 'ngatifin', 'package', 'house', 'mesk', ' home ',' tetep ',' no ',' no ',' road ',' quota ',' locally ']</v>
      </c>
      <c r="D1770" s="3">
        <v>1.0</v>
      </c>
    </row>
    <row r="1771" ht="15.75" customHeight="1">
      <c r="A1771" s="1">
        <v>1769.0</v>
      </c>
      <c r="B1771" s="3" t="s">
        <v>1772</v>
      </c>
      <c r="C1771" s="3" t="str">
        <f>IFERROR(__xludf.DUMMYFUNCTION("GOOGLETRANSLATE(B1771,""id"",""en"")"),"['woi', 'ngeta', 'signal', 'ugly', 'times',' play ',' red ',' mulu ',' ping ',' signal ',' regret ',' times', ' buy ',' quota ',' Telkomsel ',' like ',' gini ',' signal ',' buy ',' signal ',' ugly ',' mending ',' buy ',' wifi ',' regret ' , 'staple', 'sat"&amp;"isfied', 'times', 'dahlah', 'signal', 'telkom', 'nyesel', '']")</f>
        <v>['woi', 'ngeta', 'signal', 'ugly', 'times',' play ',' red ',' mulu ',' ping ',' signal ',' regret ',' times', ' buy ',' quota ',' Telkomsel ',' like ',' gini ',' signal ',' buy ',' signal ',' ugly ',' mending ',' buy ',' wifi ',' regret ' , 'staple', 'satisfied', 'times', 'dahlah', 'signal', 'telkom', 'nyesel', '']</v>
      </c>
      <c r="D1771" s="3">
        <v>1.0</v>
      </c>
    </row>
    <row r="1772" ht="15.75" customHeight="1">
      <c r="A1772" s="1">
        <v>1770.0</v>
      </c>
      <c r="B1772" s="3" t="s">
        <v>1773</v>
      </c>
      <c r="C1772" s="3" t="str">
        <f>IFERROR(__xludf.DUMMYFUNCTION("GOOGLETRANSLATE(B1772,""id"",""en"")"),"['Telkomsel', 'slow', 'network', 'ugly', 'contents',' data ',' expensive ',' corruption ',' user ',' network ',' slow ',' data ',' Internet ',' road ',' service ',' network ',' internet ',' Indonesia ',' appeal ',' state ',' neighbors', 'satisfying', 'ann"&amp;"oyed', 'Telkomsel', 'Weather' , 'bright', 'rain', 'cloudy', 'slow', 'slow']")</f>
        <v>['Telkomsel', 'slow', 'network', 'ugly', 'contents',' data ',' expensive ',' corruption ',' user ',' network ',' slow ',' data ',' Internet ',' road ',' service ',' network ',' internet ',' Indonesia ',' appeal ',' state ',' neighbors', 'satisfying', 'annoyed', 'Telkomsel', 'Weather' , 'bright', 'rain', 'cloudy', 'slow', 'slow']</v>
      </c>
      <c r="D1772" s="3">
        <v>1.0</v>
      </c>
    </row>
    <row r="1773" ht="15.75" customHeight="1">
      <c r="A1773" s="1">
        <v>1771.0</v>
      </c>
      <c r="B1773" s="3" t="s">
        <v>1774</v>
      </c>
      <c r="C1773" s="3" t="str">
        <f>IFERROR(__xludf.DUMMYFUNCTION("GOOGLETRANSLATE(B1773,""id"",""en"")"),"['The application', 'good', 'signal', 'ngak', 'good', 'right', 'before', 'afternoon', 'night', 'network', 'ngak', ' ngak ',' kouta ',' internet ',' difficult ',' right ',' signal ',' watch ',' youtube ',' open ',' instagram ',' play ',' mobile ',' legend "&amp;"' , 'Ngeleg', 'Disappointed', 'Telkomsel', 'Network', 'Slow', 'Life', 'Wrong', 'City', 'Indonesia', 'Ngak', 'Understand', 'The Network', ' Please '""Fix']")</f>
        <v>['The application', 'good', 'signal', 'ngak', 'good', 'right', 'before', 'afternoon', 'night', 'network', 'ngak', ' ngak ',' kouta ',' internet ',' difficult ',' right ',' signal ',' watch ',' youtube ',' open ',' instagram ',' play ',' mobile ',' legend ' , 'Ngeleg', 'Disappointed', 'Telkomsel', 'Network', 'Slow', 'Life', 'Wrong', 'City', 'Indonesia', 'Ngak', 'Understand', 'The Network', ' Please '"Fix']</v>
      </c>
      <c r="D1773" s="3">
        <v>1.0</v>
      </c>
    </row>
    <row r="1774" ht="15.75" customHeight="1">
      <c r="A1774" s="1">
        <v>1772.0</v>
      </c>
      <c r="B1774" s="3" t="s">
        <v>1775</v>
      </c>
      <c r="C1774" s="3" t="str">
        <f>IFERROR(__xludf.DUMMYFUNCTION("GOOGLETRANSLATE(B1774,""id"",""en"")"),"['min', 'signal', 'bad', 'down', 'email', 'please', 'min']")</f>
        <v>['min', 'signal', 'bad', 'down', 'email', 'please', 'min']</v>
      </c>
      <c r="D1774" s="3">
        <v>1.0</v>
      </c>
    </row>
    <row r="1775" ht="15.75" customHeight="1">
      <c r="A1775" s="1">
        <v>1773.0</v>
      </c>
      <c r="B1775" s="3" t="s">
        <v>1776</v>
      </c>
      <c r="C1775" s="3" t="str">
        <f>IFERROR(__xludf.DUMMYFUNCTION("GOOGLETRANSLATE(B1775,""id"",""en"")"),"['package', 'internet', 'sympathy', 'streamer', 'because', 'game', 'signal', 'disappointed', 'users', 'Telkomsel', ""]")</f>
        <v>['package', 'internet', 'sympathy', 'streamer', 'because', 'game', 'signal', 'disappointed', 'users', 'Telkomsel', "]</v>
      </c>
      <c r="D1775" s="3">
        <v>2.0</v>
      </c>
    </row>
    <row r="1776" ht="15.75" customHeight="1">
      <c r="A1776" s="1">
        <v>1774.0</v>
      </c>
      <c r="B1776" s="3" t="s">
        <v>1777</v>
      </c>
      <c r="C1776" s="3" t="str">
        <f>IFERROR(__xludf.DUMMYFUNCTION("GOOGLETRANSLATE(B1776,""id"",""en"")"),"['Please', 'Telkomsel', 'Dear', 'Network', 'Fix', 'Network', 'Full', 'TPI', 'DPAKE', 'Mmang', 'Network', 'Troubled', ' Please, 'Full', 'PHP', 'user', '']")</f>
        <v>['Please', 'Telkomsel', 'Dear', 'Network', 'Fix', 'Network', 'Full', 'TPI', 'DPAKE', 'Mmang', 'Network', 'Troubled', ' Please, 'Full', 'PHP', 'user', '']</v>
      </c>
      <c r="D1776" s="3">
        <v>1.0</v>
      </c>
    </row>
    <row r="1777" ht="15.75" customHeight="1">
      <c r="A1777" s="1">
        <v>1775.0</v>
      </c>
      <c r="B1777" s="3" t="s">
        <v>1778</v>
      </c>
      <c r="C1777" s="3" t="str">
        <f>IFERROR(__xludf.DUMMYFUNCTION("GOOGLETRANSLATE(B1777,""id"",""en"")"),"['min', 'quota', 'zone', 'Flash', 'sale', 'shopee', 'price', 'zone', 'GB', 'GTU', 'pantesan', 'complaint', ' Informative ',' Telkomsel ',' Direct ',' Rich ',' Closed ',' Communication ',' Customer ',' Nyari ',' Google ',' Zone ',' Zone ',' Want ',' Harha "&amp;"' , 'Bandung', 'got', 'GTU', '']")</f>
        <v>['min', 'quota', 'zone', 'Flash', 'sale', 'shopee', 'price', 'zone', 'GB', 'GTU', 'pantesan', 'complaint', ' Informative ',' Telkomsel ',' Direct ',' Rich ',' Closed ',' Communication ',' Customer ',' Nyari ',' Google ',' Zone ',' Zone ',' Want ',' Harha ' , 'Bandung', 'got', 'GTU', '']</v>
      </c>
      <c r="D1777" s="3">
        <v>1.0</v>
      </c>
    </row>
    <row r="1778" ht="15.75" customHeight="1">
      <c r="A1778" s="1">
        <v>1776.0</v>
      </c>
      <c r="B1778" s="3" t="s">
        <v>1779</v>
      </c>
      <c r="C1778" s="3" t="str">
        <f>IFERROR(__xludf.DUMMYFUNCTION("GOOGLETRANSLATE(B1778,""id"",""en"")"),"['Telkomsel', 'no', 'beloved', 'sinya', 'ilang', 'teruuuuuusss',' until ',' home ',' signal ',' ilang ',' severe ',' sms', ' Notif ',' signal ',' ugly ',' here ',' bad ',' good ',' Disappointed ',' Udh ',' Telkomsel ',' skrg ',' disappointed ',' paraaaahh"&amp;"hh ']")</f>
        <v>['Telkomsel', 'no', 'beloved', 'sinya', 'ilang', 'teruuuuuusss',' until ',' home ',' signal ',' ilang ',' severe ',' sms', ' Notif ',' signal ',' ugly ',' here ',' bad ',' good ',' Disappointed ',' Udh ',' Telkomsel ',' skrg ',' disappointed ',' paraaaahhhh ']</v>
      </c>
      <c r="D1778" s="3">
        <v>1.0</v>
      </c>
    </row>
    <row r="1779" ht="15.75" customHeight="1">
      <c r="A1779" s="1">
        <v>1777.0</v>
      </c>
      <c r="B1779" s="3" t="s">
        <v>1780</v>
      </c>
      <c r="C1779" s="3" t="str">
        <f>IFERROR(__xludf.DUMMYFUNCTION("GOOGLETRANSLATE(B1779,""id"",""en"")"),"['Useful', 'right', 'Need', 'contents',' quota ',' right ',' need ',' deliberate ',' filled ',' emang ',' use ',' Telkomsel ',' Pair ',' quota ',' yak ', ""]")</f>
        <v>['Useful', 'right', 'Need', 'contents',' quota ',' right ',' need ',' deliberate ',' filled ',' emang ',' use ',' Telkomsel ',' Pair ',' quota ',' yak ', "]</v>
      </c>
      <c r="D1779" s="3">
        <v>1.0</v>
      </c>
    </row>
    <row r="1780" ht="15.75" customHeight="1">
      <c r="A1780" s="1">
        <v>1778.0</v>
      </c>
      <c r="B1780" s="3" t="s">
        <v>1781</v>
      </c>
      <c r="C1780" s="3" t="str">
        <f>IFERROR(__xludf.DUMMYFUNCTION("GOOGLETRANSLATE(B1780,""id"",""en"")"),"['Severe', 'Bngt', 'JNCK', 'JRINGAN', 'Telkom', 'Mass',' Ngeownload ',' Application ',' Mentok ',' KB ',' Doang ',' Severe ',' NGEGAME ',' Ping ',' MS ',' Ngilak ',' Fix ',' Ngeta ',' Network ',' Location ',' South Kalimantan ',' Region ',' Amuntai ',' Ne"&amp;"twork ',' Good ' , 'Mulu', 'friend', 'cave', 'woy', 'fix', 'ngeta', 'network', 'already', 'cave', 'pull', 'review', 'fix', ' Hadeh ',' Network ',' Mass', 'Fix', 'Network', 'Destroyed', 'Ngegame', 'Red', 'Severe']")</f>
        <v>['Severe', 'Bngt', 'JNCK', 'JRINGAN', 'Telkom', 'Mass',' Ngeownload ',' Application ',' Mentok ',' KB ',' Doang ',' Severe ',' NGEGAME ',' Ping ',' MS ',' Ngilak ',' Fix ',' Ngeta ',' Network ',' Location ',' South Kalimantan ',' Region ',' Amuntai ',' Network ',' Good ' , 'Mulu', 'friend', 'cave', 'woy', 'fix', 'ngeta', 'network', 'already', 'cave', 'pull', 'review', 'fix', ' Hadeh ',' Network ',' Mass', 'Fix', 'Network', 'Destroyed', 'Ngegame', 'Red', 'Severe']</v>
      </c>
      <c r="D1780" s="3">
        <v>1.0</v>
      </c>
    </row>
    <row r="1781" ht="15.75" customHeight="1">
      <c r="A1781" s="1">
        <v>1779.0</v>
      </c>
      <c r="B1781" s="3" t="s">
        <v>1782</v>
      </c>
      <c r="C1781" s="3" t="str">
        <f>IFERROR(__xludf.DUMMYFUNCTION("GOOGLETRANSLATE(B1781,""id"",""en"")"),"['Please', 'repaired', 'application', 'buy', 'quota', 'crash', 'the application', 'Samsung', 'dead', 'hang', 'for a moment', ' Used ',' ']")</f>
        <v>['Please', 'repaired', 'application', 'buy', 'quota', 'crash', 'the application', 'Samsung', 'dead', 'hang', 'for a moment', ' Used ',' ']</v>
      </c>
      <c r="D1781" s="3">
        <v>3.0</v>
      </c>
    </row>
    <row r="1782" ht="15.75" customHeight="1">
      <c r="A1782" s="1">
        <v>1780.0</v>
      </c>
      <c r="B1782" s="3" t="s">
        <v>1783</v>
      </c>
      <c r="C1782" s="3" t="str">
        <f>IFERROR(__xludf.DUMMYFUNCTION("GOOGLETRANSLATE(B1782,""id"",""en"")"),"['Dear', 'Telkomsel', 'intention', 'package', 'unlimited', 'koq', 'ngelag', 'network', 'cook', 'line', 'just', 'area', ' City ',' remote ',' cook ',' lose ',' operator ',' please ',' work ',' already ',' price ',' expensive ',' slow ',' forgiveness', 'Sum"&amp;"atra' , 'North', 'Berastagi', 'Kab', 'Karo', 'Saturday', 'April', ""]")</f>
        <v>['Dear', 'Telkomsel', 'intention', 'package', 'unlimited', 'koq', 'ngelag', 'network', 'cook', 'line', 'just', 'area', ' City ',' remote ',' cook ',' lose ',' operator ',' please ',' work ',' already ',' price ',' expensive ',' slow ',' forgiveness', 'Sumatra' , 'North', 'Berastagi', 'Kab', 'Karo', 'Saturday', 'April', "]</v>
      </c>
      <c r="D1782" s="3">
        <v>1.0</v>
      </c>
    </row>
    <row r="1783" ht="15.75" customHeight="1">
      <c r="A1783" s="1">
        <v>1781.0</v>
      </c>
      <c r="B1783" s="3" t="s">
        <v>1784</v>
      </c>
      <c r="C1783" s="3" t="str">
        <f>IFERROR(__xludf.DUMMYFUNCTION("GOOGLETRANSLATE(B1783,""id"",""en"")"),"['Different', 'number', 'Different', 'Price', 'Ranking', 'Diserated', 'Bonus',' Price ',' Quota ',' HRI ',' Thousand ',' Wear ',' network ',' internal ',' decline ',' game ',' missing ',' ']")</f>
        <v>['Different', 'number', 'Different', 'Price', 'Ranking', 'Diserated', 'Bonus',' Price ',' Quota ',' HRI ',' Thousand ',' Wear ',' network ',' internal ',' decline ',' game ',' missing ',' ']</v>
      </c>
      <c r="D1783" s="3">
        <v>1.0</v>
      </c>
    </row>
    <row r="1784" ht="15.75" customHeight="1">
      <c r="A1784" s="1">
        <v>1782.0</v>
      </c>
      <c r="B1784" s="3" t="s">
        <v>1785</v>
      </c>
      <c r="C1784" s="3" t="str">
        <f>IFERROR(__xludf.DUMMYFUNCTION("GOOGLETRANSLATE(B1784,""id"",""en"")"),"['steady', 'buy', 'quota', 'practical', 'pay', 'use', 'wallet', 'use', 'pulse', 'use', 'satisfying', 'hope', ' Enhanced ',' ']")</f>
        <v>['steady', 'buy', 'quota', 'practical', 'pay', 'use', 'wallet', 'use', 'pulse', 'use', 'satisfying', 'hope', ' Enhanced ',' ']</v>
      </c>
      <c r="D1784" s="3">
        <v>4.0</v>
      </c>
    </row>
    <row r="1785" ht="15.75" customHeight="1">
      <c r="A1785" s="1">
        <v>1783.0</v>
      </c>
      <c r="B1785" s="3" t="s">
        <v>1786</v>
      </c>
      <c r="C1785" s="3" t="str">
        <f>IFERROR(__xludf.DUMMYFUNCTION("GOOGLETRANSLATE(B1785,""id"",""en"")"),"['buy', 'quota', 'maxstream', 'GB', 'application', 'written', 'enter', 'GB', 'pulse', 'reduced', 'can', 'sms',' ktnya ',' request ',' continue ',' check ',' sumps', 'quota', 'main', 'quota', 'maxstream', 'use', 'loss', ""]")</f>
        <v>['buy', 'quota', 'maxstream', 'GB', 'application', 'written', 'enter', 'GB', 'pulse', 'reduced', 'can', 'sms',' ktnya ',' request ',' continue ',' check ',' sumps', 'quota', 'main', 'quota', 'maxstream', 'use', 'loss', "]</v>
      </c>
      <c r="D1785" s="3">
        <v>1.0</v>
      </c>
    </row>
    <row r="1786" ht="15.75" customHeight="1">
      <c r="A1786" s="1">
        <v>1784.0</v>
      </c>
      <c r="B1786" s="3" t="s">
        <v>1787</v>
      </c>
      <c r="C1786" s="3" t="str">
        <f>IFERROR(__xludf.DUMMYFUNCTION("GOOGLETRANSLATE(B1786,""id"",""en"")"),"['Telkomsel', 'dlu', 'know', 'Lola', 'min', 'price', 'kouta', 'telkom', 'expensive', 'compare', 'signal', 'collapse', ' Bagusan ',' Maen ',' Dlu ',' Please ',' Fix ',' aspect ',' Speed ​​',' Internet ',' ']")</f>
        <v>['Telkomsel', 'dlu', 'know', 'Lola', 'min', 'price', 'kouta', 'telkom', 'expensive', 'compare', 'signal', 'collapse', ' Bagusan ',' Maen ',' Dlu ',' Please ',' Fix ',' aspect ',' Speed ​​',' Internet ',' ']</v>
      </c>
      <c r="D1786" s="3">
        <v>1.0</v>
      </c>
    </row>
    <row r="1787" ht="15.75" customHeight="1">
      <c r="A1787" s="1">
        <v>1785.0</v>
      </c>
      <c r="B1787" s="3" t="s">
        <v>1788</v>
      </c>
      <c r="C1787" s="3" t="str">
        <f>IFERROR(__xludf.DUMMYFUNCTION("GOOGLETRANSLATE(B1787,""id"",""en"")"),"['slow', 'really', 'the application', 'most', 'features', 'strange', 'application', 'good', 'mending', 'features', 'simple', '']")</f>
        <v>['slow', 'really', 'the application', 'most', 'features', 'strange', 'application', 'good', 'mending', 'features', 'simple', '']</v>
      </c>
      <c r="D1787" s="3">
        <v>1.0</v>
      </c>
    </row>
    <row r="1788" ht="15.75" customHeight="1">
      <c r="A1788" s="1">
        <v>1786.0</v>
      </c>
      <c r="B1788" s="3" t="s">
        <v>1789</v>
      </c>
      <c r="C1788" s="3" t="str">
        <f>IFERROR(__xludf.DUMMYFUNCTION("GOOGLETRANSLATE(B1788,""id"",""en"")"),"['times',' buy ',' quota ',' sucked ',' pulse ',' outside ',' pulse ',' quota ',' example ',' buy ',' quota ',' GB ',' Price ',' pulse ',' already ',' Cut ',' Quota ',' Sumpot ',' What ',' Woy ', ""]")</f>
        <v>['times',' buy ',' quota ',' sucked ',' pulse ',' outside ',' pulse ',' quota ',' example ',' buy ',' quota ',' GB ',' Price ',' pulse ',' already ',' Cut ',' Quota ',' Sumpot ',' What ',' Woy ', "]</v>
      </c>
      <c r="D1788" s="3">
        <v>1.0</v>
      </c>
    </row>
    <row r="1789" ht="15.75" customHeight="1">
      <c r="A1789" s="1">
        <v>1787.0</v>
      </c>
      <c r="B1789" s="3" t="s">
        <v>1790</v>
      </c>
      <c r="C1789" s="3" t="str">
        <f>IFERROR(__xludf.DUMMYFUNCTION("GOOGLETRANSLATE(B1789,""id"",""en"")"),"['Congratulations',' Afternoon ',' Telkomsel ',' Maap ',' Network ',' Region ',' Dukuh ',' Dalem ',' Subdistrict ',' Japara ',' Network ',' Lemot ',' Open ',' Application ',' Open ',' Please ',' Fix ',' Network ',' Customer ',' Satisfied ',' Service ',' T"&amp;"elkomsel ',' Customer ',' Telkomsel ',' Move ' , 'Network', 'next door', '']")</f>
        <v>['Congratulations',' Afternoon ',' Telkomsel ',' Maap ',' Network ',' Region ',' Dukuh ',' Dalem ',' Subdistrict ',' Japara ',' Network ',' Lemot ',' Open ',' Application ',' Open ',' Please ',' Fix ',' Network ',' Customer ',' Satisfied ',' Service ',' Telkomsel ',' Customer ',' Telkomsel ',' Move ' , 'Network', 'next door', '']</v>
      </c>
      <c r="D1789" s="3">
        <v>3.0</v>
      </c>
    </row>
    <row r="1790" ht="15.75" customHeight="1">
      <c r="A1790" s="1">
        <v>1788.0</v>
      </c>
      <c r="B1790" s="3" t="s">
        <v>1791</v>
      </c>
      <c r="C1790" s="3" t="str">
        <f>IFERROR(__xludf.DUMMYFUNCTION("GOOGLETRANSLATE(B1790,""id"",""en"")"),"['Network', 'ugly', 'really', 'price', 'package', 'already', 'expensive', 'use', 'maximum', 'gara', 'gara', 'network', ' Supports', 'please', 'fix', '']")</f>
        <v>['Network', 'ugly', 'really', 'price', 'package', 'already', 'expensive', 'use', 'maximum', 'gara', 'gara', 'network', ' Supports', 'please', 'fix', '']</v>
      </c>
      <c r="D1790" s="3">
        <v>1.0</v>
      </c>
    </row>
    <row r="1791" ht="15.75" customHeight="1">
      <c r="A1791" s="1">
        <v>1789.0</v>
      </c>
      <c r="B1791" s="3" t="s">
        <v>1792</v>
      </c>
      <c r="C1791" s="3" t="str">
        <f>IFERROR(__xludf.DUMMYFUNCTION("GOOGLETRANSLATE(B1791,""id"",""en"")"),"['Sultan', 'Sultan', 'Network', 'MissQuenn', 'Pass',' Telkomsel ',' If ',' Relationship ',' Business', 'Card', 'Throw', 'Sewer', ' Age ',' Card ',' Telkomsel ',' ']")</f>
        <v>['Sultan', 'Sultan', 'Network', 'MissQuenn', 'Pass',' Telkomsel ',' If ',' Relationship ',' Business', 'Card', 'Throw', 'Sewer', ' Age ',' Card ',' Telkomsel ',' ']</v>
      </c>
      <c r="D1791" s="3">
        <v>1.0</v>
      </c>
    </row>
    <row r="1792" ht="15.75" customHeight="1">
      <c r="A1792" s="1">
        <v>1790.0</v>
      </c>
      <c r="B1792" s="3" t="s">
        <v>1793</v>
      </c>
      <c r="C1792" s="3" t="str">
        <f>IFERROR(__xludf.DUMMYFUNCTION("GOOGLETRANSLATE(B1792,""id"",""en"")"),"['Disappointed', 'Heavy', 'Program', 'Telkomsel', 'Package', 'Swadaya', 'GB', 'Hold', 'Week', 'Package', 'Swadaya', 'GB', ' a week ',' run out ',' rare ',' open ',' youtube ',' fast ',' run out ',' package ',' influence ',' fire ',' Telkomsel ',' yesterda"&amp;"y ',' user ' , 'Telkomsel', 'victim', 'Keconahaaaaa', 'teraaaattttt', '']")</f>
        <v>['Disappointed', 'Heavy', 'Program', 'Telkomsel', 'Package', 'Swadaya', 'GB', 'Hold', 'Week', 'Package', 'Swadaya', 'GB', ' a week ',' run out ',' rare ',' open ',' youtube ',' fast ',' run out ',' package ',' influence ',' fire ',' Telkomsel ',' yesterday ',' user ' , 'Telkomsel', 'victim', 'Keconahaaaaa', 'teraaaattttt', '']</v>
      </c>
      <c r="D1792" s="3">
        <v>1.0</v>
      </c>
    </row>
    <row r="1793" ht="15.75" customHeight="1">
      <c r="A1793" s="1">
        <v>1791.0</v>
      </c>
      <c r="B1793" s="3" t="s">
        <v>1794</v>
      </c>
      <c r="C1793" s="3" t="str">
        <f>IFERROR(__xludf.DUMMYFUNCTION("GOOGLETRANSLATE(B1793,""id"",""en"")"),"['Internet', 'slow', 'sms',' error ',' failed ',' sent ',' price ',' package ',' expensive ',' price ',' populat ',' promo ',' tricks', 'packages',' combo ',' sms', 'use', 'hope', 'Jokowi', 'read', 'comment', ""]")</f>
        <v>['Internet', 'slow', 'sms',' error ',' failed ',' sent ',' price ',' package ',' expensive ',' price ',' populat ',' promo ',' tricks', 'packages',' combo ',' sms', 'use', 'hope', 'Jokowi', 'read', 'comment', "]</v>
      </c>
      <c r="D1793" s="3">
        <v>1.0</v>
      </c>
    </row>
    <row r="1794" ht="15.75" customHeight="1">
      <c r="A1794" s="1">
        <v>1792.0</v>
      </c>
      <c r="B1794" s="3" t="s">
        <v>1795</v>
      </c>
      <c r="C1794" s="3" t="str">
        <f>IFERROR(__xludf.DUMMYFUNCTION("GOOGLETRANSLATE(B1794,""id"",""en"")"),"['Sorry', 'min', 'Telkomsel', 'slow', 'smooth', 'dipake', 'min', 'quota', 'please', 'slow', 'disappointed', 'already', ' slow']")</f>
        <v>['Sorry', 'min', 'Telkomsel', 'slow', 'smooth', 'dipake', 'min', 'quota', 'please', 'slow', 'disappointed', 'already', ' slow']</v>
      </c>
      <c r="D1794" s="3">
        <v>1.0</v>
      </c>
    </row>
    <row r="1795" ht="15.75" customHeight="1">
      <c r="A1795" s="1">
        <v>1793.0</v>
      </c>
      <c r="B1795" s="3" t="s">
        <v>1796</v>
      </c>
      <c r="C1795" s="3" t="str">
        <f>IFERROR(__xludf.DUMMYFUNCTION("GOOGLETRANSLATE(B1795,""id"",""en"")"),"['Please', 'Telkomsel', 'fix', 'quota', 'Where', 'watch', 'YouTube', 'quota', 'unlimited', 'he was' open ',' veranda ',' Watch ',' video ',' veranda ',' ']")</f>
        <v>['Please', 'Telkomsel', 'fix', 'quota', 'Where', 'watch', 'YouTube', 'quota', 'unlimited', 'he was' open ',' veranda ',' Watch ',' video ',' veranda ',' ']</v>
      </c>
      <c r="D1795" s="3">
        <v>1.0</v>
      </c>
    </row>
    <row r="1796" ht="15.75" customHeight="1">
      <c r="A1796" s="1">
        <v>1794.0</v>
      </c>
      <c r="B1796" s="3" t="s">
        <v>1797</v>
      </c>
      <c r="C1796" s="3" t="str">
        <f>IFERROR(__xludf.DUMMYFUNCTION("GOOGLETRANSLATE(B1796,""id"",""en"")"),"['service', 'Telkomsel', 'ugly', 'network', 'slow', 'lost', 'eat', 'pulse', 'where', 'go', 'package', 'internet', ' telephone ',' pulse ',' spent ',' star ',' minus', 'love', 'minus',' service ']")</f>
        <v>['service', 'Telkomsel', 'ugly', 'network', 'slow', 'lost', 'eat', 'pulse', 'where', 'go', 'package', 'internet', ' telephone ',' pulse ',' spent ',' star ',' minus', 'love', 'minus',' service ']</v>
      </c>
      <c r="D1796" s="3">
        <v>1.0</v>
      </c>
    </row>
    <row r="1797" ht="15.75" customHeight="1">
      <c r="A1797" s="1">
        <v>1795.0</v>
      </c>
      <c r="B1797" s="3" t="s">
        <v>1798</v>
      </c>
      <c r="C1797" s="3" t="str">
        <f>IFERROR(__xludf.DUMMYFUNCTION("GOOGLETRANSLATE(B1797,""id"",""en"")"),"['The network', 'quality', 'bad', 'ugly', 'dilapidated', 'Telkomsel', 'example', 'download', 'MB', 'Minutes',' harmed ',' driver ',' Ojol ',' difficult ',' orders', 'network', 'bad', 'ugly', 'bobok', 'kuningan', 'sub-district', 'cilimus',' jawa ',' west '"&amp;",' ']")</f>
        <v>['The network', 'quality', 'bad', 'ugly', 'dilapidated', 'Telkomsel', 'example', 'download', 'MB', 'Minutes',' harmed ',' driver ',' Ojol ',' difficult ',' orders', 'network', 'bad', 'ugly', 'bobok', 'kuningan', 'sub-district', 'cilimus',' jawa ',' west ',' ']</v>
      </c>
      <c r="D1797" s="3">
        <v>1.0</v>
      </c>
    </row>
    <row r="1798" ht="15.75" customHeight="1">
      <c r="A1798" s="1">
        <v>1796.0</v>
      </c>
      <c r="B1798" s="3" t="s">
        <v>1799</v>
      </c>
      <c r="C1798" s="3" t="str">
        <f>IFERROR(__xludf.DUMMYFUNCTION("GOOGLETRANSLATE(B1798,""id"",""en"")"),"['sad', 'pulse', 'sumps',' rb ',' run out ',' buy ',' quota ',' pulse ',' run out ',' annoyed ',' sad ',' all-round ',' Suck ',' pulses', 'detrimental', 'kah', 'annoyed', 'buy', 'continuous',' Telkomsel ',' mind ', ""]")</f>
        <v>['sad', 'pulse', 'sumps',' rb ',' run out ',' buy ',' quota ',' pulse ',' run out ',' annoyed ',' sad ',' all-round ',' Suck ',' pulses', 'detrimental', 'kah', 'annoyed', 'buy', 'continuous',' Telkomsel ',' mind ', "]</v>
      </c>
      <c r="D1798" s="3">
        <v>1.0</v>
      </c>
    </row>
    <row r="1799" ht="15.75" customHeight="1">
      <c r="A1799" s="1">
        <v>1797.0</v>
      </c>
      <c r="B1799" s="3" t="s">
        <v>1800</v>
      </c>
      <c r="C1799" s="3" t="str">
        <f>IFERROR(__xludf.DUMMYFUNCTION("GOOGLETRANSLATE(B1799,""id"",""en"")"),"['Login', 'Notification', 'SMS', 'Shipments', 'SMS', 'Please', 'Help', 'Thank you']")</f>
        <v>['Login', 'Notification', 'SMS', 'Shipments', 'SMS', 'Please', 'Help', 'Thank you']</v>
      </c>
      <c r="D1799" s="3">
        <v>3.0</v>
      </c>
    </row>
    <row r="1800" ht="15.75" customHeight="1">
      <c r="A1800" s="1">
        <v>1798.0</v>
      </c>
      <c r="B1800" s="3" t="s">
        <v>1801</v>
      </c>
      <c r="C1800" s="3" t="str">
        <f>IFERROR(__xludf.DUMMYFUNCTION("GOOGLETRANSLATE(B1800,""id"",""en"")"),"['', 'understand', 'Telkomsel', 'already', 'times',' purchase ',' macem ',' macem ',' pulse ',' sumps', 'buy', 'quota', 'answer ',' satisfying ',' really ']")</f>
        <v>['', 'understand', 'Telkomsel', 'already', 'times',' purchase ',' macem ',' macem ',' pulse ',' sumps', 'buy', 'quota', 'answer ',' satisfying ',' really ']</v>
      </c>
      <c r="D1800" s="3">
        <v>1.0</v>
      </c>
    </row>
    <row r="1801" ht="15.75" customHeight="1">
      <c r="A1801" s="1">
        <v>1799.0</v>
      </c>
      <c r="B1801" s="3" t="s">
        <v>1802</v>
      </c>
      <c r="C1801" s="3" t="str">
        <f>IFERROR(__xludf.DUMMYFUNCTION("GOOGLETRANSLATE(B1801,""id"",""en"")"),"['connective', 'account', 'Linkaja', 'account', 'mytelkomsel', 'problem', 'buy', 'package', 'bayr', 'balance', 'linkaj', 'because', ' Connect ',' please ',' fix ',' bug ',' bug ',' account ',' pseudo ',' data ',' apk ',' update ',' then ',' latest ',' ']")</f>
        <v>['connective', 'account', 'Linkaja', 'account', 'mytelkomsel', 'problem', 'buy', 'package', 'bayr', 'balance', 'linkaj', 'because', ' Connect ',' please ',' fix ',' bug ',' bug ',' account ',' pseudo ',' data ',' apk ',' update ',' then ',' latest ',' ']</v>
      </c>
      <c r="D1801" s="3">
        <v>1.0</v>
      </c>
    </row>
    <row r="1802" ht="15.75" customHeight="1">
      <c r="A1802" s="1">
        <v>1800.0</v>
      </c>
      <c r="B1802" s="3" t="s">
        <v>1803</v>
      </c>
      <c r="C1802" s="3" t="str">
        <f>IFERROR(__xludf.DUMMYFUNCTION("GOOGLETRANSLATE(B1802,""id"",""en"")"),"['delicious',' Telkomsel ',' Burik ',' really ',' play ',' game ',' lag ',' karuan ',' rich ',' Telkomsel ',' to make it ',' buy ',' quota ',' expensive ',' aignal ',' ugly ',' wasteful ',' signal ',' los', 'karuan', 'fix', 'telkomsel']")</f>
        <v>['delicious',' Telkomsel ',' Burik ',' really ',' play ',' game ',' lag ',' karuan ',' rich ',' Telkomsel ',' to make it ',' buy ',' quota ',' expensive ',' aignal ',' ugly ',' wasteful ',' signal ',' los', 'karuan', 'fix', 'telkomsel']</v>
      </c>
      <c r="D1802" s="3">
        <v>1.0</v>
      </c>
    </row>
    <row r="1803" ht="15.75" customHeight="1">
      <c r="A1803" s="1">
        <v>1801.0</v>
      </c>
      <c r="B1803" s="3" t="s">
        <v>1804</v>
      </c>
      <c r="C1803" s="3" t="str">
        <f>IFERROR(__xludf.DUMMYFUNCTION("GOOGLETRANSLATE(B1803,""id"",""en"")"),"['', 'Please', 'Confirmation', 'GIMNA', 'Send', 'Credit', 'Telkom', 'System', 'Busy', 'Yesterday', 'Please', 'The information', "" ]")</f>
        <v>['', 'Please', 'Confirmation', 'GIMNA', 'Send', 'Credit', 'Telkom', 'System', 'Busy', 'Yesterday', 'Please', 'The information', " ]</v>
      </c>
      <c r="D1803" s="3">
        <v>3.0</v>
      </c>
    </row>
    <row r="1804" ht="15.75" customHeight="1">
      <c r="A1804" s="1">
        <v>1802.0</v>
      </c>
      <c r="B1804" s="3" t="s">
        <v>1805</v>
      </c>
      <c r="C1804" s="3" t="str">
        <f>IFERROR(__xludf.DUMMYFUNCTION("GOOGLETRANSLATE(B1804,""id"",""en"")"),"['Telkomsel', 'Kayak', 'Burik', 'package', 'expensive', 'network', 'mahaal', 'ooooooii', 'lovers',' cell ',' disappointed ',' please ',' Note ',' Development ',' ']")</f>
        <v>['Telkomsel', 'Kayak', 'Burik', 'package', 'expensive', 'network', 'mahaal', 'ooooooii', 'lovers',' cell ',' disappointed ',' please ',' Note ',' Development ',' ']</v>
      </c>
      <c r="D1804" s="3">
        <v>1.0</v>
      </c>
    </row>
    <row r="1805" ht="15.75" customHeight="1">
      <c r="A1805" s="1">
        <v>1803.0</v>
      </c>
      <c r="B1805" s="3" t="s">
        <v>1806</v>
      </c>
      <c r="C1805" s="3" t="str">
        <f>IFERROR(__xludf.DUMMYFUNCTION("GOOGLETRANSLATE(B1805,""id"",""en"")"),"['signal', 'internet', 'slow', 'users',' Telkomsel ',' experience ',' in the future ',' slow ',' signal ',' internet ',' mending ',' change ',' Provider ',' ']")</f>
        <v>['signal', 'internet', 'slow', 'users',' Telkomsel ',' experience ',' in the future ',' slow ',' signal ',' internet ',' mending ',' change ',' Provider ',' ']</v>
      </c>
      <c r="D1805" s="3">
        <v>1.0</v>
      </c>
    </row>
    <row r="1806" ht="15.75" customHeight="1">
      <c r="A1806" s="1">
        <v>1804.0</v>
      </c>
      <c r="B1806" s="3" t="s">
        <v>1807</v>
      </c>
      <c r="C1806" s="3" t="str">
        <f>IFERROR(__xludf.DUMMYFUNCTION("GOOGLETRANSLATE(B1806,""id"",""en"")"),"['open', 'menu', 'world', 'game', 'how', 'slow', 'slammed', 'belonging', 'maker', 'application', 'mytelkomsel', 'destroy']")</f>
        <v>['open', 'menu', 'world', 'game', 'how', 'slow', 'slammed', 'belonging', 'maker', 'application', 'mytelkomsel', 'destroy']</v>
      </c>
      <c r="D1806" s="3">
        <v>1.0</v>
      </c>
    </row>
    <row r="1807" ht="15.75" customHeight="1">
      <c r="A1807" s="1">
        <v>1805.0</v>
      </c>
      <c r="B1807" s="3" t="s">
        <v>1808</v>
      </c>
      <c r="C1807" s="3" t="str">
        <f>IFERROR(__xludf.DUMMYFUNCTION("GOOGLETRANSLATE(B1807,""id"",""en"")"),"['people', 'people', 'no', 'pakek', 'Telkomsel', 'signal', 'difficult', 'no', 'kayak', 'already', 'quota', 'expensive', ' No ',' in ',' brain ',' oath ',' collapsed ',' little ',' pity ',' student ',' season ',' pandemic ',' profit ',' cook ',' no ' , 'ga"&amp;"ve', 'relief', 'students', 'itung', 'charity', 'jariyah', 'kann']")</f>
        <v>['people', 'people', 'no', 'pakek', 'Telkomsel', 'signal', 'difficult', 'no', 'kayak', 'already', 'quota', 'expensive', ' No ',' in ',' brain ',' oath ',' collapsed ',' little ',' pity ',' student ',' season ',' pandemic ',' profit ',' cook ',' no ' , 'gave', 'relief', 'students', 'itung', 'charity', 'jariyah', 'kann']</v>
      </c>
      <c r="D1807" s="3">
        <v>2.0</v>
      </c>
    </row>
    <row r="1808" ht="15.75" customHeight="1">
      <c r="A1808" s="1">
        <v>1806.0</v>
      </c>
      <c r="B1808" s="3" t="s">
        <v>1809</v>
      </c>
      <c r="C1808" s="3" t="str">
        <f>IFERROR(__xludf.DUMMYFUNCTION("GOOGLETRANSLATE(B1808,""id"",""en"")"),"['cave', 'disappointed', 'really', 'network', 'ugly', 'appeal', 'card', 'maen', 'game', 'signal', 'ugly', 'already', ' Game ',' good ',' pokonya ',' cave ',' regret ',' connoisseurs', 'telkomsel', 'indosat', 'network', 'stable', 'appeal', 'telkomsel']")</f>
        <v>['cave', 'disappointed', 'really', 'network', 'ugly', 'appeal', 'card', 'maen', 'game', 'signal', 'ugly', 'already', ' Game ',' good ',' pokonya ',' cave ',' regret ',' connoisseurs', 'telkomsel', 'indosat', 'network', 'stable', 'appeal', 'telkomsel']</v>
      </c>
      <c r="D1808" s="3">
        <v>1.0</v>
      </c>
    </row>
    <row r="1809" ht="15.75" customHeight="1">
      <c r="A1809" s="1">
        <v>1807.0</v>
      </c>
      <c r="B1809" s="3" t="s">
        <v>1810</v>
      </c>
      <c r="C1809" s="3" t="str">
        <f>IFERROR(__xludf.DUMMYFUNCTION("GOOGLETRANSLATE(B1809,""id"",""en"")"),"['Ouch', 'what', 'really', 'contents',' credit ',' activate ',' package ',' blum ',' turn on ',' data ',' sucked ',' pulse ',' Udh ',' that's', 'right', 'Activate', 'package', 'no', 'pulse', 'please', 'gmn']")</f>
        <v>['Ouch', 'what', 'really', 'contents',' credit ',' activate ',' package ',' blum ',' turn on ',' data ',' sucked ',' pulse ',' Udh ',' that's', 'right', 'Activate', 'package', 'no', 'pulse', 'please', 'gmn']</v>
      </c>
      <c r="D1809" s="3">
        <v>2.0</v>
      </c>
    </row>
    <row r="1810" ht="15.75" customHeight="1">
      <c r="A1810" s="1">
        <v>1808.0</v>
      </c>
      <c r="B1810" s="3" t="s">
        <v>1811</v>
      </c>
      <c r="C1810" s="3" t="str">
        <f>IFERROR(__xludf.DUMMYFUNCTION("GOOGLETRANSLATE(B1810,""id"",""en"")"),"['MyTelkomsel', 'chaotic', 'application', 'updated', 'bug', 'force', 'closed', 'login', 'mentok', 'logo', 'sometimes',' application ',' error ',' responding ',' opened ',' appears', 'notification', 'connection', 'internet', 'notification', 'network', 'ful"&amp;"l', 'bar', 'babe', 'when' , 'Bintang', 'minus', 'rating', '']")</f>
        <v>['MyTelkomsel', 'chaotic', 'application', 'updated', 'bug', 'force', 'closed', 'login', 'mentok', 'logo', 'sometimes',' application ',' error ',' responding ',' opened ',' appears', 'notification', 'connection', 'internet', 'notification', 'network', 'full', 'bar', 'babe', 'when' , 'Bintang', 'minus', 'rating', '']</v>
      </c>
      <c r="D1810" s="3">
        <v>1.0</v>
      </c>
    </row>
    <row r="1811" ht="15.75" customHeight="1">
      <c r="A1811" s="1">
        <v>1809.0</v>
      </c>
      <c r="B1811" s="3" t="s">
        <v>1812</v>
      </c>
      <c r="C1811" s="3" t="str">
        <f>IFERROR(__xludf.DUMMYFUNCTION("GOOGLETRANSLATE(B1811,""id"",""en"")"),"['Please', 'Change', 'The card', 'SDOT', 'Credit', 'Credit', 'ilang', 'Gara', 'Gara', 'forgetting', 'Matiin', 'Data', ' purchased ',' quota ',' learn ',' network ',' fix it ',' season ',' hejam ',' his net ',' like ',' slow ',' wind ',' likes', 'ilang' , "&amp;"'Please', 'Mimin', 'read', 'fix', 'village', 'users',' Telkomsel ',' card ',' best ',' fix it ',' suck ',' pulses', ' The network is', 'please', 'understand', 'Sis']")</f>
        <v>['Please', 'Change', 'The card', 'SDOT', 'Credit', 'Credit', 'ilang', 'Gara', 'Gara', 'forgetting', 'Matiin', 'Data', ' purchased ',' quota ',' learn ',' network ',' fix it ',' season ',' hejam ',' his net ',' like ',' slow ',' wind ',' likes', 'ilang' , 'Please', 'Mimin', 'read', 'fix', 'village', 'users',' Telkomsel ',' card ',' best ',' fix it ',' suck ',' pulses', ' The network is', 'please', 'understand', 'Sis']</v>
      </c>
      <c r="D1811" s="3">
        <v>1.0</v>
      </c>
    </row>
    <row r="1812" ht="15.75" customHeight="1">
      <c r="A1812" s="1">
        <v>1810.0</v>
      </c>
      <c r="B1812" s="3" t="s">
        <v>1813</v>
      </c>
      <c r="C1812" s="3" t="str">
        <f>IFERROR(__xludf.DUMMYFUNCTION("GOOGLETRANSLATE(B1812,""id"",""en"")"),"['Please', 'Telkomsel', 'buy', 'package', 'expensive', 'because' cards ',' package ',' cheap ',' what is ',' price ',' adjust ',' network ',' slow ',' really ',' forgiveness', 'forgiveness']")</f>
        <v>['Please', 'Telkomsel', 'buy', 'package', 'expensive', 'because' cards ',' package ',' cheap ',' what is ',' price ',' adjust ',' network ',' slow ',' really ',' forgiveness', 'forgiveness']</v>
      </c>
      <c r="D1812" s="3">
        <v>1.0</v>
      </c>
    </row>
    <row r="1813" ht="15.75" customHeight="1">
      <c r="A1813" s="1">
        <v>1811.0</v>
      </c>
      <c r="B1813" s="3" t="s">
        <v>1814</v>
      </c>
      <c r="C1813" s="3" t="str">
        <f>IFERROR(__xludf.DUMMYFUNCTION("GOOGLETRANSLATE(B1813,""id"",""en"")"),"['', 'Telkomsel', 'Dear', 'Credit', 'Sucked', 'Package', 'Data', 'Lho', 'Sumpot', 'Credit', 'Please', 'Feature', 'Key ',' pulse ',' thank ',' love ',' ']")</f>
        <v>['', 'Telkomsel', 'Dear', 'Credit', 'Sucked', 'Package', 'Data', 'Lho', 'Sumpot', 'Credit', 'Please', 'Feature', 'Key ',' pulse ',' thank ',' love ',' ']</v>
      </c>
      <c r="D1813" s="3">
        <v>1.0</v>
      </c>
    </row>
    <row r="1814" ht="15.75" customHeight="1">
      <c r="A1814" s="1">
        <v>1812.0</v>
      </c>
      <c r="B1814" s="3" t="s">
        <v>1815</v>
      </c>
      <c r="C1814" s="3" t="str">
        <f>IFERROR(__xludf.DUMMYFUNCTION("GOOGLETRANSLATE(B1814,""id"",""en"")"),"['love', 'star', 'fix', 'love', 'star', 'please', 'package', 'unlimited', 'network', 'Dragus',' fix ',' kouta ',' main ',' unlimited ',' slow ',' please ',' fix ',' name ',' telkom ',' thank ',' love ', ""]")</f>
        <v>['love', 'star', 'fix', 'love', 'star', 'please', 'package', 'unlimited', 'network', 'Dragus',' fix ',' kouta ',' main ',' unlimited ',' slow ',' please ',' fix ',' name ',' telkom ',' thank ',' love ', "]</v>
      </c>
      <c r="D1814" s="3">
        <v>3.0</v>
      </c>
    </row>
    <row r="1815" ht="15.75" customHeight="1">
      <c r="A1815" s="1">
        <v>1813.0</v>
      </c>
      <c r="B1815" s="3" t="s">
        <v>1816</v>
      </c>
      <c r="C1815" s="3" t="str">
        <f>IFERROR(__xludf.DUMMYFUNCTION("GOOGLETRANSLATE(B1815,""id"",""en"")"),"['information', 'subscribe', 'apply', 'internet', 'run out', 'pulse', 'suits',' price ',' internet ',' dedetine ',' internet ',' Lagsg ',' Sumpot ',' pulses', 'how', 'Jiah', 'Cheating', 'classic', 'buy', 'pulse', 'buy', 'package', 'internet', 'manual', 'c"&amp;"heat' , '']")</f>
        <v>['information', 'subscribe', 'apply', 'internet', 'run out', 'pulse', 'suits',' price ',' internet ',' dedetine ',' internet ',' Lagsg ',' Sumpot ',' pulses', 'how', 'Jiah', 'Cheating', 'classic', 'buy', 'pulse', 'buy', 'package', 'internet', 'manual', 'cheat' , '']</v>
      </c>
      <c r="D1815" s="3">
        <v>1.0</v>
      </c>
    </row>
    <row r="1816" ht="15.75" customHeight="1">
      <c r="A1816" s="1">
        <v>1814.0</v>
      </c>
      <c r="B1816" s="3" t="s">
        <v>1817</v>
      </c>
      <c r="C1816" s="3" t="str">
        <f>IFERROR(__xludf.DUMMYFUNCTION("GOOGLETRANSLATE(B1816,""id"",""en"")"),"['Jujut', 'cave', 'Telkomsel', 'signal', 'strong', 'zonkkkk', 'speed', 'internet', 'pepayhh', 'conected', 'so', 'cook', ' Lost ',' tri ',' speed ',' tri ',' stable ',' Telkomsel ',' Telkomsel ',' package ',' expensive ',' cave ',' package ',' expensive ',"&amp;"' speed ' , 'internet', 'good', 'cave', 'read', 'rating', 'emang', 'cave', 'doang', 'reset', 'speed', 'internet', 'cave', ' already ',' complaints', 'results',' honest ',' disappointed ',' really ',' cave ',' mending ',' tri ']")</f>
        <v>['Jujut', 'cave', 'Telkomsel', 'signal', 'strong', 'zonkkkk', 'speed', 'internet', 'pepayhh', 'conected', 'so', 'cook', ' Lost ',' tri ',' speed ',' tri ',' stable ',' Telkomsel ',' Telkomsel ',' package ',' expensive ',' cave ',' package ',' expensive ',' speed ' , 'internet', 'good', 'cave', 'read', 'rating', 'emang', 'cave', 'doang', 'reset', 'speed', 'internet', 'cave', ' already ',' complaints', 'results',' honest ',' disappointed ',' really ',' cave ',' mending ',' tri ']</v>
      </c>
      <c r="D1816" s="3">
        <v>1.0</v>
      </c>
    </row>
    <row r="1817" ht="15.75" customHeight="1">
      <c r="A1817" s="1">
        <v>1815.0</v>
      </c>
      <c r="B1817" s="3" t="s">
        <v>1818</v>
      </c>
      <c r="C1817" s="3" t="str">
        <f>IFERROR(__xludf.DUMMYFUNCTION("GOOGLETRANSLATE(B1817,""id"",""en"")"),"['Please', 'Sorry', 'Complaints',' Network ',' Telkomsel ',' Play ',' Game ',' Online ',' Network ',' Ms', 'Please', 'Fix', ' hope ',' Telkomsel ',' fix it ',' ']")</f>
        <v>['Please', 'Sorry', 'Complaints',' Network ',' Telkomsel ',' Play ',' Game ',' Online ',' Network ',' Ms', 'Please', 'Fix', ' hope ',' Telkomsel ',' fix it ',' ']</v>
      </c>
      <c r="D1817" s="3">
        <v>1.0</v>
      </c>
    </row>
    <row r="1818" ht="15.75" customHeight="1">
      <c r="A1818" s="1">
        <v>1816.0</v>
      </c>
      <c r="B1818" s="3" t="s">
        <v>1819</v>
      </c>
      <c r="C1818" s="3" t="str">
        <f>IFERROR(__xludf.DUMMYFUNCTION("GOOGLETRANSLATE(B1818,""id"",""en"")"),"['Strength', 'Network', 'Telkomsel', 'Area', 'Ask', 'Come', 'Telkomsel', 'Proud', 'Power "",' Strength ',' Wetting ',' Network ',' Indonesia']")</f>
        <v>['Strength', 'Network', 'Telkomsel', 'Area', 'Ask', 'Come', 'Telkomsel', 'Proud', 'Power ",' Strength ',' Wetting ',' Network ',' Indonesia']</v>
      </c>
      <c r="D1818" s="3">
        <v>4.0</v>
      </c>
    </row>
    <row r="1819" ht="15.75" customHeight="1">
      <c r="A1819" s="1">
        <v>1817.0</v>
      </c>
      <c r="B1819" s="3" t="s">
        <v>1820</v>
      </c>
      <c r="C1819" s="3" t="str">
        <f>IFERROR(__xludf.DUMMYFUNCTION("GOOGLETRANSLATE(B1819,""id"",""en"")"),"['love', 'star', 'quota', 'unlimitid', 'blm', 'active', 'already', 'internet', 'email', 'response', 'Telkomsel', 'responsibility', ' already ',' price ',' quality ',' expensive ',' harm ',' please ',' Telkomsel ',' response ',' pretentious', 'use', 'progg"&amp;"ram', 'unlimitid', 'kek' , 'Gini', 'zonk']")</f>
        <v>['love', 'star', 'quota', 'unlimitid', 'blm', 'active', 'already', 'internet', 'email', 'response', 'Telkomsel', 'responsibility', ' already ',' price ',' quality ',' expensive ',' harm ',' please ',' Telkomsel ',' response ',' pretentious', 'use', 'proggram', 'unlimitid', 'kek' , 'Gini', 'zonk']</v>
      </c>
      <c r="D1819" s="3">
        <v>1.0</v>
      </c>
    </row>
    <row r="1820" ht="15.75" customHeight="1">
      <c r="A1820" s="1">
        <v>1818.0</v>
      </c>
      <c r="B1820" s="3" t="s">
        <v>1821</v>
      </c>
      <c r="C1820" s="3" t="str">
        <f>IFERROR(__xludf.DUMMYFUNCTION("GOOGLETRANSLATE(B1820,""id"",""en"")"),"['sorry', 'star', 'user', 'disappointed', 'really', 'leftover', 'quota', 'GB', 'internet', 'local', 'unlimitid', 'active', ' internet ',' please ',' rich ',' that's', 'what', 'what', 'diem', 'already', 'email', 'kagak', 'response']")</f>
        <v>['sorry', 'star', 'user', 'disappointed', 'really', 'leftover', 'quota', 'GB', 'internet', 'local', 'unlimitid', 'active', ' internet ',' please ',' rich ',' that's', 'what', 'what', 'diem', 'already', 'email', 'kagak', 'response']</v>
      </c>
      <c r="D1820" s="3">
        <v>1.0</v>
      </c>
    </row>
    <row r="1821" ht="15.75" customHeight="1">
      <c r="A1821" s="1">
        <v>1819.0</v>
      </c>
      <c r="B1821" s="3" t="s">
        <v>1822</v>
      </c>
      <c r="C1821" s="3" t="str">
        <f>IFERROR(__xludf.DUMMYFUNCTION("GOOGLETRANSLATE(B1821,""id"",""en"")"),"['Constraints',' Sorry ',' System ',' Busy ',' Please ',' Wait ',' Content ',' Voucher ',' Data ',' Komplin ',' How ',' Hadeh ',' Telkomsel ',' Telkomsel ',' price ',' ride ',' people ',' buy ',' because ',' price ',' right ',' go up ', ""]")</f>
        <v>['Constraints',' Sorry ',' System ',' Busy ',' Please ',' Wait ',' Content ',' Voucher ',' Data ',' Komplin ',' How ',' Hadeh ',' Telkomsel ',' Telkomsel ',' price ',' ride ',' people ',' buy ',' because ',' price ',' right ',' go up ', "]</v>
      </c>
      <c r="D1821" s="3">
        <v>1.0</v>
      </c>
    </row>
    <row r="1822" ht="15.75" customHeight="1">
      <c r="A1822" s="1">
        <v>1820.0</v>
      </c>
      <c r="B1822" s="3" t="s">
        <v>1823</v>
      </c>
      <c r="C1822" s="3" t="str">
        <f>IFERROR(__xludf.DUMMYFUNCTION("GOOGLETRANSLATE(B1822,""id"",""en"")"),"['Telkomsel', 'network', 'slow', 'area', 'network', 'smooth', 'sorry', 'package', 'expensive', 'plus',' network ',' slow ',' ']")</f>
        <v>['Telkomsel', 'network', 'slow', 'area', 'network', 'smooth', 'sorry', 'package', 'expensive', 'plus',' network ',' slow ',' ']</v>
      </c>
      <c r="D1822" s="3">
        <v>1.0</v>
      </c>
    </row>
    <row r="1823" ht="15.75" customHeight="1">
      <c r="A1823" s="1">
        <v>1821.0</v>
      </c>
      <c r="B1823" s="3" t="s">
        <v>1824</v>
      </c>
      <c r="C1823" s="3" t="str">
        <f>IFERROR(__xludf.DUMMYFUNCTION("GOOGLETRANSLATE(B1823,""id"",""en"")"),"['Sorry', 'because', 'Bintang', 'proud', 'community', 'network', 'Telkomsel', 'advanced', 'disappointed', 'week', 'network', 'Telkomsel', ' The region ',' Tempah ',' Bad ',' Tidah ',' ']")</f>
        <v>['Sorry', 'because', 'Bintang', 'proud', 'community', 'network', 'Telkomsel', 'advanced', 'disappointed', 'week', 'network', 'Telkomsel', ' The region ',' Tempah ',' Bad ',' Tidah ',' ']</v>
      </c>
      <c r="D1823" s="3">
        <v>1.0</v>
      </c>
    </row>
    <row r="1824" ht="15.75" customHeight="1">
      <c r="A1824" s="1">
        <v>1822.0</v>
      </c>
      <c r="B1824" s="3" t="s">
        <v>1825</v>
      </c>
      <c r="C1824" s="3" t="str">
        <f>IFERROR(__xludf.DUMMYFUNCTION("GOOGLETRANSLATE(B1824,""id"",""en"")"),"['disappointing', 'use', 'data', 'according to', 'remove', 'suck', 'credit', 'obstacle', 'network', 'urban', 'access',' web ',' BUFERRING ',' streaming ',' disappointing ',' service ',' Telkomsel ']")</f>
        <v>['disappointing', 'use', 'data', 'according to', 'remove', 'suck', 'credit', 'obstacle', 'network', 'urban', 'access',' web ',' BUFERRING ',' streaming ',' disappointing ',' service ',' Telkomsel ']</v>
      </c>
      <c r="D1824" s="3">
        <v>1.0</v>
      </c>
    </row>
    <row r="1825" ht="15.75" customHeight="1">
      <c r="A1825" s="1">
        <v>1823.0</v>
      </c>
      <c r="B1825" s="3" t="s">
        <v>1826</v>
      </c>
      <c r="C1825" s="3" t="str">
        <f>IFERROR(__xludf.DUMMYFUNCTION("GOOGLETRANSLATE(B1825,""id"",""en"")"),"['Kec', 'Cikelet', 'Kab', 'Garut', 'Tower', 'Tower', 'Tower', 'Telkomsel', 'Tower', 'Tower', 'Telkomsel', 'already', ' quota ',' expensive ',' tower ',' network ',' internet ',' lose ',' Indosat ',' nebeng ',' tower ',' forgiveness', 'change', 'card', 'al"&amp;"ready' , 'responsibility', 'buy', 'quota', 'high', 'segede', 'gaban', 'haduuh', 'regret', 'regret', 'segede', 'mountain', 'replace', ' Load ',' difficult ',' season ',' gini ',' look for ',' money ',' smart ',' setting ',' pngeu ',' flask ',' business', '"&amp;"online', 'choked' , 'Gara', 'network', 'forgiveness']")</f>
        <v>['Kec', 'Cikelet', 'Kab', 'Garut', 'Tower', 'Tower', 'Tower', 'Telkomsel', 'Tower', 'Tower', 'Telkomsel', 'already', ' quota ',' expensive ',' tower ',' network ',' internet ',' lose ',' Indosat ',' nebeng ',' tower ',' forgiveness', 'change', 'card', 'already' , 'responsibility', 'buy', 'quota', 'high', 'segede', 'gaban', 'haduuh', 'regret', 'regret', 'segede', 'mountain', 'replace', ' Load ',' difficult ',' season ',' gini ',' look for ',' money ',' smart ',' setting ',' pngeu ',' flask ',' business', 'online', 'choked' , 'Gara', 'network', 'forgiveness']</v>
      </c>
      <c r="D1825" s="3">
        <v>1.0</v>
      </c>
    </row>
    <row r="1826" ht="15.75" customHeight="1">
      <c r="A1826" s="1">
        <v>1824.0</v>
      </c>
      <c r="B1826" s="3" t="s">
        <v>1827</v>
      </c>
      <c r="C1826" s="3" t="str">
        <f>IFERROR(__xludf.DUMMYFUNCTION("GOOGLETRANSLATE(B1826,""id"",""en"")"),"['Credit', 'just', 'Where', 'Maling', 'Credit', 'Telkomsel', 'Fix', 'Bug', 'Bacot', 'Doank', 'Critic']")</f>
        <v>['Credit', 'just', 'Where', 'Maling', 'Credit', 'Telkomsel', 'Fix', 'Bug', 'Bacot', 'Doank', 'Critic']</v>
      </c>
      <c r="D1826" s="3">
        <v>1.0</v>
      </c>
    </row>
    <row r="1827" ht="15.75" customHeight="1">
      <c r="A1827" s="1">
        <v>1825.0</v>
      </c>
      <c r="B1827" s="3" t="s">
        <v>1828</v>
      </c>
      <c r="C1827" s="3" t="str">
        <f>IFERROR(__xludf.DUMMYFUNCTION("GOOGLETRANSLATE(B1827,""id"",""en"")"),"['disappointed', 'signal', 'internet', 'slow', 'disorder', 'according to', 'price', 'package', 'expensive', 'satisfying', 'disappointed']")</f>
        <v>['disappointed', 'signal', 'internet', 'slow', 'disorder', 'according to', 'price', 'package', 'expensive', 'satisfying', 'disappointed']</v>
      </c>
      <c r="D1827" s="3">
        <v>2.0</v>
      </c>
    </row>
    <row r="1828" ht="15.75" customHeight="1">
      <c r="A1828" s="1">
        <v>1826.0</v>
      </c>
      <c r="B1828" s="3" t="s">
        <v>1829</v>
      </c>
      <c r="C1828" s="3" t="str">
        <f>IFERROR(__xludf.DUMMYFUNCTION("GOOGLETRANSLATE(B1828,""id"",""en"")"),"['buy', 'quota', 'lapse', 'facebook', 'facebookan', 'reduced', 'pulse', 'think', 'hard', 'deh', 'price', 'expensive', ' Buy ',' GB ',' GB ',' Used ',' Quotes', 'intact', 'pulse', 'Sumpot', 'Look', 'Credit', 'Sumpot', 'Use', 'Internet' , 'users', 'Telkomse"&amp;"l', 'disappointed', 'Please', 'repaired', 'thank you']")</f>
        <v>['buy', 'quota', 'lapse', 'facebook', 'facebookan', 'reduced', 'pulse', 'think', 'hard', 'deh', 'price', 'expensive', ' Buy ',' GB ',' GB ',' Used ',' Quotes', 'intact', 'pulse', 'Sumpot', 'Look', 'Credit', 'Sumpot', 'Use', 'Internet' , 'users', 'Telkomsel', 'disappointed', 'Please', 'repaired', 'thank you']</v>
      </c>
      <c r="D1828" s="3">
        <v>2.0</v>
      </c>
    </row>
    <row r="1829" ht="15.75" customHeight="1">
      <c r="A1829" s="1">
        <v>1827.0</v>
      </c>
      <c r="B1829" s="3" t="s">
        <v>1830</v>
      </c>
      <c r="C1829" s="3" t="str">
        <f>IFERROR(__xludf.DUMMYFUNCTION("GOOGLETRANSLATE(B1829,""id"",""en"")"),"['network', 'internet', 'ugly', 'enter', 'home', 'direct', 'signal', 'poor', 'star', 'tar', 'already', 'good', ' Love ',' Star ']")</f>
        <v>['network', 'internet', 'ugly', 'enter', 'home', 'direct', 'signal', 'poor', 'star', 'tar', 'already', 'good', ' Love ',' Star ']</v>
      </c>
      <c r="D1829" s="3">
        <v>1.0</v>
      </c>
    </row>
    <row r="1830" ht="15.75" customHeight="1">
      <c r="A1830" s="1">
        <v>1828.0</v>
      </c>
      <c r="B1830" s="3" t="s">
        <v>1831</v>
      </c>
      <c r="C1830" s="3" t="str">
        <f>IFERROR(__xludf.DUMMYFUNCTION("GOOGLETRANSLATE(B1830,""id"",""en"")"),"['ugly', 'network', 'Telkomsel', 'make', 'Telkomsel', 'already', 'dozens',' package ',' expensive ',' signal ',' slow ',' severe ',' Bagusan ',' IM ',' Region ',' Caucaung ',' Cibinong ',' Bogor ',' Kayak ',' Gini ',' Network ',' Stop ',' Telkomsel ']")</f>
        <v>['ugly', 'network', 'Telkomsel', 'make', 'Telkomsel', 'already', 'dozens',' package ',' expensive ',' signal ',' slow ',' severe ',' Bagusan ',' IM ',' Region ',' Caucaung ',' Cibinong ',' Bogor ',' Kayak ',' Gini ',' Network ',' Stop ',' Telkomsel ']</v>
      </c>
      <c r="D1830" s="3">
        <v>1.0</v>
      </c>
    </row>
    <row r="1831" ht="15.75" customHeight="1">
      <c r="A1831" s="1">
        <v>1829.0</v>
      </c>
      <c r="B1831" s="3" t="s">
        <v>1832</v>
      </c>
      <c r="C1831" s="3" t="str">
        <f>IFERROR(__xludf.DUMMYFUNCTION("GOOGLETRANSLATE(B1831,""id"",""en"")"),"['enter', 'Facebook', 'log', 'right', 'number', 'registered', 'already', 'service', ""]")</f>
        <v>['enter', 'Facebook', 'log', 'right', 'number', 'registered', 'already', 'service', "]</v>
      </c>
      <c r="D1831" s="3">
        <v>1.0</v>
      </c>
    </row>
    <row r="1832" ht="15.75" customHeight="1">
      <c r="A1832" s="1">
        <v>1830.0</v>
      </c>
      <c r="B1832" s="3" t="s">
        <v>1833</v>
      </c>
      <c r="C1832" s="3" t="str">
        <f>IFERROR(__xludf.DUMMYFUNCTION("GOOGLETRANSLATE(B1832,""id"",""en"")"),"['connection', 'how', 'connection', 'signal', 'slow', 'package', 'expensive', 'no' feedback ',' email ',' slow ',' handling ',' Oath ',' inhibit ',' work ', ""]")</f>
        <v>['connection', 'how', 'connection', 'signal', 'slow', 'package', 'expensive', 'no' feedback ',' email ',' slow ',' handling ',' Oath ',' inhibit ',' work ', "]</v>
      </c>
      <c r="D1832" s="3">
        <v>1.0</v>
      </c>
    </row>
    <row r="1833" ht="15.75" customHeight="1">
      <c r="A1833" s="1">
        <v>1831.0</v>
      </c>
      <c r="B1833" s="3" t="s">
        <v>1834</v>
      </c>
      <c r="C1833" s="3" t="str">
        <f>IFERROR(__xludf.DUMMYFUNCTION("GOOGLETRANSLATE(B1833,""id"",""en"")"),"['Package', 'expensive', 'network', 'slow', 'really', 'harm', 'admin', 'Tevardry', 'area', 'Mna', 'slow', 'CBA', ' Clay ',' comment ',' Region ',' lemoooooooooottttt ',' Hopefully ',' Destruction ',' Eyes', 'Telkomsel', ""]")</f>
        <v>['Package', 'expensive', 'network', 'slow', 'really', 'harm', 'admin', 'Tevardry', 'area', 'Mna', 'slow', 'CBA', ' Clay ',' comment ',' Region ',' lemoooooooooottttt ',' Hopefully ',' Destruction ',' Eyes', 'Telkomsel', "]</v>
      </c>
      <c r="D1833" s="3">
        <v>1.0</v>
      </c>
    </row>
    <row r="1834" ht="15.75" customHeight="1">
      <c r="A1834" s="1">
        <v>1832.0</v>
      </c>
      <c r="B1834" s="3" t="s">
        <v>1835</v>
      </c>
      <c r="C1834" s="3" t="str">
        <f>IFERROR(__xludf.DUMMYFUNCTION("GOOGLETRANSLATE(B1834,""id"",""en"")"),"['already', 'ngeluh', 'gave', 'star', 'information', 'email', 'already', 'obstacles',' network ',' Toba ',' Samosir ',' Lumban ',' Julu ',' TPI ',' response ',' Network ',' stable ',' quota ',' internet ',' Available ',' yes', 'quota', 'emang', 'TPI', 'ne"&amp;"twork' , 'stable', 'lazy', 'ssya', 'work', 'money', 'road', 'feature', 'star', 'minus', 'a million', 'guarantee', 'gave']")</f>
        <v>['already', 'ngeluh', 'gave', 'star', 'information', 'email', 'already', 'obstacles',' network ',' Toba ',' Samosir ',' Lumban ',' Julu ',' TPI ',' response ',' Network ',' stable ',' quota ',' internet ',' Available ',' yes', 'quota', 'emang', 'TPI', 'network' , 'stable', 'lazy', 'ssya', 'work', 'money', 'road', 'feature', 'star', 'minus', 'a million', 'guarantee', 'gave']</v>
      </c>
      <c r="D1834" s="3">
        <v>1.0</v>
      </c>
    </row>
    <row r="1835" ht="15.75" customHeight="1">
      <c r="A1835" s="1">
        <v>1833.0</v>
      </c>
      <c r="B1835" s="3" t="s">
        <v>1836</v>
      </c>
      <c r="C1835" s="3" t="str">
        <f>IFERROR(__xludf.DUMMYFUNCTION("GOOGLETRANSLATE(B1835,""id"",""en"")"),"['price', 'package', 'expensive', 'get', 'little', 'speed', 'aspet', 'Indosat', 'lose', 'NOT', 'LIKE', 'KARNA', ' gave ',' star ',' award ',' Telkomsel ',' heeuh ',' basic ',' stupid ', ""]")</f>
        <v>['price', 'package', 'expensive', 'get', 'little', 'speed', 'aspet', 'Indosat', 'lose', 'NOT', 'LIKE', 'KARNA', ' gave ',' star ',' award ',' Telkomsel ',' heeuh ',' basic ',' stupid ', "]</v>
      </c>
      <c r="D1835" s="3">
        <v>5.0</v>
      </c>
    </row>
    <row r="1836" ht="15.75" customHeight="1">
      <c r="A1836" s="1">
        <v>1834.0</v>
      </c>
      <c r="B1836" s="3" t="s">
        <v>1837</v>
      </c>
      <c r="C1836" s="3" t="str">
        <f>IFERROR(__xludf.DUMMYFUNCTION("GOOGLETRANSLATE(B1836,""id"",""en"")"),"['apk', 'kek', 'anjg', 'emng', 'ngak', 'intention', 'update', 'weird', 'just', 'buy', 'package', 'internet', ' night ',' ngak ',' buy ',' package ',' internet ',' anjg ',' update ',' ngak ',' sms', 'notif', 'pulses',' truncated ',' Telkomsel ' , 'Gini', '"&amp;"anjg']")</f>
        <v>['apk', 'kek', 'anjg', 'emng', 'ngak', 'intention', 'update', 'weird', 'just', 'buy', 'package', 'internet', ' night ',' ngak ',' buy ',' package ',' internet ',' anjg ',' update ',' ngak ',' sms', 'notif', 'pulses',' truncated ',' Telkomsel ' , 'Gini', 'anjg']</v>
      </c>
      <c r="D1836" s="3">
        <v>1.0</v>
      </c>
    </row>
    <row r="1837" ht="15.75" customHeight="1">
      <c r="A1837" s="1">
        <v>1835.0</v>
      </c>
      <c r="B1837" s="3" t="s">
        <v>1838</v>
      </c>
      <c r="C1837" s="3" t="str">
        <f>IFERROR(__xludf.DUMMYFUNCTION("GOOGLETRANSLATE(B1837,""id"",""en"")"),"['price', 'package', 'cheap', 'affordable', 'thank', 'love', 'Telkomsel', 'Telkomsel', 'signal', 'smooth', 'suggestions',' down ',' price ',' package ',' already ',' price ',' package ',' expensive ',' signal ',' slow ',' poor ']")</f>
        <v>['price', 'package', 'cheap', 'affordable', 'thank', 'love', 'Telkomsel', 'Telkomsel', 'signal', 'smooth', 'suggestions',' down ',' price ',' package ',' already ',' price ',' package ',' expensive ',' signal ',' slow ',' poor ']</v>
      </c>
      <c r="D1837" s="3">
        <v>2.0</v>
      </c>
    </row>
    <row r="1838" ht="15.75" customHeight="1">
      <c r="A1838" s="1">
        <v>1836.0</v>
      </c>
      <c r="B1838" s="3" t="s">
        <v>1839</v>
      </c>
      <c r="C1838" s="3" t="str">
        <f>IFERROR(__xludf.DUMMYFUNCTION("GOOGLETRANSLATE(B1838,""id"",""en"")"),"['fit', 'list', 'package', 'internet', 'MB', 'clock', 'night', 'run out', 'clock', 'night', 'blm', 'smpe', ' BLM ',' spend ',' check ',' quota ',' clock ',' night ',' leftover ',' MB ',' right ',' clock ',' night ',' Udh ',' run out ' , 'Sisain', 'MB', 'T"&amp;"omorrow', 'Huh', '']")</f>
        <v>['fit', 'list', 'package', 'internet', 'MB', 'clock', 'night', 'run out', 'clock', 'night', 'blm', 'smpe', ' BLM ',' spend ',' check ',' quota ',' clock ',' night ',' leftover ',' MB ',' right ',' clock ',' night ',' Udh ',' run out ' , 'Sisain', 'MB', 'Tomorrow', 'Huh', '']</v>
      </c>
      <c r="D1838" s="3">
        <v>3.0</v>
      </c>
    </row>
    <row r="1839" ht="15.75" customHeight="1">
      <c r="A1839" s="1">
        <v>1837.0</v>
      </c>
      <c r="B1839" s="3" t="s">
        <v>1840</v>
      </c>
      <c r="C1839" s="3" t="str">
        <f>IFERROR(__xludf.DUMMYFUNCTION("GOOGLETRANSLATE(B1839,""id"",""en"")"),"['Hello', 'min', 'apk', 'Telkomsel', 'like', 'nge', 'bug', 'on', 'date', 'limit', 'use', 'quota', ' The limit ',' like ',' changed ',' Change ',' yesterday ',' limit ',' internet ',' run out ',' contents', 'check', 'quota', 'quota', 'GB' , 'right', 'check"&amp;"', 'quota', 'GB', 'internet', 'GB', 'Multimedia', 'Please', 'Suggestions', 'Help', 'Min', ""]")</f>
        <v>['Hello', 'min', 'apk', 'Telkomsel', 'like', 'nge', 'bug', 'on', 'date', 'limit', 'use', 'quota', ' The limit ',' like ',' changed ',' Change ',' yesterday ',' limit ',' internet ',' run out ',' contents', 'check', 'quota', 'quota', 'GB' , 'right', 'check', 'quota', 'GB', 'internet', 'GB', 'Multimedia', 'Please', 'Suggestions', 'Help', 'Min', "]</v>
      </c>
      <c r="D1839" s="3">
        <v>2.0</v>
      </c>
    </row>
    <row r="1840" ht="15.75" customHeight="1">
      <c r="A1840" s="1">
        <v>1838.0</v>
      </c>
      <c r="B1840" s="3" t="s">
        <v>1841</v>
      </c>
      <c r="C1840" s="3" t="str">
        <f>IFERROR(__xludf.DUMMYFUNCTION("GOOGLETRANSLATE(B1840,""id"",""en"")"),"['apk', 'ugly', 'bangett', 'signal', 'ugly', 'disappointed', 'Telkomsel', 'already', 'replace', 'card', 'Telkomsel', 'password', ' expensive ',' price ',' ugly ',' signal ',' ']")</f>
        <v>['apk', 'ugly', 'bangett', 'signal', 'ugly', 'disappointed', 'Telkomsel', 'already', 'replace', 'card', 'Telkomsel', 'password', ' expensive ',' price ',' ugly ',' signal ',' ']</v>
      </c>
      <c r="D1840" s="3">
        <v>1.0</v>
      </c>
    </row>
    <row r="1841" ht="15.75" customHeight="1">
      <c r="A1841" s="1">
        <v>1839.0</v>
      </c>
      <c r="B1841" s="3" t="s">
        <v>1842</v>
      </c>
      <c r="C1841" s="3" t="str">
        <f>IFERROR(__xludf.DUMMYFUNCTION("GOOGLETRANSLATE(B1841,""id"",""en"")"),"['App', 'Sometimes',' difficult ',' entry ',' network ',' difficult ',' area ',' ttp ',' stable ',' pandemic ',' online ',' user ',' Thn ',' Pandemic ',' Severe ',' NGK ',' Stable ',' Signal ',' THN ',' Lebh ',' Optimization ',' Network ',' User ', ""]")</f>
        <v>['App', 'Sometimes',' difficult ',' entry ',' network ',' difficult ',' area ',' ttp ',' stable ',' pandemic ',' online ',' user ',' Thn ',' Pandemic ',' Severe ',' NGK ',' Stable ',' Signal ',' THN ',' Lebh ',' Optimization ',' Network ',' User ', "]</v>
      </c>
      <c r="D1841" s="3">
        <v>1.0</v>
      </c>
    </row>
    <row r="1842" ht="15.75" customHeight="1">
      <c r="A1842" s="1">
        <v>1840.0</v>
      </c>
      <c r="B1842" s="3" t="s">
        <v>1843</v>
      </c>
      <c r="C1842" s="3" t="str">
        <f>IFERROR(__xludf.DUMMYFUNCTION("GOOGLETRANSLATE(B1842,""id"",""en"")"),"['The network', 'anjirt', 'network', 'feels',' ngelek ',' really ',' already ',' Hadeh ',' please ',' improved ',' satisfaction ',' consumer ',' Impact ',' Provider ',' ']")</f>
        <v>['The network', 'anjirt', 'network', 'feels',' ngelek ',' really ',' already ',' Hadeh ',' please ',' improved ',' satisfaction ',' consumer ',' Impact ',' Provider ',' ']</v>
      </c>
      <c r="D1842" s="3">
        <v>1.0</v>
      </c>
    </row>
    <row r="1843" ht="15.75" customHeight="1">
      <c r="A1843" s="1">
        <v>1841.0</v>
      </c>
      <c r="B1843" s="3" t="s">
        <v>1844</v>
      </c>
      <c r="C1843" s="3" t="str">
        <f>IFERROR(__xludf.DUMMYFUNCTION("GOOGLETRANSLATE(B1843,""id"",""en"")"),"['please', 'love', 'promo', 'right', 'already', 'buy', 'pulse', 'package', 'promo', 'gabisa', 'kantel', 'intention', ' love ',' promo ',' gausah ',' cave ',' search ',' prime ',' good ',' already ',' times', 'buy', 'pulse', 'promo', 'error' , 'All', 'resu"&amp;"lts', 'pulses', 'ilang']")</f>
        <v>['please', 'love', 'promo', 'right', 'already', 'buy', 'pulse', 'package', 'promo', 'gabisa', 'kantel', 'intention', ' love ',' promo ',' gausah ',' cave ',' search ',' prime ',' good ',' already ',' times', 'buy', 'pulse', 'promo', 'error' , 'All', 'results', 'pulses', 'ilang']</v>
      </c>
      <c r="D1843" s="3">
        <v>1.0</v>
      </c>
    </row>
    <row r="1844" ht="15.75" customHeight="1">
      <c r="A1844" s="1">
        <v>1842.0</v>
      </c>
      <c r="B1844" s="3" t="s">
        <v>1845</v>
      </c>
      <c r="C1844" s="3" t="str">
        <f>IFERROR(__xludf.DUMMYFUNCTION("GOOGLETRANSLATE(B1844,""id"",""en"")"),"['Telkomsel', 'Lemmont', 'Forgiveness', 'Lost', 'Ama', 'Change', 'Really', 'Megcon', 'Plates', 'Red', ""]")</f>
        <v>['Telkomsel', 'Lemmont', 'Forgiveness', 'Lost', 'Ama', 'Change', 'Really', 'Megcon', 'Plates', 'Red', "]</v>
      </c>
      <c r="D1844" s="3">
        <v>1.0</v>
      </c>
    </row>
    <row r="1845" ht="15.75" customHeight="1">
      <c r="A1845" s="1">
        <v>1843.0</v>
      </c>
      <c r="B1845" s="3" t="s">
        <v>1846</v>
      </c>
      <c r="C1845" s="3" t="str">
        <f>IFERROR(__xludf.DUMMYFUNCTION("GOOGLETRANSLATE(B1845,""id"",""en"")"),"['a month', 'network', 'Telkomsel', 'stable', 'play', 'game', 'already', 'down', 'streaming', 'media', 'social', 'smooth', ' ']")</f>
        <v>['a month', 'network', 'Telkomsel', 'stable', 'play', 'game', 'already', 'down', 'streaming', 'media', 'social', 'smooth', ' ']</v>
      </c>
      <c r="D1845" s="3">
        <v>2.0</v>
      </c>
    </row>
    <row r="1846" ht="15.75" customHeight="1">
      <c r="A1846" s="1">
        <v>1844.0</v>
      </c>
      <c r="B1846" s="3" t="s">
        <v>1847</v>
      </c>
      <c r="C1846" s="3" t="str">
        <f>IFERROR(__xludf.DUMMYFUNCTION("GOOGLETRANSLATE(B1846,""id"",""en"")"),"['Congratulations',' night ',' admin ',' report ',' internet ',' Telkomsel ',' stable ',' sometimes', 'sometimes',' frequency ',' ilang ',' please ',' Help ',' Min ',' address', 'River', 'Durian', 'Kec', 'Banua', 'Lawas',' Kab ',' Tabalong ',' Thank you '"&amp;", ""]")</f>
        <v>['Congratulations',' night ',' admin ',' report ',' internet ',' Telkomsel ',' stable ',' sometimes', 'sometimes',' frequency ',' ilang ',' please ',' Help ',' Min ',' address', 'River', 'Durian', 'Kec', 'Banua', 'Lawas',' Kab ',' Tabalong ',' Thank you ', "]</v>
      </c>
      <c r="D1846" s="3">
        <v>1.0</v>
      </c>
    </row>
    <row r="1847" ht="15.75" customHeight="1">
      <c r="A1847" s="1">
        <v>1845.0</v>
      </c>
      <c r="B1847" s="3" t="s">
        <v>1848</v>
      </c>
      <c r="C1847" s="3" t="str">
        <f>IFERROR(__xludf.DUMMYFUNCTION("GOOGLETRANSLATE(B1847,""id"",""en"")"),"['disappointed', 'already', 'contents',' pulse ',' thousand ',' application ',' Telkomsel ',' information ',' add ',' active ',' right ',' buy ',' The transaction is', 'already', 'SUCCESS', 'On', 'Nambah']")</f>
        <v>['disappointed', 'already', 'contents',' pulse ',' thousand ',' application ',' Telkomsel ',' information ',' add ',' active ',' right ',' buy ',' The transaction is', 'already', 'SUCCESS', 'On', 'Nambah']</v>
      </c>
      <c r="D1847" s="3">
        <v>3.0</v>
      </c>
    </row>
    <row r="1848" ht="15.75" customHeight="1">
      <c r="A1848" s="1">
        <v>1846.0</v>
      </c>
      <c r="B1848" s="3" t="s">
        <v>1849</v>
      </c>
      <c r="C1848" s="3" t="str">
        <f>IFERROR(__xludf.DUMMYFUNCTION("GOOGLETRANSLATE(B1848,""id"",""en"")"),"['Disappointed', 'Telkomsel', 'already', 'frequency', 'late', 'Matiin', 'data', 'for a while', 'pulses',' lost ',' price ',' expensive ',' late ',' notification ',' data ',' run out ',' credit ',' missing ',' directly ',' Matiin ',' data ',' move ',' card"&amp;" ',' price ',' packetan ' , 'Moon', 'Different', 'Bitang', 'Star']")</f>
        <v>['Disappointed', 'Telkomsel', 'already', 'frequency', 'late', 'Matiin', 'data', 'for a while', 'pulses',' lost ',' price ',' expensive ',' late ',' notification ',' data ',' run out ',' credit ',' missing ',' directly ',' Matiin ',' data ',' move ',' card ',' price ',' packetan ' , 'Moon', 'Different', 'Bitang', 'Star']</v>
      </c>
      <c r="D1848" s="3">
        <v>1.0</v>
      </c>
    </row>
    <row r="1849" ht="15.75" customHeight="1">
      <c r="A1849" s="1">
        <v>1847.0</v>
      </c>
      <c r="B1849" s="3" t="s">
        <v>1850</v>
      </c>
      <c r="C1849" s="3" t="str">
        <f>IFERROR(__xludf.DUMMYFUNCTION("GOOGLETRANSLATE(B1849,""id"",""en"")"),"['', 'card', 'Hello', 'slow', 'pay', 'expensive', 'good', 'lemooot', 'use', 'porji', 'kesi', 'crawl', 'gear ',' slow ',' forgiveness', 'Telkomsel', ""]")</f>
        <v>['', 'card', 'Hello', 'slow', 'pay', 'expensive', 'good', 'lemooot', 'use', 'porji', 'kesi', 'crawl', 'gear ',' slow ',' forgiveness', 'Telkomsel', "]</v>
      </c>
      <c r="D1849" s="3">
        <v>2.0</v>
      </c>
    </row>
    <row r="1850" ht="15.75" customHeight="1">
      <c r="A1850" s="1">
        <v>1848.0</v>
      </c>
      <c r="B1850" s="3" t="s">
        <v>1851</v>
      </c>
      <c r="C1850" s="3" t="str">
        <f>IFERROR(__xludf.DUMMYFUNCTION("GOOGLETRANSLATE(B1850,""id"",""en"")"),"['network', 'forgiveness',' dahh ',' slow ',' area ',' exact ',' village ',' kanci ',' kulon ',' kec ',' Astanajapura ',' kab ',' Cirebon ',' pantesan ',' commented ',' Telkomsel ',' ']")</f>
        <v>['network', 'forgiveness',' dahh ',' slow ',' area ',' exact ',' village ',' kanci ',' kulon ',' kec ',' Astanajapura ',' kab ',' Cirebon ',' pantesan ',' commented ',' Telkomsel ',' ']</v>
      </c>
      <c r="D1850" s="3">
        <v>1.0</v>
      </c>
    </row>
    <row r="1851" ht="15.75" customHeight="1">
      <c r="A1851" s="1">
        <v>1849.0</v>
      </c>
      <c r="B1851" s="3" t="s">
        <v>1852</v>
      </c>
      <c r="C1851" s="3" t="str">
        <f>IFERROR(__xludf.DUMMYFUNCTION("GOOGLETRANSLATE(B1851,""id"",""en"")"),"['Network', 'Worst', 'Disumatra', 'package', 'expensive', 'Nge', 'game', 'ping it', 'red', 'normaya', 'above', 'mending', ' Operators', 'Jak', 'Fire', 'Yesterday', 'Network', 'Severe', 'Ngak', 'Repair']")</f>
        <v>['Network', 'Worst', 'Disumatra', 'package', 'expensive', 'Nge', 'game', 'ping it', 'red', 'normaya', 'above', 'mending', ' Operators', 'Jak', 'Fire', 'Yesterday', 'Network', 'Severe', 'Ngak', 'Repair']</v>
      </c>
      <c r="D1851" s="3">
        <v>1.0</v>
      </c>
    </row>
    <row r="1852" ht="15.75" customHeight="1">
      <c r="A1852" s="1">
        <v>1850.0</v>
      </c>
      <c r="B1852" s="3" t="s">
        <v>1853</v>
      </c>
      <c r="C1852" s="3" t="str">
        <f>IFERROR(__xludf.DUMMYFUNCTION("GOOGLETRANSLATE(B1852,""id"",""en"")"),"['The card', 'Severe', 'really', 'bug', 'reading', 'request', 'process',' message ',' UDH ',' enter ',' notification ',' pulses', ' Abis', 'quota', 'entered', 'event', 'daily', 'check', 'weapon', 'Points',' pulse ',' UDH ',' Cut ',' gift ',' mah ' , 'just"&amp;"', 'notification', 'message', 'doang', 'events',' rich ',' times', 'essence', 'severe', 'mending', 'card', 'laen', ' caught ',' signal ',' ugly ',' price ',' cheap ',' bug ',' bug ',' rich ',' gni ',' loss', 'sempakk']")</f>
        <v>['The card', 'Severe', 'really', 'bug', 'reading', 'request', 'process',' message ',' UDH ',' enter ',' notification ',' pulses', ' Abis', 'quota', 'entered', 'event', 'daily', 'check', 'weapon', 'Points',' pulse ',' UDH ',' Cut ',' gift ',' mah ' , 'just', 'notification', 'message', 'doang', 'events',' rich ',' times', 'essence', 'severe', 'mending', 'card', 'laen', ' caught ',' signal ',' ugly ',' price ',' cheap ',' bug ',' bug ',' rich ',' gni ',' loss', 'sempakk']</v>
      </c>
      <c r="D1852" s="3">
        <v>1.0</v>
      </c>
    </row>
    <row r="1853" ht="15.75" customHeight="1">
      <c r="A1853" s="1">
        <v>1851.0</v>
      </c>
      <c r="B1853" s="3" t="s">
        <v>1854</v>
      </c>
      <c r="C1853" s="3" t="str">
        <f>IFERROR(__xludf.DUMMYFUNCTION("GOOGLETRANSLATE(B1853,""id"",""en"")"),"['Region', 'Telkomsel', 'ganguan', 'yaa', 'change', 'PLN', 'dead', 'lights', 'dead', 'yrs', 'good', 'bad']")</f>
        <v>['Region', 'Telkomsel', 'ganguan', 'yaa', 'change', 'PLN', 'dead', 'lights', 'dead', 'yrs', 'good', 'bad']</v>
      </c>
      <c r="D1853" s="3">
        <v>1.0</v>
      </c>
    </row>
    <row r="1854" ht="15.75" customHeight="1">
      <c r="A1854" s="1">
        <v>1852.0</v>
      </c>
      <c r="B1854" s="3" t="s">
        <v>1855</v>
      </c>
      <c r="C1854" s="3" t="str">
        <f>IFERROR(__xludf.DUMMYFUNCTION("GOOGLETRANSLATE(B1854,""id"",""en"")"),"['pules',' rb ',' sumps', 'how', 'use', 'wifi', 'quota', 'tsel', 'gb', 'reversed', 'stock', 'nokos',' Work ',' gabisa ',' ']")</f>
        <v>['pules',' rb ',' sumps', 'how', 'use', 'wifi', 'quota', 'tsel', 'gb', 'reversed', 'stock', 'nokos',' Work ',' gabisa ',' ']</v>
      </c>
      <c r="D1854" s="3">
        <v>1.0</v>
      </c>
    </row>
    <row r="1855" ht="15.75" customHeight="1">
      <c r="A1855" s="1">
        <v>1853.0</v>
      </c>
      <c r="B1855" s="3" t="s">
        <v>1856</v>
      </c>
      <c r="C1855" s="3" t="str">
        <f>IFERROR(__xludf.DUMMYFUNCTION("GOOGLETRANSLATE(B1855,""id"",""en"")"),"['network', 'please', 'repaired', 'buy', 'quota', 'expensive', 'service', 'tower', 'dpn', 'eyes',' network ',' luwar ',' slow ',' connected ',' network ',' ']")</f>
        <v>['network', 'please', 'repaired', 'buy', 'quota', 'expensive', 'service', 'tower', 'dpn', 'eyes',' network ',' luwar ',' slow ',' connected ',' network ',' ']</v>
      </c>
      <c r="D1855" s="3">
        <v>1.0</v>
      </c>
    </row>
    <row r="1856" ht="15.75" customHeight="1">
      <c r="A1856" s="1">
        <v>1854.0</v>
      </c>
      <c r="B1856" s="3" t="s">
        <v>1857</v>
      </c>
      <c r="C1856" s="3" t="str">
        <f>IFERROR(__xludf.DUMMYFUNCTION("GOOGLETRANSLATE(B1856,""id"",""en"")"),"['network', 'Telkomse', 'The network', 'stop', 'Telkomsel', 'card', 'forward', 'network', 'slow', 'really', 'byk', 'Makai', ' network ',' rich ',' gini ',' level ',' world ',' network ',' ']")</f>
        <v>['network', 'Telkomse', 'The network', 'stop', 'Telkomsel', 'card', 'forward', 'network', 'slow', 'really', 'byk', 'Makai', ' network ',' rich ',' gini ',' level ',' world ',' network ',' ']</v>
      </c>
      <c r="D1856" s="3">
        <v>2.0</v>
      </c>
    </row>
    <row r="1857" ht="15.75" customHeight="1">
      <c r="A1857" s="1">
        <v>1855.0</v>
      </c>
      <c r="B1857" s="3" t="s">
        <v>1858</v>
      </c>
      <c r="C1857" s="3" t="str">
        <f>IFERROR(__xludf.DUMMYFUNCTION("GOOGLETRANSLATE(B1857,""id"",""en"")"),"['Telkomsel', 'Please', 'Sorry', 'Skrng', 'Access',' Internet ',' Telkomsel ',' System ',' Network ',' Sangan ',' Extensive ',' Activates', ' Internet ',' Nyala ',' Dead ', ""]")</f>
        <v>['Telkomsel', 'Please', 'Sorry', 'Skrng', 'Access',' Internet ',' Telkomsel ',' System ',' Network ',' Sangan ',' Extensive ',' Activates', ' Internet ',' Nyala ',' Dead ', "]</v>
      </c>
      <c r="D1857" s="3">
        <v>1.0</v>
      </c>
    </row>
    <row r="1858" ht="15.75" customHeight="1">
      <c r="A1858" s="1">
        <v>1856.0</v>
      </c>
      <c r="B1858" s="3" t="s">
        <v>1859</v>
      </c>
      <c r="C1858" s="3" t="str">
        <f>IFERROR(__xludf.DUMMYFUNCTION("GOOGLETRANSLATE(B1858,""id"",""en"")"),"['serious',' users', 'Telkomsel', 'network', 'declined', 'price', 'expensive', 'pulse', 'sucked', 'please', 'user', 'loyal', ' disia ',' vain ',' direct ',' telegram ',' twitter ', ""]")</f>
        <v>['serious',' users', 'Telkomsel', 'network', 'declined', 'price', 'expensive', 'pulse', 'sucked', 'please', 'user', 'loyal', ' disia ',' vain ',' direct ',' telegram ',' twitter ', "]</v>
      </c>
      <c r="D1858" s="3">
        <v>1.0</v>
      </c>
    </row>
    <row r="1859" ht="15.75" customHeight="1">
      <c r="A1859" s="1">
        <v>1857.0</v>
      </c>
      <c r="B1859" s="3" t="s">
        <v>1860</v>
      </c>
      <c r="C1859" s="3" t="str">
        <f>IFERROR(__xludf.DUMMYFUNCTION("GOOGLETRANSLATE(B1859,""id"",""en"")"),"['network', 'LTE', 'slow', 'really', 'really', 'price', 'package', 'uda', 'expensive', 'repair', 'signal', ""]")</f>
        <v>['network', 'LTE', 'slow', 'really', 'really', 'price', 'package', 'uda', 'expensive', 'repair', 'signal', "]</v>
      </c>
      <c r="D1859" s="3">
        <v>1.0</v>
      </c>
    </row>
    <row r="1860" ht="15.75" customHeight="1">
      <c r="A1860" s="1">
        <v>1858.0</v>
      </c>
      <c r="B1860" s="3" t="s">
        <v>1861</v>
      </c>
      <c r="C1860" s="3" t="str">
        <f>IFERROR(__xludf.DUMMYFUNCTION("GOOGLETRANSLATE(B1860,""id"",""en"")"),"['signal', 'bad', 'Sometimes',' Wait ',' ber ',' clock ',' clock ',' signal ',' stable ',' signal ',' rod ',' speed ',' Internet ',' Network ',' missing ',' ']")</f>
        <v>['signal', 'bad', 'Sometimes',' Wait ',' ber ',' clock ',' clock ',' signal ',' stable ',' signal ',' rod ',' speed ',' Internet ',' Network ',' missing ',' ']</v>
      </c>
      <c r="D1860" s="3">
        <v>1.0</v>
      </c>
    </row>
    <row r="1861" ht="15.75" customHeight="1">
      <c r="A1861" s="1">
        <v>1859.0</v>
      </c>
      <c r="B1861" s="3" t="s">
        <v>1862</v>
      </c>
      <c r="C1861" s="3" t="str">
        <f>IFERROR(__xludf.DUMMYFUNCTION("GOOGLETRANSLATE(B1861,""id"",""en"")"),"['Location', 'Tangerang', 'City', 'Disruption', 'Terooss',' Maintenance ',' Teroosss', 'Package', 'expensive', 'selfish', 'weve', 'card', ' Hello ',' Performance ',' bad ',' call ',' told ',' restart ',' told ',' update ',' told ',' delete ',' data ',' to"&amp;"ld ',' uninstall ' , 'told', 'Matiin', 'OUT', 'UP', 'Tip', 'Have', 'Wait', 'Sampe', 'People', 'Telkomsel', 'Don't', 'Mending', ' replace ',' card ',' gini ',' story ']")</f>
        <v>['Location', 'Tangerang', 'City', 'Disruption', 'Terooss',' Maintenance ',' Teroosss', 'Package', 'expensive', 'selfish', 'weve', 'card', ' Hello ',' Performance ',' bad ',' call ',' told ',' restart ',' told ',' update ',' told ',' delete ',' data ',' told ',' uninstall ' , 'told', 'Matiin', 'OUT', 'UP', 'Tip', 'Have', 'Wait', 'Sampe', 'People', 'Telkomsel', 'Don't', 'Mending', ' replace ',' card ',' gini ',' story ']</v>
      </c>
      <c r="D1861" s="3">
        <v>1.0</v>
      </c>
    </row>
    <row r="1862" ht="15.75" customHeight="1">
      <c r="A1862" s="1">
        <v>1860.0</v>
      </c>
      <c r="B1862" s="3" t="s">
        <v>1863</v>
      </c>
      <c r="C1862" s="3" t="str">
        <f>IFERROR(__xludf.DUMMYFUNCTION("GOOGLETRANSLATE(B1862,""id"",""en"")"),"['Come', 'Signal', 'Severe', 'Jabodetabek', 'Tangsel', 'Use', 'Card', 'Postpaid', 'Weather', 'Good', 'Signal', 'Rare', ' Really ',' Full ',' Clock ',' Likes', 'Disorders',' ']")</f>
        <v>['Come', 'Signal', 'Severe', 'Jabodetabek', 'Tangsel', 'Use', 'Card', 'Postpaid', 'Weather', 'Good', 'Signal', 'Rare', ' Really ',' Full ',' Clock ',' Likes', 'Disorders',' ']</v>
      </c>
      <c r="D1862" s="3">
        <v>1.0</v>
      </c>
    </row>
    <row r="1863" ht="15.75" customHeight="1">
      <c r="A1863" s="1">
        <v>1861.0</v>
      </c>
      <c r="B1863" s="3" t="s">
        <v>1864</v>
      </c>
      <c r="C1863" s="3" t="str">
        <f>IFERROR(__xludf.DUMMYFUNCTION("GOOGLETRANSLATE(B1863,""id"",""en"")"),"['Min', 'play', 'like', 'slow', 'price', 'expensive', 'sometimes',' sometimes', 'unlimited', 'unlimited', 'slow', 'min', ' Like ',' angry ',' angry ',' Gara ',' Gara ',' signal ',' please ',' Bastles', 'sinya', 'min', 'suggestion', 'thank you']")</f>
        <v>['Min', 'play', 'like', 'slow', 'price', 'expensive', 'sometimes',' sometimes', 'unlimited', 'unlimited', 'slow', 'min', ' Like ',' angry ',' angry ',' Gara ',' Gara ',' signal ',' please ',' Bastles', 'sinya', 'min', 'suggestion', 'thank you']</v>
      </c>
      <c r="D1863" s="3">
        <v>1.0</v>
      </c>
    </row>
    <row r="1864" ht="15.75" customHeight="1">
      <c r="A1864" s="1">
        <v>1862.0</v>
      </c>
      <c r="B1864" s="3" t="s">
        <v>1865</v>
      </c>
      <c r="C1864" s="3" t="str">
        <f>IFERROR(__xludf.DUMMYFUNCTION("GOOGLETRANSLATE(B1864,""id"",""en"")"),"['Suggestion', 'Min', 'get', 'Message', 'Enjoy', 'Package', 'InternetMax', 'GB', 'Price', 'Rb', 'Buy', 'Bln', ' dpn ',' buy ',' check ',' price ',' package ',' according to ',' Tertered ',' message ', ""]")</f>
        <v>['Suggestion', 'Min', 'get', 'Message', 'Enjoy', 'Package', 'InternetMax', 'GB', 'Price', 'Rb', 'Buy', 'Bln', ' dpn ',' buy ',' check ',' price ',' package ',' according to ',' Tertered ',' message ', "]</v>
      </c>
      <c r="D1864" s="3">
        <v>1.0</v>
      </c>
    </row>
    <row r="1865" ht="15.75" customHeight="1">
      <c r="A1865" s="1">
        <v>1863.0</v>
      </c>
      <c r="B1865" s="3" t="s">
        <v>1866</v>
      </c>
      <c r="C1865" s="3" t="str">
        <f>IFERROR(__xludf.DUMMYFUNCTION("GOOGLETRANSLATE(B1865,""id"",""en"")"),"['', 'update', 'claim', 'gift', 'check', 'contents',' pulse ',' user ',' card ',' Hallo ',' payment ',' period ',' please ',' repaired ',' intentional ',' improved ',' income ',' Telkomsel ',' Fair ',' user ',' card ',' Hallo ',' told ',' contents', 'puls"&amp;"es', '']")</f>
        <v>['', 'update', 'claim', 'gift', 'check', 'contents',' pulse ',' user ',' card ',' Hallo ',' payment ',' period ',' please ',' repaired ',' intentional ',' improved ',' income ',' Telkomsel ',' Fair ',' user ',' card ',' Hallo ',' told ',' contents', 'pulses', '']</v>
      </c>
      <c r="D1865" s="3">
        <v>1.0</v>
      </c>
    </row>
    <row r="1866" ht="15.75" customHeight="1">
      <c r="A1866" s="1">
        <v>1864.0</v>
      </c>
      <c r="B1866" s="3" t="s">
        <v>1867</v>
      </c>
      <c r="C1866" s="3" t="str">
        <f>IFERROR(__xludf.DUMMYFUNCTION("GOOGLETRANSLATE(B1866,""id"",""en"")"),"['Sorry', 'many years', 'Telkomsel', 'Network', 'Stable', 'Switch', 'Operator', 'Thank you']")</f>
        <v>['Sorry', 'many years', 'Telkomsel', 'Network', 'Stable', 'Switch', 'Operator', 'Thank you']</v>
      </c>
      <c r="D1866" s="3">
        <v>1.0</v>
      </c>
    </row>
    <row r="1867" ht="15.75" customHeight="1">
      <c r="A1867" s="1">
        <v>1865.0</v>
      </c>
      <c r="B1867" s="3" t="s">
        <v>1868</v>
      </c>
      <c r="C1867" s="3" t="str">
        <f>IFERROR(__xludf.DUMMYFUNCTION("GOOGLETRANSLATE(B1867,""id"",""en"")"),"['Not bad', 'disappointed', 'package', 'internet', 'OMG', 'wasteful', 'yes',' GB ',' BLM ',' Sunday ',' already ',' run out ',' Noton ',' YouTube ',' Film ',' Download ',' Song ',' Rare ',' Kouta ',' Sampe ',' Week ',' Already ',' Out ', ""]")</f>
        <v>['Not bad', 'disappointed', 'package', 'internet', 'OMG', 'wasteful', 'yes',' GB ',' BLM ',' Sunday ',' already ',' run out ',' Noton ',' YouTube ',' Film ',' Download ',' Song ',' Rare ',' Kouta ',' Sampe ',' Week ',' Already ',' Out ', "]</v>
      </c>
      <c r="D1867" s="3">
        <v>1.0</v>
      </c>
    </row>
    <row r="1868" ht="15.75" customHeight="1">
      <c r="A1868" s="1">
        <v>1866.0</v>
      </c>
      <c r="B1868" s="3" t="s">
        <v>1869</v>
      </c>
      <c r="C1868" s="3" t="str">
        <f>IFERROR(__xludf.DUMMYFUNCTION("GOOGLETRANSLATE(B1868,""id"",""en"")"),"['Bener', 'Severe', 'Telkomsel', 'Open', 'APK', 'Kepengen', 'slamming', 'so slow', 'buy', 'quota', 'Telkomsel', ' expensive ',' service ',' Kayak ',' coins', 'poor', ""]")</f>
        <v>['Bener', 'Severe', 'Telkomsel', 'Open', 'APK', 'Kepengen', 'slamming', 'so slow', 'buy', 'quota', 'Telkomsel', ' expensive ',' service ',' Kayak ',' coins', 'poor', "]</v>
      </c>
      <c r="D1868" s="3">
        <v>1.0</v>
      </c>
    </row>
    <row r="1869" ht="15.75" customHeight="1">
      <c r="A1869" s="1">
        <v>1867.0</v>
      </c>
      <c r="B1869" s="3" t="s">
        <v>1870</v>
      </c>
      <c r="C1869" s="3" t="str">
        <f>IFERROR(__xludf.DUMMYFUNCTION("GOOGLETRANSLATE(B1869,""id"",""en"")"),"['Sometimes',' confused ',' package ',' active ',' telkomsel ',' operator ',' nelp ',' telkomsel ',' sms', 'pulse', 'nelp', ' Remaining ',' pulse ', ""]")</f>
        <v>['Sometimes',' confused ',' package ',' active ',' telkomsel ',' operator ',' nelp ',' telkomsel ',' sms', 'pulse', 'nelp', ' Remaining ',' pulse ', "]</v>
      </c>
      <c r="D1869" s="3">
        <v>1.0</v>
      </c>
    </row>
    <row r="1870" ht="15.75" customHeight="1">
      <c r="A1870" s="1">
        <v>1868.0</v>
      </c>
      <c r="B1870" s="3" t="s">
        <v>1871</v>
      </c>
      <c r="C1870" s="3" t="str">
        <f>IFERROR(__xludf.DUMMYFUNCTION("GOOGLETRANSLATE(B1870,""id"",""en"")"),"['Customer', 'complaints',' promotion ',' package ',' internet ',' pulse ',' sucked ',' regret ',' buy ',' card ',' fill ',' pulse ',' card ',' telkom ']")</f>
        <v>['Customer', 'complaints',' promotion ',' package ',' internet ',' pulse ',' sucked ',' regret ',' buy ',' card ',' fill ',' pulse ',' card ',' telkom ']</v>
      </c>
      <c r="D1870" s="3">
        <v>1.0</v>
      </c>
    </row>
    <row r="1871" ht="15.75" customHeight="1">
      <c r="A1871" s="1">
        <v>1869.0</v>
      </c>
      <c r="B1871" s="3" t="s">
        <v>1872</v>
      </c>
      <c r="C1871" s="3" t="str">
        <f>IFERROR(__xludf.DUMMYFUNCTION("GOOGLETRANSLATE(B1871,""id"",""en"")"),"['min', 'card', 'signal', 'solution', 'how', 'card', 'use', 'card', 'data', 'use', 'tbtb', ""]")</f>
        <v>['min', 'card', 'signal', 'solution', 'how', 'card', 'use', 'card', 'data', 'use', 'tbtb', "]</v>
      </c>
      <c r="D1871" s="3">
        <v>1.0</v>
      </c>
    </row>
    <row r="1872" ht="15.75" customHeight="1">
      <c r="A1872" s="1">
        <v>1870.0</v>
      </c>
      <c r="B1872" s="3" t="s">
        <v>1873</v>
      </c>
      <c r="C1872" s="3" t="str">
        <f>IFERROR(__xludf.DUMMYFUNCTION("GOOGLETRANSLATE(B1872,""id"",""en"")"),"['signal', 'network', 'broke', 'break up', 'performance', 'work', 'mess',' price ',' brave ',' expensive ',' TPI ',' quality ',' Rich ',' prime ',' cheap ',' gini ',' moved ',' line ']")</f>
        <v>['signal', 'network', 'broke', 'break up', 'performance', 'work', 'mess',' price ',' brave ',' expensive ',' TPI ',' quality ',' Rich ',' prime ',' cheap ',' gini ',' moved ',' line ']</v>
      </c>
      <c r="D1872" s="3">
        <v>1.0</v>
      </c>
    </row>
    <row r="1873" ht="15.75" customHeight="1">
      <c r="A1873" s="1">
        <v>1871.0</v>
      </c>
      <c r="B1873" s="3" t="s">
        <v>1874</v>
      </c>
      <c r="C1873" s="3" t="str">
        <f>IFERROR(__xludf.DUMMYFUNCTION("GOOGLETRANSLATE(B1873,""id"",""en"")"),"['', 'You', 'Telk', 'fill in', 'Credit', 'Direct', 'You', 'Suck', 'Laknat', 'UDH', 'Complain', 'Response', 'Subscription ',' Package ',' anything ',' TTP ',' You ',' Suck ',' Woyy ',' Balikkin ',' Credit ',' Woyy ',' Raying ',' Very ',' card ', 'Suck', 'm"&amp;"ah', 'gpp', 'you', 'think', 'cave', 'difficult', 'so', 'look for', 'money', 'willing', 'cave', 'you're ',' Take ',' Money ',' Asw ',' Suck ',' Until ',' Out ',' Credit ',' Waiting ',' Change ',' Card ',' Vacuum ',' Credit ', '']")</f>
        <v>['', 'You', 'Telk', 'fill in', 'Credit', 'Direct', 'You', 'Suck', 'Laknat', 'UDH', 'Complain', 'Response', 'Subscription ',' Package ',' anything ',' TTP ',' You ',' Suck ',' Woyy ',' Balikkin ',' Credit ',' Woyy ',' Raying ',' Very ',' card ', 'Suck', 'mah', 'gpp', 'you', 'think', 'cave', 'difficult', 'so', 'look for', 'money', 'willing', 'cave', 'you're ',' Take ',' Money ',' Asw ',' Suck ',' Until ',' Out ',' Credit ',' Waiting ',' Change ',' Card ',' Vacuum ',' Credit ', '']</v>
      </c>
      <c r="D1873" s="3">
        <v>1.0</v>
      </c>
    </row>
    <row r="1874" ht="15.75" customHeight="1">
      <c r="A1874" s="1">
        <v>1872.0</v>
      </c>
      <c r="B1874" s="3" t="s">
        <v>1875</v>
      </c>
      <c r="C1874" s="3" t="str">
        <f>IFERROR(__xludf.DUMMYFUNCTION("GOOGLETRANSLATE(B1874,""id"",""en"")"),"['', 'open', 'complicated', 'ngeselin', 'package', 'expensive', 'network', 'bad', 'according to', 'price', 'service', 'switch', 'network ',' good ',' package ',' cheap ',' festive ',' Males', 'Telkomsel', 'disappointing', '']")</f>
        <v>['', 'open', 'complicated', 'ngeselin', 'package', 'expensive', 'network', 'bad', 'according to', 'price', 'service', 'switch', 'network ',' good ',' package ',' cheap ',' festive ',' Males', 'Telkomsel', 'disappointing', '']</v>
      </c>
      <c r="D1874" s="3">
        <v>1.0</v>
      </c>
    </row>
    <row r="1875" ht="15.75" customHeight="1">
      <c r="A1875" s="1">
        <v>1873.0</v>
      </c>
      <c r="B1875" s="3" t="s">
        <v>1876</v>
      </c>
      <c r="C1875" s="3" t="str">
        <f>IFERROR(__xludf.DUMMYFUNCTION("GOOGLETRANSLATE(B1875,""id"",""en"")"),"['entry', 'application', 'Telkomsel', 'his writing', 'verification', 'number', 'sms', 'then' click ',' enter ',' enter ',' verification ',' How', '']")</f>
        <v>['entry', 'application', 'Telkomsel', 'his writing', 'verification', 'number', 'sms', 'then' click ',' enter ',' enter ',' verification ',' How', '']</v>
      </c>
      <c r="D1875" s="3">
        <v>1.0</v>
      </c>
    </row>
    <row r="1876" ht="15.75" customHeight="1">
      <c r="A1876" s="1">
        <v>1874.0</v>
      </c>
      <c r="B1876" s="3" t="s">
        <v>1877</v>
      </c>
      <c r="C1876" s="3" t="str">
        <f>IFERROR(__xludf.DUMMYFUNCTION("GOOGLETRANSLATE(B1876,""id"",""en"")"),"['Please', 'Donk', 'The network', 'Fix', 'already', 'price', 'package', 'pass',' network ',' bad ',' slow ',' Severe ',' The way is', 'Snail', 'Severe', 'Severe', 'Severe', 'Already', 'Entity', 'Customer', 'Ungsir', 'Customer', 'Customer', 'Switch' , 'int"&amp;"ention', 'Telkomsel', 'emang', ""]")</f>
        <v>['Please', 'Donk', 'The network', 'Fix', 'already', 'price', 'package', 'pass',' network ',' bad ',' slow ',' Severe ',' The way is', 'Snail', 'Severe', 'Severe', 'Severe', 'Already', 'Entity', 'Customer', 'Ungsir', 'Customer', 'Customer', 'Switch' , 'intention', 'Telkomsel', 'emang', "]</v>
      </c>
      <c r="D1876" s="3">
        <v>1.0</v>
      </c>
    </row>
    <row r="1877" ht="15.75" customHeight="1">
      <c r="A1877" s="1">
        <v>1875.0</v>
      </c>
      <c r="B1877" s="3" t="s">
        <v>1878</v>
      </c>
      <c r="C1877" s="3" t="str">
        <f>IFERROR(__xludf.DUMMYFUNCTION("GOOGLETRANSLATE(B1877,""id"",""en"")"),"['Buy', 'Package', 'Telephone', 'Data', 'Internet', 'Simultaneous',' Dari ',' Call ',' Package ',' Data ',' Internet ',' Credit ',' Main ',' followed ',' sucked ',' Please ',' Telkomsel ',' react ',' ']")</f>
        <v>['Buy', 'Package', 'Telephone', 'Data', 'Internet', 'Simultaneous',' Dari ',' Call ',' Package ',' Data ',' Internet ',' Credit ',' Main ',' followed ',' sucked ',' Please ',' Telkomsel ',' react ',' ']</v>
      </c>
      <c r="D1877" s="3">
        <v>3.0</v>
      </c>
    </row>
    <row r="1878" ht="15.75" customHeight="1">
      <c r="A1878" s="1">
        <v>1876.0</v>
      </c>
      <c r="B1878" s="3" t="s">
        <v>1879</v>
      </c>
      <c r="C1878" s="3" t="str">
        <f>IFERROR(__xludf.DUMMYFUNCTION("GOOGLETRANSLATE(B1878,""id"",""en"")"),"['Severe', 'applilates', 'update', 'account', 'link', 'connected', 'enter', 'app', 'difficult']")</f>
        <v>['Severe', 'applilates', 'update', 'account', 'link', 'connected', 'enter', 'app', 'difficult']</v>
      </c>
      <c r="D1878" s="3">
        <v>1.0</v>
      </c>
    </row>
    <row r="1879" ht="15.75" customHeight="1">
      <c r="A1879" s="1">
        <v>1877.0</v>
      </c>
      <c r="B1879" s="3" t="s">
        <v>1880</v>
      </c>
      <c r="C1879" s="3" t="str">
        <f>IFERROR(__xludf.DUMMYFUNCTION("GOOGLETRANSLATE(B1879,""id"",""en"")"),"['Telkomsel', 'BTS', 'village', 'monitor', 'Karna', 'person', 'naughty', 'network', 'severe', 'loss',' company ',' home ',' in front of it ',' BTS ',' Tower ',' please ',' kasi ',' lights', 'lighting', 'lights',' code ',' ']")</f>
        <v>['Telkomsel', 'BTS', 'village', 'monitor', 'Karna', 'person', 'naughty', 'network', 'severe', 'loss',' company ',' home ',' in front of it ',' BTS ',' Tower ',' please ',' kasi ',' lights', 'lighting', 'lights',' code ',' ']</v>
      </c>
      <c r="D1879" s="3">
        <v>1.0</v>
      </c>
    </row>
    <row r="1880" ht="15.75" customHeight="1">
      <c r="A1880" s="1">
        <v>1878.0</v>
      </c>
      <c r="B1880" s="3" t="s">
        <v>1881</v>
      </c>
      <c r="C1880" s="3" t="str">
        <f>IFERROR(__xludf.DUMMYFUNCTION("GOOGLETRANSLATE(B1880,""id"",""en"")"),"['', 'Telkomsel', 'gack', 'already', 'gack', 'support', 'just', 'application', 'like', 'gini', 'game', 'already', 'gack ',' Support ',' Severe ',' Rip ',' Potatoes', 'Kyak', 'Gini']")</f>
        <v>['', 'Telkomsel', 'gack', 'already', 'gack', 'support', 'just', 'application', 'like', 'gini', 'game', 'already', 'gack ',' Support ',' Severe ',' Rip ',' Potatoes', 'Kyak', 'Gini']</v>
      </c>
      <c r="D1880" s="3">
        <v>1.0</v>
      </c>
    </row>
    <row r="1881" ht="15.75" customHeight="1">
      <c r="A1881" s="1">
        <v>1879.0</v>
      </c>
      <c r="B1881" s="3" t="s">
        <v>1882</v>
      </c>
      <c r="C1881" s="3" t="str">
        <f>IFERROR(__xludf.DUMMYFUNCTION("GOOGLETRANSLATE(B1881,""id"",""en"")"),"['Telkomsel', 'network', 'slow', 'ilang', 'dead', 'lights',' direct ',' lost ',' booth ',' fix ',' where ',' complement ',' Description ',' Network ',' Region ',' Stable ',' ']")</f>
        <v>['Telkomsel', 'network', 'slow', 'ilang', 'dead', 'lights',' direct ',' lost ',' booth ',' fix ',' where ',' complement ',' Description ',' Network ',' Region ',' Stable ',' ']</v>
      </c>
      <c r="D1881" s="3">
        <v>3.0</v>
      </c>
    </row>
    <row r="1882" ht="15.75" customHeight="1">
      <c r="A1882" s="1">
        <v>1880.0</v>
      </c>
      <c r="B1882" s="3" t="s">
        <v>1883</v>
      </c>
      <c r="C1882" s="3" t="str">
        <f>IFERROR(__xludf.DUMMYFUNCTION("GOOGLETRANSLATE(B1882,""id"",""en"")"),"['okay', 'Telkomsel', 'love', 'star', 'full', 'told', 'update', 'skrng', 'date', 'April', 'night', 'Friday' Hopefully ',' disappointing ',' customers', 'loyal', 'Telkomsel', 'Indonesia', 'Hopefully', 'Update', 'Trbaru', 'Irit', 'quota', 'nimble', 'access'"&amp;" , 'internet', 'priority', 'lbh', 'economical', 'indo', 'semangkin', 'survive', 'untk', 'telkomsel', 'trimksh', ""]")</f>
        <v>['okay', 'Telkomsel', 'love', 'star', 'full', 'told', 'update', 'skrng', 'date', 'April', 'night', 'Friday' Hopefully ',' disappointing ',' customers', 'loyal', 'Telkomsel', 'Indonesia', 'Hopefully', 'Update', 'Trbaru', 'Irit', 'quota', 'nimble', 'access' , 'internet', 'priority', 'lbh', 'economical', 'indo', 'semangkin', 'survive', 'untk', 'telkomsel', 'trimksh', "]</v>
      </c>
      <c r="D1882" s="3">
        <v>5.0</v>
      </c>
    </row>
    <row r="1883" ht="15.75" customHeight="1">
      <c r="A1883" s="1">
        <v>1881.0</v>
      </c>
      <c r="B1883" s="3" t="s">
        <v>1884</v>
      </c>
      <c r="C1883" s="3" t="str">
        <f>IFERROR(__xludf.DUMMYFUNCTION("GOOGLETRANSLATE(B1883,""id"",""en"")"),"['Abis',' update ',' choice ',' package ',' a little ',' prasaan ',' Kmaren ',' SBLOM ',' update ',' choice ',' rich ',' quota ',' let up ',' skarang ',' his choice ',' already ',' no ',' tlong ',' explanation ']")</f>
        <v>['Abis',' update ',' choice ',' package ',' a little ',' prasaan ',' Kmaren ',' SBLOM ',' update ',' choice ',' rich ',' quota ',' let up ',' skarang ',' his choice ',' already ',' no ',' tlong ',' explanation ']</v>
      </c>
      <c r="D1883" s="3">
        <v>2.0</v>
      </c>
    </row>
    <row r="1884" ht="15.75" customHeight="1">
      <c r="A1884" s="1">
        <v>1882.0</v>
      </c>
      <c r="B1884" s="3" t="s">
        <v>1885</v>
      </c>
      <c r="C1884" s="3" t="str">
        <f>IFERROR(__xludf.DUMMYFUNCTION("GOOGLETRANSLATE(B1884,""id"",""en"")"),"['application', 'stupid', 'application', 'buy', 'package', 'enter', 'package', 'person', 'buy', 'package', 'package', 'disappointed']")</f>
        <v>['application', 'stupid', 'application', 'buy', 'package', 'enter', 'package', 'person', 'buy', 'package', 'package', 'disappointed']</v>
      </c>
      <c r="D1884" s="3">
        <v>1.0</v>
      </c>
    </row>
    <row r="1885" ht="15.75" customHeight="1">
      <c r="A1885" s="1">
        <v>1883.0</v>
      </c>
      <c r="B1885" s="3" t="s">
        <v>1886</v>
      </c>
      <c r="C1885" s="3" t="str">
        <f>IFERROR(__xludf.DUMMYFUNCTION("GOOGLETRANSLATE(B1885,""id"",""en"")"),"['Steady', 'Telkomsel', 'Disappointing', 'Promo', 'Success', 'Telkomsel', 'Jga', 'Beroy', '']")</f>
        <v>['Steady', 'Telkomsel', 'Disappointing', 'Promo', 'Success', 'Telkomsel', 'Jga', 'Beroy', '']</v>
      </c>
      <c r="D1885" s="3">
        <v>5.0</v>
      </c>
    </row>
    <row r="1886" ht="15.75" customHeight="1">
      <c r="A1886" s="1">
        <v>1884.0</v>
      </c>
      <c r="B1886" s="3" t="s">
        <v>1887</v>
      </c>
      <c r="C1886" s="3" t="str">
        <f>IFERROR(__xludf.DUMMYFUNCTION("GOOGLETRANSLATE(B1886,""id"",""en"")"),"['users',' Telkomsel ',' then ',' Kmaren ',' Change ',' Perdana ',' Telkomsel ',' GB ',' Unlimited ',' a day ',' quota ',' disappear ',' Complementary ',' Disorders', 'Center', 'Turns',' GB ',' Gini ',' Loss', 'Woy', 'Turns',' Quota ', ""]")</f>
        <v>['users',' Telkomsel ',' then ',' Kmaren ',' Change ',' Perdana ',' Telkomsel ',' GB ',' Unlimited ',' a day ',' quota ',' disappear ',' Complementary ',' Disorders', 'Center', 'Turns',' GB ',' Gini ',' Loss', 'Woy', 'Turns',' Quota ', "]</v>
      </c>
      <c r="D1886" s="3">
        <v>1.0</v>
      </c>
    </row>
    <row r="1887" ht="15.75" customHeight="1">
      <c r="A1887" s="1">
        <v>1885.0</v>
      </c>
      <c r="B1887" s="3" t="s">
        <v>1888</v>
      </c>
      <c r="C1887" s="3" t="str">
        <f>IFERROR(__xludf.DUMMYFUNCTION("GOOGLETRANSLATE(B1887,""id"",""en"")"),"['display', 'application', 'communicative', 'purchase', 'package', 'rupiah', 'detail', 'sms',' column ',' monetary ',' printed ',' so ',' Its function ',' additional ',' complain ',' related ',' signal ',' honest ',' signal ',' Telkomsel ',' use ',' perfo"&amp;"rmance ',' lost ',' signal ',' area ' , 'quota', 'disappointed', 'performance', '']")</f>
        <v>['display', 'application', 'communicative', 'purchase', 'package', 'rupiah', 'detail', 'sms',' column ',' monetary ',' printed ',' so ',' Its function ',' additional ',' complain ',' related ',' signal ',' honest ',' signal ',' Telkomsel ',' use ',' performance ',' lost ',' signal ',' area ' , 'quota', 'disappointed', 'performance', '']</v>
      </c>
      <c r="D1887" s="3">
        <v>2.0</v>
      </c>
    </row>
    <row r="1888" ht="15.75" customHeight="1">
      <c r="A1888" s="1">
        <v>1886.0</v>
      </c>
      <c r="B1888" s="3" t="s">
        <v>1889</v>
      </c>
      <c r="C1888" s="3" t="str">
        <f>IFERROR(__xludf.DUMMYFUNCTION("GOOGLETRANSLATE(B1888,""id"",""en"")"),"['Wear', 'Telkomsel', 'Upset', 'Karna', 'Provider', 'Network', 'ugly', 'Wear', 'Telkomsel', 'Alhamdulillah', 'Understanding', 'Thank you', ' Telkomsel ',' Quality ',' Serasa ',' ']")</f>
        <v>['Wear', 'Telkomsel', 'Upset', 'Karna', 'Provider', 'Network', 'ugly', 'Wear', 'Telkomsel', 'Alhamdulillah', 'Understanding', 'Thank you', ' Telkomsel ',' Quality ',' Serasa ',' ']</v>
      </c>
      <c r="D1888" s="3">
        <v>1.0</v>
      </c>
    </row>
    <row r="1889" ht="15.75" customHeight="1">
      <c r="A1889" s="1">
        <v>1887.0</v>
      </c>
      <c r="B1889" s="3" t="s">
        <v>1890</v>
      </c>
      <c r="C1889" s="3" t="str">
        <f>IFERROR(__xludf.DUMMYFUNCTION("GOOGLETRANSLATE(B1889,""id"",""en"")"),"['apk', 'fart', 'gave', 'pulse', 'useful', 'mending', 'ngak', 'display', 'doank', 'signal', 'slow', 'males']")</f>
        <v>['apk', 'fart', 'gave', 'pulse', 'useful', 'mending', 'ngak', 'display', 'doank', 'signal', 'slow', 'males']</v>
      </c>
      <c r="D1889" s="3">
        <v>1.0</v>
      </c>
    </row>
    <row r="1890" ht="15.75" customHeight="1">
      <c r="A1890" s="1">
        <v>1888.0</v>
      </c>
      <c r="B1890" s="3" t="s">
        <v>1891</v>
      </c>
      <c r="C1890" s="3" t="str">
        <f>IFERROR(__xludf.DUMMYFUNCTION("GOOGLETRANSLATE(B1890,""id"",""en"")"),"['strange', 'already', 'buy', 'card', 'many years',' contents', 'package', 'hundreds',' thousand ',' kagak ',' promo ',' friend ',' Friends', 'buy', 'card', 'direct', 'promo', 'cheap', 'cheap', 'ngk', 'how', 'please', 'help', 'problem']")</f>
        <v>['strange', 'already', 'buy', 'card', 'many years',' contents', 'package', 'hundreds',' thousand ',' kagak ',' promo ',' friend ',' Friends', 'buy', 'card', 'direct', 'promo', 'cheap', 'cheap', 'ngk', 'how', 'please', 'help', 'problem']</v>
      </c>
      <c r="D1890" s="3">
        <v>1.0</v>
      </c>
    </row>
    <row r="1891" ht="15.75" customHeight="1">
      <c r="A1891" s="1">
        <v>1889.0</v>
      </c>
      <c r="B1891" s="3" t="s">
        <v>1892</v>
      </c>
      <c r="C1891" s="3" t="str">
        <f>IFERROR(__xludf.DUMMYFUNCTION("GOOGLETRANSLATE(B1891,""id"",""en"")"),"['Fix', 'signal', 'Lubuk', 'Pakam', 'kelurahan', 'Sekip', 'night', 'already', 'internet', 'slow', 'fast', 'road', ' conch ',' price ',' package ',' expensive ',' quality ',' kek ',' eek ',' emotion ',' adjust ',' quality ',' price ',' isss', 'unplug' , 'p"&amp;"ole', 'tower', 'kelen', 'yes', 'chewed', 'until', 'Abis', ""]")</f>
        <v>['Fix', 'signal', 'Lubuk', 'Pakam', 'kelurahan', 'Sekip', 'night', 'already', 'internet', 'slow', 'fast', 'road', ' conch ',' price ',' package ',' expensive ',' quality ',' kek ',' eek ',' emotion ',' adjust ',' quality ',' price ',' isss', 'unplug' , 'pole', 'tower', 'kelen', 'yes', 'chewed', 'until', 'Abis', "]</v>
      </c>
      <c r="D1891" s="3">
        <v>1.0</v>
      </c>
    </row>
    <row r="1892" ht="15.75" customHeight="1">
      <c r="A1892" s="1">
        <v>1890.0</v>
      </c>
      <c r="B1892" s="3" t="s">
        <v>1893</v>
      </c>
      <c r="C1892" s="3" t="str">
        <f>IFERROR(__xludf.DUMMYFUNCTION("GOOGLETRANSLATE(B1892,""id"",""en"")"),"['', 'network', 'troubled', 'network', 'problematic', 'network', 'problematic', 'display', 'screen', 'regret', 'buy', 'package', 'data ', 'harmful']")</f>
        <v>['', 'network', 'troubled', 'network', 'problematic', 'network', 'problematic', 'display', 'screen', 'regret', 'buy', 'package', 'data ', 'harmful']</v>
      </c>
      <c r="D1892" s="3">
        <v>1.0</v>
      </c>
    </row>
    <row r="1893" ht="15.75" customHeight="1">
      <c r="A1893" s="1">
        <v>1891.0</v>
      </c>
      <c r="B1893" s="3" t="s">
        <v>1894</v>
      </c>
      <c r="C1893" s="3" t="str">
        <f>IFERROR(__xludf.DUMMYFUNCTION("GOOGLETRANSLATE(B1893,""id"",""en"")"),"['Disappointed', 'Telkomsel', 'Exchange', 'Point', 'Persulit', 'Exchange', 'Point', 'Drink', 'Frestea', 'Indomaret', 'Exchange', 'SMS', ' Login ',' Link ',' Follow ',' Link ',' Error ',' Points', 'Wasted', 'Sia', 'BNOY', 'Points',' Please ',' repair ',' C"&amp;"ustomer ' , 'Disappointed', 'try', 'card', 'promo', 'package', 'weekend', 'person', 'run out', 'package', ""]")</f>
        <v>['Disappointed', 'Telkomsel', 'Exchange', 'Point', 'Persulit', 'Exchange', 'Point', 'Drink', 'Frestea', 'Indomaret', 'Exchange', 'SMS', ' Login ',' Link ',' Follow ',' Link ',' Error ',' Points', 'Wasted', 'Sia', 'BNOY', 'Points',' Please ',' repair ',' Customer ' , 'Disappointed', 'try', 'card', 'promo', 'package', 'weekend', 'person', 'run out', 'package', "]</v>
      </c>
      <c r="D1893" s="3">
        <v>1.0</v>
      </c>
    </row>
    <row r="1894" ht="15.75" customHeight="1">
      <c r="A1894" s="1">
        <v>1892.0</v>
      </c>
      <c r="B1894" s="3" t="s">
        <v>1895</v>
      </c>
      <c r="C1894" s="3" t="str">
        <f>IFERROR(__xludf.DUMMYFUNCTION("GOOGLETRANSLATE(B1894,""id"",""en"")"),"['Telkomsel', 'card', 'buy', 'package', 'internet', 'cheap', 'package', 'ride', 'price', 'no', 'package', 'disappeared', ' replace ',' package ',' expensive ',' disappointed ',' really ',' basically ',' ten ',' minutes', 'price', 'package', 'lower', 'Seba"&amp;"rin', 'card' , 'Telkomsel', 'cheat', '']")</f>
        <v>['Telkomsel', 'card', 'buy', 'package', 'internet', 'cheap', 'package', 'ride', 'price', 'no', 'package', 'disappeared', ' replace ',' package ',' expensive ',' disappointed ',' really ',' basically ',' ten ',' minutes', 'price', 'package', 'lower', 'Sebarin', 'card' , 'Telkomsel', 'cheat', '']</v>
      </c>
      <c r="D1894" s="3">
        <v>1.0</v>
      </c>
    </row>
    <row r="1895" ht="15.75" customHeight="1">
      <c r="A1895" s="1">
        <v>1893.0</v>
      </c>
      <c r="B1895" s="3" t="s">
        <v>1896</v>
      </c>
      <c r="C1895" s="3" t="str">
        <f>IFERROR(__xludf.DUMMYFUNCTION("GOOGLETRANSLATE(B1895,""id"",""en"")"),"['Card', 'Asuuu', 'pig', 'company', 'Telkomsel', 'child', 'pig', 'Masaia', 'buy', 'quota', 'unlimited', 'application', ' ehtiba ',' Sumpot ',' make ',' buy ',' check ',' quota ',' missing ',' gada ',' quota ',' direct ',' finished ',' stuff ',' Telkomsel "&amp;"' , 'Asuuuuu', 'company', 'Telkomsel', 'child', 'Haram', 'pig', 'Asuu']")</f>
        <v>['Card', 'Asuuu', 'pig', 'company', 'Telkomsel', 'child', 'pig', 'Masaia', 'buy', 'quota', 'unlimited', 'application', ' ehtiba ',' Sumpot ',' make ',' buy ',' check ',' quota ',' missing ',' gada ',' quota ',' direct ',' finished ',' stuff ',' Telkomsel ' , 'Asuuuuu', 'company', 'Telkomsel', 'child', 'Haram', 'pig', 'Asuu']</v>
      </c>
      <c r="D1895" s="3">
        <v>1.0</v>
      </c>
    </row>
    <row r="1896" ht="15.75" customHeight="1">
      <c r="A1896" s="1">
        <v>1894.0</v>
      </c>
      <c r="B1896" s="3" t="s">
        <v>1897</v>
      </c>
      <c r="C1896" s="3" t="str">
        <f>IFERROR(__xludf.DUMMYFUNCTION("GOOGLETRANSLATE(B1896,""id"",""en"")"),"['Please', 'Sorry', 'Card', 'Telkom', 'Knp', 'Very', 'Please', 'Benerin', 'Unlimited', 'Gamemax', 'Game', 'Max', ' Duh, 'udh', 'mah', 'please', 'fix', 'card', 'telkom', 'love', 'star', 'fix', '']")</f>
        <v>['Please', 'Sorry', 'Card', 'Telkom', 'Knp', 'Very', 'Please', 'Benerin', 'Unlimited', 'Gamemax', 'Game', 'Max', ' Duh, 'udh', 'mah', 'please', 'fix', 'card', 'telkom', 'love', 'star', 'fix', '']</v>
      </c>
      <c r="D1896" s="3">
        <v>1.0</v>
      </c>
    </row>
    <row r="1897" ht="15.75" customHeight="1">
      <c r="A1897" s="1">
        <v>1895.0</v>
      </c>
      <c r="B1897" s="3" t="s">
        <v>1898</v>
      </c>
      <c r="C1897" s="3" t="str">
        <f>IFERROR(__xludf.DUMMYFUNCTION("GOOGLETRANSLATE(B1897,""id"",""en"")"),"['Yesterday', 'buy', 'quota', 'GB', 'unlimited', 'use', 'GB', 'right', 'check', 'quota', 'lost', 'buy', ' time']")</f>
        <v>['Yesterday', 'buy', 'quota', 'GB', 'unlimited', 'use', 'GB', 'right', 'check', 'quota', 'lost', 'buy', ' time']</v>
      </c>
      <c r="D1897" s="3">
        <v>1.0</v>
      </c>
    </row>
    <row r="1898" ht="15.75" customHeight="1">
      <c r="A1898" s="1">
        <v>1896.0</v>
      </c>
      <c r="B1898" s="3" t="s">
        <v>1899</v>
      </c>
      <c r="C1898" s="3" t="str">
        <f>IFERROR(__xludf.DUMMYFUNCTION("GOOGLETRANSLATE(B1898,""id"",""en"")"),"['update', 'update', 'price', 'enhanced', 'quality', 'trash', 'buy', 'package', 'signal', 'slow', 'severe', 'crazy', ' ']")</f>
        <v>['update', 'update', 'price', 'enhanced', 'quality', 'trash', 'buy', 'package', 'signal', 'slow', 'severe', 'crazy', ' ']</v>
      </c>
      <c r="D1898" s="3">
        <v>1.0</v>
      </c>
    </row>
    <row r="1899" ht="15.75" customHeight="1">
      <c r="A1899" s="1">
        <v>1897.0</v>
      </c>
      <c r="B1899" s="3" t="s">
        <v>1900</v>
      </c>
      <c r="C1899" s="3" t="str">
        <f>IFERROR(__xludf.DUMMYFUNCTION("GOOGLETRANSLATE(B1899,""id"",""en"")"),"['fix', 'replace', 'card', 'already', 'patient', 'weekly', 'tissue', 'slow', 'continued', 'package', 'expensive', 'value', ' Plus', 'Towning', '']")</f>
        <v>['fix', 'replace', 'card', 'already', 'patient', 'weekly', 'tissue', 'slow', 'continued', 'package', 'expensive', 'value', ' Plus', 'Towning', '']</v>
      </c>
      <c r="D1899" s="3">
        <v>1.0</v>
      </c>
    </row>
    <row r="1900" ht="15.75" customHeight="1">
      <c r="A1900" s="1">
        <v>1898.0</v>
      </c>
      <c r="B1900" s="3" t="s">
        <v>1901</v>
      </c>
      <c r="C1900" s="3" t="str">
        <f>IFERROR(__xludf.DUMMYFUNCTION("GOOGLETRANSLATE(B1900,""id"",""en"")"),"['Sis',' buy ',' package ',' internet ',' run out ',' disappear ',' then ',' how ',' Sis', 'buy', 'Package', 'GB', ' unlimitid ',' then ',' lost ',' package ',' knp ',' Sis', 'Expert', ""]")</f>
        <v>['Sis',' buy ',' package ',' internet ',' run out ',' disappear ',' then ',' how ',' Sis', 'buy', 'Package', 'GB', ' unlimitid ',' then ',' lost ',' package ',' knp ',' Sis', 'Expert', "]</v>
      </c>
      <c r="D1900" s="3">
        <v>1.0</v>
      </c>
    </row>
    <row r="1901" ht="15.75" customHeight="1">
      <c r="A1901" s="1">
        <v>1899.0</v>
      </c>
      <c r="B1901" s="3" t="s">
        <v>1902</v>
      </c>
      <c r="C1901" s="3" t="str">
        <f>IFERROR(__xludf.DUMMYFUNCTION("GOOGLETRANSLATE(B1901,""id"",""en"")"),"['Please', 'card', 'promo', 'cheap', 'card', 'sudaj', 'hitch', 'promo', 'network', 'like', 'slow', 'disappointed', ' Telkmsl ',' ']")</f>
        <v>['Please', 'card', 'promo', 'cheap', 'card', 'sudaj', 'hitch', 'promo', 'network', 'like', 'slow', 'disappointed', ' Telkmsl ',' ']</v>
      </c>
      <c r="D1901" s="3">
        <v>1.0</v>
      </c>
    </row>
    <row r="1902" ht="15.75" customHeight="1">
      <c r="A1902" s="1">
        <v>1900.0</v>
      </c>
      <c r="B1902" s="3" t="s">
        <v>1903</v>
      </c>
      <c r="C1902" s="3" t="str">
        <f>IFERROR(__xludf.DUMMYFUNCTION("GOOGLETRANSLATE(B1902,""id"",""en"")"),"['Mimin', 'knapa', 'yaa', 'sympathy', 'loop', 'update', 'ntuk', 'package', 'udh', 'laen', 'udh', 'package', ' TPI ',' Sampe ',' skg ',' Blum ', ""]")</f>
        <v>['Mimin', 'knapa', 'yaa', 'sympathy', 'loop', 'update', 'ntuk', 'package', 'udh', 'laen', 'udh', 'package', ' TPI ',' Sampe ',' skg ',' Blum ', "]</v>
      </c>
      <c r="D1902" s="3">
        <v>5.0</v>
      </c>
    </row>
    <row r="1903" ht="15.75" customHeight="1">
      <c r="A1903" s="1">
        <v>1901.0</v>
      </c>
      <c r="B1903" s="3" t="s">
        <v>1904</v>
      </c>
      <c r="C1903" s="3" t="str">
        <f>IFERROR(__xludf.DUMMYFUNCTION("GOOGLETRANSLATE(B1903,""id"",""en"")"),"['Hello', 'users',' Telkomsel ',' have ',' upseting ',' signal ',' play ',' game ',' ugly ',' wear ',' application ',' YouTube ',' Current ',' buy ',' package ',' data ',' special ',' game ',' lag ',' signal ',' missing ',' play ',' game ',' reasons', 'st"&amp;"ar' ]")</f>
        <v>['Hello', 'users',' Telkomsel ',' have ',' upseting ',' signal ',' play ',' game ',' ugly ',' wear ',' application ',' YouTube ',' Current ',' buy ',' package ',' data ',' special ',' game ',' lag ',' signal ',' missing ',' play ',' game ',' reasons', 'star' ]</v>
      </c>
      <c r="D1903" s="3">
        <v>1.0</v>
      </c>
    </row>
    <row r="1904" ht="15.75" customHeight="1">
      <c r="A1904" s="1">
        <v>1902.0</v>
      </c>
      <c r="B1904" s="3" t="s">
        <v>1905</v>
      </c>
      <c r="C1904" s="3" t="str">
        <f>IFERROR(__xludf.DUMMYFUNCTION("GOOGLETRANSLATE(B1904,""id"",""en"")"),"['Hi', 'Telkomsel', 'enhanced', 'network', 'price', 'already', 'my area', 'signal', 'severe', 'really', 'malem', 'bad', ' Quality ',' Provider ',' Price ',' Cheap ',' Change ',' Provider ',' How ',' Need ',' Communication ',' Misua ',' It Works', 'Severe'"&amp;", 'Very' , 'Original', 'please', 'repaired', '']")</f>
        <v>['Hi', 'Telkomsel', 'enhanced', 'network', 'price', 'already', 'my area', 'signal', 'severe', 'really', 'malem', 'bad', ' Quality ',' Provider ',' Price ',' Cheap ',' Change ',' Provider ',' How ',' Need ',' Communication ',' Misua ',' It Works', 'Severe', 'Very' , 'Original', 'please', 'repaired', '']</v>
      </c>
      <c r="D1904" s="3">
        <v>1.0</v>
      </c>
    </row>
    <row r="1905" ht="15.75" customHeight="1">
      <c r="A1905" s="1">
        <v>1903.0</v>
      </c>
      <c r="B1905" s="3" t="s">
        <v>1906</v>
      </c>
      <c r="C1905" s="3" t="str">
        <f>IFERROR(__xludf.DUMMYFUNCTION("GOOGLETRANSLATE(B1905,""id"",""en"")"),"['buy', 'quota', 'unlimited', 'lost', 'quota', 'notice', 'disappointedaaaaaa', 'Please', 'Telkomsel', 'please']")</f>
        <v>['buy', 'quota', 'unlimited', 'lost', 'quota', 'notice', 'disappointedaaaaaa', 'Please', 'Telkomsel', 'please']</v>
      </c>
      <c r="D1905" s="3">
        <v>1.0</v>
      </c>
    </row>
    <row r="1906" ht="15.75" customHeight="1">
      <c r="A1906" s="1">
        <v>1904.0</v>
      </c>
      <c r="B1906" s="3" t="s">
        <v>1907</v>
      </c>
      <c r="C1906" s="3" t="str">
        <f>IFERROR(__xludf.DUMMYFUNCTION("GOOGLETRANSLATE(B1906,""id"",""en"")"),"['Hello', 'Telkomsel', 'Credit', 'Cutting', 'Quota', 'Internet', 'Package', 'Call', 'Call', 'How', 'Telkomsel', ""]")</f>
        <v>['Hello', 'Telkomsel', 'Credit', 'Cutting', 'Quota', 'Internet', 'Package', 'Call', 'Call', 'How', 'Telkomsel', "]</v>
      </c>
      <c r="D1906" s="3">
        <v>4.0</v>
      </c>
    </row>
    <row r="1907" ht="15.75" customHeight="1">
      <c r="A1907" s="1">
        <v>1905.0</v>
      </c>
      <c r="B1907" s="3" t="s">
        <v>1908</v>
      </c>
      <c r="C1907" s="3" t="str">
        <f>IFERROR(__xludf.DUMMYFUNCTION("GOOGLETRANSLATE(B1907,""id"",""en"")"),"['Please', 'Telkomsel', 'Return', 'Jaya', 'Card', 'The Network', 'Sebagus',' Bad ',' Play ',' Game ',' Online ',' Signal ',' Lost ',' Stop ',' Play ',' Network ',' Direct ',' Changed ',' DMANA ',' Network ',' Fastest ',' Environment ',' Please ',' Where '"&amp;",' Signal ' , 'best', 'lag', 'loading', 'online', 'speed', 'stunning', 'pause', 'network', 'please', ""]")</f>
        <v>['Please', 'Telkomsel', 'Return', 'Jaya', 'Card', 'The Network', 'Sebagus',' Bad ',' Play ',' Game ',' Online ',' Signal ',' Lost ',' Stop ',' Play ',' Network ',' Direct ',' Changed ',' DMANA ',' Network ',' Fastest ',' Environment ',' Please ',' Where ',' Signal ' , 'best', 'lag', 'loading', 'online', 'speed', 'stunning', 'pause', 'network', 'please', "]</v>
      </c>
      <c r="D1907" s="3">
        <v>1.0</v>
      </c>
    </row>
    <row r="1908" ht="15.75" customHeight="1">
      <c r="A1908" s="1">
        <v>1906.0</v>
      </c>
      <c r="B1908" s="3" t="s">
        <v>1909</v>
      </c>
      <c r="C1908" s="3" t="str">
        <f>IFERROR(__xludf.DUMMYFUNCTION("GOOGLETRANSLATE(B1908,""id"",""en"")"),"['application', 'sbnr', 'bgus',' bgus', 'really', 'network', 'smooth', 'slow', 'aka', 'slow', 'tap', 'cost', ' buy ',' package ',' expensive ',' udh ',' cpt ',' abis', 'see', 'sebntar', 'please', 'telkomsel', 'promo', 'dng', 'customer' , 'TTP', 'feels at "&amp;"home', 'use', 'card', 'Terimaksih', ""]")</f>
        <v>['application', 'sbnr', 'bgus',' bgus', 'really', 'network', 'smooth', 'slow', 'aka', 'slow', 'tap', 'cost', ' buy ',' package ',' expensive ',' udh ',' cpt ',' abis', 'see', 'sebntar', 'please', 'telkomsel', 'promo', 'dng', 'customer' , 'TTP', 'feels at home', 'use', 'card', 'Terimaksih', "]</v>
      </c>
      <c r="D1908" s="3">
        <v>5.0</v>
      </c>
    </row>
    <row r="1909" ht="15.75" customHeight="1">
      <c r="A1909" s="1">
        <v>1907.0</v>
      </c>
      <c r="B1909" s="3" t="s">
        <v>1910</v>
      </c>
      <c r="C1909" s="3" t="str">
        <f>IFERROR(__xludf.DUMMYFUNCTION("GOOGLETRANSLATE(B1909,""id"",""en"")"),"['Customer', 'Telkomsel', 'card', 'use', 'era', 'card', 'bid', 'quota', 'cheap', ""]")</f>
        <v>['Customer', 'Telkomsel', 'card', 'use', 'era', 'card', 'bid', 'quota', 'cheap', "]</v>
      </c>
      <c r="D1909" s="3">
        <v>4.0</v>
      </c>
    </row>
    <row r="1910" ht="15.75" customHeight="1">
      <c r="A1910" s="1">
        <v>1908.0</v>
      </c>
      <c r="B1910" s="3" t="s">
        <v>1911</v>
      </c>
      <c r="C1910" s="3" t="str">
        <f>IFERROR(__xludf.DUMMYFUNCTION("GOOGLETRANSLATE(B1910,""id"",""en"")"),"['Lose', 'fast', 'Ama', 'Provider', 'Next to', 'Value', 'Mabal', 'Good', 'NjEerrr', 'Gaada', 'Change', 'Bad', ' Provider ',' next door ']")</f>
        <v>['Lose', 'fast', 'Ama', 'Provider', 'Next to', 'Value', 'Mabal', 'Good', 'NjEerrr', 'Gaada', 'Change', 'Bad', ' Provider ',' next door ']</v>
      </c>
      <c r="D1910" s="3">
        <v>1.0</v>
      </c>
    </row>
    <row r="1911" ht="15.75" customHeight="1">
      <c r="A1911" s="1">
        <v>1909.0</v>
      </c>
      <c r="B1911" s="3" t="s">
        <v>1912</v>
      </c>
      <c r="C1911" s="3" t="str">
        <f>IFERROR(__xludf.DUMMYFUNCTION("GOOGLETRANSLATE(B1911,""id"",""en"")"),"['fit', 'package', 'unlimited', 'active', 'ugly', 'network', 'rather than', 'data', 'package', 'me', 'nge', 'package', ' Data ',' unlimited ',' smooth ',' kayak ',' wifi ',' city ',' TPI ',' right ',' GB ',' active ',' right ',' replaced ',' unlimited ' ,"&amp;" 'slow', 'really', 'network', 'city']")</f>
        <v>['fit', 'package', 'unlimited', 'active', 'ugly', 'network', 'rather than', 'data', 'package', 'me', 'nge', 'package', ' Data ',' unlimited ',' smooth ',' kayak ',' wifi ',' city ',' TPI ',' right ',' GB ',' active ',' right ',' replaced ',' unlimited ' , 'slow', 'really', 'network', 'city']</v>
      </c>
      <c r="D1911" s="3">
        <v>3.0</v>
      </c>
    </row>
    <row r="1912" ht="15.75" customHeight="1">
      <c r="A1912" s="1">
        <v>1910.0</v>
      </c>
      <c r="B1912" s="3" t="s">
        <v>1913</v>
      </c>
      <c r="C1912" s="3" t="str">
        <f>IFERROR(__xludf.DUMMYFUNCTION("GOOGLETRANSLATE(B1912,""id"",""en"")"),"['Gift', 'Daily', 'Check', 'Ter', 'Claim', 'Update', 'Claim', 'Gift', 'Liat', 'History', 'How', 'Doang', ' Collect ',' Hadeh ',' Bener ']")</f>
        <v>['Gift', 'Daily', 'Check', 'Ter', 'Claim', 'Update', 'Claim', 'Gift', 'Liat', 'History', 'How', 'Doang', ' Collect ',' Hadeh ',' Bener ']</v>
      </c>
      <c r="D1912" s="3">
        <v>1.0</v>
      </c>
    </row>
    <row r="1913" ht="15.75" customHeight="1">
      <c r="A1913" s="1">
        <v>1911.0</v>
      </c>
      <c r="B1913" s="3" t="s">
        <v>1914</v>
      </c>
      <c r="C1913" s="3" t="str">
        <f>IFERROR(__xludf.DUMMYFUNCTION("GOOGLETRANSLATE(B1913,""id"",""en"")"),"['Sorry', 'Changed', 'Hello', 'Wear', 'Telkomsel', 'Activation', 'Package', 'Unlimited', 'Tel', 'Communicating', 'Current', 'Strategy', ' Telkomsel ',' limit ',' run out ',' raised ',' limit ',' pay ',' telephone ',' call ',' center ',' telkomsel ',' many"&amp;" ',' times', 'solution' , 'poor', 'disappointed']")</f>
        <v>['Sorry', 'Changed', 'Hello', 'Wear', 'Telkomsel', 'Activation', 'Package', 'Unlimited', 'Tel', 'Communicating', 'Current', 'Strategy', ' Telkomsel ',' limit ',' run out ',' raised ',' limit ',' pay ',' telephone ',' call ',' center ',' telkomsel ',' many ',' times', 'solution' , 'poor', 'disappointed']</v>
      </c>
      <c r="D1913" s="3">
        <v>1.0</v>
      </c>
    </row>
    <row r="1914" ht="15.75" customHeight="1">
      <c r="A1914" s="1">
        <v>1912.0</v>
      </c>
      <c r="B1914" s="3" t="s">
        <v>1915</v>
      </c>
      <c r="C1914" s="3" t="str">
        <f>IFERROR(__xludf.DUMMYFUNCTION("GOOGLETRANSLATE(B1914,""id"",""en"")"),"['rotten', 'expensive', 'promo', 'bought', 'arrogant', 'responds',' customer ',' Telkomsel ',' above ',' kerena ',' user ',' remember ',' Nokia ',' Disappointed ',' really ',' Gue ',' anyway ']")</f>
        <v>['rotten', 'expensive', 'promo', 'bought', 'arrogant', 'responds',' customer ',' Telkomsel ',' above ',' kerena ',' user ',' remember ',' Nokia ',' Disappointed ',' really ',' Gue ',' anyway ']</v>
      </c>
      <c r="D1914" s="3">
        <v>1.0</v>
      </c>
    </row>
    <row r="1915" ht="15.75" customHeight="1">
      <c r="A1915" s="1">
        <v>1913.0</v>
      </c>
      <c r="B1915" s="3" t="s">
        <v>1916</v>
      </c>
      <c r="C1915" s="3" t="str">
        <f>IFERROR(__xludf.DUMMYFUNCTION("GOOGLETRANSLATE(B1915,""id"",""en"")"),"['Telkomsel', 'Jaya', 'Java', 'Region', 'Buy', 'Package', 'Telkomsel', 'Maen', 'Game', 'Current', 'miss',' Boro ',' Current ',' Road ',' Gabisa ',' Red ',' Merona ',' Paketan ',' Telkomsel ',' Expensive ',' Performance ',' Tomorrow ',' Change ', ""]")</f>
        <v>['Telkomsel', 'Jaya', 'Java', 'Region', 'Buy', 'Package', 'Telkomsel', 'Maen', 'Game', 'Current', 'miss',' Boro ',' Current ',' Road ',' Gabisa ',' Red ',' Merona ',' Paketan ',' Telkomsel ',' Expensive ',' Performance ',' Tomorrow ',' Change ', "]</v>
      </c>
      <c r="D1915" s="3">
        <v>1.0</v>
      </c>
    </row>
    <row r="1916" ht="15.75" customHeight="1">
      <c r="A1916" s="1">
        <v>1914.0</v>
      </c>
      <c r="B1916" s="3" t="s">
        <v>1917</v>
      </c>
      <c r="C1916" s="3" t="str">
        <f>IFERROR(__xludf.DUMMYFUNCTION("GOOGLETRANSLATE(B1916,""id"",""en"")"),"['satisfying', 'best', 'Best', 'use it', 'subscribe', 'package', 'check', 'promo', 'information', 'choice', 'satisfied', 'Please', ' Reduce ',' Costs', 'Choice', 'Data', 'Ehhehe', 'Pandemic', 'Money', 'Difficult', 'Data', 'Activity', 'Telkomsel', 'Price',"&amp;" 'Cheap' , 'data', 'package', 'person', 'Telkomsel', 'card', 'price', 'best', 'right', 'DOUND']")</f>
        <v>['satisfying', 'best', 'Best', 'use it', 'subscribe', 'package', 'check', 'promo', 'information', 'choice', 'satisfied', 'Please', ' Reduce ',' Costs', 'Choice', 'Data', 'Ehhehe', 'Pandemic', 'Money', 'Difficult', 'Data', 'Activity', 'Telkomsel', 'Price', 'Cheap' , 'data', 'package', 'person', 'Telkomsel', 'card', 'price', 'best', 'right', 'DOUND']</v>
      </c>
      <c r="D1916" s="3">
        <v>5.0</v>
      </c>
    </row>
    <row r="1917" ht="15.75" customHeight="1">
      <c r="A1917" s="1">
        <v>1915.0</v>
      </c>
      <c r="B1917" s="3" t="s">
        <v>1918</v>
      </c>
      <c r="C1917" s="3" t="str">
        <f>IFERROR(__xludf.DUMMYFUNCTION("GOOGLETRANSLATE(B1917,""id"",""en"")"),"['Kasi', 'star', 'no', 'like', 'application', 'times',' enter ',' enter ',' number ',' TLP ',' trs', 'entered', ' already ',' list ',' LHOH ',' Please ',' fix ',' fix ',' God willing ',' Kasi ',' star ', ""]")</f>
        <v>['Kasi', 'star', 'no', 'like', 'application', 'times',' enter ',' enter ',' number ',' TLP ',' trs', 'entered', ' already ',' list ',' LHOH ',' Please ',' fix ',' fix ',' God willing ',' Kasi ',' star ', "]</v>
      </c>
      <c r="D1917" s="3">
        <v>1.0</v>
      </c>
    </row>
    <row r="1918" ht="15.75" customHeight="1">
      <c r="A1918" s="1">
        <v>1916.0</v>
      </c>
      <c r="B1918" s="3" t="s">
        <v>1919</v>
      </c>
      <c r="C1918" s="3" t="str">
        <f>IFERROR(__xludf.DUMMYFUNCTION("GOOGLETRANSLATE(B1918,""id"",""en"")"),"['Good', 'really', 'apk', 'cheap', 'cheap', 'package', 'price', 'rb', 'pulse', 'download', 'download', 'loss',' Love ',' Bintang ',' APK ',' Good ',' really ']")</f>
        <v>['Good', 'really', 'apk', 'cheap', 'cheap', 'package', 'price', 'rb', 'pulse', 'download', 'download', 'loss',' Love ',' Bintang ',' APK ',' Good ',' really ']</v>
      </c>
      <c r="D1918" s="3">
        <v>5.0</v>
      </c>
    </row>
    <row r="1919" ht="15.75" customHeight="1">
      <c r="A1919" s="1">
        <v>1917.0</v>
      </c>
      <c r="B1919" s="3" t="s">
        <v>1920</v>
      </c>
      <c r="C1919" s="3" t="str">
        <f>IFERROR(__xludf.DUMMYFUNCTION("GOOGLETRANSLATE(B1919,""id"",""en"")"),"['Disappointed', 'Telkomsel', 'bullak', 'balek', 'pulse', 'sucked', 'consequences',' fill ',' kouta ',' pulse ',' failure ',' entry ',' sms', 'pulse', 'content', 'sufficient', 'contents',' rb ',' cuba ',' many ',' times', 'pulse', 'contents',' rb ',' stay"&amp;" ' , 'Rb', 'strange', 'Kouta', 'loss',' already ',' network ',' Telkomsel ',' like ',' slow ',' really ',' open ',' browse ',' Open ',' Kcewa ']")</f>
        <v>['Disappointed', 'Telkomsel', 'bullak', 'balek', 'pulse', 'sucked', 'consequences',' fill ',' kouta ',' pulse ',' failure ',' entry ',' sms', 'pulse', 'content', 'sufficient', 'contents',' rb ',' cuba ',' many ',' times', 'pulse', 'contents',' rb ',' stay ' , 'Rb', 'strange', 'Kouta', 'loss',' already ',' network ',' Telkomsel ',' like ',' slow ',' really ',' open ',' browse ',' Open ',' Kcewa ']</v>
      </c>
      <c r="D1919" s="3">
        <v>1.0</v>
      </c>
    </row>
    <row r="1920" ht="15.75" customHeight="1">
      <c r="A1920" s="1">
        <v>1918.0</v>
      </c>
      <c r="B1920" s="3" t="s">
        <v>1921</v>
      </c>
      <c r="C1920" s="3" t="str">
        <f>IFERROR(__xludf.DUMMYFUNCTION("GOOGLETRANSLATE(B1920,""id"",""en"")"),"['application', 'good', 'help', 'please', 'telkomsel', 'signal', 'slow', 'really', 'open', 'youtube', 'aplikaai', 'learn', ' game ',' really ',' please ',' trouble ',' thank ',' love ']")</f>
        <v>['application', 'good', 'help', 'please', 'telkomsel', 'signal', 'slow', 'really', 'open', 'youtube', 'aplikaai', 'learn', ' game ',' really ',' please ',' trouble ',' thank ',' love ']</v>
      </c>
      <c r="D1920" s="3">
        <v>3.0</v>
      </c>
    </row>
    <row r="1921" ht="15.75" customHeight="1">
      <c r="A1921" s="1">
        <v>1919.0</v>
      </c>
      <c r="B1921" s="3" t="s">
        <v>1922</v>
      </c>
      <c r="C1921" s="3" t="str">
        <f>IFERROR(__xludf.DUMMYFUNCTION("GOOGLETRANSLATE(B1921,""id"",""en"")"),"['Woy', 'owner', 'Telkomsel', 'please', 'fix', 'donk', 'purchase', 'package', 'internet', 'fix', 'close', 'apk', ' daily ',' list ',' list ',' how ',' ']")</f>
        <v>['Woy', 'owner', 'Telkomsel', 'please', 'fix', 'donk', 'purchase', 'package', 'internet', 'fix', 'close', 'apk', ' daily ',' list ',' list ',' how ',' ']</v>
      </c>
      <c r="D1921" s="3">
        <v>1.0</v>
      </c>
    </row>
    <row r="1922" ht="15.75" customHeight="1">
      <c r="A1922" s="1">
        <v>1920.0</v>
      </c>
      <c r="B1922" s="3" t="s">
        <v>1923</v>
      </c>
      <c r="C1922" s="3" t="str">
        <f>IFERROR(__xludf.DUMMYFUNCTION("GOOGLETRANSLATE(B1922,""id"",""en"")"),"['Please', 'Fix', 'Policy', 'Quota', 'Out', 'Jangn', 'Automatic', 'Suck', 'Credit', 'Internet', 'Credit', 'Registration', ' Package ',' Internet ',' Enter ',' Cut ',' Gajadi ',' Pakrtin ',' Internet ',' Make ',' Telkomsel ',' BKN ',' People ',' Rich ',' D"&amp;"isappointing ' , '']")</f>
        <v>['Please', 'Fix', 'Policy', 'Quota', 'Out', 'Jangn', 'Automatic', 'Suck', 'Credit', 'Internet', 'Credit', 'Registration', ' Package ',' Internet ',' Enter ',' Cut ',' Gajadi ',' Pakrtin ',' Internet ',' Make ',' Telkomsel ',' BKN ',' People ',' Rich ',' Disappointing ' , '']</v>
      </c>
      <c r="D1922" s="3">
        <v>2.0</v>
      </c>
    </row>
    <row r="1923" ht="15.75" customHeight="1">
      <c r="A1923" s="1">
        <v>1921.0</v>
      </c>
      <c r="B1923" s="3" t="s">
        <v>1924</v>
      </c>
      <c r="C1923" s="3" t="str">
        <f>IFERROR(__xludf.DUMMYFUNCTION("GOOGLETRANSLATE(B1923,""id"",""en"")"),"['please', 'Telkomsel', 'bnyak', 'ngebukah', 'improvement', 'ganguan', 'please', 'kasi', 'pke', 'telkomsel', 'nge', 'game', ' buy ',' package ',' expensive ',' network ',' ilang ',' kek ',' gini ']")</f>
        <v>['please', 'Telkomsel', 'bnyak', 'ngebukah', 'improvement', 'ganguan', 'please', 'kasi', 'pke', 'telkomsel', 'nge', 'game', ' buy ',' package ',' expensive ',' network ',' ilang ',' kek ',' gini ']</v>
      </c>
      <c r="D1923" s="3">
        <v>2.0</v>
      </c>
    </row>
    <row r="1924" ht="15.75" customHeight="1">
      <c r="A1924" s="1">
        <v>1922.0</v>
      </c>
      <c r="B1924" s="3" t="s">
        <v>1925</v>
      </c>
      <c r="C1924" s="3" t="str">
        <f>IFERROR(__xludf.DUMMYFUNCTION("GOOGLETRANSLATE(B1924,""id"",""en"")"),"['buy', 'package', 'quota', 'wait', 'kagak', 'reply', 'sms',' longaa ',' processed ',' era ',' sophisticated ',' so ',' Quota ',' out ',' notification ',' buy ',' quota ',' via ',' APL ',' processed ', ""]")</f>
        <v>['buy', 'package', 'quota', 'wait', 'kagak', 'reply', 'sms',' longaa ',' processed ',' era ',' sophisticated ',' so ',' Quota ',' out ',' notification ',' buy ',' quota ',' via ',' APL ',' processed ', "]</v>
      </c>
      <c r="D1924" s="3">
        <v>1.0</v>
      </c>
    </row>
    <row r="1925" ht="15.75" customHeight="1">
      <c r="A1925" s="1">
        <v>1923.0</v>
      </c>
      <c r="B1925" s="3" t="s">
        <v>1926</v>
      </c>
      <c r="C1925" s="3" t="str">
        <f>IFERROR(__xludf.DUMMYFUNCTION("GOOGLETRANSLATE(B1925,""id"",""en"")"),"['purchase', 'package', 'data', 'buy', 'package', 'data', 'internet', 'monthly', 'read', 'writing', 'package', 'find', ' Try ',' check ']")</f>
        <v>['purchase', 'package', 'data', 'buy', 'package', 'data', 'internet', 'monthly', 'read', 'writing', 'package', 'find', ' Try ',' check ']</v>
      </c>
      <c r="D1925" s="3">
        <v>1.0</v>
      </c>
    </row>
    <row r="1926" ht="15.75" customHeight="1">
      <c r="A1926" s="1">
        <v>1924.0</v>
      </c>
      <c r="B1926" s="3" t="s">
        <v>1927</v>
      </c>
      <c r="C1926" s="3" t="str">
        <f>IFERROR(__xludf.DUMMYFUNCTION("GOOGLETRANSLATE(B1926,""id"",""en"")"),"['intention', 'gave', 'quota', 'sisin', 'event', 'event', 'daily', 'check', 'already', 'diligent', 'diligent', ' Open ',' Telkomsel ',' right ',' already ',' can ',' claim ',' told ',' Pay ',' TPI ',' Thinking ',' Anjng ',' Jan ',' forgets' , 'coffee', 'h"&amp;"is brain', 'Semriwinggg']")</f>
        <v>['intention', 'gave', 'quota', 'sisin', 'event', 'event', 'daily', 'check', 'already', 'diligent', 'diligent', ' Open ',' Telkomsel ',' right ',' already ',' can ',' claim ',' told ',' Pay ',' TPI ',' Thinking ',' Anjng ',' Jan ',' forgets' , 'coffee', 'his brain', 'Semriwinggg']</v>
      </c>
      <c r="D1926" s="3">
        <v>1.0</v>
      </c>
    </row>
    <row r="1927" ht="15.75" customHeight="1">
      <c r="A1927" s="1">
        <v>1925.0</v>
      </c>
      <c r="B1927" s="3" t="s">
        <v>1928</v>
      </c>
      <c r="C1927" s="3" t="str">
        <f>IFERROR(__xludf.DUMMYFUNCTION("GOOGLETRANSLATE(B1927,""id"",""en"")"),"['pulse', 'rb', 'buy', 'quota', 'game', 'max', 'rb', 'leftover', 'pulse', 'rb', 'subscribe', 'nsp', ' or ',' the like ',' Please ',' his actions', 'compensation']")</f>
        <v>['pulse', 'rb', 'buy', 'quota', 'game', 'max', 'rb', 'leftover', 'pulse', 'rb', 'subscribe', 'nsp', ' or ',' the like ',' Please ',' his actions', 'compensation']</v>
      </c>
      <c r="D1927" s="3">
        <v>1.0</v>
      </c>
    </row>
    <row r="1928" ht="15.75" customHeight="1">
      <c r="A1928" s="1">
        <v>1926.0</v>
      </c>
      <c r="B1928" s="3" t="s">
        <v>1929</v>
      </c>
      <c r="C1928" s="3" t="str">
        <f>IFERROR(__xludf.DUMMYFUNCTION("GOOGLETRANSLATE(B1928,""id"",""en"")"),"['please', 'Telkomsel', 'package', 'cheap', 'right', 'see', 'cheat', 'kah', 'abis',' package ',' expensive ',' expensive ',' kagak ',' cheap ',' contents', 'pulse', 'sucked', 'kagak', 'ngapa', 'ngapa', 'run out', 'disappointed', 'use', 'Telkomsel', ""]")</f>
        <v>['please', 'Telkomsel', 'package', 'cheap', 'right', 'see', 'cheat', 'kah', 'abis',' package ',' expensive ',' expensive ',' kagak ',' cheap ',' contents', 'pulse', 'sucked', 'kagak', 'ngapa', 'ngapa', 'run out', 'disappointed', 'use', 'Telkomsel', "]</v>
      </c>
      <c r="D1928" s="3">
        <v>1.0</v>
      </c>
    </row>
    <row r="1929" ht="15.75" customHeight="1">
      <c r="A1929" s="1">
        <v>1927.0</v>
      </c>
      <c r="B1929" s="3" t="s">
        <v>1930</v>
      </c>
      <c r="C1929" s="3" t="str">
        <f>IFERROR(__xludf.DUMMYFUNCTION("GOOGLETRANSLATE(B1929,""id"",""en"")"),"['Disappointed', 'quota', 'Kemdikbud', 'Student', 'Credit', 'Cutting', 'Out', 'Quota', 'Kemdikbud', 'Get it', 'Please', 'Fix', ' Kuoto ',' Kemdikbud ',' Drain ',' Credit ',' Thanks', '']")</f>
        <v>['Disappointed', 'quota', 'Kemdikbud', 'Student', 'Credit', 'Cutting', 'Out', 'Quota', 'Kemdikbud', 'Get it', 'Please', 'Fix', ' Kuoto ',' Kemdikbud ',' Drain ',' Credit ',' Thanks', '']</v>
      </c>
      <c r="D1929" s="3">
        <v>1.0</v>
      </c>
    </row>
    <row r="1930" ht="15.75" customHeight="1">
      <c r="A1930" s="1">
        <v>1928.0</v>
      </c>
      <c r="B1930" s="3" t="s">
        <v>1931</v>
      </c>
      <c r="C1930" s="3" t="str">
        <f>IFERROR(__xludf.DUMMYFUNCTION("GOOGLETRANSLATE(B1930,""id"",""en"")"),"['Follow', 'Telkomsel', 'Points',' Disappointed ',' Bner ',' Super ',' Disappointed ',' situ ',' printed ',' tip ',' xxx ',' bner ',' TLP ',' Check ',' GraPARI ',' GraPARI ',' Stow ',' Laa ',' Lottery ',' Period ',' Marer ',' date ',' check ',' check ',' "&amp;"thank you ' , 'BKN', 'number', 'info', 'Disinj', 'number', 'digit', 'easy', 'check', 'parahhhh', 'trkesan', 'fooling', '']")</f>
        <v>['Follow', 'Telkomsel', 'Points',' Disappointed ',' Bner ',' Super ',' Disappointed ',' situ ',' printed ',' tip ',' xxx ',' bner ',' TLP ',' Check ',' GraPARI ',' GraPARI ',' Stow ',' Laa ',' Lottery ',' Period ',' Marer ',' date ',' check ',' check ',' thank you ' , 'BKN', 'number', 'info', 'Disinj', 'number', 'digit', 'easy', 'check', 'parahhhh', 'trkesan', 'fooling', '']</v>
      </c>
      <c r="D1930" s="3">
        <v>1.0</v>
      </c>
    </row>
    <row r="1931" ht="15.75" customHeight="1">
      <c r="A1931" s="1">
        <v>1929.0</v>
      </c>
      <c r="B1931" s="3" t="s">
        <v>1932</v>
      </c>
      <c r="C1931" s="3" t="str">
        <f>IFERROR(__xludf.DUMMYFUNCTION("GOOGLETRANSLATE(B1931,""id"",""en"")"),"['Plis',' return ',' pulse ',' msalah ',' signal ',' okay ',' tpi ',' cut ',' pulse ',' luck ',' work ',' search ',' Livelihoods', 'need', 'TPI', 'PLIS', 'Credit', 'Take', 'already', 'buy', 'quota', 'already', 'quota', 'expensive', 'pulses' , 'Cut', 'Come"&amp;"', 'fix']")</f>
        <v>['Plis',' return ',' pulse ',' msalah ',' signal ',' okay ',' tpi ',' cut ',' pulse ',' luck ',' work ',' search ',' Livelihoods', 'need', 'TPI', 'PLIS', 'Credit', 'Take', 'already', 'buy', 'quota', 'already', 'quota', 'expensive', 'pulses' , 'Cut', 'Come', 'fix']</v>
      </c>
      <c r="D1931" s="3">
        <v>1.0</v>
      </c>
    </row>
    <row r="1932" ht="15.75" customHeight="1">
      <c r="A1932" s="1">
        <v>1930.0</v>
      </c>
      <c r="B1932" s="3" t="s">
        <v>1933</v>
      </c>
      <c r="C1932" s="3" t="str">
        <f>IFERROR(__xludf.DUMMYFUNCTION("GOOGLETRANSLATE(B1932,""id"",""en"")"),"['Package', 'Data', 'GB', 'Package', 'GB', 'Clock', 'Applies',' Aktiv ',' Package ',' Data ',' Aktiv ',' Number ',' sms', 'use', 'internet', 'tariff', 'non', 'package', 'as a result', 'pulse', 'lost', 'intention', 'promo', 'ganiatta', 'it's hard' , 'Rich'"&amp;", 'That's', 'Disappointed', 'Action', 'Fun', 'Eating', 'Results', 'His Right', 'Haram', 'Hereafter', 'Disappointed']")</f>
        <v>['Package', 'Data', 'GB', 'Package', 'GB', 'Clock', 'Applies',' Aktiv ',' Package ',' Data ',' Aktiv ',' Number ',' sms', 'use', 'internet', 'tariff', 'non', 'package', 'as a result', 'pulse', 'lost', 'intention', 'promo', 'ganiatta', 'it's hard' , 'Rich', 'That's', 'Disappointed', 'Action', 'Fun', 'Eating', 'Results', 'His Right', 'Haram', 'Hereafter', 'Disappointed']</v>
      </c>
      <c r="D1932" s="3">
        <v>1.0</v>
      </c>
    </row>
    <row r="1933" ht="15.75" customHeight="1">
      <c r="A1933" s="1">
        <v>1931.0</v>
      </c>
      <c r="B1933" s="3" t="s">
        <v>1934</v>
      </c>
      <c r="C1933" s="3" t="str">
        <f>IFERROR(__xludf.DUMMYFUNCTION("GOOGLETRANSLATE(B1933,""id"",""en"")"),"['Marketing', 'times',' Ditraining ',' Terms', 'Submission', 'Benefit', 'Apply', 'Example', 'Enter', 'Card', 'Hello', 'Stop', ' marketing ',' love ',' info ',' card ',' challenge ',' replace ',' nomer ',' kasian ',' user ',' number ',' change ',' number '"&amp;",' stop ' , 'card', 'Hello', 'user', 'dkasih', 'benefit', 'charged', 'marketing', 'dirty']")</f>
        <v>['Marketing', 'times',' Ditraining ',' Terms', 'Submission', 'Benefit', 'Apply', 'Example', 'Enter', 'Card', 'Hello', 'Stop', ' marketing ',' love ',' info ',' card ',' challenge ',' replace ',' nomer ',' kasian ',' user ',' number ',' change ',' number ',' stop ' , 'card', 'Hello', 'user', 'dkasih', 'benefit', 'charged', 'marketing', 'dirty']</v>
      </c>
      <c r="D1933" s="3">
        <v>1.0</v>
      </c>
    </row>
    <row r="1934" ht="15.75" customHeight="1">
      <c r="A1934" s="1">
        <v>1932.0</v>
      </c>
      <c r="B1934" s="3" t="s">
        <v>1935</v>
      </c>
      <c r="C1934" s="3" t="str">
        <f>IFERROR(__xludf.DUMMYFUNCTION("GOOGLETRANSLATE(B1934,""id"",""en"")"),"['Operator', 'Indonesia', 'What's',' Price ',' Quota ',' Sege ',' Network ',' Kek ',' Gini ',' Buy ',' Paketan ',' Expensive ',' Equally ',' Ama ',' Network ',' Pantes', 'Org', 'Compled', 'Give', 'Star', ""]")</f>
        <v>['Operator', 'Indonesia', 'What's',' Price ',' Quota ',' Sege ',' Network ',' Kek ',' Gini ',' Buy ',' Paketan ',' Expensive ',' Equally ',' Ama ',' Network ',' Pantes', 'Org', 'Compled', 'Give', 'Star', "]</v>
      </c>
      <c r="D1934" s="3">
        <v>1.0</v>
      </c>
    </row>
    <row r="1935" ht="15.75" customHeight="1">
      <c r="A1935" s="1">
        <v>1933.0</v>
      </c>
      <c r="B1935" s="3" t="s">
        <v>1936</v>
      </c>
      <c r="C1935" s="3" t="str">
        <f>IFERROR(__xludf.DUMMYFUNCTION("GOOGLETRANSLATE(B1935,""id"",""en"")"),"['', 'The fastest', 'the widest', 'fart', 'Preettt', 'signal', 'Odong', 'slow', 'forgiveness',' really ',' complain ',' network ',' slow ',' just ',' Please ',' sorry ',' Akam ',' check ',' blah ',' blah ',' blah ',' salary ',' boss', 'telkomsel', 'fund',"&amp;" 'Infrastructure', 'maintenance', 'government', 'TPI', 'network', 'ugly', 'HR', 'Telkomsel', 'fool', 'stupid', 'bnyak', 'org', 'deposit ',' network ',' slow ',' infrastructure ',' pulp ',' old school ',' UDH ',' INDONES ',' ']")</f>
        <v>['', 'The fastest', 'the widest', 'fart', 'Preettt', 'signal', 'Odong', 'slow', 'forgiveness',' really ',' complain ',' network ',' slow ',' just ',' Please ',' sorry ',' Akam ',' check ',' blah ',' blah ',' blah ',' salary ',' boss', 'telkomsel', 'fund', 'Infrastructure', 'maintenance', 'government', 'TPI', 'network', 'ugly', 'HR', 'Telkomsel', 'fool', 'stupid', 'bnyak', 'org', 'deposit ',' network ',' slow ',' infrastructure ',' pulp ',' old school ',' UDH ',' INDONES ',' ']</v>
      </c>
      <c r="D1935" s="3">
        <v>2.0</v>
      </c>
    </row>
    <row r="1936" ht="15.75" customHeight="1">
      <c r="A1936" s="1">
        <v>1934.0</v>
      </c>
      <c r="B1936" s="3" t="s">
        <v>1937</v>
      </c>
      <c r="C1936" s="3" t="str">
        <f>IFERROR(__xludf.DUMMYFUNCTION("GOOGLETRANSLATE(B1936,""id"",""en"")"),"['home', 'wifi', 'go', 'buy', 'package', 'MB', 'price', 'skrng', 'udh', 'it seems',' price ',' Udh ',' package ',' buy ',' yaa ',' buy ',' price ',' that way ',' because ',' news', 'home']")</f>
        <v>['home', 'wifi', 'go', 'buy', 'package', 'MB', 'price', 'skrng', 'udh', 'it seems',' price ',' Udh ',' package ',' buy ',' yaa ',' buy ',' price ',' that way ',' because ',' news', 'home']</v>
      </c>
      <c r="D1936" s="3">
        <v>2.0</v>
      </c>
    </row>
    <row r="1937" ht="15.75" customHeight="1">
      <c r="A1937" s="1">
        <v>1935.0</v>
      </c>
      <c r="B1937" s="3" t="s">
        <v>1938</v>
      </c>
      <c r="C1937" s="3" t="str">
        <f>IFERROR(__xludf.DUMMYFUNCTION("GOOGLETRANSLATE(B1937,""id"",""en"")"),"['disappointed', 'service', 'Telkomsel', 'pulse', 'sucked', 'contents',' pulse ',' subscribe ',' anything ',' essence ',' annoyed ',' even ',' Sucked ',' right ',' enthusiasm ',' Switch ',' next door ',' feature ',' payment ',' complete ',' indomaret ',' "&amp;"alfamart ']")</f>
        <v>['disappointed', 'service', 'Telkomsel', 'pulse', 'sucked', 'contents',' pulse ',' subscribe ',' anything ',' essence ',' annoyed ',' even ',' Sucked ',' right ',' enthusiasm ',' Switch ',' next door ',' feature ',' payment ',' complete ',' indomaret ',' alfamart ']</v>
      </c>
      <c r="D1937" s="3">
        <v>1.0</v>
      </c>
    </row>
    <row r="1938" ht="15.75" customHeight="1">
      <c r="A1938" s="1">
        <v>1936.0</v>
      </c>
      <c r="B1938" s="3" t="s">
        <v>1939</v>
      </c>
      <c r="C1938" s="3" t="str">
        <f>IFERROR(__xludf.DUMMYFUNCTION("GOOGLETRANSLATE(B1938,""id"",""en"")"),"['Please', 'package', 'game', 'pub', 'lag', 'severe', 'motion', 'please', 'fix', 'package', 'nya', 'smooth', ' network', '']")</f>
        <v>['Please', 'package', 'game', 'pub', 'lag', 'severe', 'motion', 'please', 'fix', 'package', 'nya', 'smooth', ' network', '']</v>
      </c>
      <c r="D1938" s="3">
        <v>2.0</v>
      </c>
    </row>
    <row r="1939" ht="15.75" customHeight="1">
      <c r="A1939" s="1">
        <v>1937.0</v>
      </c>
      <c r="B1939" s="3" t="s">
        <v>1940</v>
      </c>
      <c r="C1939" s="3" t="str">
        <f>IFERROR(__xludf.DUMMYFUNCTION("GOOGLETRANSLATE(B1939,""id"",""en"")"),"['Telkomsel', 'Dear', 'Thanks',' Hold ',' Quota ',' Anlimitid ',' Please ',' Sorry ',' Loding ',' Maenn ',' Skalii ',' Hope ',' BSA ',' tngkan ',' ']")</f>
        <v>['Telkomsel', 'Dear', 'Thanks',' Hold ',' Quota ',' Anlimitid ',' Please ',' Sorry ',' Loding ',' Maenn ',' Skalii ',' Hope ',' BSA ',' tngkan ',' ']</v>
      </c>
      <c r="D1939" s="3">
        <v>2.0</v>
      </c>
    </row>
    <row r="1940" ht="15.75" customHeight="1">
      <c r="A1940" s="1">
        <v>1938.0</v>
      </c>
      <c r="B1940" s="3" t="s">
        <v>1941</v>
      </c>
      <c r="C1940" s="3" t="str">
        <f>IFERROR(__xludf.DUMMYFUNCTION("GOOGLETRANSLATE(B1940,""id"",""en"")"),"['card', 'code', 'active', 'according to', 'slogan', 'launching', 'notif', 'notification', 'sms',' entry ',' anticipated ',' card ',' Use ',' Sign ',' Cross', 'Disappointing', '']")</f>
        <v>['card', 'code', 'active', 'according to', 'slogan', 'launching', 'notif', 'notification', 'sms',' entry ',' anticipated ',' card ',' Use ',' Sign ',' Cross', 'Disappointing', '']</v>
      </c>
      <c r="D1940" s="3">
        <v>1.0</v>
      </c>
    </row>
    <row r="1941" ht="15.75" customHeight="1">
      <c r="A1941" s="1">
        <v>1939.0</v>
      </c>
      <c r="B1941" s="3" t="s">
        <v>1942</v>
      </c>
      <c r="C1941" s="3" t="str">
        <f>IFERROR(__xludf.DUMMYFUNCTION("GOOGLETRANSLATE(B1941,""id"",""en"")"),"['Telkomsel', 'Drop', 'internet', 'signal', 'full', 'gini', 'price', 'quota', 'lbh', 'expensive', 'propider', 'quality', ' MLH ',' Down ',' Drastic ',' Swear ',' Why ', ""]")</f>
        <v>['Telkomsel', 'Drop', 'internet', 'signal', 'full', 'gini', 'price', 'quota', 'lbh', 'expensive', 'propider', 'quality', ' MLH ',' Down ',' Drastic ',' Swear ',' Why ', "]</v>
      </c>
      <c r="D1941" s="3">
        <v>1.0</v>
      </c>
    </row>
    <row r="1942" ht="15.75" customHeight="1">
      <c r="A1942" s="1">
        <v>1940.0</v>
      </c>
      <c r="B1942" s="3" t="s">
        <v>1943</v>
      </c>
      <c r="C1942" s="3" t="str">
        <f>IFERROR(__xludf.DUMMYFUNCTION("GOOGLETRANSLATE(B1942,""id"",""en"")"),"['signal', 'lost', 'missing', 'Sis',' price ',' aspect ',' comfort ',' the qualent ',' use ',' Telkomsel ',' Sampe ',' Nurun ',' Steady ',' Anyway ',' wkwkwkwkw ',' ']")</f>
        <v>['signal', 'lost', 'missing', 'Sis',' price ',' aspect ',' comfort ',' the qualent ',' use ',' Telkomsel ',' Sampe ',' Nurun ',' Steady ',' Anyway ',' wkwkwkwkw ',' ']</v>
      </c>
      <c r="D1942" s="3">
        <v>1.0</v>
      </c>
    </row>
    <row r="1943" ht="15.75" customHeight="1">
      <c r="A1943" s="1">
        <v>1941.0</v>
      </c>
      <c r="B1943" s="3" t="s">
        <v>1944</v>
      </c>
      <c r="C1943" s="3" t="str">
        <f>IFERROR(__xludf.DUMMYFUNCTION("GOOGLETRANSLATE(B1943,""id"",""en"")"),"['Telkomsel', 'Severe', 'oath', 'suits',' service ',' quota ',' expensive ',' network ',' cheap ',' rain ',' dead ',' lights', ' Gada ',' hope ',' directly ',' missing ',' signal ',' troubling ',' lesson ',' right ',' told ',' collect ',' task ',' Gara ',"&amp;"' signal ' , 'ilang', 'late', 'blood', 'upset', 'upset', 'annoyed', 'ease', 'service', 'good', 'costumer', 'gausah', 'expensive', ' The quota ',' balanced ',' KEK ',' fooling ',' Dahlah ',' Males', 'Telkomsel', 'ibab']")</f>
        <v>['Telkomsel', 'Severe', 'oath', 'suits',' service ',' quota ',' expensive ',' network ',' cheap ',' rain ',' dead ',' lights', ' Gada ',' hope ',' directly ',' missing ',' signal ',' troubling ',' lesson ',' right ',' told ',' collect ',' task ',' Gara ',' signal ' , 'ilang', 'late', 'blood', 'upset', 'upset', 'annoyed', 'ease', 'service', 'good', 'costumer', 'gausah', 'expensive', ' The quota ',' balanced ',' KEK ',' fooling ',' Dahlah ',' Males', 'Telkomsel', 'ibab']</v>
      </c>
      <c r="D1943" s="3">
        <v>1.0</v>
      </c>
    </row>
    <row r="1944" ht="15.75" customHeight="1">
      <c r="A1944" s="1">
        <v>1942.0</v>
      </c>
      <c r="B1944" s="3" t="s">
        <v>1945</v>
      </c>
      <c r="C1944" s="3" t="str">
        <f>IFERROR(__xludf.DUMMYFUNCTION("GOOGLETRANSLATE(B1944,""id"",""en"")"),"['Takek', 'Telkomsel', 'package', 'Nakin', 'expensive', 'already', 'gituk', 'network', 'disruption', 'signal', 'full', 'full', ' Open ',' YouTube ',' antenna ',' tower ',' bnyak ',' mah ',' severe ',' lgi ',' try ',' tower ',' telkom ',' village ',' user "&amp;"' , 'Telkom', ""]")</f>
        <v>['Takek', 'Telkomsel', 'package', 'Nakin', 'expensive', 'already', 'gituk', 'network', 'disruption', 'signal', 'full', 'full', ' Open ',' YouTube ',' antenna ',' tower ',' bnyak ',' mah ',' severe ',' lgi ',' try ',' tower ',' telkom ',' village ',' user ' , 'Telkom', "]</v>
      </c>
      <c r="D1944" s="3">
        <v>1.0</v>
      </c>
    </row>
    <row r="1945" ht="15.75" customHeight="1">
      <c r="A1945" s="1">
        <v>1943.0</v>
      </c>
      <c r="B1945" s="3" t="s">
        <v>1946</v>
      </c>
      <c r="C1945" s="3" t="str">
        <f>IFERROR(__xludf.DUMMYFUNCTION("GOOGLETRANSLATE(B1945,""id"",""en"")"),"['Hay', 'Make', 'Telkomsel', 'promo', 'rich', 'person', 'promo', 'GB', 'a week', 'BGitu', 'GB', 'bln', ' ']")</f>
        <v>['Hay', 'Make', 'Telkomsel', 'promo', 'rich', 'person', 'promo', 'GB', 'a week', 'BGitu', 'GB', 'bln', ' ']</v>
      </c>
      <c r="D1945" s="3">
        <v>2.0</v>
      </c>
    </row>
    <row r="1946" ht="15.75" customHeight="1">
      <c r="A1946" s="1">
        <v>1944.0</v>
      </c>
      <c r="B1946" s="3" t="s">
        <v>1947</v>
      </c>
      <c r="C1946" s="3" t="str">
        <f>IFERROR(__xludf.DUMMYFUNCTION("GOOGLETRANSLATE(B1946,""id"",""en"")"),"['Telkomsel', 'Seneng', 'Paketan', 'GB', 'Price', 'RB', 'BLN', 'Buy', 'Ration', 'Credit', 'Buy', 'Package', ' Cut ',' then ',' please ',' Increase ',' Sis']")</f>
        <v>['Telkomsel', 'Seneng', 'Paketan', 'GB', 'Price', 'RB', 'BLN', 'Buy', 'Ration', 'Credit', 'Buy', 'Package', ' Cut ',' then ',' please ',' Increase ',' Sis']</v>
      </c>
      <c r="D1946" s="3">
        <v>2.0</v>
      </c>
    </row>
    <row r="1947" ht="15.75" customHeight="1">
      <c r="A1947" s="1">
        <v>1945.0</v>
      </c>
      <c r="B1947" s="3" t="s">
        <v>1948</v>
      </c>
      <c r="C1947" s="3" t="str">
        <f>IFERROR(__xludf.DUMMYFUNCTION("GOOGLETRANSLATE(B1947,""id"",""en"")"),"['Daily', 'check', 'stamp', 'exchange', 'Points',' pulse ',' pulse ',' suck ',' until ',' zero ',' thank ',' love ',' Telkomsel ',' Hopefully ',' Fast ',' Bankrupt ',' ']")</f>
        <v>['Daily', 'check', 'stamp', 'exchange', 'Points',' pulse ',' pulse ',' suck ',' until ',' zero ',' thank ',' love ',' Telkomsel ',' Hopefully ',' Fast ',' Bankrupt ',' ']</v>
      </c>
      <c r="D1947" s="3">
        <v>1.0</v>
      </c>
    </row>
    <row r="1948" ht="15.75" customHeight="1">
      <c r="A1948" s="1">
        <v>1946.0</v>
      </c>
      <c r="B1948" s="3" t="s">
        <v>1949</v>
      </c>
      <c r="C1948" s="3" t="str">
        <f>IFERROR(__xludf.DUMMYFUNCTION("GOOGLETRANSLATE(B1948,""id"",""en"")"),"['Sorry', 'min', 'yesterday', 'love', 'star', 'love', 'star', 'happy', 'Telkomsel', 'family', 'Telkomsel', 'features',' Telkomsel ',' enter ',' number ',' Telkomsel ',' enter ',' number ',' only ',' number ',' number ',' only ',' please ',' help ',' min '"&amp;" , '']")</f>
        <v>['Sorry', 'min', 'yesterday', 'love', 'star', 'love', 'star', 'happy', 'Telkomsel', 'family', 'Telkomsel', 'features',' Telkomsel ',' enter ',' number ',' Telkomsel ',' enter ',' number ',' only ',' number ',' number ',' only ',' please ',' help ',' min ' , '']</v>
      </c>
      <c r="D1948" s="3">
        <v>3.0</v>
      </c>
    </row>
    <row r="1949" ht="15.75" customHeight="1">
      <c r="A1949" s="1">
        <v>1947.0</v>
      </c>
      <c r="B1949" s="3" t="s">
        <v>1950</v>
      </c>
      <c r="C1949" s="3" t="str">
        <f>IFERROR(__xludf.DUMMYFUNCTION("GOOGLETRANSLATE(B1949,""id"",""en"")"),"['Sorry', 'nyet', 'tasty', 'right', 'nyet', 'gave', 'change', 'loss',' pulse ',' customer ',' missing ',' eare ',' Thieves', 'Ketangkep', 'Police', 'Thieves',' Sorry ',' Police ',' Impertness', 'Serbukan', 'Police', 'Removing', 'Free', 'Professional' , 'T"&amp;"elkomsel', 'Hadeh', 'take', 'gift', 'collection', 'stamp', 'pay', 'kah', 'Telkomsel', 'event', 'pay', 'Hadehhhh', ' tired of', '']")</f>
        <v>['Sorry', 'nyet', 'tasty', 'right', 'nyet', 'gave', 'change', 'loss',' pulse ',' customer ',' missing ',' eare ',' Thieves', 'Ketangkep', 'Police', 'Thieves',' Sorry ',' Police ',' Impertness', 'Serbukan', 'Police', 'Removing', 'Free', 'Professional' , 'Telkomsel', 'Hadeh', 'take', 'gift', 'collection', 'stamp', 'pay', 'kah', 'Telkomsel', 'event', 'pay', 'Hadehhhh', ' tired of', '']</v>
      </c>
      <c r="D1949" s="3">
        <v>1.0</v>
      </c>
    </row>
    <row r="1950" ht="15.75" customHeight="1">
      <c r="A1950" s="1">
        <v>1948.0</v>
      </c>
      <c r="B1950" s="3" t="s">
        <v>1951</v>
      </c>
      <c r="C1950" s="3" t="str">
        <f>IFERROR(__xludf.DUMMYFUNCTION("GOOGLETRANSLATE(B1950,""id"",""en"")"),"['Network', 'already', 'subscribe', 'here', 'disappointing', 'Ngegame', 'Lage', 'Severe', 'Network', 'Stable', 'Move', 'Provider', ' Woy ',' Woy ',' Woy ',' Leg ',' then ',' Raying ',' Cave ',' Hours', 'Emotion', '']")</f>
        <v>['Network', 'already', 'subscribe', 'here', 'disappointing', 'Ngegame', 'Lage', 'Severe', 'Network', 'Stable', 'Move', 'Provider', ' Woy ',' Woy ',' Woy ',' Leg ',' then ',' Raying ',' Cave ',' Hours', 'Emotion', '']</v>
      </c>
      <c r="D1950" s="3">
        <v>1.0</v>
      </c>
    </row>
    <row r="1951" ht="15.75" customHeight="1">
      <c r="A1951" s="1">
        <v>1949.0</v>
      </c>
      <c r="B1951" s="3" t="s">
        <v>1952</v>
      </c>
      <c r="C1951" s="3" t="str">
        <f>IFERROR(__xludf.DUMMYFUNCTION("GOOGLETRANSLATE(B1951,""id"",""en"")"),"['Yukkk', 'majority', 'users',' loyal ',' Telkomsel ',' rushed ',' profiders', 'network', 'Telkomsel', 'as beautiful', 'expensive', 'doang', ' Profider ',' cheap ',' signal ',' stable ',' Come ',' rushed ',' moved ',' Indosat ',' AXIS ',' cheap ',' signal"&amp;" ',' stable ',' loyal ' , 'users',' Telkomsel ',' harmed ',' Think ',' Smart ',' Guys', 'Lossi', 'expensive', 'Gasesai', 'Imported', 'Powered', 'Aware', ' aware ',' patient ',' ']")</f>
        <v>['Yukkk', 'majority', 'users',' loyal ',' Telkomsel ',' rushed ',' profiders', 'network', 'Telkomsel', 'as beautiful', 'expensive', 'doang', ' Profider ',' cheap ',' signal ',' stable ',' Come ',' rushed ',' moved ',' Indosat ',' AXIS ',' cheap ',' signal ',' stable ',' loyal ' , 'users',' Telkomsel ',' harmed ',' Think ',' Smart ',' Guys', 'Lossi', 'expensive', 'Gasesai', 'Imported', 'Powered', 'Aware', ' aware ',' patient ',' ']</v>
      </c>
      <c r="D1951" s="3">
        <v>1.0</v>
      </c>
    </row>
    <row r="1952" ht="15.75" customHeight="1">
      <c r="A1952" s="1">
        <v>1950.0</v>
      </c>
      <c r="B1952" s="3" t="s">
        <v>1953</v>
      </c>
      <c r="C1952" s="3" t="str">
        <f>IFERROR(__xludf.DUMMYFUNCTION("GOOGLETRANSLATE(B1952,""id"",""en"")"),"['', 'Fox', 'Dipake', 'Login', 'Website', 'Direct', 'Maen', 'Mobile', 'Legend', 'Ijo', 'Direct', 'Drastic', 'Red ',' As a result ',' replace ',' just ',' ']")</f>
        <v>['', 'Fox', 'Dipake', 'Login', 'Website', 'Direct', 'Maen', 'Mobile', 'Legend', 'Ijo', 'Direct', 'Drastic', 'Red ',' As a result ',' replace ',' just ',' ']</v>
      </c>
      <c r="D1952" s="3">
        <v>1.0</v>
      </c>
    </row>
    <row r="1953" ht="15.75" customHeight="1">
      <c r="A1953" s="1">
        <v>1951.0</v>
      </c>
      <c r="B1953" s="3" t="s">
        <v>1954</v>
      </c>
      <c r="C1953" s="3" t="str">
        <f>IFERROR(__xludf.DUMMYFUNCTION("GOOGLETRANSLATE(B1953,""id"",""en"")"),"['Love', 'promo', 'SMS', 'Package', 'Hurray', 'type', 'access',' turn ',' Package ',' fast ',' really ',' told ',' Bls', 'SMS', 'BALES']")</f>
        <v>['Love', 'promo', 'SMS', 'Package', 'Hurray', 'type', 'access',' turn ',' Package ',' fast ',' really ',' told ',' Bls', 'SMS', 'BALES']</v>
      </c>
      <c r="D1953" s="3">
        <v>1.0</v>
      </c>
    </row>
    <row r="1954" ht="15.75" customHeight="1">
      <c r="A1954" s="1">
        <v>1952.0</v>
      </c>
      <c r="B1954" s="3" t="s">
        <v>1955</v>
      </c>
      <c r="C1954" s="3" t="str">
        <f>IFERROR(__xludf.DUMMYFUNCTION("GOOGLETRANSLATE(B1954,""id"",""en"")"),"['Ahahahahahahha', 'complain', 'network', 'Telkomnyet', 'expensive', 'buset', 'network', 'fluctuating', 'sliding', 'hip', 'a little', 'already', ' Disconnect ',' signal ',' Adek ',' stable ',' Change ',' Read ',' Change ',' Network ',' halah ',' change ',"&amp;"' complain ',' KEK ',' Gini ' , 'already']")</f>
        <v>['Ahahahahahahha', 'complain', 'network', 'Telkomnyet', 'expensive', 'buset', 'network', 'fluctuating', 'sliding', 'hip', 'a little', 'already', ' Disconnect ',' signal ',' Adek ',' stable ',' Change ',' Read ',' Change ',' Network ',' halah ',' change ',' complain ',' KEK ',' Gini ' , 'already']</v>
      </c>
      <c r="D1954" s="3">
        <v>1.0</v>
      </c>
    </row>
    <row r="1955" ht="15.75" customHeight="1">
      <c r="A1955" s="1">
        <v>1953.0</v>
      </c>
      <c r="B1955" s="3" t="s">
        <v>1956</v>
      </c>
      <c r="C1955" s="3" t="str">
        <f>IFERROR(__xludf.DUMMYFUNCTION("GOOGLETRANSLATE(B1955,""id"",""en"")"),"['buy', 'package', 'data', 'cash', 'like', 'owe', 'use', 'Telkomsel', 'paaaaaaaaaahhh', '']")</f>
        <v>['buy', 'package', 'data', 'cash', 'like', 'owe', 'use', 'Telkomsel', 'paaaaaaaaaahhh', '']</v>
      </c>
      <c r="D1955" s="3">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2022-02-26T06:59:51Z</dcterms:created>
  <dc:creator>openpyxl</dc:creator>
</cp:coreProperties>
</file>