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extLst>
    <ext uri="GoogleSheetsCustomDataVersion1">
      <go:sheetsCustomData xmlns:go="http://customooxmlschemas.google.com/" r:id="rId7" roundtripDataSignature="AMtx7miH0+ejqr2OYbrmw+7Leot02tRFXg=="/>
    </ext>
  </extLst>
</workbook>
</file>

<file path=xl/sharedStrings.xml><?xml version="1.0" encoding="utf-8"?>
<sst xmlns="http://schemas.openxmlformats.org/spreadsheetml/2006/main" count="2136" uniqueCount="2136">
  <si>
    <t>text_review</t>
  </si>
  <si>
    <t>text_review_english</t>
  </si>
  <si>
    <t>score</t>
  </si>
  <si>
    <t>['memudh', 'segal', 'ngecek', 'informasi', 'telkomsel', 'kekurangan', 'mudah', 'mudahan', 'telkomsel', 'baca', 'tolong', 'buatkan', 'menu', 'mengunci', 'pulsa', 'paket', 'internet', 'hidup', 'data', 'seluler', 'hidup', 'mudahkan', 'lihat', 'beranda', 'kelupaan', 'matikan', 'data', 'tidur', 'paketnya', 'habis', 'pulsanya', 'kesedot', 'tolong', 'telkomsel', 'terimakasih', 'pengguna', 'setia', 'telkomsel']</t>
  </si>
  <si>
    <t>['okehh', 'ucapkan', 'selamat', 'device', 'support', 'sebatas', 'tok', 'mentok', 'device', 'dipaksa', 'wuusshhhh', 'kenceng', 'bgtttt', 'abis', 'btre', 'device', 'panass', 'krna', 'nyari', 'sinyal', 'susah', 'alhasil', 'diturunkan', 'alhasil', 'muncul', 'jaringan', 'edge', 'device', 'flagship', 'tingal', 'kota', 'dlm', 'kota', 'tpi', 'astagaaaaa', 'ohh', 'telkomsel', 'buka', 'aplikasi', 'mytelkomsel', 'keluhan', 'mgg', 'menahun', 'menahunn', '']</t>
  </si>
  <si>
    <t>['paket', 'data', 'games', 'dll', 'pas', 'buka', 'game', 'buka', 'game', 'dimasukinlah', 'uda', 'bertahun', 'telkomsel', 'mala', 'kenal', 'namanya', 'handphone', 'uda', 'telkomsel', 'gini', '']</t>
  </si>
  <si>
    <t>['please', 'tingkatkan', 'jaringan', 'internet', 'seputaran', 'wilayah', 'kalimantan', 'kegiatan', 'bongkar', 'muat', 'batu', 'bara', 'wilayah', 'pelabuhan', 'teluk', 'timbau', 'pelabuhan', 'paring', 'lahung', 'mengalami', 'galau', 'memperlanjar', 'pekerjaan', 'mencari', 'lokasi', 'kampung', 'signal', 'jangkau', 'handphone', 'modem', 'wifi', '']</t>
  </si>
  <si>
    <t>['misi', 'paketnya', 'serebu', 'tolong', 'balikin', 'serebu', 'beli', 'paket', 'unlimited', 'serebu', 'ngisi', 'goceng', 'gabisin', 'duit', 'tolonglah', 'pengguna', 'kesini', 'harganya', 'ganti', 'kartu']</t>
  </si>
  <si>
    <t>['beli', 'datanya', 'jaringan', 'lemot', 'hammpir', 'jaringan', 'lemot', 'pusat', 'kota', 'bgni', 'masuk', 'aplikasi', 'download', 'aplikasi', 'playstore', 'susahnya', 'jaringan', 'mulu', 'engak', 'perbaiki', 'bgtu', 'pulsa', 'ketarik', '']</t>
  </si>
  <si>
    <t>['pertanggung', 'telkomsel', 'perihal', 'paket', 'unlimited', 'jaringan', 'lemot', 'paket', 'flash', 'duluan', 'habis', 'unlimited', 'youtube', 'pulsa', 'tersedot', 'paket', 'gagal', 'transaksi', 'pulsa', 'dsb', 'keluhan', 'vitur', 'whats', 'veronika', 'vitur', 'kah', 'respon', 'fix', 'telkomsel', 'naikin', 'harga', 'paket', 'data', 'paket', 'malam', '']</t>
  </si>
  <si>
    <t>['maen', 'game', 'lag', 'trus', 'perdana', 'combo', 'sakti', 'kemaren', 'suruh', 'pindah', 'didaftarkan', 'paket', 'halo', 'combo', 'sakti', 'udh', 'dihapuskan', 'pikir', 'memaksa', 'trus', 'menyetujui', 'daftar', 'halo', 'paket', 'combo', 'sakti', 'barusan', 'daftarin', 'paket', 'anak', 'blk', 'perdana', 'tolong', 'balikin', 'combo', 'sakti', 'nilai', 'bintang', 'kosong', 'kosongin', '']</t>
  </si>
  <si>
    <t>['kecewa', 'apk', 'beli', 'kuota', 'ditambah', 'kuota', 'gratis', 'kemdikbud', 'memakainya', 'tugas', 'sekolah', 'main', 'game', 'pulsa', 'tersedot', 'pulsa', 'tolong', 'diperbaiki', 'kuota', 'pulsanya', 'terhisap', 'kecewa']</t>
  </si>
  <si>
    <t>['heran', 'menu', 'program', 'daily', 'check', 'dimana', 'check', 'kupon', 'dikumpulkan', 'mei', 'mengumpulkan', 'kupon', 'ditukar', 'pilihan', 'quota', 'internet', 'gagal', 'total', 'program', 'daily', 'check', 'hilang', 'beranda', 'capek', 'orang', 'pagi', 'check', 'hasilnya', 'nol', '']</t>
  </si>
  <si>
    <t>['sinyal', 'masuk', 'apk', 'cok', 'sinyal', 'perbaiki', 'pakai', 'wifi', 'tlg', 'dikurangin', 'gunanya', 'whatsapp', 'buka', 'apk', 'gue', 'harap', 'sinyal', 'bagus', 'dulunya', 'biarpun', 'lancar', '']</t>
  </si>
  <si>
    <t>['kuota', 'unli', 'telkom', 'udh', 'kemaren', 'unli', 'telkom', 'buka', 'sosmed', 'skrng', 'udh', 'udh', 'beli', 'unli', 'tpi', 'mlh', 'unli', '']</t>
  </si>
  <si>
    <t>['check', 'harian', 'tinggal', 'kali', 'check', 'kuota', 'gb', 'fitur', 'check', 'nggk', 'udah', 'kesekian', 'kalinya', '']</t>
  </si>
  <si>
    <t>['telkomsel', 'gmna', 'aturan', 'pemakaian', 'kuota', 'tertulis', 'live', 'chat', 'sosmed', 'gb', 'ggb', 'kuota', 'internet', 'ino', 'gb', 'abis', 'jaringan', 'parah', 'banget', 'gb', 'gb', 'pakei', 'gb', 'cuman', 'perangsang', 'persaan', 'kesini', 'sesuai', 'lonskuensinya', 'telkomsel', '']</t>
  </si>
  <si>
    <t>['telkomsel', 'sesukanya', 'naikan', 'tarif', 'paket', 'internet', 'perpanjang', 'paket', 'harganya', 'mahal', 'marketing', 'marketing', 'tpi', 'gitu', '']</t>
  </si>
  <si>
    <t>['oromo', 'paket', 'ceria', 'beli', 'cuman', 'proses', 'doang', 'cuman', 'trik', 'menarik', 'pelanggan', 'penipuan', 'karyawannya', 'becus', 'telkomsel', 'kehabisan', 'akal', 'bersaing', 'kartu', 'axis', 'im', 'smartfren', 'penipuan', 'gitu', 'main', 'kotor', 'cari', 'duit', 'halal']</t>
  </si>
  <si>
    <t>['sinyal', 'buruk', 'lelet', 'jringannya', 'udah', 'gitu', 'paketnya', 'mahal', 'mahal', 'jaringan', 'bagus', 'gpp', 'mah', 'mahal', 'lelet', 'banget']</t>
  </si>
  <si>
    <t>['ganti', 'kartu', 'pke', 'telkomsel', 'orang', 'mahal', 'tpi', 'puas', 'make', 'loading', 'tpi', 'kecewa', 'banget', 'jaringannya', 'ngirim', 'loading', 'padhl', 'kuota', 'gini', 'pelanggan', 'beralih', 'mohon', 'dibenerin', 'jaringannya', '']</t>
  </si>
  <si>
    <t>['telkomsel', 'untung', 'doang', 'kah', 'jaringan', 'kau', 'kualitas', 'jaringan', 'main', 'game', 'ngapa', 'jelek', 'cuman', 'pas', 'ngeyutub', 'jaringan', 'bagus', 'aneh', 'telkomsel', 'kerja', 'yutub', '']</t>
  </si>
  <si>
    <t>['bye', 'bye', 'the', 'real', 'kuota', 'unlimited', 'pakai', 'nama', 'unlimited', 'batas', 'kuota', 'licik', 'sisi', 'rada', 'males', 'membaca', 'kuota', 'unlimited', 'jdi', 'batesannya', 'pas', 'pemakaian', 'mending', 'kuota', 'appsnya', 'keterangan', 'batasannya', 'bertulisan', 'unlimited', '']</t>
  </si>
  <si>
    <t>['ancuuuurrr', 'internet', 'susah', 'error', 'buka', 'aplikasi', 'online', 'dll', 'nyeseell', 'beli', 'paket', 'ribuuu', 'kagak', 'pakeee', 'kualitas', 'jaringan', 'internet', 'kecepatan', 'im', 'mudah', 'beli', 'paket', 'sangaaatt', 'mengecewakan', '']</t>
  </si>
  <si>
    <t>['maaf', 'yaa', 'korupsi', 'gini', 'isi', 'pulsa', 'rb', 'abis', 'gegara', 'kesedot', 'data', 'internet', 'kuota', 'gb', 'gimana', 'ceritanya', 'mba', 'mas', 'telkomsel']</t>
  </si>
  <si>
    <t>['beli', 'kuota', 'ketengan', 'belajar', 'kepake', 'kuota', 'internet', 'sia', 'sia', 'beli', 'kuota', 'ketengan', 'belajar', '']</t>
  </si>
  <si>
    <t>['beli', 'paket', 'youtube', 'masuk', 'masuk', 'gimana', 'tanggapan', 'telkomsel', 'uda', 'kepotong', 'saldo', 'dana', '']</t>
  </si>
  <si>
    <t>['kasih', 'bintang', 'stu', 'telkomsel', 'seutuhnya', 'pelanggannya', 'kualitas', 'terbaik', 'jaringan', 'lemot', 'sedot', 'pulsa', 'pelanggan', 'terima', 'kasih', '']</t>
  </si>
  <si>
    <t>['jaringan', 'telkomsel', 'daerah', 'menurun', 'alias', 'stabil', 'lemot', 'kecepatan', 'jaringannya', 'dibawah', 'kbps', 'terkadang', 'dibawah', 'kbps', 'pakai', 'paket', 'data', 'combo', 'omg', 'gb', 'gb', 'combo', 'unlimited', 'gb', 'keatas', 'tlg', 'jaringannya', 'diperbaiki', 'ditingkatkan', 'thx', '']</t>
  </si>
  <si>
    <t>['migrasi', 'dapet', 'kuota', 'gratis', 'beli', 'kuota', 'kuota', 'bener', 'ilang', 'diatur', 'diprioritaskan', 'pemakaiannya', 'alhasil', 'sisa', 'kuota', 'gb', 'hangus', 'tolonglah', 'dikasih', 'fitur', 'pengaturan', 'prioritas', 'pemakaian', 'paket', 'kuota', 'dipakai', '']</t>
  </si>
  <si>
    <t>['telkomsel', 'udh', 'puas', 'pelayanan', 'banding', 'provider', 'telkom', 'pling', 'kencang', 'ngeluh', 'duluan', 'gapaham', 'gimana', 'kondisi', 'tolong', 'pelajarin', 'complain', 'paket', 'combo', 'unlimeted', 'telkom', 'paket', 'utama', 'udh', 'habis', 'aman', 'online', 'sosmed', 'karna', 'unlimeted', 'batas', 'wajar', 'gb', 'udah', 'bagus']</t>
  </si>
  <si>
    <t>['berat', 'aplikasi', 'berat', 'memakan', 'kuota', 'data', 'dimasukan', 'kategori', 'game', 'aplikasi', 'butuh', 'info', 'kartu', '']</t>
  </si>
  <si>
    <t>['', 'th', 'make', 'internet', 'telkomsel', 'unlimited', 'rb', 'enak', 'trus', 'nyoba', 'beli', 'rb', 'gb', 'unlimited', 'jelek', 'pengalaman', '']</t>
  </si>
  <si>
    <t>['nama', 'bgs', 'pertahankan', 'namanya', 'jaringanx', 'brp', 'setahun', 'mengalami', 'jaringan', 'telkomsel', 'jelek', 'isi', 'pulsax', 'kadang', 'ttp', 'lambat', 'pnjualan', 'kouta', 'kemahalan', 'dibnding', 'tpi', 'apalah', 'ttp', 'beli', 'kartu', 'telkomsel', 'pemakaian', 'lekat', 'sekian', 'sring', 'jaringan', 'lambat', 'dikalkulasi', 'brp', 'pemakai', 'indonesia', 'org', 'jenuh', 'dampaknya', 'beralih', 'merek', 'smg', 'kedepan', 'telkomsel', 'jaya', '']</t>
  </si>
  <si>
    <t>['kuota', 'doang', 'mahal', 'jaringan', 'kek', 'taik', 'nyesel', 'kartu', 'telkomsel', 'telkomsel', 'mohon', 'baca', 'ulasan', 'ngak', 'pakai', 'kartu', 'ngak', 'nyaman', 'kecewa', 'berkurang', 'pakai', 'kartu', 'udah', 'bilangin', 'diperbaiki', 'dibiarin', 'tanggung', 'sihhhh', 'saranin', 'kartu', 'exis', 'ajh', 'bagus', 'jaringan', 'kartu']</t>
  </si>
  <si>
    <t>['paket', 'telepon', 'sms', 'simpati', 'membantu', 'kelancaran', 'aktifitas', 'komunikasi', 'bisnis', 'keluarga', 'harga', 'ekonomis', 'pakai', 'paket', '']</t>
  </si>
  <si>
    <t>['aplikasi', 'payah', 'update', 'kecewa', 'error', 'kaya', 'aplikasi', 'bosok', 'error', 'nggak', 'download', 'emosi']</t>
  </si>
  <si>
    <t>['aplikasi', 'tail', 'kocheng', 'gua', 'pakai', 'jaringan', 'bagus', 'ngak', 'akses', 'aplikasi', 'kalok', 'aplikasi', 'niat', 'dikit', 'ngapa']</t>
  </si>
  <si>
    <t>['membantu', 'produk', 'negeri', 'pengguna', 'setia', 'telkomsel', 'mohon', 'kalah', 'produk', 'mutkahirkan', '']</t>
  </si>
  <si>
    <t>['telkomsel', 'jaringan', 'ilang', 'ilangan', 'lemotnya', 'udah', 'telfon', 'operator', 'mgkn', 'org', 'pengguna', 'telkomsel', 'ngalamin', 'males', 'telkomsel', 'tolong', 'diperbaiki', 'jaringannya']</t>
  </si>
  <si>
    <t>['persulit', 'telkomsel', 'giliran', 'promo', 'beli', 'pulsa', 'murah', 'beli', 'ckup', 'loading', 'setgah', 'jam', 'isi', 'pulsa', 'ribu', 'situ', 'buatnya', 'aktif', 'isi', 'pulsa', 'telkomsel', 'tambahkan', 'aktifnya', 'isi', 'ulang', 'link', 'disitu', 'cashback', 'pas', 'bayar', 'makan', 'telkomsel', 'ajar', 'telkomsel', 'mending', 'ganti', 'kartu']</t>
  </si>
  <si>
    <t>['mudah', 'mudahan', 'mudah', 'mengaplikasikan', 'kebutuhan', 'pelanggan', 'telkomsel', 'one', 'stop', 'one', 'klik', 'aplikasi', 'terima', 'kasih', 'telkomsel', '']</t>
  </si>
  <si>
    <t>['barusan', 'beli', 'paket', 'youtube', 'ehh', 'pulsa', 'utama', 'kepake', 'duluan', 'paket', 'youtube', 'dipake', 'liat', 'video', 'youtube', 'regulasi', 'pemakaian', 'kuota', 'aneh', '']</t>
  </si>
  <si>
    <t>['pulsa', 'habis', 'buka', 'apk', 'data', 'internet', 'buka', 'apk', 'telkomsel', 'pulsa', 'terpotong', 'cek', 'transaksi', 'teansaksi', 'penggunaan', 'data', 'kb', 'sumpah', 'pembodohan', 'sadar', 'pulsa', 'habis', 'jawabannya', 'telkomsel', 'mengecewakan', '']</t>
  </si>
  <si>
    <t>['keluhan', 'aplikasi', 'kali', 'paket', 'masuk', 'pulsanya', 'berkurang', 'hubungi', 'costumer', 'servis', 'respon', '']</t>
  </si>
  <si>
    <t>['bagus', 'banget', '']</t>
  </si>
  <si>
    <t>['men', 'check', 'sisa', 'kuota', 'mudah', 'membeli', 'kuota', 'internet', 'special', 'unlimited', 'mudah', 'informasi', 'kuota', 'internet', 'murah']</t>
  </si>
  <si>
    <t>['', 'telkomsel', 'maksudnya', 'jaringan', 'penuh', 'nyalahin', 'sya', 'ngalamin', 'kaya', 'gini', 'pelanggnmu', 'pinda', 'sebelah', '']</t>
  </si>
  <si>
    <t>['unrecomended', 'bngt', 'gamers', 'paketan', 'combo', 'unlimited', 'namanya', 'doang', 'unlimited', 'dibatasi', 'penggunanya', 'gb', 'ping', 'game', 'stress', 'mohon', 'telkomsel', 'konsisten', 'pelayanan', 'paket', 'combo', 'unlimited']</t>
  </si>
  <si>
    <t>['telkom', 'jempolan', 'gue', 'tolong', 'tingkatkan', 'layanannya', 'beralih', 'kartu', 'harga', 'paket', 'mahal', 'utamakan', 'pelanggan', 'setia', 'bonus', 'makasih']</t>
  </si>
  <si>
    <t>['ska', 'sskali', 'telkomsel', 'dlu', 'jaringan', 'bagus', 'tpi', 'sekerng', 'knp', 'jaringan', 'gfull', 'tpi', 'lemot', 'tlong', 'perbaiki', 'paket', 'bulanan', 'deeh']</t>
  </si>
  <si>
    <t>['kasih', 'bintang', 'jaringan', 'pelosok', 'fitur', 'pembelian', 'paket', 'lengkap', 'paket', 'harian', 'bulanan', 'pelanggan', 'setia', 'telkomsel', 'setia', 'telkomsel', 'nomor', 'selular', 'telkomsel', 'terima', 'kasih', 'telkomsel']</t>
  </si>
  <si>
    <t>['bener', 'bener', 'suka', 'pakek', 'telkomsel', 'pakai', 'telkomsel', 'ribet', 'murah', 'paketan', 'intinya', 'suka', 'bangettttt', 'telkomsel', 'nyesel', 'pokoknya', 'terima', 'kasih', 'telkomsel', 'semoga', 'lancar', 'telkomsel', 'semoga', 'kesehatan', 'umur', '']</t>
  </si>
  <si>
    <t>['', 'telkomsel', 'jaringannya', 'lelet', 'lemot', 'batare', 'boros', 'kayak', 'jaringan', 'lancar', 'batare', 'irit', 'jaringan', 'internet', 'telkomsel', 'nol', 'tolong', 'perbaiki', '']</t>
  </si>
  <si>
    <t>['woi', 'telkomsel', 'curang', 'ketiban', 'ngambil', 'paket', 'muat', 'ulang', 'curang', 'tuhan', 'maha', 'kuasa', 'iya', 'ngambil', 'galanya', 'sekejap', 'mata', 'kecurangan', 'mati', 'dipertanggung', 'jawabkan', 'kecurangan', 'uda', 'jengkel', 'karna', 'suda', 'berapakali', 'kecurangan', 'camkan', '']</t>
  </si>
  <si>
    <t>['kali', 'beli', 'unlimitedmax', 'jaringannya', 'lancar', 'jaya', 'batas', 'pemakaian', 'kouta', 'kalinya', 'beli', 'batas', 'wajar', 'pemakaian', 'kouta', 'jaringannya', 'lemot', 'kayak', 'beli', 'kecewa', 'unlimited', 'max', 'batas', 'pemakaian', 'kecewa', 'php']</t>
  </si>
  <si>
    <t>['mohon', 'koreksi', 'salah', 'arti', 'unlimited', 'terbatas', 'dibatasi', 'berlangganan', 'paket', 'unlimited', 'disitu', 'tertulis', 'max', 'kuota', 'sertai', 'keterangan', 'speed', 'diturunkan', 'dibatasi', 'max', 'kuota', 'habis', 'terpakai', 'paket', 'tsb', 'unlimited', 'donk', 'intinya', 'sbg', 'pelanggan', 'bodoh', 'telkomsel', 'membodohi', 'jutaan', 'pelanggannya', 'saran', 'telkomsel', 'hilangkan', 'unlimited', 'terimakasih']</t>
  </si>
  <si>
    <t>['jaringan', 'simpati', 'jdi', 'lemot', 'turun', 'kartu', 'lancar', 'simpati', 'doank', 'cocok', 'sma', 'sya', 'tolong', 'pelanggan', 'simpati', 'bertahun', 'uyy', 'bantu', 'paket', 'mahal', 'banget', 'jaringan', 'kaya', 'gini', 'kemarin', 'kaota', 'sia', 'beli', 'sia', 'jaringan', 'sma', 'ajah', 'elor', 'alias', 'lemot', 'hadeh', 'sya', 'kecewa', 'ajah', 'pelanggan', 'setia', 'kaya', 'gini', 'ganti', 'langganan', 'deh']</t>
  </si>
  <si>
    <t>['unlimited', 'chat', 'sosmed', 'games', 'kepake', 'kuota', 'utama', 'giliran', 'kuota', 'utama', 'habis', 'dipake', 'chat', 'sosmed', 'nge', 'games', 'leletnya', 'ampun', 'mending', 'dikasih', 'embel', 'unlimited', 'diperjelas', 'aplikasi', 'kuota', 'kepake', 'telkomsel', 'tolol']</t>
  </si>
  <si>
    <t>['paketan', 'pulsa', 'dipotong', 'sms', 'bunyinya', 'kuota', 'internet', 'non', 'paket', 'kecewa', 'bangat', '']</t>
  </si>
  <si>
    <t>['assalamualaikum', 'developer', 'terhormat', 'pesan', 'tolong', 'jaringan', 'tsel', 'dibenerin', 'udah', 'mahal', 'mahal', 'beli', 'paket', 'data', 'jaringan', 'bener', 'mohon', 'maaf', 'besarnya', 'salah', 'wassalamualaikum', '']</t>
  </si>
  <si>
    <t>['pakai', 'kartu', 'tri', 'beralih', 'telkomsel', 'harapan', 'main', 'mobile', 'legend', 'lag', 'salah', 'telkomsel', 'parah', 'main', 'jaringan', 'lampu', 'lintas', 'simpang', 'jalan', 'jaringan', 'merah', 'kuning', 'hijau', 'berganti', 'ganti', 'lag', 'parah', 'main', 'game', 'kacau', 'sehancur', 'jaringan', 'telkomsel', '']</t>
  </si>
  <si>
    <t>['mohon', 'maaf', 'kartu', 'nggak', 'sinyalnya', 'iya', 'tulisannya', 'sim', 'sim', 'tulisannya', 'panggilan', 'darurat', 'didukung', 'datanya', 'dihidupkan', 'tulisannya', 'opsi', 'kartu', 'sim', 'tolong', 'bantuinn', 'plisss', 'besok', 'pat', 'kartunya', 'beli', 'lagii', '']</t>
  </si>
  <si>
    <t>['dimnapun', 'perkotaan', 'pedesaan', 'jaringan', 'internet', 'telkomsel', 'lancar', 'kendala', 'cuaca', 'hujan', 'badai', 'panas', 'jaringannya', 'pertahankan', 'tingkatkan', 'kinerjanya', 'pengguna', 'telkomsel', 'puas', 'dlm', 'jaringan', 'internet', 'indonesia', '']</t>
  </si>
  <si>
    <t>['sinyalnya', 'turun', 'turunnya', 'banget', 'menit', 'normal', 'turun', 'seharian', 'gini', 'mulu', 'minggu', 'perasaan', 'hidup', 'diperkotaan', 'tower', 'telkomsel', 'dimana']</t>
  </si>
  <si>
    <t>['pembayaran', 'pembelian', 'paket', 'langsung', 'via', 'linkaja', 'isi', 'pulsa', 'pembelian', 'pulsa', 'via', 'linkaja', 'mohon', 'solusinya', 'bintang', '']</t>
  </si>
  <si>
    <t>['ntt', 'kupang', 'simpati', 'loop', 'mahalnya', 'sungguh', 'simpati', 'promonya', 'murah', 'kartuku', 'mahalnya', 'ampun', 'orang', 'ntt', 'beralih', 'operator', 'udah', 'utang', 'pulsa', 'sedotnya', '']</t>
  </si>
  <si>
    <t>['paket', 'spesial', 'for', 'you', 'gb', 'cuman', 'rb', 'aktifkan', 'paketnya', 'masuk', 'uda', 'capek', 'ulang', 'gtu', 'sebenernya', 'niat', 'kagak', '']</t>
  </si>
  <si>
    <t>['kartu', 'loop', 'harga', 'paket', 'mahal', 'banget', 'kecewa', 'musim', 'musim', 'corona', 'uang', 'jajan', 'sebulan', 'cuman', 'ribu', 'tolong', 'ngasik', 'harga', 'sesuai']</t>
  </si>
  <si>
    <t>['', 'mytelkomsel', 'pilihan', 'paket', 'internya', 'adakah', 'pilihan', 'paket', 'internet', 'termura', 'termahal', 'tolong']</t>
  </si>
  <si>
    <t>['kali', 'beli', 'paketan', 'combo', 'sakti', 'beli', 'ajj', 'beli', 'beda', 'harga', 'kadang', 'combo', 'saktinya', 'gmna', '']</t>
  </si>
  <si>
    <t>['beli', 'kuota', 'gb', 'unlimited', 'suka', 'kepake', 'sampe', 'kuota', 'utamanya', 'doang', 'kuota', 'tambahan', 'gb', 'lemot', 'banget', 'kenapaa', '']</t>
  </si>
  <si>
    <t>['mengesankan', 'telkomsel', 'jaringan', 'kayak', 'babiii', 'gara', 'gara', 'masuk', 'maintenance', 'kayak', 'bangke', 'busuk', 'ngabisin', 'duit', 'beli', 'data', 'kualitas', 'jaringan', 'melebihi', 'kartu', 'murahan', 'murahan', 'lancar', 'banget']</t>
  </si>
  <si>
    <t>['bug', 'erornya', 'aplikasi', 'tetep', 'blum', 'diperbaiki', 'bug', 'erornya', 'mbuka', 'akses', 'tampilan', 'data', 'internet', 'jalan', 'cepat', 'sdng', 'download', 'wlw', 'aplikasi', 'dihentikan', 'menutup', 'menghapusnya', 'jendela', 'daftar', 'aplikasi', 'berjalan', 'setelahnya', 'internet', 'telkomsel', 'normal', 'alias', 'eror', 'aktif', 'kecuali', 'mematikan', 'menghidupkan', 'kmbali', 'off', 'sinyal', '']</t>
  </si>
  <si>
    <t>['pelayanan', 'via', 'applikasi', 'teramat', 'mengecewakan', 'hubungi', 'sore', 'jam', 'malam', 'tanggapan', 'aplikasi', 'melayani', 'chat', 'nyaa', '']</t>
  </si>
  <si>
    <t>['aplikasi', 'menu', 'berhenti', 'berlangganan', 'paket', 'bijimana', 'dimana', 'menu', 'berhentinya', 'kebanyakan', 'nampil', 'belanjaaaaaann', 'melee', 'kode', 'ussd', 'dihilangkan', 'diupdate', 'trus', 'bersahabat', 'sma', 'pelanggan', '']</t>
  </si>
  <si>
    <t>['mohon', 'perbaikannya', 'aktifkan', 'paket', 'telkomsel', 'keterangan', 'muncul', 'pulsa', 'mencukupi', 'pulsa', 'alasan', 'pulsa', 'habis', 'gegara', 'tingkah', 'laku', 'appsnya', 'berhasil', 'aktifkan', 'paket', 'umb', 'sms', '']</t>
  </si>
  <si>
    <t>['sinyalnya', 'kagak', 'dipake', 'buka', 'internet', 'lemot', 'main', 'tlp', 'menghubungkan', 'trs', 'perbaikilah', 'jaringannya', 'naikin', 'harga', 'paketan', 'trs']</t>
  </si>
  <si>
    <t>['bagus', 'sms', 'masuk', 'normal', 'kasih', 'masukan', 'pulsa', 'habis', 'karna', 'internet', 'otomatis', 'kuota', 'habis', 'pulsa', 'lagsung', 'ludes', 'habis', 'karna', 'kepakek', 'otomatis', 'mending', 'otomatis', 'ngambil', 'pulsa', 'kagett', 'pengguna', 'pulsa', 'habis']</t>
  </si>
  <si>
    <t>['sisa', 'pulsa', 'telkomseltiba', 'habis', 'kouta', 'lumayan', 'nambah', 'beli', 'paket', '']</t>
  </si>
  <si>
    <t>['jaringan', 'telkomsel', 'lelet', 'nyaman', 'pelanggan', 'pelanggan', 'setia', 'tinggalin', 'telkomsel', '']</t>
  </si>
  <si>
    <t>['mytelkomsel', 'suka', 'error', 'jaringan', 'bagus', 'kadang', 'kadang', 'bisanya', 'download', 'gampang', 'isi', 'pulsa', 'cek', 'pulsa', 'ama', 'kuota', 'banget', '']</t>
  </si>
  <si>
    <t>['knp', 'login', 'telkomsel', 'sempet', 'hapus', 'trs', 'download', 'lagu', 'login', '']</t>
  </si>
  <si>
    <t>['kecewa', 'beli', 'kuota', 'jam', 'malam', 'kuotaku', 'sisa', 'sinyalnnya', 'jalan', 'kuotaku', 'holank', 'gitu', 'kupakai', 'maruk', 'donk', 'lambangnya', 'merah', 'berani', 'dipakai', 'sukai', 'cerianya', 'apk', 'nggak', 'beli', 'nggak', 'beli', 'promo', 'donk', 'keswl']</t>
  </si>
  <si>
    <t>['pembelian', 'paket', 'internet', 'paketnya', 'masuk', 'pulsa', 'berkurang', 'jaringan', 'lelet', 'telkomsel', 'sunggu', 'bagus', 'kecewa', '']</t>
  </si>
  <si>
    <t>['min', 'cantik', 'ganteng', 'gue', 'udh', 'beli', 'paket', 'tertera', 'tulisan', 'unlimited', 'abis', 'unlimited', 'apk', 'gue', 'udah', 'habis', 'unlimited', 'pakai', 'apk', 'tolong', 'perbaiki', 'min', '']</t>
  </si>
  <si>
    <t>['min', 'pulsanya', 'ngurang', 'kemaren', 'beli', 'pulsa', 'trus', 'pas', 'dicek', 'pulsanya', 'abis', 'sisa', 'dipake', 'internet', 'kartu', 'jelasin', 'geh', '']</t>
  </si>
  <si>
    <t>['telkomsel', 'nipu', 'masyarakat', 'iklan', 'melaui', 'sms', 'cek', 'pulsa', 'kompirmasi', 'paket', 'maxtream', 'orang', 'ngerti', 'maxtream', 'beli', 'paket', 'dikasih', 'paket', 'aktikan', 'paket', 'maxtream', 'gb', 'pilih', 'aktipakan', 'kty', 'nonton', 'video', 'dll', 'mlh', 'pulsa', 'abi', 'kepake', 'buka', 'aplikasi', 'video', 'putar', 'trans', 'moto', 'live', 'byr', 'gila', 'coba', 'buka', 'sprt', 'sctv', 'mutet', 'trus', 'jalan', 'jalan', 'penipuannnnn']</t>
  </si>
  <si>
    <t>['paket', 'unlimited', 'sosmed', 'game', 'batasan', 'ngak', 'mengganggu', 'pelanggan', 'nggak', 'niat', 'kuota', 'unlimited', 'pelanggan', 'hapus', 'penawaran', 'sediakan', 'aplikasi', 'kode', 'digit', 'tolong', 'kembalikan', 'sediakala', 'udah', 'mahal', 'kecewakan', '']</t>
  </si>
  <si>
    <t>['hhhh', 'provider', 'sinyal', 'lemot', 'paket', 'mahal', 'menghubungi', 'customer', 'service', 'jawabannya', 'maaf', 'perbaikan', 'jaringan', 'wilayah', 'perbaikan', 'jaringan', 'canda', 'emang', 'perbaikan', 'bermasalah', 'jaringannya', 'minggu', 'jaringan', 'rusak', 'lemot', 'minggu', 'minggu', 'lancar', 'ntar', 'gitu', 'rusak', 'asli', 'provider', 'pelayanannys', 'minim', 'banget', 'pelanggan', 'customer', 'sercice', 'akurat', 'kyak', 'bot']</t>
  </si>
  <si>
    <t>['telkomsel', 'udh', 'sinyal', 'jelek', 'lemot', 'lag', 'udh', 'harga', 'mahal', 'dibenerin', 'bener', 'puas', 'nyaman', 'telkomsel', 'jaringan', 'lelet', 'gnti', 'provider', 'telkomsel', 'mengecewakan', 'beci', 'telkomsel', '']</t>
  </si>
  <si>
    <t>['tlong', 'promo', 'pakek', 'adain', 'puas', 'pelayanannya', 'klu', 'berubah', 'mohon', 'maaf', 'kasik', 'bintang', 'karna', 'puas', 'lgi', '']</t>
  </si>
  <si>
    <t>['harga', 'mahal', 'koneksi', 'buruk', 'keluhan', 'kuota', 'habis', 'memakan', 'pulsa', 'kuota', 'habis', 'hentikan', 'internet', 'memakan', 'pulsa']</t>
  </si>
  <si>
    <t>['', 'harga', 'apapun', 'mahal', 'harga', 'jaringan', 'stabil', 'lelet', 'parah', 'banget', 'banget', 'penipu', 'masuk', 'pinjaman', 'online', 'dll', 'ganti', 'kartu', 'paket', 'murah', 'jaringan', 'bagus', '']</t>
  </si>
  <si>
    <t>['kasih', 'bintang', 'aplikasinya', 'super', 'duper', 'lelet', 'susah', 'terbuka', 'ganti', 'bintang', 'semoga', 'provider', 'ditempat', 'cepat', 'ninggalin', 'telkomsel', 'telkomsel', 'terpaksa', '']</t>
  </si>
  <si>
    <t>['tower', 'telkomsel', 'km', 'jaraknya', 'sinyal', 'sebatang', 'batang', 'jaringan', 'perbaiki', 'telkomsel', 'komplain', 'tlp', 'telkomsel', 'sinyal', 'kuat', 'sinyal', 'sebatang', 'batang', '']</t>
  </si>
  <si>
    <t>['mohon', 'spalsh', 'screen', 'dicepetin', 'banget', 'nunggunya', 'pgn', 'cepat', 'informasi', 'dalamnya', 'sisa', 'kuota', 'nembah', 'kuota', 'arahkan', 'penilaian', 'aplikasi', 'berasa', 'intinya', 'saran', 'customer', 'dikembangkan', 'customer', 'cepat', 'memperoleh', 'informasi', 'oiya', 'semenjak', 'halo', 'koneksi', 'berasa', 'premium', 'terimakasih', 'semangat', '']</t>
  </si>
  <si>
    <t>['jelek', 'beli', 'paket', 'nggak', 'beli', 'susah', 'bonus', 'hadeh', 'tular', 'poin', 'pakai', 'pulsa', 'enakan', 'beli', 'langsung', 'poin', '']</t>
  </si>
  <si>
    <t>['hallo', 'mimin', 'bole', 'pulsa', 'monetary', 'telkomsal', 'bisah', 'tukar', 'paket', 'tolong', 'pulsa', 'bisah', 'pakai', '']</t>
  </si>
  <si>
    <t>['paket', 'promo', 'masuk', 'masuk', 'kuota', 'masuk', 'kecewa', 'telkomsel', 'mengisi', 'pulsa', 'berkurang', 'ngurangin', 'kecewa', 'bangett', 'telkomsel', 'mohon', 'perbaiki', 'telkomsel', 'kecewa', 'banget', 'pulsa', 'berkurang', 'kecewa', 'banget', 'tolong', 'dibantu', 'telkomsel', '']</t>
  </si>
  <si>
    <t>['aplikasi', 'buruk', 'membukanya', 'lemotnya', 'ampun', 'speed', 'sinyal', 'spek', 'oke', 'bangat', 'mohon', 'diperbaiki', 'versi', 'mengecewakan', 'harga', 'paket', 'mahal', '']</t>
  </si>
  <si>
    <t>['sebulan', 'ribu', 'uang', 'habis', 'beli', 'paket', 'internet', 'telkomsel', 'kuota', 'game', 'msh', 'giga', 'pakai', 'kota', 'telkomsel', 'jaringannya', 'kayak', 'gunung', 'kuota', 'mahal', 'mengecewakan', 'kawan', 'kartu', 'regularnya', 'internet', 'ganti', 'pakai', 'telkomsel']</t>
  </si>
  <si>
    <t>['jaringan', 'telkomsel', 'lemot', 'dipakai', 'pas', 'pulang', 'rumah', 'malang', 'sambungan', 'data', 'mutar', 'dipakai', 'dibawa', 'sidoarjo', 'sinyalnya', 'turun', 'dipakai', 'video', 'call', 'putus', 'tolong', 'diperhatikan', 'simpati', 'harganya', 'mahal', 'lho', 'pelayanannya', '']</t>
  </si>
  <si>
    <t>['fitur', 'live', 'chat', 'keluhan', 'langsung', 'ditanyain', 'fitur', 'veronika', 'kaga', 'bot', 'doang', 'terimakasih']</t>
  </si>
  <si>
    <t>['operator', 'penyedot', 'pulsa', 'pemakaian', 'pulsa', 'kaya', 'dedemit', 'pulsa', 'kepakenya', 'udah', 'nol', 'gue', 'simcard', 'sengaja', 'gue', 'simcard', 'sebelah', 'internetan', 'telkomsel', 'gue', 'isi', 'rencananya', 'gue', 'paketin', 'internet', 'kuota', 'simcard', 'sebelah', 'udah', 'abis', 'ehhhh', 'pas', 'cek', 'pulsa', 'telkomsel', 'gue', 'udah', 'zooooonk', 'tekucing', '']</t>
  </si>
  <si>
    <t>['registrasi', 'paket', 'prosesnya', 'dilamain', 'pas', 'internet', 'nyala', 'pulsa', 'langsung', 'tersedot', 'habis', 'teman', 'tolong', 'teliti', 'hati', 'aplikasi', 'provider', 'telkomsel', 'tolong', 'diperbaiki', '']</t>
  </si>
  <si>
    <t>['karna', 'pelanggan', 'sya', 'ksih', 'bintang', 'wlaupun', 'kartu', 'sya', 'bonus', 'promo', 'paket', 'internet', 'bln', 'rbu', 'gb', 'pdahal', 'kartu', 'sya', 'dri', 'kartu', 'teman', 'sya', 'beli', 'udh', 'bukti', 'sya', 'pelangga', 'tpi', 'dpat', 'bonus', 'promo', 'trsebut', '']</t>
  </si>
  <si>
    <t>['tolong', 'pangkat', 'telkomsel', 'udah', 'platinum', 'doskon', 'bagus', 'menarik', 'temen', 'gold', 'diskonnya', 'bagus', 'bagus', 'gb', 'paket', 'internet', 'butuh', 'paket', 'bulanan', 'gimana', 'bener', 'bener', 'kecewa', 'telkomsel', 'kepuasan', 'pengguna', 'bener', 'bener', 'kecewa', 'adil', '']</t>
  </si>
  <si>
    <t>['pengguna', 'kartu', 'hallo', 'inj', 'jaringan', 'telkomsel', 'buruk', 'provider', 'terburuk', 'banding', 'provider', 'kecewa', 'bayar', 'tagihan', 'ribuan', 'jaringan', 'sinyal', 'payah', 'buruk']</t>
  </si>
  <si>
    <t>['tolong', 'telkom', 'ngisi', 'kouta', 'masuk', 'tolong', 'telkom', 'cepat', 'selesaikan', 'bug', 'bug', 'kena', 'sampe', 'orang', 'kena']</t>
  </si>
  <si>
    <t>['sinyal', 'sumatera', 'khusus', 'lampung', 'malem', 'sampe', 'pagi', 'jam', 'lemot', 'karna', 'beli', 'kuota', 'unlimtide', 'kena', 'gangguan', 'kuota', 'telkomsel', 'sinyal', '']</t>
  </si>
  <si>
    <t>['mengecewakan', 'akses', 'internet', 'lambat', 'kuotanya', 'harganya', 'mahal', 'memakai', 'telkomsel', 'tpi', 'akses', 'internet', 'turun', 'tinggal', 'kota', 'samarinda', 'dansangat', 'menyebalkan', 'baca', 'komik', 'internet', 'akses', 'browser', 'tpi', 'halaman', 'dibuka', 'akses', 'internet', 'lambat', 'tolong', 'dibaca', 'diperbaiki', '']</t>
  </si>
  <si>
    <t>['berat', 'hati', 'gue', 'turunin', 'rate', 'telkomsel', 'soalx', 'udh', 'ampir', 'mnggu', 'koneksi', 'jeblok', 'tmpat', 'bjm', 'kalsel', 'udh', 'coba', 'unistall', 'app', 'soalx', 'dikirain', 'karna', 'gue', 'nyomot', 'paket', 'gratisan', 'check', 'ttp', 'lemot', 'paketan', 'beli', 'gratisan', 'lemot', 'gue', 'terima', 'beli', 'lemot', 'saatx', 'beralih', 'operator', 'semoga', 'perbaikan', 'kedepanx', 'peningkatan', 'koneksi', 'secepat', 'dlu', 'plus', 'suka', 'nyopet', 'pulsa', '']</t>
  </si>
  <si>
    <t>['kecewa', 'telkomsel', 'kartu', 'umlitead', 'max', 'habis', 'umlitead', 'jalan', 'youtobe', 'umlitead', 'taik', 'pangen', 'laku', 'sim', 'card', 'jujur', 'taik', '']</t>
  </si>
  <si>
    <t>['semenjak', 'ganti', 'sparepart', 'telkomsel', 'buruk', 'koneksinya', 'coba', 'ganti', 'secepat', 'kilat', 'sparepart', 'murah', 'harga', 'ttp', 'mohon', 'kecewakan', 'pelanggan', 'donk', '']</t>
  </si>
  <si>
    <t>['beli', 'kouta', 'voucher', 'omg', 'toko', 'ehh', 'masukan', 'kode', 'masuk', 'kode', 'masuk', 'regional', 'jengkel', 'banget', 'permasalahanya', 'telegram', 'proses', 'jengkel']</t>
  </si>
  <si>
    <t>['parah', 'sinyalnya', 'buruk', 'hilang', 'hilangan', 'troozzz', 'beli', 'pakai', 'duit', 'namanya', 'buang', 'buang', 'duit', 'penyesalan', 'beli', 'internet', 'udh', 'pantau', 'perubahan', 'parah', 'banget', 'ucapkan', 'parah', 'banget']</t>
  </si>
  <si>
    <t>['kecewa', 'telkomsel', 'beli', 'kuota', 'unlimited', 'harga', 'pembatasan', 'sinyal', 'kuota', 'utama', 'habis', 'kuota', 'unlimited', 'gunanya', 'kuota', 'unlimited', 'telkomsel', 'kecewa', 'sekecewa', 'kexewanya', 'telkomsel', 'operator', 'tolong', 'paket', 'udh', 'mahal', 'pembatasan', 'sinyal', 'sampah']</t>
  </si>
  <si>
    <t>['isi', 'pulsa', 'kelebihan', 'pulsa', 'terpakai', 'diambil', 'duluan', 'isi', 'ambil', 'paket', 'data', 'aktifkan', 'udah', 'internetan', 'data', 'abis', 'pas', 'cek', 'pulsa', 'utama', 'bablas', 'matiin', 'data', 'saran', 'konsumen', 'beli', 'pulsa', 'pas', 'paket', 'data', 'menyesal']</t>
  </si>
  <si>
    <t>['perbaiki', 'jaringan', 'respon', 'cepat', 'panggilan', 'masuk', 'khusus', 'dareah', 'terpencil', 'menikmati', 'internet', 'merata', 'perbaikj', 'sistem', 'costumer', 'service', 'panggilan', 'masuk', 'ruang', 'gerak', 'peringatan', 'keras', 'perbuatan', 'korupsi', '']</t>
  </si>
  <si>
    <t>['aplikasi', 'dibuka', 'cek', 'pulsa', 'kuota', 'manual', 'sms', 'dibales', 'operatornya', 'terpaksa', 'telkomsel', 'rekanan', 'kerja', 'pakai', 'telkomsel', 'sampah', '']</t>
  </si>
  <si>
    <t>['ngisi', 'voucher', 'maaf', 'sistem', 'sibuk', 'tunggu', 'cek', 'nomor', 'seri', 'voucher', 'berlaku', 'tunggu', 'besok', 'tunggu', 'seminggu', 'telkomsel', 'naon', 'semoga', 'dibaca', 'dibalas', '']</t>
  </si>
  <si>
    <t>['maaf', 'min', 'cek', 'kuota', 'update', 'tetep', 'segitu', 'segitu', 'udah', 'dipake', 'kuotanya', 'sisa', 'pulsa', 'kesedot', 'gimana', 'min', '']</t>
  </si>
  <si>
    <t>['download', 'masuk', 'kedalam', 'aplikasi', 'cek', 'kouta', 'tolong', 'repotkan', 'pelanggan', 'kau', 'kaya', 'hai', 'telkomsel']</t>
  </si>
  <si>
    <t>['praktis', 'mudah', 'dipahami', 'paket', 'murah', 'keliatan', 'gampang', 'memudahkan', 'bngt', 'beli', 'paket', 'apps', 'lelet', 'bngt', 'signal', 'stabil', 'pdhal', 'aplikasi', 'bsa', 'berjalan', 'normal', '']</t>
  </si>
  <si>
    <t>['nyeselll', 'nyeseeeeel', 'pulsa', 'gua', 'berkurang', 'aghhhhhhh', 'beli', 'dipotong', 'moneytor', 'maksudnya', 'apaa', 'duh', 'kalah', 'indoosat', 'axis', 'sistem', 'kunci', 'pulsanya', 'kesedot', 'beli', 'dahlah', 'mohon', 'dibalas', 'min', 'pulsa', 'gua', 'monrytori', 'terimakasih', '']</t>
  </si>
  <si>
    <t>['maaf', 'lihat', 'undian', 'hadiah', 'dpt', 'kota', 'kota', 'kota', 'pacitan', 'ngawi', 'magetan', 'ngga', 'dpt', 'pdhal', 'pelanggan', 'sistem', 'undiannya', 'enak', 'ambil', 'kota', 'tahunpake', 'telkomsel', 'ngga', 'dpt', 'hadiah', 'tukar', 'poin', 'ratusan', 'pdhal', 'seribu', 'poin', 'nihil', 'apes', 'kali', 'telkomsel', 'pedalaman', 'dijamin', 'ngga', 'dpt', 'gitu', '']</t>
  </si>
  <si>
    <t>['aplikasi', 'berat', 'menyedot', 'batre', 'keselnya', 'sistem', 'telkomsel', 'mengatur', 'penggunaan', 'kuota', 'aktif', 'kuota', 'utama', 'beli', 'aktif', 'mei', 'kuota', 'kemendikbud', 'aktif', 'juni', 'kepakai', 'kuota', 'aktifnya', 'mash', 'menghabiskan', 'kuota', 'aktifnya', 'sebentar', 'dipaksa', 'hrus', 'menghabiskan', 'kuota', 'aktf', 'msh', 'parah', '']</t>
  </si>
  <si>
    <t>['terima', 'kasih', 'update', 'terbaru', 'depolover', 'nyaman', 'kartu', 'telkomsel', 'mohon', 'perbaiki', 'sinyal', 'sinyal', 'hilang', 'terimakasih', 'perhatian', '']</t>
  </si>
  <si>
    <t>['kuota', 'ttp', 'pulsa', 'sedot', 'udh', 'mahal', 'jaringan', 'pas', 'main', 'game', 'lag', 'berangin', 'hujan', 'lag', 'abis', 'cek', 'pulsa', 'cek', 'kuota', 'mesti', 'bayar', 'pakai', 'telkomsel', '']</t>
  </si>
  <si>
    <t>['update', 'mytelkomsel', 'membeli', 'paket', 'data', 'pembelinya', 'berhasil', 'notifikasi', 'paket', 'datanya', 'aktif', 'tolong', 'perbaiki', 'min', '']</t>
  </si>
  <si>
    <t>['terbantu', 'apk', 'mytelkomsel', 'kemudahan', 'tawarkan', 'semoga', 'telkomsel', 'jaya', 'sukses', 'layanan', 'terbaiknya', 'bidang', 'komunikasi', 'membangun', 'bangsa', 'indonesia', 'pelosok', 'daerah', 'terpencil', '']</t>
  </si>
  <si>
    <t>['tolong', 'poin', 'kalu', 'ngga', 'tukar', 'pulsa', 'heyy', 'coba', 'baca', 'telkomsel', 'ambil', 'untung', 'mulu', 'kali', 'kali', 'poin', 'ditukar', 'pulsa', 'vocer', 'ngga', 'senengin', 'peguna', 'telkomsel', 'dahlah', 'ganti']</t>
  </si>
  <si>
    <t>['nyesel', 'beli', 'kuota', 'unlimited', 'max', 'kecepatan', 'lemot', 'parah', 'kuota', 'utama', 'abis', 'kecepatan', 'gitu', 'lawak', 'lemotnya', 'melebihi', 'kartu', 'balikin', 'saldo', 'dana', 'kartu', 'tsel', 'patahin', 'ajig']</t>
  </si>
  <si>
    <t>['beli', 'paket', 'rb', 'gb', 'gb', 'all', 'internet', 'lancar', 'gb', 'chat', 'sosmed', 'game', 'dll', 'lelwt', 'banget', 'ketulungan', 'buka', 'telegram', 'memperbarui', 'maen', 'game', 'loading', 'trs', 'niat', 'ngasih', 'sinyal', 'ngntd']</t>
  </si>
  <si>
    <t>['suka', 'jaringan', 'telkomsel', 'tida', 'suka', 'paket', 'internet', 'telkomsel', 'menguras', 'kantong', 'saku', 'tolong', 'telkomsel', 'paket', 'internet', 'murahin', 'tida', 'mampuh', '']</t>
  </si>
  <si>
    <t>['telkomsel', 'memiliki', 'poin', 'poin', 'tukar', 'paket', 'internet', 'tukar', 'poin', 'uang', 'telkomsel', 'mohon', 'menikmati', 'aplikasi', '']</t>
  </si>
  <si>
    <t>['telkomsel', 'tolong', 'kembalikan', 'unlimited', 'gb', 'pakai', 'batasan', 'unlimited', 'namanya', 'smartfren', '']</t>
  </si>
  <si>
    <t>['aplikasi', 'sampah', 'data', 'latar', 'dimatikan', 'menyedot', 'kuota', 'paket', 'telkomsel', 'paket', 'data', 'browsing', 'pulsa', 'disedot', 'habis', '']</t>
  </si>
  <si>
    <t>['minggu', 'jaringan', 'telkomsel', 'lemot', 'bet', 'tolonglah', 'gangguan', 'kasih', 'info', 'gini', 'kali', 'pengguna', 'emosi', 'sumpah', 'serapah', '']</t>
  </si>
  <si>
    <t>['kuota', 'utama', 'ambil', 'kuota', 'sosmed', 'kuota', 'utama', 'ambil', 'browsing', 'mohon', 'perbaikan', '']</t>
  </si>
  <si>
    <t>['telkomsel', 'mohon', 'harga', 'paket', 'data', 'mahal', 'mahal', 'gimana', 'mending', 'mending', 'sinyal', 'bagus', 'ehh', 'sinyal', 'puas', 'harga', 'sinyal', 'ampas', 'mohon', 'sinyal', 'bagus', 'mahal', 'mahal', 'paket', '']</t>
  </si>
  <si>
    <t>['gila', 'telkomsel', 'sinyal', 'mantap', 'bar', 'full', 'kenyataaan', 'lapangan', 'rto', 'kayak', 'internet', 'kacau', 'kacau', 'kacau', 'balau']</t>
  </si>
  <si>
    <t>['reload', 'reload', 'gatau', 'jaringan', 'aplikasi', 'aplikasi', 'tolong', 'direpair', 'solusi', 'gmn', 'jaringan', 'pakai', 'provider', 'telkomsel']</t>
  </si>
  <si>
    <t>['aplikasi', 'telkomsel', 'mudah', 'mengakses', 'pilihan', 'beli', 'paket', 'tampilanya', 'mengisi', 'pulsa', 'terkoneksi', 'wallet', '']</t>
  </si>
  <si>
    <t>['semenjak', 'ganti', 'susah', 'masuk', 'ngeblang', 'update', 'suauah', 'masuk', 'tolong', 'lancar', 'masuk', 'kasih', 'bintang', 'terima', 'kasih']</t>
  </si>
  <si>
    <t>['yth', 'telkomsel', 'memiliki', 'keluhan', 'sebulan', 'jaringan', 'kartu', 'telkomsel', 'lemot', 'ganguan', 'ngelag', 'mohon', 'tolong', 'perbaiki', 'secepatnya', 'cepat', 'mengirimkan', 'tugas', 'sekolah']</t>
  </si>
  <si>
    <t>['internet', 'telkomsel', 'super', 'lelet', 'lemot', 'nunggu', 'buffering', 'ngabis', 'kayaknya', 'ganti', 'kuat', 'sinyal', '']</t>
  </si>
  <si>
    <t>['jaringan', 'jelek', 'main', 'game', 'online', 'perhatikan', 'kualitas', 'jaringannya', 'harga', 'paketan', 'mahal', 'kualitas', 'jaringan', 'bagus', 'terimakasih']</t>
  </si>
  <si>
    <t>['aplikasi', 'bagus', 'saking', 'bagus', 'berat', 'buka', 'menit', 'kek', 'oven', 'ceplok', 'telor', 'menit', 'langsung', 'hank', 'logout', 'login', 'masyaalloh', 'heeemmmmm', 'overall', 'sihh', 'bnyk', 'bonus', 'dll', 'aplikasi', 'jngn', 'berat', 'yahh', 'jdi', 'kesel', 'sampe', 'rusak', 'ggra', 'aplikasi']</t>
  </si>
  <si>
    <t>['tolong', 'telkomsel', 'layanan', 'bagus', 'kasih', 'harga', 'mahal', 'mahal', 'kualitas', 'jaringan', 'buruk', 'udah', 'jaringan', 'buruk', 'aplikasinya', 'buruknya', 'slow', 'respon', 'update', 'hadehh', 'edit', 'aneh', 'jaringn', 'hilang', 'nge', 'spike', 'lelet', 'mahal', 'mahal', 'mending', 'beli', 'sebelah', 'jaringannya', 'beda', 'provider', 'busuk']</t>
  </si>
  <si>
    <t>['membeli', 'kuota', 'unlimitedmax', 'gb', 'kuota', 'lokal', 'sayang', 'langsung', 'kuota', 'unlimited', 'lemot', 'kuota', 'lokal', 'parah', 'udah', 'make', 'telkomsel', 'kecewa', 'telkomsel']</t>
  </si>
  <si>
    <t>['sinyal', 'telkomsel', 'lemot', 'lelet', 'kota', 'lokal', 'isi', 'pemakai', 'telkomsel', 'kecewa', 'telkomsel', 'sinyal', 'leg', 'leg', 'lelet', 'lelet', '']</t>
  </si>
  <si>
    <t>['isi', 'pulsa', 'masuk', 'pulsa', 'berkurang', 'bener', 'provider', 'malak', 'pulsa', 'pengetahuan', 'mending', 'pindah', 'provider', 'udah', 'lemot', 'jaringan', 'peket', 'mahal', '']</t>
  </si>
  <si>
    <t>['tolong', 'udah', 'pulsa', 'hilang', 'kayak', 'gini', 'telkomsel', 'hilang', 'udah', 'komplin', 'veronika', 'hasilnya', 'udah', 'data', 'kasih', 'foto', 'pulsa', 'masuk', 'tunggu', 'nihil', 'isi', 'pulsa', 'lenyap', 'pulsanya', 'takut', 'isi', 'pulsa']</t>
  </si>
  <si>
    <t>['sungguh', 'bodoh', 'link', 'paket', 'omg', 'gb', 'gb', 'app', 'telkomsel', 'ulang', 'harga', 'pelanggan', 'telkomsel', 'kecewa', '']</t>
  </si>
  <si>
    <t>['', 'kasi', 'bintang', 'login', 'kadang', 'suruh', 'reload', 'putih', 'gambar', 'ntah', 'kendala', 'jaringan', 'jam', 'terooss', 'paket', 'kadang', 'reload', 'kadang', 'suruh', 'masuk', 'nomor', 'masuk', 'nomor', 'udh', 'daftar', 'perbaiki', 'ngulah', 'kasi', 'bintang', '']</t>
  </si>
  <si>
    <t>['mengecewakan', 'beli', 'paket', 'unlimited', 'max', 'pembayaran', 'udah', 'berhasil', 'tolong', 'telkomsel', 'dibetulkan', 'gangguan', 'terimakasih', '']</t>
  </si>
  <si>
    <t>['payah', 'cust', 'isi', 'ulang', 'kuota', 'kuota', 'msh', 'utamakan', 'pemakaian', 'kuota', 'kuota', 'sedot', 'mencuri', 'kuota', 'cust', 'gitu', 'namanya', '']</t>
  </si>
  <si>
    <t>['jujur', 'risih', 'banyaknya', 'sms', 'masuk', 'mengatasnamakan', 'hadiah', 'penipuan', 'mudah', 'nomor', 'pelanggan', 'telkomsel', 'menerima', 'operator', '']</t>
  </si>
  <si>
    <t>['parahh', 'tukang', 'nyolong', 'pulsa', 'data', 'kga', 'aktifin', 'udah', 'berkurng', 'berkurng', 'udah', 'kali', 'dicolong', 'kecolongan', 'emng', 'ilang', 'cuman', 'perak', 'tetep', 'beli', 'paket', '']</t>
  </si>
  <si>
    <t>['kombo', 'sakti', 'hilang', 'ganti', 'kombo', 'sakti', 'gb', 'harga', 'pemakaian', 'perbulan', 'gua', 'aplikasi', 'ditampilkan', 'ribu', 'beda', 'dikit', 'harga', 'combo', 'sakti', 'tpiiiiiii', 'gb', 'gua', 'anjg', 'buruk', 'banget', 'penjualan', 'tolong', 'kembalikan', 'kombo', 'sakti', '']</t>
  </si>
  <si>
    <t>['claim', 'kuota', 'gratis', 'daily', 'check', 'tulisan', 'udah', 'terclaim', 'pas', 'cek', 'notif', 'udah', 'paket', 'unlimited', 'jelek', 'berbatas', 'kecepetan', 'internet', 'batasin', 'kemarin', 'main', 'game', 'kuota', 'utama', 'bermodalkan', 'unlimited', 'main', 'skarang', 'rate', 'bintang', 'bintang', 'rate', 'emng', 'kenyataan', 'jelek', 'banget', 'app', 'mytelkomsel', 'paket', '']</t>
  </si>
  <si>
    <t>['beda', 'nomer', 'beda', 'harga', 'paketnya', 'kebagian', 'mahal', 'dibanding', 'temen', 'habis', 'sinyalnya', 'daerah', 'terjangkau', 'berlangganan', 'sinyal', 'bgus', 'trouble', 'dikampung', '']</t>
  </si>
  <si>
    <t>['nomor', 'sms', 'jasa', 'pemberi', 'pinjaman', 'kecewa', 'telkomsel', 'membocorkan', 'data', 'mohon', 'klarifikasinya', 'pulsa', 'kepotong', 'alasan', 'melunasi', 'paket', 'darurat', 'beli', 'paket', 'darurat', 'dirugikan', 'kecewa', 'pelayanan', 'telkomsel', 'buruk', '']</t>
  </si>
  <si>
    <t>['tolonglah', 'jaringan', 'benerin', 'reconnect', 'jelek', 'beli', 'paket', 'dikit', 'tolong', 'kasih', 'kenyamanan', 'pengguna', 'kau', 'cek', 'beli', 'tawarin', 'kartu', 'pascabayar', 'mahal', 'pekat', 'beli', 'tolong', 'untung', 'tinggal', 'kota', 'jaringan', 'parah', '']</t>
  </si>
  <si>
    <t>['mohon', 'maaf', 'udh', 'kali', 'ketipu', 'paket', 'unlimited', 'bebas', 'intertentan', 'telkomsel', 'tolong', 'banget', 'perbaiki', 'sampe', 'ganti', 'jaringan', 'berlangganan', 'telkomsel', 'gini', 'pindah', 'kartu', 'data', 'orang', 'tolong', 'banget', 'telkomsel', 'terimakasih', '']</t>
  </si>
  <si>
    <t>['beli', 'paket', 'gamesmax', 'hrganya', 'smpe', 'rb', 'knp', 'saldo', 'berkurg', 'notif', 'aktif', 'dipaket', 'lihat', 'diriwayat', 'pembelian', 'harga', 'bayarkn', 'jujur', 'sgt', 'dirugikan', 'mohon', 'respon', 'penjelasannya', 'krna', 'say', 'tlp', 'sibuk', 'terimakasih']</t>
  </si>
  <si>
    <t>['kuota', 'gb', 'pulsa', 'reguler', 'kesedot', 'paketin', 'provider', 'terburuk', 'gimana', 'pulsa', 'reguler', 'kesedot', 'kuota', 'utama', '']</t>
  </si>
  <si>
    <t>['sinyal', 'telkomsel', 'udah', 'kaya', 'kartu', 'sebelah', 'kena', 'ujan', 'lemot', 'ilang', 'sinyal', 'cacad', 'udah', 'ngisi', 'pulsa', 'suka', 'kesedot', 'udah', 'mahal', 'sinyal', 'ilang', 'ilangan', 'gimana', 'pelayanan', '']</t>
  </si>
  <si>
    <t>['sinyal', 'parah', 'telkomsel', 'klu', 'hujan', 'bagus', 'bagus', 'grimis', 'udh', 'kaya', 'lampu', 'merah', 'bentar', 'bentar', 'brubah', '']</t>
  </si>
  <si>
    <t>['rusakkkk', 'jaringan', 'haloo', 'maen', 'mobile', 'lagend', 'war', 'hilangg', 'nagihhhh', 'perbulannn', 'tpi', 'jaringannn', 'ancurrr', 'parahhhhh', 'kagak', 'benerin', '']</t>
  </si>
  <si>
    <t>['woi', 'ngasi', 'bonus', 'pulsa', 'betl', 'sikit', 'dikasi', 'bonus', 'pulsa', 'dipakai', 'mending', 'kasi', 'bonus', 'paket', 'data', 'berguna', 'pembodohan', 'iya', 'pulsanya', 'dipakai', 'nelfon', 'orang', 'tolol', 'nelfon', 'pulsa', 'paket', 'nelfon', 'murah', 'makasi', 'moon', 'maap', 'komen', 'dewasa', 'karna', 'emang', 'masi', 'bocil', 'nelfon', 'customer', 'apalah', 'karna', 'masi']</t>
  </si>
  <si>
    <t>['maaf', 'tarik', 'bintang', 'ngeselin', 'harga', 'paket', 'sesuai', 'kualitas', 'maen', 'game', 'online', 'nga', 'setabil', 'promo', 'paket', 'games', 'kecewa', '']</t>
  </si>
  <si>
    <t>['kpd', 'telkomsel', 'mengeluhkan', 'susahnya', 'sinyal', 'daerah', 'desa', 'kedungbanjar', 'kec', 'taman', 'kab', 'pemalang', 'mohon', 'diperbaiki', 'sinyal', 'daerah', 'trimakasih', '']</t>
  </si>
  <si>
    <t>['assalamualaikum', 'malintang', 'kec', 'bukit', 'malintang', 'kab', 'mandailing', 'natal', 'mengajukan', 'tower', 'bermasalah', 'sgera', 'diperbaiki', 'malam', 'sinyal', 'telkomsel', 'kecamatan', 'tolong', 'perhatiannya', 'diperbaiki', 'scpatnya', 'udah', 'makasih']</t>
  </si>
  <si>
    <t>['kemarin', 'beli', 'paket', 'ceria', 'rb', 'gb', 'aktif', 'hr', 'berhasil', 'pdhl', 'promo', 'mytelkomsel', 'msh', 'beli', 'kak', 'mohon', 'bantuannya']</t>
  </si>
  <si>
    <t>['bener', 'lelet', 'kuotanya', 'harganya', 'mahal', 'perbaikan', 'ulasan', 'telkomsel', 'lihat', 'komplain', 'ttg', 'tolong', 'diperbaiki', 'buruk']</t>
  </si>
  <si>
    <t>['sinyal', 'bagus', 'coba', 'paketnya', 'mahal', 'murah', 'sinyal', 'tsel', 'dirumah', 'karna', 'pakai', 'simpati', 'siaga', 'gaenak', 'hujan', 'gede', 'mati', 'lampu', 'sinyal', 'hilang', 'gabiasanya', '']</t>
  </si>
  <si>
    <t>['harga', 'paket', 'internet', 'omg', 'combo', 'berubah', 'ubah', 'harap', 'diskon', 'subsidi', 'harga', 'paketnya', 'karna', 'merugikan', 'costumer']</t>
  </si>
  <si>
    <t>['kecewa', 'telkomsel', 'membeli', 'paket', 'data', 'mytelkomsel', 'sya', 'meng', 'klik', 'beli', 'paket', 'data', 'sya', 'beli', 'masuk', 'pulsa', 'tersedot', 'mengakibatkan', 'merugi', 'paket', 'data', 'pulsa', 'tersedot', 'tolong', 'kerjasama']</t>
  </si>
  <si>
    <t>['promo', 'mytelkomsel', 'harap', 'mytelkomsel', 'promo', 'pembelian', 'paket', 'paket', 'internet', '']</t>
  </si>
  <si>
    <t>['jaringan', 'telkomsel', 'udah', 'bagus', 'mengecewakan', 'malas', 'telkomsel', 'mohon', 'jaringannya', 'perbaikin', 'pengguna', 'merasakan', 'keburukan', 'jaringan', 'telkomsel', 'kecewa', 'jaringan', 'telkomsel', '']</t>
  </si>
  <si>
    <t>['mohon', 'maap', 'jaringannya', 'suka', 'ngelag', 'malam', 'ngelag', 'parah', 'pas', 'main', 'game', 'online', 'terganggu', 'tolong', 'gimana', '']</t>
  </si>
  <si>
    <t>['pelayanan', 'bagus', 'ngga', 'dapet', 'undian', 'kartu', 'udh', 'berlangganan', 'ngga', 'ganti', '']</t>
  </si>
  <si>
    <t>['jaringan', 'lelet', 'unlimited', 'bohong', 'speed', 'mentok', 'kbps', 'chat', 'ngirim', 'udah', 'lemot', 'sya', 'kasih', 'bintang', '']</t>
  </si>
  <si>
    <t>['aplikasinya', 'bego', 'dibuka', 'susah', 'banget', 'paket', 'dulunya', 'udh', 'ilang', 'paketnya', 'isi', 'pulsa', 'udh', 'gabisa', 'beli', 'gila', 'telkomsel', 'taik', 'bego', 'baget']</t>
  </si>
  <si>
    <t>['jaringan', 'kesini', 'jelek', 'harinya', 'full', 'doang', 'jaringan', 'lancar', 'jaya', 'ngelag', 'parah', 'parah', 'jaringan', 'parahnya', 'jaringan', 'berubah', 'mohon', 'perbaiki', 'lokasi', 'sumatra', 'utara', 'pematangsiantar', 'simalungun', 'silaumanik', '']</t>
  </si>
  <si>
    <t>['harga', 'paket', 'data', 'mahal', 'dibandingkan', 'operator', 'pelanggan', 'setia', 'telkomsel', 'mahal', 'paket', 'data', 'operator', '']</t>
  </si>
  <si>
    <t>['maaf', 'telkomsel', 'kalah', 'saing', 'provider', 'telkomsel', 'jaringan', 'diakui', 'jaringannya', 'turun', 'derastis', 'jelek', 'saran', 'jual', 'paket', 'data', 'mahal', 'mahal', 'mahal', 'kualitas', 'murahan', 'thanks', '']</t>
  </si>
  <si>
    <t>['heran', 'sumpah', 'ama', 'aplikasi', 'jaringan', 'kesini', 'parah', 'kacau', 'buka', 'aplikasi', 'telkomsel', 'crash', 'aplikasi', 'aplikasi', 'terhenti', 'keterangan', 'pengguna', 'telkomsel', 'kacau', 'paket', 'mahal', 'jaringan', 'amburadul', 'tolong', 'telkomsel', 'profesional', 'nama', 'terbesar', 'ngatasi', 'sepele', 'perusahaan', 'udh', 'ambil', 'alih', '']</t>
  </si>
  <si>
    <t>['kecewa', 'ama', 'paket', 'telkomsel', 'unlimited', 'jelek', 'kerabat', 'pindah', 'sebelah', 'smoga', 'paketan', 'pindah', 'sebelah', '']</t>
  </si>
  <si>
    <t>['beli', 'telkomsel', 'lite', 'beli', 'paket', 'internet', 'lite', 'aktif', 'skrg', 'kali', 'beli', 'lite', 'beli', 'tulisan', 'beli', 'paket', 'lite', 'gimana', 'perusahaan', 'telkomsel', 'keluh', 'resah', 'telkomsel']</t>
  </si>
  <si>
    <t>['jaringan', 'iya', 'cepet', 'paketnya', 'mahal', 'combo', 'sakti', 'mahal', 'jarang', 'isi', 'paket', 'kasih', 'murah', 'giliran', 'beli', 'paket', 'kasih', 'mahal', '']</t>
  </si>
  <si>
    <t>['min', 'peningkatan', 'layanan', 'pulsa', 'safe', 'pulsa', 'kesedot', 'min', 'habis', 'kesedot', 'sampe', 'menit', 'sms', 'pemberitahuanny', 'terlambat', 'mohon', 'perbaiki', '']</t>
  </si>
  <si>
    <t>['damn', 'aplikasi', 'penuh', 'hoax', 'you', 'get', 'free', 'tsel', 'you', 'download', 'this', 'apl', 'thats', 'hoax', 'pulsa', 'gratis', 'ribu', 'but', 'berlaku', 'pasang', 'paket', 'pulsa', 'berhubung', 'gue', 'paket', 'pulsa', 'berguna', 'hangus', 'gitu', 'undian', 'tukar', 'point', 'palsu', 'apapun', 'dituker', 'point', 'menang', 'undian', 'berguna', 'heheheheheheh', 'waste', 'your', 'time', 'lol']</t>
  </si>
  <si>
    <t>['kecewa', 'beli', 'pulsa', 'apk', 'telkomsel', 'metode', 'pembayaran', 'pakek', 'link', 'pembayaran', 'saldo', 'link', 'berkurang', 'notifikasi', 'apk', 'telkomsel', 'pembayaran', 'berhasil', 'hangus', 'saldo', 'link', 'tolong', 'kembalikan', '']</t>
  </si>
  <si>
    <t>['paket', 'combo', 'sakti', 'unlimited', 'batas', 'pemakaian', 'wajarnya', 'harga', 'paketnya', 'mahal', 'paket', 'gamesmaxnya', 'main', 'mobile', 'legend', 'login', 'doang', 'emang', 'gabisa', 'main', 'gausah', 'jualan', 'paket', 'gamemax', '']</t>
  </si>
  <si>
    <t>['telkomsel', 'jaringan', 'suka', 'hilang', 'terputus', 'customer', 'services', 'online', 'aplikasi', 'telkomsel', 'nyelesaikan', 'keluhan', 'ditanggapi', 'kejelasan', 'keluhan', 'pulsa', 'berkurang', 'diproses', 'kejelasan', 'pulsa', 'dikembalikan', 'dapet', 'voucher', 'diskon', 'daily', 'check', 'kode', 'refferal', 'dipakai', 'undian', 'poin', 'happy', 'dapet', 'bener', 'dapet', 'hadiah', 'axis', 'langsung', 'proses', '']</t>
  </si>
  <si>
    <t>['maaf', 'pengguna', 'card', 'telkomsel', 'mohon', 'kebijakanya', 'harga', 'pas', 'pembelian', 'pulsa', 'paket', 'data', 'combo', 'sakti', 'gb', 'rb', 'mohon', 'kembalikan', 'harga', 'rb', 'harganya', 'beli', 'isi', 'ulang', 'pulsa', 'susah', 'karna', 'beli', 'harga', 'rb', 'isi', 'pulsa', 'harga', 'rb', 'mohon', 'ditunggu', 'perubahanya', 'beli', 'paket', 'combo', 'sakti', 'seharga', 'rb', 'isi', 'pulsa', 'kali', 'rb']</t>
  </si>
  <si>
    <t>['tolong', 'telkomsel', 'smoga', 'komentar', 'sya', 'pembisnis', 'tlong', 'luas', 'jaringan', 'telkomsel', 'jaringan', 'petugas', 'telkomsel', 'hina', 'gaktrima', 'trus', 'nasib', 'yng', 'plosok', 'mngalami', 'jaringan', 'buruk', 'tlong', 'dengarkan', 'pusat', 'telkomsel', 'point', 'pentingya', 'upgrade', 'jaringan', 'menstabilkan', 'kualitas', 'jaringan', 'skian', 'dri', 'gwa', 'penguna', 'telkomsel', 'telkomsel', 'harga', 'paket', 'mahal', 'jaringan', 'kentang', '']</t>
  </si>
  <si>
    <t>['bekasi', 'timur', 'kalimalang', 'parah', 'boss', 'sinyal', 'bar', 'internet', 'jalan', 'test', 'koneksi', 'lamban', 'unduh', 'kb', 'unggah', 'mb', '']</t>
  </si>
  <si>
    <t>['whyyyy', 'gitu', 'paket', 'data', 'unlimited', 'socmed', 'skrg', 'fup', 'konsisten', 'plisss', 'harganya', 'mahalin', 'gakpapa', 'unlimited', 'socmed', 'batasan', 'kecepatan', 'udh', '']</t>
  </si>
  <si>
    <t>['kuota', 'pulsa', 'terpotong', 'pencurian', 'halus', 'dilakuin', 'telkomsel', 'kartu', 'perdana', 'merek', 'gitu', 'mengecewakan', 'buruk', 'direkomendasikan', 'pakai']</t>
  </si>
  <si>
    <t>['kmaren', 'april', 'beli', 'paket', 'harga', 'skarang', 'mei', 'masi', 'sisa', 'uda', 'expired', 'beli', 'paket', 'harga', 'lihat', 'youtube', 'berkurang', 'paket', 'kuota', 'beli', 'sisa', 'kuota', 'paket', 'berkurang', 'sbg', 'customer', 'setia', 'telkomsel', 'trima', 'kasih', 'ats', 'kebijakan', 'dpt', 'manfaat', 'beli', 'kuota', 'beramal', 'smoga', 'kebijakan', 'kreatif', 'spt', 'smakin', 'tingkatkan', 'dikembangkan']</t>
  </si>
  <si>
    <t>['app', 'error', 'bermasalah', 'teruss', 'beli', 'pulsa', 'melalu', 'appmy', 'telkomsel', 'pembayaran', 'shopee', 'pay', 'dpt', 'cashback', 'dikirim', 'mohon', 'kejelasannya']</t>
  </si>
  <si>
    <t>['telkomsel', 'skrng', 'kebnyakan', 'sedot', 'pulsa', 'tdi', 'seblum', 'isi', 'pulsa', 'msih', 'pulsaku', 'skitar', 'isi', 'pulsanya', 'masuk', 'tpi', 'sms', 'udh', 'msuk', 'cek', 'lgi', 'tba', 'pulsaku', 'tinggal', 'kuota', 'masuk', 'gb', 'pdhal', 'isi', 'beli', 'gb', 'kecewa', 'kli', 'sma', 'telkomsel', 'sekrng']</t>
  </si>
  <si>
    <t>['aplikasi', 'sampah', 'beli', 'paket', 'menit', 'tlpon', 'sebulan', 'langsung', 'habis', 'malamnya', 'aplikasi', 'sampahhhh', 'aplikasi', 'error', 'paket', 'habis', 'unlimited', 'ngga', 'pakek', 'telkomsel']</t>
  </si>
  <si>
    <t>['kecewaaa', 'banget', 'banget', 'bangettt', 'membeli', 'paket', 'seharga', 'game', 'max', 'diamond', 'keterangan', 'diamond', 'mobile', 'legend', 'pembelian', 'kasih', 'kode', 'reedem', 'klikn', 'link', 'ternya', 'kadaluarsa', 'mohon', 'telkomsel', 'paham', 'mengambil', 'tindakan', 'beralih', 'provider', 'cuman', 'karna', 'paket', 'deskripsi', 'sesuai', 'terimakasih']</t>
  </si>
  <si>
    <t>['mantap', 'hadiah', 'apapun', 'undian', 'penukaran', 'poin', 'handphone', 'dapet', 'mobil', 'pastinya', 'bersyukur', 'besarnya', 'telkomsel', 'usia', 'insya', 'allah', 'aamiin', 'yra']</t>
  </si>
  <si>
    <t>['senang', 'telkomsel', 'jaringan', 'super', 'mantap', 'daerah', 'full', 'jaringan', 'pilihan', 'paket', 'internet', 'app', 'murah', 'murah', 'sarankan', 'kuota', 'game', 'tambahkan', 'game', 'hago', '']</t>
  </si>
  <si>
    <t>['paket', 'ceria', 'susah', 'beli', 'pembayaran', 'udh', 'berhasil', 'tetep', 'paket', 'masuk', 'masuk', 'spam', 'kali', 'aneh', 'paket', 'langsung', 'masuk', 'contohnya', 'paket', 'darurat', 'butuh', 'gaming', 'guysss']</t>
  </si>
  <si>
    <t>['berlangganan', 'telkomsel', 'unlimited', 'batas', 'wajar', 'viu', 'ikaln', 'batas', 'saran', 'sperti', 'pas', 'muncul', 'harga', 'murah', 'batas', 'unlimited', 'harga', 'derastis', 'nambah', 'nyaman', 'batesin', 'mersa', 'kecewakan']</t>
  </si>
  <si>
    <t>['payah', 'sinyal', 'telkomsel', 'tolong', 'perbaiki', 'kecewa', 'jaringan', 'indonesia', 'kalah', 'smartfren', '']</t>
  </si>
  <si>
    <t>['stiap', 'jaringan', 'berubah', 'pulsa', 'kesedot', 'mulu', 'licik', 'banget', 'nyolong', 'pulsanya', 'kjadian', 'udah', 'kya', 'gini', 'tolonglah', 'diperbaiki', 'jngan', 'sperti', '']</t>
  </si>
  <si>
    <t>['ngomongnya', 'ajaa', 'pekotaan', 'kuota', 'kek', 'gini', 'ngelag', 'teros', 'meeting', 'lag', 'main', 'game', 'lag', 'kecewa', 'bener']</t>
  </si>
  <si>
    <t>['berharap', 'beli', 'paket', 'telkomsel', 'parah', 'sinyal', 'ilang', 'ilangan', 'download', 'upload', 'bnget', 'panas', 'bnget', 'boro', 'boro', 'main', 'youtube', 'chat', 'buka', 'status', 'susah', 'tolong', 'tingkatkan', 'kualitas', 'jaringannya', 'jelek', 'bnget', 'jaringan', 'setau', 'telkomsel', 'terbaik', 'daerahku']</t>
  </si>
  <si>
    <t>['parah', 'gedung', 'telkomsel', 'kebakar', 'nihh', 'orang', 'die', 'yahhh', 'sinyalnya', 'beragam', 'apn', 'terbaru', 'udah', 'coba', 'dahlahhh', 'fix', 'kebakaran', 'niiihhhhh', 'developer', 'bacaaaaaa', 'liat', 'doangggg', 'lapor', 'telkom', 'wilayah', 'jatim', 'sinyal', 'gaa', 'kek', 'gini', 'uang', 'daun', 'tinggal', 'petik', 'doang', '']</t>
  </si>
  <si>
    <t>['jaringan', 'aneh', 'paket', 'nelpon', 'pulsa', 'nelpon', 'paket', 'nelpon', 'pulsa', 'jaringan', 'langsung', 'berubah', 'nelpon', 'paket', 'data', 'melaui', 'langsung', 'nyambung', 'jaringan', 'berubah', 'langsung', 'aneh', 'bin', 'ajaib', 'burik', 'dahh', '']</t>
  </si>
  <si>
    <t>['paket', 'combo', 'sakti', 'unlimited', 'kaya', 'kecepatannya', 'kuota', 'utama', 'habis', 'lemot', 'ampun', 'kecewa', 'perubahan', 'paket', 'telkomsel', 'paket', 'ubah', 'berhenti', 'berlangganan', 'pindah', 'kompetitor', 'terimakasih']</t>
  </si>
  <si>
    <t>['aplikasi', 'mytelkomsel', 'skrg', 'udah', 'bagus', 'kek', 'dlu', 'skrg', 'promosi', 'tawar', 'udah', 'beli', 'hoax', 'thank', 'you', 'for', 'all']</t>
  </si>
  <si>
    <t>['cewa', 'berat', 'telkomsel', 'knp', 'unlimited', 'batasi', 'cbak', 'nyaman', 'pdhl', 'beli', 'kuota', 'mulu', 'tpi', 'jringan', 'langsung', 'lemot', 'kuota', 'utama', 'habis', 'tolong', 'telkomsel', 'bnerin', 'pelanggan', 'mengeluh', 'tolong', 'batasi', 'unlimited', 'pelanggan', 'nyaman', 'terima', 'kasih']</t>
  </si>
  <si>
    <t>['beli', 'pulsa', 'transaksi', 'shopepay', 'chasbek', 'koin', 'shopee', 'chasbeknya', 'masuk', 'masuk', 'hoak', 'telkomsel', 'shopee', 'kali', 'transaksi', 'masuk', 'masuk', 'chasbek', 'koin', 'shopee', '']</t>
  </si>
  <si>
    <t>['senang', 'aplikasi', 'karna', 'memudahkan', 'disaat', 'membuka', 'aplikasi', 'memverifikasi', 'memverifikasi', 'magic', 'link', 'masuk', 'pesan', 'update', 'aplikasinya', 'berhasil', 'masuk', 'pesannya', 'mohon', 'diperbaiki', 'memudahkan', 'pengguna', 'terimakasih', 'semoga', 'membantu']</t>
  </si>
  <si>
    <t>['rugikan', 'kb', 'pulsa', 'habis', 'paket', 'internet', 'mahal', 'harga', 'tolong', 'rakyat', 'indonesia', 'kelas', 'cekik', 'mbak', 'buk']</t>
  </si>
  <si>
    <t>['mencari', 'mudah', 'maju', 'telkomsel', 'kemudahan', 'berkomunikasi', 'wilayah', 'disetiap', 'henti', 'pertahankan', 'pelayanan', 'terbaik', 'pengguna', '']</t>
  </si>
  <si>
    <t>['parah', 'menu', 'berhenti', 'berlangganan', 'aplikasi', 'berhentikan', 'paket', 'kesal', '']</t>
  </si>
  <si>
    <t>['kesini', 'signal', 'bagus', 'jelek', 'lelet', 'banget', 'udh', 'telkomsel', 'harga', 'paketannya', 'mahal', 'banding', 'provider', 'kecewa', 'signal', 'kesini', 'bad', 'kayanya', 'ganti', 'provider', 'deh', '']</t>
  </si>
  <si>
    <t>['mengecewakan', 'pulsaku', 'hilang', 'berani', 'isi', 'pulsa', 'jaringannya', 'lelet', 'menang', 'sinyal', 'doang', 'mending', 'indosat', 'pulsa', 'safe', 'aman', 'operator', 'pulsa', 'dicicil']</t>
  </si>
  <si>
    <t>['pribadi', 'telkomsel', 'bagus', 'jaringan', 'bagus', 'luas', 'say', 'makai', 'telkomsel', 'apapun', 'kartu', 'telkomsel', 'slalu', 'hati', 'trm']</t>
  </si>
  <si>
    <t>['saran', 'kalu', 'ngasih', 'bonus', 'kuota', 'multimedia', 'nunggu', 'kuota', 'utama', 'habis', 'uash', 'ngurangi', 'kecepatan', 'berharap', 'system', 'penggunaan', 'kuotanya', 'diperbaiki', 'oprator', 'telkomsel', 'have', 'good', 'one']</t>
  </si>
  <si>
    <t>['telkomsel', 'mengadakan', 'hadiah', 'ihklas', 'bukanya', 'suruh', 'bayar', 'yng', 'sya', 'kasih', 'bintang', 'perkembangan', 'kasih', 'terimah', 'kasih', '']</t>
  </si>
  <si>
    <t>['paket', 'special', 'berlangganan', 'layanan', 'pelanggan', 'setia', 'buruk', 'disuruh', 'veronika', 'robot', 'bolak', 'melayani', 'main', 'orang', 'nanya', 'serius', 'robot', 'parah']</t>
  </si>
  <si>
    <t>['', 'apk', 'promo', 'kuota', 'transaksi', 'tulisannya', 'diproses', 'konfirmasi', 'pulsa', 'udah', 'mencukupi']</t>
  </si>
  <si>
    <t>['telkomsel', 'sialan', 'jaringannya', 'lemot', 'lemot', 'petugas', 'telkomsel', 'carefour', 'medan', 'plaza', 'ajar', 'pelayanan', 'buruk', 'kacau', 'perempuan', 'sialan', '']</t>
  </si>
  <si>
    <t>['dpt', 'pesan', 'paket', 'darurat', 'blm', 'dibayar', 'udh', 'dibayar', 'muncul', 'narik', 'pulsa', 'apasih', 'provider', 'nyolong', 'duit', 'orang', 'mulu', 'benahi', 'sistem', '']</t>
  </si>
  <si>
    <t>['kesini', 'telkomsel', 'beli', 'paket', 'combo', 'sakti', 'gb', 'youtube', 'harga', 'harga', 'paket', 'keluarin', 'telkomsel', 'jaringan', 'aman', 'aman', 'paket', 'utama', 'habis', 'sms', 'kecepatan', 'internet', 'kurangi', 'hapus', 'combo', 'sakti', 'youtube', 'unlimited', 'kecepatan', 'kurangi', 'banget', 'main', 'kayak', 'trii']</t>
  </si>
  <si>
    <t>['bagus', 'jaringan', 'unlimited', 'batas', 'jaringan', 'skrng', 'udah', 'jelek', 'jaringan', 'unlimited', 'bates', 'kuota', 'jaringan', '']</t>
  </si>
  <si>
    <t>['kecewa', 'lambat', 'proses', 'pembelian', 'data', 'beli', 'paket', 'promo', 'ceria', 'pagi', 'siang', 'proses', 'ber', 'kali', 'kali', 'tolong', 'ditingkatkan', 'pelayanannya', '']</t>
  </si>
  <si>
    <t>['terima', 'kasih', 'ulasan', 'tpi', 'beli', 'paket', 'pulsa', 'dibeli', 'nomor', 'cek', 'tpi', 'tolong', 'telkomsel', 'menurun', 'rating']</t>
  </si>
  <si>
    <t>['paket', 'multimedia', 'ngg', 'terpakai', 'data', 'internet', 'msh', 'penuh', 'makai', 'youtube', 'makan', 'data', 'internet', 'data', 'multimedia', 'ngg', 'pakai', 'coba', 'perbaiki', 'kualitas', 'pelayanan', 'data']</t>
  </si>
  <si>
    <t>['aplikasi', 'teribet', 'daftar', 'susahnya', 'ampun', 'link', 'invalid', 'mlulu', 'daftar', 'yaudah', 'uninstal', 'aplikasi', 'trimakasih']</t>
  </si>
  <si>
    <t>['telkomsel', 'make', 'paket', 'darurat', 'engga', 'masuk', 'aktif', 'paket', 'darurat', 'habis', 'gimana', 'isi', 'ulang', 'pulsa', 'disedot', 'bener', 'makan', 'uang', 'haram', '']</t>
  </si>
  <si>
    <t>['tolong', 'yaaaa', 'jaringan', 'telkomsel', 'dbagusi', 'harga', 'jaringan', 'murahan', 'kek', 'gini', 'mending', 'beralih', 'kartu', 'ajaaaa', 'gunaaa', 'malas', 'telkomsel', '']</t>
  </si>
  <si>
    <t>['dear', 'telkomsel', 'tolong', 'kualitas', 'jaringan', 'internet', 'perbaiki', 'rumah', 'kota', 'tpi', 'kualitas', 'jaringan', 'jelek', 'banget', '']</t>
  </si>
  <si>
    <t>['kuy', 'move', 'telkomsel', 'dlu', 'mah', 'bangga', 'pakai', 'kartu', 'phttt', 'bagusan', 'kartu', 'sinyal', 'sebelah', 'udh', 'murah', 'sinyal', 'hilangan', 'udh', 'mahal', 'sinyal', 'jelek', 'pulsa', 'kesedot', 'penipuan', 'telkomsel', 'sumpah', 'tuhan', 'abis', 'pikirrr', 'pilih', 'telkomsel']</t>
  </si>
  <si>
    <t>['paket', 'combo', 'sakti', 'mohon', 'pilihan', 'murah', 'sesuai', 'kantong', 'anak', 'sekolah', 'menjangkau', 'internet', 'ramah', 'kantong', 'terima', 'kasih', 'telkomsel', '']</t>
  </si>
  <si>
    <t>['aplikasi', 'sampah', 'aktifin', 'paket', 'promo', 'nyampe', 'berlaku', 'pulsa', 'reguler', 'auto', 'terpotong', 'habis', 'sampah', 'penipu', '']</t>
  </si>
  <si>
    <t>['status', 'aplikasi', 'gold', 'harga', 'paket', 'internet', 'kontinue', 'belinya', 'krna', 'hrg', 'bersahabat', 'terpaksa', 'pakai', 'kartu', 'dech', 'mohon', 'diperhatikan', 'maaf', 'terimakasih', '']</t>
  </si>
  <si>
    <t>['hallo', 'telkomsel', 'maaf', 'telkomsel', 'mengaktifkan', 'paket', 'darurat', 'rugi', 'karna', 'masuk', 'langganan', 'paket', 'darurat', 'anehnya', 'cra', 'stop', 'ureg', 'tahbah', 'daerah', 'beberpa', 'sinyal', 'sulit', 'bysanya', 'paket', 'data', 'mahal', 'distarakan', 'sdkit', 'masukan', 'tolong', 'diperbaiki', '']</t>
  </si>
  <si>
    <t>['harga', 'mahal', 'bts', 'tolong', 'ditambah', 'pemakai', 'tingkatkan', 'kualitas', 'jaringan', 'kecepatan', 'data', 'berubah']</t>
  </si>
  <si>
    <t>['pelanggan', 'setia', 'telkomsel', 'mohon', 'poin', 'kumpulkan', 'semoga', 'bermanfaat', 'tukar', 'donasi', 'berharap', 'tukarkan', 'pulsa', 'terima', 'kasih', 'telkomsel']</t>
  </si>
  <si>
    <t>['pakai', 'unlimited', 'max', 'gb', 'kuota', 'utama', 'udah', 'habis', 'tinggal', 'kuota', 'unlimited', 'udah', 'jaringannya', 'lemot', 'yaa', 'kek', 'gini', 'lhoo', 'sosmed', 'musik', 'doang', 'game', 'pakai', 'unlimited', 'max', 'udah', 'lemot', 'main', 'pubgm', 'tolong', 'jaringannya', 'perbaiki', 'terimakasih', '']</t>
  </si>
  <si>
    <t>['unlimited', 'batas', 'kuota', 'gb', 'kuota', 'utama', 'habis', 'mohon', 'admin', 'balikin', 'unlimited', 'kayak', 'lgi', 'batas', 'kuota', 'semenjak', 'batas', 'kuota', 'telkomsel', 'pindah', 'smartfren', 'unlimited', 'telkomsel', 'mahal', 'banget', 'batas', 'kuota', 'mohon', 'baca', 'koreksiku', '']</t>
  </si>
  <si>
    <t>['maksudnya', 'isi', 'pulsa', 'kemarin', 'pas', 'cek', 'pagi', 'udah', 'emg', 'isi', 'rb', 'itupun', 'kepepet', 'paketin', 'internet', 'unl', 'harian', 'gb', 'knp', 'pulsa', 'sedot', 'maksudnya', 'seenak', 'jidat', 'nyedot', 'pulsa', 'org', 'berlaku', 'sebentar', 'kartunya', 'udah', 'mahal', 'worth', '']</t>
  </si>
  <si>
    <t>['mohon', 'bantuannya', 'membeli', 'paket', 'combo', 'sakti', 'telkomsel', 'berhasil', 'pesan', 'masuk', 'aplikasi', 'telkomsel', 'combo', 'sakti', 'gagal', 'diaktifkan', 'alasan', 'maaf', 'system', 'sibuk', 'silahkan', 'mencoba', 'paket', 'berhasil', 'dibeli', 'pulsa', 'paket', 'combo', 'tersbut', 'aktif', 'tolong', 'aktifkan', 'paket', 'combo', 'berhasil', 'beli', '']</t>
  </si>
  <si>
    <t>['telkomsel', 'aplikasi', 'lelet', 'pas', 'dibuka', 'muat', 'ulang', 'pas', 'diklik', 'kali', 'jarang', 'buka', 'aplikasi', '']</t>
  </si>
  <si>
    <t>['kualitas', 'sinyal', 'buruk', 'pelanggan', 'pascabayar', 'jaringan', 'prioritas', 'tergiur', 'upgrade', 'kartu', 'kartu', 'halo', 'kualitas', 'sinyalnya', 'harga', 'paket', 'murah', 'prabayar', 'ketimbang', 'pascabayar', 'tergiur', 'tlpn', 'upgrade', 'kartu', 'karna', 'bayar', 'mahal', 'kualitas', 'jaringan', 'buruknya', 'sesuai', 'penawaran', 'jaringan', 'pioritas', '']</t>
  </si>
  <si>
    <t>['kecewa', 'aplikasi', 'telkomsel', 'membeli', 'paket', 'internet', 'metode', 'pembayaran', 'dana', 'paket', 'aktif', 'pembayaran', 'berhasil', 'mohon', 'telkomsel']</t>
  </si>
  <si>
    <t>['susah', 'kali', 'buka', 'aplikasi', 'telkomsel', 'koneksi', 'stabil', 'muncul', 'aplikasi', 'koneksinya', 'berjalan', 'lancar', '']</t>
  </si>
  <si>
    <t>['read', 'pulsa', 'hilang', 'telkomsel', 'korupsi', 'gmna', 'pls', 'kembalikan', 'pulsa', 'sdikit', 'tpi', 'gagini', 'telkomsel', 'korupsi', 'user', 'pemula', 'blm', 'gmna', 'tolong', 'kpd', 'telkomsel', 'dipertanggung', 'jawabkan', 'ttg', 'kirimkan', 'email', 'telkomsel', 'terimakasih', 'mohon', 'dipertanggung', 'jawabkan']</t>
  </si>
  <si>
    <t>['msuk', 'promo', 'promo', 'paket', 'murah', 'dibeli', 'kagak', 'paket', 'ngk', 'dapt', 'pulsa', 'kepotong', 'gmna', 'telkomsel', '']</t>
  </si>
  <si>
    <t>['puluhan', 'telkomsel', 'rb', 'bln', 'pemakaian', 'daftar', 'telkomsel', 'poin', 'pemenang', 'mudah', 'telkomsel', 'berbaik', 'hati', 'amin', 'tolong', 'tingkatkan', 'jaringan', 'dikampung', '']</t>
  </si>
  <si>
    <t>['paket', 'malam', 'tertera', 'rb', 'pas', 'aktifin', 'rb', 'pas', 'tekan', 'sms', 'pulsa', 'membeli', 'paket', 'sahur', 'maksudnya', 'telkomsel', 'udah', 'kaya', 'penipuan', 'kaya', 'gini']</t>
  </si>
  <si>
    <t>['jaringannya', 'trutama', 'khusus', 'area', 'semarang', 'mending', 'dih', 'dri', 'telkom', 'masi', 'stabil', 'lol', 'lawak', 'telkomsel']</t>
  </si>
  <si>
    <t>['memuaskan', 'paket', 'combo', 'sakti', 'unlimited', 'kuota', 'unlimitednya', 'berubah', 'kuota', 'utama', 'gb', 'gb', 'apps', 'kuota', 'utama', 'habis', 'sesuai', 'nama', 'tertera', 'combo', 'sakti', 'unlimited', 'berharap', 'mytelkomsel', 'mengembalikan', 'paket', 'combo', 'sakti', 'unlimited', 'trimakasih', '']</t>
  </si>
  <si>
    <t>['tolong', 'paket', 'internet', 'aktifkan', 'masak', 'gue', 'beli', 'paket', 'gara', 'gara', 'beli', 'paket', 'tolong', 'server', 'emang', 'kemarin', 'down', 'gara', 'gara', 'gangguan', 'server', 'akibat', 'data']</t>
  </si>
  <si>
    <t>['tolong', 'min', 'jaringan', 'ulimitid', 'kayak', 'mane', 'juge', 'pas', 'login', 'pubg', 'jelek', 'jaringan', 'bagus', 'tolong', 'perbagus', 'jaringan', 'min', 'min', 'tolong', 'min', 'jaringan', 'ulimitid', 'susah', 'kalilah', 'main', 'pubg', 'tolong', 'min', 'perbaiki', 'jaringan', 'tolonglah', 'telkomsel']</t>
  </si>
  <si>
    <t>['kartu', 'giliran', 'main', 'rumah', 'langsung', 'jaringan', 'lemot', 'kuota', 'mahal', 'deh', 'telkomsel', 'main', 'gimana', 'jaringan', 'jelek', 'pas', 'main', 'langsung', 'ngeselin', 'esmosi', 'bantu', 'doang', 'telkomsel', 'jaringan', 'telkomsel', 'dirumah', 'pas', 'main', 'gimana', '']</t>
  </si>
  <si>
    <t>['heyy', 'telkomsel', 'denganmu', 'knp', 'minggu', 'trahir', 'koneksi', 'internet', 'buruk', 'stabil', 'sinyal', 'hilang', 'sndiri', 'main', 'game', 'nyaman', 'pengguna', 'telkomsel', 'merasakan', 'udh', 'mahal', 'lelet', 'semoga', 'besok', 'perbaiki', 'normal', 'trimakasi', 'indonesia', 'ngeluhhh', 'telkomsel', 'lelet', 'gamers']</t>
  </si>
  <si>
    <t>['telkomsel', 'merugikan', 'udah', 'beli', 'pulsa', 'berkali', 'kali', 'beli', 'kuota', 'pulsanya', 'abis', 'kuotanya', 'tetep', 'gimana', 'tolong', 'bantu', '']</t>
  </si>
  <si>
    <t>['combo', 'sakti', 'unlimited', 'kuota', 'utama', 'abis', 'sosmed', 'instagram', 'dll', 'sekarag', 'unlimitednya', 'beli', 'paket', 'combo', 'sakti', 'unlimited', 'gb', 'hnya', 'bln', 'dpn', 'pindah', 'oprtor', 'kecewa', '']</t>
  </si>
  <si>
    <t>['harga', 'paket', 'ditingkatkan', 'kualitas', 'jaringan', 'data', 'diperhatikan', 'suka', 'suka', 'telkomsel', 'pas', 'main', 'game', 'kena', 'peringati', 'gara', 'gara', 'jaringan', 'data', 'koneksinya', 'jelek', 'menawarkan', 'jenis', 'promo', 'jaringannya', 'stabil', 'telkomsel', 'melayani', 'ngasih', 'harapan', 'memuaskan', 'terang', 'puas', 'namanya', 'koneksi', 'telkomsel', '']</t>
  </si>
  <si>
    <t>['bagus', 'banget', 'app', 'gampang', 'monitoring', 'kuota', 'data', 'beli', 'kuota', 'gampang', 'trus', 'beli', 'pulsa', 'harga', 'pulsanya', 'joss', '']</t>
  </si>
  <si>
    <t>['udah', 'bulanan', 'jaringan', 'telkomsel', 'lemot', 'bnget', 'buka', 'mytelkomsel', 'susah', 'bngt', 'nge', 'game', 'online', 'perbaikilah', 'telkomsel', 'please', 'udah', 'nyoba', 'disaranin', 'admin', 'telkomsel', 'msh', 'hasilnya', 'zonk', '']</t>
  </si>
  <si>
    <t>['apps', 'bagus', 'sisa', 'paket', 'data', 'membeli', 'paket', 'pulsa', 'fungsi', 'fungsi', 'menghapus', 'paket', 'udh', 'thnks', '']</t>
  </si>
  <si>
    <t>['dibanggain', 'telkomsel', 'paketnya', 'mahal', 'dibeda', 'in', 'sinyalnya', 'nyungsep', 'aplikasinya', 'kaga', 'paket', 'dibeda', 'in', 'telkomsel', 'temen', 'paket', 'ditempat', 'kaga', 'kasih', 'rate', 'auto', 'robot']</t>
  </si>
  <si>
    <t>['aneh', 'telkomsel', 'kasih', 'poin', 'gratis', 'isi', 'pulsa', 'apaaaannnnn', 'giliran', 'tukar', 'paket', 'data', 'pulsa', 'habissssss', 'poin', 'habissssss', '']</t>
  </si>
  <si>
    <t>['hai', 'telkomsel', 'jaringan', 'burik', 'murah', 'gpp', 'paketannya', 'mahal', 'mna', 'jelek', 'lgi', 'kecewa', 'telkomsel']</t>
  </si>
  <si>
    <t>['kesini', 'komplain', 'jaringan', 'telkomsel', 'daerah', 'suka', 'hilang', 'bermain', 'game', 'online', 'tolong', 'beli', 'telkomsel', 'percaya', 'kualitas', 'jaringan', 'saaya', 'bermain', '']</t>
  </si>
  <si>
    <t>['provider', 'harga', 'paket', 'termahal', 'kwalitas', 'jaringan', 'terburuk', 'pelayanan', 'customer', 'buruk', 'promo', 'tipu', 'sekedar', 'saran', 'jadikan', 'telkomsel', 'sim', 'card', 'menerima', 'panggilan', 'internetan', 'mending', 'axis', 'im', '']</t>
  </si>
  <si>
    <t>['parah', 'apknya', 'dwnload', 'kaya', 'ngerti', 'mending', 'hapus', 'paktnya', 'bkn', 'murah', 'tpi', 'mahal', 'makan', 'darah', 'tlkmsel', 'plsa', 'berkurang', 'padhal', 'pkt', 'data', 'hri', 'mkin', 'jrngan', 'luas', 'udg', 'pndh', 'hri', 'kecew', '']</t>
  </si>
  <si>
    <t>['telkomsel', 'ngak', 'isi', 'pulsa', 'masuk', 'lari', 'paket', 'pulsa', 'ngak', 'berguna', 'pulsa', 'utama', 'mendadak', 'habiss', 'kacaw', 'tolong', 'perbaikin', 'gue', 'males', 'ngusi', 'pulsa', 'telkomsel', 'pakek', 'udah', 'abis', 'duluan', 'pemborosan', '']</t>
  </si>
  <si>
    <t>['kasih', 'bintang', 'aplikasi', 'telkomsel', 'suka', 'salah', 'pengguna', 'telkomsel', 'setia', 'telkomsel', 'telkomsel', 'bagus', 'bagus', 'ayo', 'telkomsel', 'rugi', 'telkomsel']</t>
  </si>
  <si>
    <t>['please', 'mytelkomsel', 'promo', 'murahnya', 'dihilangkan', 'setia', 'banget', 'pke', 'kartu', 'bertahun', 'gitu', 'please', 'mohon', 'promo', 'rb', 'gb', 'unlimited', 'chatnya', 'dibalikin', '']</t>
  </si>
  <si>
    <t>['komentar', 'telkomsel', 'buruk', 'penuh', 'jelek', 'mending', 'ajah', 'plus', 'emosi', 'min', 'min', 'tolong', 'perbaiki', 'sinyal', 'astaga', '']</t>
  </si>
  <si>
    <t>['nanya', 'sayakan', 'sengaja', 'kehapus', 'telkomsel', 'download', 'masukkan', 'nomor', 'dibilang', 'pesan', 'telkomsel', 'sms', 'pencet', 'mengirim', 'ulang', 'pesan', 'berkali', 'kali', 'tolong', 'telkomsel', 'gimana', 'menghubungi', 'twitter', 'facebook', 'telegram', 'tolong', 'telkomsel', 'gimana', '']</t>
  </si>
  <si>
    <t>['lambat', 'make', 'aplikasi', 'cek', 'kuota', 'dll', 'mudah', 'cepat', 'mah', 'mudah', 'emosi', 'refresh', 'berkali', 'sisa', 'paket', 'beli', 'paket', 'youtube', 'jalan', 'sehat', 'kah', '']</t>
  </si>
  <si>
    <t>['pulsa', 'monetary', 'telkomsel', 'masuk', 'mei', 'tanggal', 'habis', 'berlakunya', 'pulsa', 'monetary', 'berfungsi', 'pulsa', 'keperluan', 'gawat', 'darurat', 'jangka', 'singkat', 'penguna', 'aplikasi', 'mersa', 'puas', 'layanan', 'membodoki', 'konsumen', 'mohon', 'min', 'penjelasanya']</t>
  </si>
  <si>
    <t>['telkomsel', 'mengisi', 'pulsa', 'tersedot', 'langganan', 'mengisi', 'suka', 'terkuras', 'tersisa', 'tukar', 'paket', 'unlimited', 'bermasalah', 'tolong', 'persulit', 'susah', 'ngisi', 'paket', '']</t>
  </si>
  <si>
    <t>['jaringan', 'telkomsel', 'jelek', 'main', 'game', 'sosial', 'media', 'suka', 'putus', 'nyambung', 'jaringannya', 'klu', 'main', 'game', 'suka', 'kesal', 'disconeting', 'pas', 'seru', 'jengkel', 'nelpon', 'ngobrol', 'putus', 'kgk', 'suara', 'klu', 'bkn', 'udah', 'byk', 'kemarin', 'telkomsel', 'udah', 'ndak', 'kuota', 'mahal', 'jaringannya', 'nyebelin', '']</t>
  </si>
  <si>
    <t>['telkomsel', 'jual', 'kuota', 'deh', 'layanan', 'kayak', 'taik', 'udah', 'harga', 'kuota', 'mahal', 'pelanggang', 'dapet', 'sinyal', 'lemot', 'hahaha', 'niat', 'ngasih', 'pelayanan', 'mah', 'mending', 'minggat', 'sono', 'tel', 'tol', 'lol']</t>
  </si>
  <si>
    <t>['nyesel', 'memperbarui', 'aplikasi', 'karna', 'perbarui', 'check', 'check', 'udah', 'nggak', 'bertambah', 'tcash', 'langsung', 'aplikasinya', 'nggak', 'bagusan', 'versi', 'tolong', 'perbaiki', 'terimakasih']</t>
  </si>
  <si>
    <t>['pelayanan', 'telkomsel', 'sekrng', 'menurun', 'kekuatan', 'signal', 'koneksi', 'internet', 'minggu', 'terahir', 'lemot', 'buffering', 'banget', 'turun', 'pindah', 'channel', 'ajalah', '']</t>
  </si>
  <si>
    <t>['', 'pengalaman', 'gua', 'minggu', 'akses', 'apk', 'sumpah', 'susah', 'bener', 'jringan', 'gua', 'normal', 'masuk', 'apk', 'susah', 'ampun', 'mohon', 'perbaiki', 'apk', 'makash', '']</t>
  </si>
  <si>
    <t>['jaringan', 'lelet', 'ampun', 'mending', 'ganti', 'kartu', 'deh', 'kek', 'gini', 'udah', 'thun', 'pkek', 'telkom', 'kesini', 'jelek', 'sinyalnya', 'kalah', 'dibalas', 'udah', 'jgak', 'balasnmu', '']</t>
  </si>
  <si>
    <t>['sinyal', 'simpati', 'buruk', 'hilang', 'sinyal', 'kuota', 'harga', 'mahal', 'buka', 'youtube', 'browsing', 'leletnya', 'ampun', 'gitu', 'sinyal', 'gnya', 'hilang']</t>
  </si>
  <si>
    <t>['sumpah', 'jelek', 'banget', 'udah', 'beli', 'mahal', 'mahal', 'kualitas', 'jaringannya', 'jelek', 'banget', 'main', 'game', 'jaringan', 'merah', 'pangkat', 'jaringan', 'nonton', 'film', 'banget', 'loading', 'tolong', 'tanggapi', '']</t>
  </si>
  <si>
    <t>['cuman', 'komplen', 'sinyal', 'dikuatin', 'dibikin', 'kenceng', 'bagus', 'lelet', 'ruwet', 'sinyalnya', 'daerah', 'jawabarat', 'sinyal', 'gini', 'mending', 'pindah', 'provider', 'sebelah', 'pelayanan', 'csnya', 'lagih', 'duhduhduhhh']</t>
  </si>
  <si>
    <t>['harga', 'paket', 'mahal', 'kuota', 'nelpon', 'berkurang', 'ganti', 'kartu', 'ganti', 'plat', 'kuning', 'murah', 'sinyal', 'udah', 'kenceeeeeng', '']</t>
  </si>
  <si>
    <t>['pagi', 'sampe', 'malam', 'buka', 'sosmed', 'taiklah', 'chating', 'beli', 'kouta', 'chating', 'doang', 'browsing', 'dll', 'telegram', 'beli', 'ribu', 'kali', 'tsel', 'langsung', 'nyesel', 'tsel', 'sinyal', 'stabil', 'kenyataannya', 'orang', 'orang', 'suka', 'melebih', 'lebihkan', 'hangus', 'ribu', '']</t>
  </si>
  <si>
    <t>['jaringan', 'telkomsel', 'lambat', 'kuota', 'multimedia', 'pakai', 'aktif', 'kuota', 'mohon', 'penjelasannya', 'terimakasih', '']</t>
  </si>
  <si>
    <t>['pengen', 'jaringan', 'hemat', 'harga', 'berkualitas', 'pilihanya', 'jaringan', 'mendukung', 'harga', 'paketnya', 'selangit', 'telkomsel', 'penurunan', 'kualitas', 'solusi', 'minggu', 'jaringan', 'menurun', 'solusi', 'kenyamanan', 'penguna', '']</t>
  </si>
  <si>
    <t>['kualitas', 'jaringan', 'telkomsel', 'buruk', 'pengguna', 'indonesia', 'kualitas', 'jaringannya', 'memuaskan', 'penggunanya', 'kalah', 'jaringan', 'seluler', 'operator', '']</t>
  </si>
  <si>
    <t>['beli', 'kartu', 'telkomsel', 'dicurangi', 'gratis', 'sosmed', 'minggu', 'udah', 'gabisa', 'udah', 'kali', 'kek', 'gitu', 'terusss', 'nyesel', 'telkomsel']</t>
  </si>
  <si>
    <t>['proses', 'refund', 'pulsa', 'berbel', 'belit', 'bilangnya', 'ditelfon', 'proses', 'peninjauan', 'kerja', 'minggu', 'pulsa', 'tanggal', 'mei', '']</t>
  </si>
  <si>
    <t>['telkomsel', 'udah', 'berguna', 'sinyalnya', 'udah', 'parah', 'kalah', 'kartu', 'paket', 'murah', 'jaringan', 'full', 'lancar', 'ginih', 'ajah', 'sinyalnya', 'pelanggan', 'pindah', 'sebelah', '']</t>
  </si>
  <si>
    <t>['beli', 'paket', 'telpon', 'menit', 'all', 'operator', 'pemberitahuan', 'paket', 'aktif', 'lantas', 'telpon', 'nomor', 'kantor', 'selesai', 'cek', 'dipotong', 'pulsa', 'paketnya', 'telkomsel', '']</t>
  </si>
  <si>
    <t>['parah', 'banget', 'ngisi', 'kuota', 'kena', 'kesedot', 'pulsa', 'rb', 'sampe', 'menit', 'paketpun', 'gagal', 'pulsa', 'udah', 'habis', 'duluan', 'nyekek', 'banget', 'telkomsel', '']</t>
  </si>
  <si>
    <t>['telkomsel', 'beli', 'kuota', 'pulsa', 'ilang', 'ngerampok', 'halus', 'miskin', 'mafia', 'pulsa', 'mending', 'putus', 'penjahat', 'berkedok', 'kaya', 'gini', 'mah', 'ganti', 'kartu', 'wes', '']</t>
  </si>
  <si>
    <t>['tolong', 'nulis', 'paket', 'kuota', 'internet', 'otaknya', 'adakah', 'kuota', 'unlimited', 'batas', 'batas', 'pemakaian', 'otak', 'manusia']</t>
  </si>
  <si>
    <t>['sungguh', 'kecewa', 'isi', 'ulang', 'trus', 'daftar', 'paket', 'data', 'hidupin', 'data', 'disms', 'data', 'tlpn', 'pulsaq', 'berkurang', 'trus', 'beli', 'pulsa', 'kedaftar', 'paket', 'data', 'rb', 'allah', 'gusti', 'pdhl', 'maketin', 'segitu', 'klik', 'paket', 'internet', 'omg', 'rb', 'sebln', 'maketin', 'rb', 'astaughfirullah', 'sebel', '']</t>
  </si>
  <si>
    <t>['parah', 'banget', 'sinyal', 'telkomsel', 'daerah', 'cibinong', 'kab', 'bogor', 'bagus', 'lancar', 'banget', 'semenjak', 'kmarin', 'telkomsel', 'gangguan', 'sampe', 'skarang', 'bapukk', 'lelet', 'parahnya', 'sinyalnya', 'hilang', 'dalem', 'ruangan', 'sumpah', 'parah', 'banget', 'kecewa', 'kecewa', 'bet', 'gua', 'pokonya', 'kecewa', '']</t>
  </si>
  <si>
    <t>['semoga', 'sinyalnya', 'bagus', 'memudahkan', 'manapun', 'mitra', 'grab', 'terimakasih']</t>
  </si>
  <si>
    <t>['tolong', 'anlimetid', 'dipertingkatkan', 'lgi', 'normal', 'lgi', 'disemua', 'aplikasi', 'anlimetid', 'bagus', 'sya', 'kasih', 'bintang', 'dlu', 'makasih']</t>
  </si>
  <si>
    <t>['kasih', 'bintang', 'paket', 'combo', 'ribu', 'hilang', 'kemana', 'pengguna', 'pindah', 'kelain', 'hati', 'jaringan', 'internet', 'telkomsel', 'lelet', 'ampun', 'daerah', 'tasikmalaya', 'galunggung', 'cepet', 'telkomsel', 'primadona', 'tasik', 'gini', 'lelet', '']</t>
  </si>
  <si>
    <t>['paket', 'habis', 'pulsa', 'utama', 'sedot', 'maling', 'mengeluh', 'bertahun', 'sekelas', 'telkomsel', 'sistem', 'mencegah', 'pulsa', 'tersedot', 'paket', 'habis', 'edit', 'kasih', 'balasan', 'suruh', 'hub', 'mengajukan', 'keluhan', 'bertahun', 'bosan', 'ngasih', 'ulasan', '']</t>
  </si>
  <si>
    <t>['bagus', 'sinyal', 'penyajian', 'paket', 'datanya', 'udah', 'gitu', 'ngasih', 'bonus', 'menit', 'telpon', 'mendekat', 'habis', 'akrtifnya', 'pelajarilah', 'kebutuhan', 'konsumen', 'kecewa', 'semoga', 'bangkrut', '']</t>
  </si>
  <si>
    <t>['memudahkan', 'membeli', 'paket', 'internet', 'harga', 'event', 'undian', 'hadiahnya', 'menggiurkan', 'semoga', 'salah', 'hadiah']</t>
  </si>
  <si>
    <t>['app', 'lamban', 'lelet', 'kali', 'beli', 'paket', 'app', 'respon', 'isi', 'pulsa', 'berniat', 'membeli', 'paket', 'internet', 'app', 'app', 'klik', 'halamannya', 'terbuka', 'pulsa', 'terpotong', 'tersisa', 'kemana', 'sisanya', 'cek', 'riwayat', 'penggunaan', 'riwayat', 'kualitasnya', 'jelek', 'kejelasan', 'hilangnya', 'pulsa', 'pelanggan', 'aneh', '']</t>
  </si>
  <si>
    <t>['gimana', 'sistem', 'sibuk', 'isi', 'paketan', 'permberitahuan', 'sibuk', 'sibuk', 'udah', 'kemaren', 'pagi', 'cek', 'kuota', 'cek', 'pulsa', 'gimana', 'sistem', 'udah', 'paketan', 'mahal', 'sistem', 'lemot']</t>
  </si>
  <si>
    <t>['gilaaaaa', 'gua', 'pakai', 'paket', 'darurat', 'ditagih', 'via', 'sms', 'ribu', 'ditagih', 'paket', 'darurat', 'ribu', 'bayar', 'ngutang', 'paket', 'darurat', 'ngasih', 'trik', 'kotor', 'telkomsel', 'pakai', 'paket', 'darurat', 'bayar', 'tagihan', 'makan', 'uang', 'haram', 'gimana', 'kuota', 'unlimited', 'dipakai', 'belinya', 'mahal', 'dasar', 'aplikasinya', 'ditagih', 'nggak', 'nggak', '']</t>
  </si>
  <si>
    <t>['jaringan', 'telkomsel', 'lancar', 'mati', 'lampu', 'susah', 'komplen', 'tolong', 'kuota', 'malam', 'kembalikan', 'pengguna', 'kuota', 'malam', 'gb', 'kembalikan', 'rb', 'gb', 'kecewa', '']</t>
  </si>
  <si>
    <t>['woeee', 'knp', 'pulsa', 'kesedot', 'pdhl', 'blom', 'dftarin', 'kuota', 'sial', 'tlkomsel', 'jaringn', 'lemot', 'kuota', 'mahal', 'arghh', 'dhlh', 'uda', 'kli', 'pulsa', 'kesedot', 'pdhl', 'blom', 'daftarin', 'tolong', 'kerja', 'samanya', 'jan', 'kek', 'gini', '']</t>
  </si>
  <si>
    <t>['tolong', 'telkomsel', 'adakan', 'combo', 'sakti', 'unlimited', 'paket', 'combo', 'sakti', 'kuota', 'unlimitednya', 'batasi', 'kecepatannya', 'sungguh', 'buruk', 'login', 'kedalam', 'game', 'seperi', 'wild', 'rift', 'pubg', 'tolong', 'telkomsel', 'adakan', 'paket', 'combo', 'sakti']</t>
  </si>
  <si>
    <t>['tolong', 'admin', 'kembalikan', 'combo', 'sakti', 'batas', 'pemakaian', 'mah', 'enak', 'beli', 'unlimited', 'bener', 'unlimited', 'sampe', 'tgl', 'tentukan', 'skrng', 'mah', 'batas', 'pemakaian', 'puas', 'unlimited', 'namanya', 'udah', 'combo', 'sakti', 'batas', 'pemakaian', 'batas', 'pemakaian', '']</t>
  </si>
  <si>
    <t>['unlimited', 'gimick', 'kuota', 'habis', 'stream', 'youtube', 'full', 'buka', 'playstore', 'nggak', 'jalan', 'harga', 'paketan', '']</t>
  </si>
  <si>
    <t>['tolong', 'promonya', 'udah', 'batas', 'dihapus', 'promo', 'nggak', 'capek', 'beli', 'pulsa', 'udah', 'disuruh', 'tunggu', 'notif', 'pembelian', 'kunjung', 'masuk']</t>
  </si>
  <si>
    <t>['kemarin', 'cek', 'kuota', 'tambahan', 'paket', 'nelpon', 'kuota', 'udh', 'sng', 'paket', 'darurat', 'pdahal', 'sblmnya', 'sya', 'dftar', 'pket', 'drurat', 'suruh', 'byr', 'byrin', 'njir', 'pke', 'kga', 'suruh', 'byr', 'gimana', 'sehhh', 'bayar', 'biarin', 'telkomsel', 'rugi', '']</t>
  </si>
  <si>
    <t>['ngak', 'jaringan', 'kemaren', 'jaringan', 'hilang', 'hilang', 'jaringan', 'full', 'ngak', 'bukak', 'ngak', 'bukak', 'youtube', 'bales', 'chat', 'gini', 'mohon', 'donk', 'perbaiki', 'puas', 'telkomsel', 'sumpah', 'jaringan', 'kualitas', 'kayak', 'emang', 'paket', 'murah', 'bagusin', 'napa', 'member', 'puas', 'layanan', 'kayak', 'gini']</t>
  </si>
  <si>
    <t>['kecewa', 'banget', 'paket', 'combo', 'sakti', 'unlimitednya', 'dibatasi', 'kecepatan', 'beli', 'deh', 'udah', 'mahal', 'dibatasi', 'kecepatan', 'mending', '']</t>
  </si>
  <si>
    <t>['aplikasi', 'knapa', 'buka', 'aplikasi', 'merespon', 'muat', 'ulang', 'bingung', 'aplikasi', 'mencek', 'paket', 'internet', 'kali', 'aplikasi', 'sampah']</t>
  </si>
  <si>
    <t>['beli', 'paket', 'unlimited', 'lelet', 'pakai', 'main', 'game', 'sinyalnya', 'merah', 'telkomsel', 'drop', 'gini', 'jaringannya', 'mohon', 'diperhatikan', 'telkomsel', 'mohon', 'harga', 'paket', 'unlimited', 'murah']</t>
  </si>
  <si>
    <t>['tingkat', 'kualitas', 'jaringan', 'ujung', 'pelosok', 'jagad', 'nusantara', 'indonesia', 'terimakasih', 'merasakan', 'manja', 'pengguna', 'kota', 'kota', 'paham', '']</t>
  </si>
  <si>
    <t>['telkomsel', 'melaporkan', 'keluhan', 'masyarakat', 'daerah', 'kecamatan', 'barulak', 'kab', 'agam', 'sumatra', 'barat', 'bahwasannya', 'jaringan', 'internet', 'telkomsel', 'berfungsi', 'masyarakat', 'anak', 'disana', 'kesulitan', 'mengakses', 'jaringan', 'internet', 'sekolah', 'daring', 'ats', 'pengertian', 'batuan', 'telkomsel', 'melancarkan', 'jaringan', 'internet', 'anak', 'mengakses', 'jaringan', 'interner', 'yng', 'bagus', 'sekolah', 'daring', 'makasih']</t>
  </si>
  <si>
    <t>['beli', 'paket', 'internetnnya', 'ditulis', 'dibeli', 'langsung', 'aktifkan', 'datanya', 'dibuka', 'kemakan', 'pulsa', 'aktif', 'paketnya', 'mohon', 'banget', 'diperbaiki', 'aplikasinya', 'error', '']</t>
  </si>
  <si>
    <t>['kecewa', 'banget', 'ama', 'telkomsel', 'paketan', 'mahal', 'paket', 'unlimited', 'pembagiannya', 'undi', 'poin', 'kartu', 'paketan', 'mahal', 'dibanding', 'simpati', 'promonya', 'berbeda', 'telkomsel', 'smakin', 'pemakai', 'kartu', 'kadang', 'iri', 'provider', 'pengguna', 'telkomsel', 'karna', 'paketanku', 'mahal', 'jarang', 'promo']</t>
  </si>
  <si>
    <t>['mohon', 'kpd', 'telkomsel', 'masuk', 'telkomsel', 'leg', 'leg', 'jaringan', 'bagus', 'masuk', 'mai', 'beli', 'kouta', 'nge', 'leg', 'leg', 'jaringan', 'bagus', 'sekian', 'trimakasih', 'mohon', 'ditangani', 'telkomsel']</t>
  </si>
  <si>
    <t>['bagus', 'aplikasinya', 'terkadang', 'koneksi', 'bermasalah', 'silahkan', 'coba', 'tolong', 'aplikasinya', 'bug', 'lag']</t>
  </si>
  <si>
    <t>['jaringan', 'telkomsel', 'jelek', 'kampung', 'kota', 'jaringan', 'bagus', 'buruk', 'jaringannya', 'udh', 'pelanggan', 'telkomsel', 'gini', 'pindah', 'profaider']</t>
  </si>
  <si>
    <t>['nanya', 'telkomsel', 'lemut', 'lelet', 'beli', 'kartu', 'telkomsel', 'unlimited', 'sinyal', 'ful', 'lelet', 'parah', '']</t>
  </si>
  <si>
    <t>['tolong', 'jaringan', 'telkomsel', 'buruk', 'kaya', 'tolong', 'perbaiki', 'buka', 'app', 'buka', 'app', 'telkomsel', 'udah', 'susah', 'kebuka', '']</t>
  </si>
  <si>
    <t>['sebenernya', 'aplikasi', 'ribet', 'banget', 'suka', 'gimana', 'cek', 'kuota', 'suka', 'nomor', 'yasudahlah', 'semoga', 'diperbaiki', 'mempermudah']</t>
  </si>
  <si>
    <t>['woii', 'telkomsel', 'jaringan', 'nggak', 'nggak', 'konsisten', 'nyuruh', 'banting', 'pas', 'liat', 'video', 'lancar', 'jaringan', 'pas', 'ngegame', 'ilang', 'menguras', 'paket', 'lancar', 'nonton', 'video', 'youtube', 'pas', 'ngegame', 'ngeleg', '']</t>
  </si>
  <si>
    <t>['sayangkan', 'minggu', 'jaringan', 'buruk', 'jam', 'segini', 'susah', 'bagus', 'bagus', 'mohon', 'perbaikan', '']</t>
  </si>
  <si>
    <t>['maaf', 'keluhan', 'beli', 'paket', 'nomor', 'mahal', 'cek', 'dinomor', 'teman', 'murah', 'murah', 'isi', 'pulsa', 'bole', 'harga', 'paketnya', 'dikurangi', 'dikit', 'kekecewaan']</t>
  </si>
  <si>
    <t>['paketan', 'kartu', 'beda', 'kartu', 'harga', 'paketan', 'mahal', 'kaya', 'provider', 'sebelah', 'kartu', 'paketan', 'harga', 'samakan', 'selebih', 'bagus', 'terima', 'kasih', '']</t>
  </si>
  <si>
    <t>['sinyal', 'telkomsel', 'jelek', 'trus', 'kayak', 'dlu', 'klau', 'main', 'game', 'macet', 'trus', 'kadang', 'sinyal', 'suka', 'ilang', 'sesuai', 'harga', 'paket', 'selangit', 'minggu', 'ganti', 'kartu', 'klau', 'blum', 'perbaiki', 'mending', 'pke', 'murah', 'sinyal', 'bagus']</t>
  </si>
  <si>
    <t>['smoga', 'mytelkomsel', 'maju', 'harga', 'paket', 'terjangkau', 'sukses', 'mytelkomsel', 'mohon', 'diperbaiki', 'mslah', 'login', 'masuk', 'knapa', 'pdahal', 'nmor', 'masukan', 'terimakasih']</t>
  </si>
  <si>
    <t>['unlimited', 'udah', 'abis', 'kuota', 'utama', 'unlimited', 'gunainnnn', 'tolong', 'udah', 'mahal', 'beliii', '']</t>
  </si>
  <si>
    <t>['meningkatkan', 'jaringan', 'internet', 'jualan', 'paket', 'internet', 'jaringan', 'mutu', 'cuaca', 'normal', 'hilang', 'sinyal', 'mending', 'jam', 'mah', 'berhari', 'lokasi', 'kota', 'kampung', 'banding', 'kemana', 'nama', 'doang', 'gede', 'nyesel', 'berlanganan', '']</t>
  </si>
  <si>
    <t>['bertahun', 'pakai', 'telkomsel', 'kali', 'kecewa', 'paket', 'unlimitednya', 'unlimited', 'telkomsel', 'ganti', 'nama', 'paketnya', 'orang', 'tertipu', 'kayak', '']</t>
  </si>
  <si>
    <t>['apk', 'pulsa', 'banget', 'ilang', 'udh', 'dipake', 'kau', 'kartu', 'telkom', 'kartu', 'nyedot', 'pulsa', 'pengguna', 'kebuang', 'duit', 'telkom', 'kau', 'bjgn']</t>
  </si>
  <si>
    <t>['pengguna', 'telkom', 'sel', 'tinggal', 'dsn', 'kajar', 'gading', 'watu', 'kec', 'menganti', 'gresik', 'jatim', 'daerah', 'utuk', 'signal', 'jelek', 'daerah', 'dsn', 'tanjung', 'dukuan', 'kec', 'kedamean', 'gresik', 'jugaga', 'jaringan', 'signal', 'bagus', 'org', 'produk', 'kartu', 'mohon', 'survei', 'lapanga', 'kebaikan', 'trim', '']</t>
  </si>
  <si>
    <t>['payah', 'beli', 'youtube', 'ketengan', 'sehari', 'unlimited', 'nyedot', 'pulsa', 'utama', 'disedot', 'pulsa', 'youtubenya', 'jalan', 'youtube', 'jalan', 'nyedot', 'paket', 'unlimitednya', 'udah', 'buktikan', 'kuota', 'utama', 'nol', 'film', 'youtubenya', 'jalan', 'pdhl', 'paket', 'unlimited', 'youtube', 'udah', 'komplain', 'kuota', 'utama', 'tunggu', 'habis', 'kuota', 'youtubenya', 'donk', 'beda', 'indosat', 'kuota', 'utama', 'kesedot', 'komplain', 'langsung', 'diganti', 'besoknya', 'payah', 'telkomsel', '']</t>
  </si>
  <si>
    <t>['males', 'telkomsel', 'jaringan', 'nggak', 'lancar', 'mahal', 'mah', 'iya', 'ditambah', 'paket', 'unlimited', 'nggak', 'bener', 'unlimited', 'batasi', 'kuota', 'pulsa', 'kuota', 'habis', 'langsung', 'ngabisin', 'pulsa', '']</t>
  </si>
  <si>
    <t>['main', 'game', 'online', 'pingnya', 'stabil', 'kadang', 'san', 'kadang', 'ping', 'bagus', 'realitanya', 'sesuai', 'dengang', 'ping', 'pubg', 'mohon', 'telkomsel', 'kerja', 'pengen', 'untungnya', '']</t>
  </si>
  <si>
    <t>['busuk', 'bug', 'dimana', 'error', 'error', 'error', 'error', 'udh', 'paketan', 'mahal', 'sinyal', 'untung', 'bagus', 'ditambah', 'pelayanan', 'aplikasi', 'parah', 'minus', 'kasih', 'minus', 'ketambahan', 'busuk', 'nge', 'redeem', 'check', 'poin', 'app', 'berhasil', 'tpi', 'pesan', 'masuk', 'cek', 'kuota', 'masuk', 'wkwkw']</t>
  </si>
  <si>
    <t>['jelex', 'kuota', 'multimedia', 'beli', 'paket', 'unlimited', 'combo', 'sakti', 'sisa', 'gb', 'kecepatan', 'diturunin', 'kbps', 'memburuk', 'harga', 'kuota', 'dinaikin', '']</t>
  </si>
  <si>
    <t>['paket', 'bulanan', 'full', 'kadi', 'indihome', 'kartu', 'telkomsel', 'wilayah', 'tenggarong', 'sebrang', 'kualitas', 'data', 'inet', 'parah', 'siang', 'malam', 'parahnya', 'larna', 'tolong', 'perbaiki', 'bos', '']</t>
  </si>
  <si>
    <t>['pencapaian', 'bagus', 'didapatkan', 'tekomsel', 'sinyal', 'digit', 'ngelag', 'mengapresiasi', 'terima', 'kasih', 'telkomsel', 'kengelagan', 'berkrlas']</t>
  </si>
  <si>
    <t>['ribet', 'login', 'telkomsel', 'dimasukin', 'nomernya', 'link', 'sgala', 'lambat', 'uninstall', 'ajj', 'telkomsel', 'jelek', 'jaringan', 'jelek', 'banget', 'dibanggakan', 'disayangkan', 'paket', 'habis', 'bukanya', 'internetnya', 'mati', 'nyolong', 'pulsa', 'dipaketin', 'parah', 'pokoknya', '']</t>
  </si>
  <si>
    <t>['hapus', 'istilah', 'kuota', 'unlimited', 'youtube', 'penipuan', 'edit', 'menghubungi', 'telkomsel', 'ketentuan', 'solusi', '']</t>
  </si>
  <si>
    <t>['beli', 'pulsa', 'dimakan', 'teruss', 'kemarin', 'minjam', 'beli', 'pulsa', 'dimakan', 'dimakan', 'dimakan', 'penipuann', 'aplikasi', 'aplikasi', 'jelek']</t>
  </si>
  <si>
    <t>['kasih', 'bintang', 'kemarin', 'pulsa', 'hilang', 'pakek', 'nelpon', 'sms', 'kuota', 'internet', 'pulsa', 'hilang', 'mohon', 'bantuan']</t>
  </si>
  <si>
    <t>['beli', 'kuota', 'unlimitit', 'youtube', 'pakai', 'kesedot', 'kuota', 'reguler', 'reguler', 'habis', 'pelanggan', 'mengecewakan', 'pelayanan', 'veronika', 'solusi', '']</t>
  </si>
  <si>
    <t>['parah', 'banget', 'sumpah', 'dikasih', 'paket', 'unlimited', 'game', 'udah', 'mahal', 'paket', 'unlimited', 'lemot', 'super', 'super', 'lemot', 'banget', 'tinggal', 'kota', 'kasih', 'mbps', 'game', 'banget', 'dikasih', 'unlimited', 'super', 'lemot', 'mending', 'axix', 'dasar', 'lemottttttt', '']</t>
  </si>
  <si>
    <t>['', 'pakai', 'kartu', 'paketan', 'tetal', 'mahal', 'nggak', 'prioritas', 'pelanggan', 'kartu', 'kartu', 'sakti', 'aneh', 'nggak', 'bayar', 'pakai', 'virtual', 'account', 'bca', 'capek', 'deh', 'shopee', 'pay', 'pakai', 'jaringan', 'telkomsel', 'akses', 'sap', 'diblok', 'pakai', 'plat', 'merah', 'kudet', 'kalah', 'lancar', 'bukanya']</t>
  </si>
  <si>
    <t>['telkomsel', 'mohon', 'penjelasannya', 'knp', 'paket', 'internet', 'berbeda', 'nomor', 'paket', 'combo', 'sakti', 'unlimited', 'cuman', 'dpt', 'combo', 'sakti', 'telkomsel', 'thn', 'terimakasih']</t>
  </si>
  <si>
    <t>['tolong', 'telkomsel', 'perbaiki', 'udah', 'isi', 'paket', 'seminggu', 'gb', 'seharga', 'paket', 'gb', 'tgl', 'pemakaian', 'paket', 'darurat', 'rb', 'rb', 'rb', 'memakai', 'paket', 'darurat', 'woyy']</t>
  </si>
  <si>
    <t>['', 'udah', 'minggu', 'ngapa', 'ngapain', 'belajar', 'karna', 'karna', 'telkomsel', 'jaringan', 'kecepatan', 'kb', 'bales', 'chat', 'lambat', 'gb', 'data', 'buang', 'karna', 'kualitas', 'jaringan', 'darah', '']</t>
  </si>
  <si>
    <t>['', 'mahal', 'produk', 'telkomsel', 'mahal', 'nomor', 'penipuan', 'masuk', 'handphone', 'tanggapan', 'telkomsel', 'provider', 'layanan', 'komunikasi', 'melindungi', 'konsumennya', 'orang', 'teman', 'nomor', 'informasi', 'pribadi', 'mohon', 'banti']</t>
  </si>
  <si>
    <t>['aktif', 'paket', 'data', 'minggu', 'habs', 'kuota', 'lgsg', 'nyesot', 'pulsa', 'reg', 'lgsg', 'hbss', 'menit', 'pulsa', 'hbs', 'dsedot', 'pke', 'kartu', 'jni', 'nysel', '']</t>
  </si>
  <si>
    <t>['aneh', 'penawaran', 'paket', 'gceria', 'pas', 'beli', 'masuk', 'paketnya', 'niat', 'ngasih', 'promo', 'bumn', 'negara', 'parah', 'pengguna', 'kecewa', 'chat', 'veronika', 'mohon', 'menunggu', 'sebentar', 'penyelesaian', 'telkomsel', 'mengecewakan']</t>
  </si>
  <si>
    <t>['maunya', 'telkomsel', 'membuatkan', 'paket', 'combo', 'sakti', 'unlimitedmax', 'bebas', 'akses', 'chat', 'music', 'games', 'sosmed', 'youtube', 'sepuasnya', 'batas', 'kuota', 'kecepatan', 'batas', 'pemakaian', 'wajar', 'fup', 'berlaku', 'nasional', 'wilayah', 'indonesia', 'kartu', 'perdana', 'simpati', 'kartu', 'loop', 'contoh', 'paket', 'combo', 'sakti', 'unlimitedmax', 'combo', 'sakti', 'gb', 'unlimitedmax', 'rp', 'ribu', 'hr', 'combo', 'sakti', 'gb', 'unlimitedmax', 'rp', 'ribu', 'hr', 'combo', 'sakti', 'gb', 'unlimitedmax', 'rp', 'ribu', 'hr', 'combo', 'sakti', 'gb', 'unl']</t>
  </si>
  <si>
    <t>['knp', 'hutang', 'pulsa', 'tpi', 'dpt', 'sms', 'ngutang', 'pulsa', 'darurat', 'udh', 'lapor', 'apk', 'veronika', 'udh', 'adminnya', 'nemu', 'udh', 'tungguin', 'sejam', 'mlh', 'chat', 'pamit', 'gmn', 'tolong', 'telkomsel', 'nemu', 'solusinya', 'ganti', 'kartu']</t>
  </si>
  <si>
    <t>['semalam', 'beli', 'paket', 'gb', 'uda', 'hbs', 'gratisan', 'nelfon', 'sms', 'dipakee', 'nelfon', 'sms', 'pulsa', 'gunanya', 'beli', 'paket', 'paket', 'utama', 'beress', 'bener', '']</t>
  </si>
  <si>
    <t>['aplikasi', 'diupdate', 'buruk', 'memuat', 'ulang', 'pdhl', 'tsel', 'app', 'beli', 'paket', 'data', 'dll', 'aplikasi', 'knp', 'tsel', 'miskin', 'sok', 'kembangin', 'aplikasi', 'tsel', 'app', 'masi', 'bermaslah', 'reload', 'aplikasi', 'pdhl', 'pakai', 'jaringan', 'wifi', 'mbps', 'drmh', 'tsel', 'aplikasi', 'knp', 'diharapkan']</t>
  </si>
  <si>
    <t>['penggunaan', 'telkomsel', 'membantu', 'pemilihan', 'paket', 'sesuai', 'kebutuhan', 'info', 'terkini', 'telkomsel', 'merekomendasikan', 'mendownload', 'telkomsel', 'pengguna', 'telkomsel', 'terima', 'kasih', 'telkomsel', '']</t>
  </si>
  <si>
    <t>['kartu', 'hallo', 'perangkap', 'kejam', 'telkomsel', 'cuman', 'ngandelin', 'sales', 'janji', 'manis', 'bayar', 'pulsa', 'bayar', 'pajak', 'zholim', 'semoga', 'neraka', 'jahanam', '']</t>
  </si>
  <si>
    <t>['berhenti', 'maxtremm', 'gimana', 'ngk', 'kuotanya', 'pas', 'iai', 'pulsa', 'ehh', 'hilang', 'ribu', 'perpanjangan', 'ngk', 'gunanya', 'ngk', 'berlangganan', 'denga', 'nyuri', 'masak', 'perusaahaan', 'telkom', 'nyuri', '']</t>
  </si>
  <si>
    <t>['pelanggan', 'setia', 'telkomsel', 'kali', 'kecewa', 'beli', 'paket', 'bln', 'hangus', 'sisa', 'gb', 'cek', 'aplikasi', 'paket', 'beli', 'parah', '']</t>
  </si>
  <si>
    <t>['terimakasih', 'telkomsel', 'indonesia', 'aplikasi', 'bantu', 'orang', 'tua', 'pedesaan', 'check', 'sisa', 'kuota', 'internet', 'beli', 'paket', 'internet', 'pulsa', 'video', 'call', 'jarak', 'melepaskan', 'kangen', 'keluarga', 'desa', 'ujung', 'pandan', 'kecamatan', 'siempat', 'nempu', 'hulu', 'kabupaten', 'dairi', 'sidikalang', 'sumut', 'situasi', 'pandemi', 'covit', 'ngak', 'pulang', 'desa', 'mendukung', 'program', 'pemerintah']</t>
  </si>
  <si>
    <t>['tolong', 'say', 'beli', 'paket', 'data', 'berlaku', 'beli', 'tgl', 'mei', 'malam', 'pesanya', 'masuk', 'tgl', 'juni', 'hitung', 'cuka', 'berlaku', 'harinya', 'keman', 'penipuankan', 'selisih', '']</t>
  </si>
  <si>
    <t>['buruk', 'sisa', 'pulsa', 'diambil', 'bulannya', 'paket', 'nelpon', 'paket', 'internet', 'sisa', 'pulsa', 'disedot', 'sehari', 'internet', 'wifi', 'paket', 'internet', 'data', 'seluler', 'hebat', 'sisa', 'pulsa', 'disedot', '']</t>
  </si>
  <si>
    <t>['mahal', 'telkomsel', 'parah', 'paket', 'malam', 'skrng', 'mati', 'setan', 'klian', 'mencekik', 'masyarakat', '']</t>
  </si>
  <si>
    <t>['aplikasinya', 'bagus', 'membantu', 'kecewa', 'telkomsel', 'harga', 'paket', 'ketentuan', 'paket', 'combo', 'sakti', 'knp', 'potong', 'potong', 'kuotanya', 'harap', 'diperhatikan', 'pengguna', 'telkomsel', 'berat']</t>
  </si>
  <si>
    <t>['kartu', 'andalan', 'udah', 'minggu', 'jaringan', 'buruk', 'pakai', 'telkomsel', 'karna', 'jaringan', 'bagus', 'kebalikanya', 'main', 'game', 'emosi', 'karna', 'sinyal', 'buruk']</t>
  </si>
  <si>
    <t>['kak', 'barus', 'beli', 'paket', 'suprise', 'del', 'jaringan', 'jelek', 'paket', 'jaringan', 'lomot', 'aneh', 'enak', 'gimana', 'ngatasinnya', '']</t>
  </si>
  <si>
    <t>['beli', 'paket', 'disney', 'hotsar', 'aplikasi', 'dibuka', 'tpi', 'putar', 'video', 'loading', 'tolong', 'diperbaiki', 'langganan', 'tpi', 'ditonton']</t>
  </si>
  <si>
    <t>['ditawari', 'paket', 'halo', 'murah', 'fasilitas', 'ragu', 'ambil', 'komentar', 'kecewa', 'puas', 'semoga', 'telkomsel', 'meningkatkan', 'pelayanan', 'kepercayaan', 'pelanggan', '']</t>
  </si>
  <si>
    <t>['memudahkan', 'pelanggan', 'pascabayar', 'tinggal', 'klik', 'apapun', 'butuh', 'langsung', 'terwujudkan', 'hitungan', 'detik', 'menarik', 'undian', 'poin', 'bulanan', 'mobil', 'semoga', 'ngerasain', 'telkomsel', 'aminnn', '']</t>
  </si>
  <si>
    <t>['paket', 'sosmed', 'buka', 'sosmed', 'dipakai', 'kuota', 'utama', 'curang', 'telkomsel', 'sinyal', 'ngelag', 'bagusan', 'kartu', 'telkomsel', 'harga', 'kualitas', 'sinyal', 'pelayanan', 'pulsa', 'tersedot', 'dipakai', 'kuota']</t>
  </si>
  <si>
    <t>['pembelian', 'aplikasi', 'promo', 'pas', 'beli', 'bat', 'gunanya', 'aplikasi', 'mempermudah', 'kesel', 'email', 'smpe', 'paket', 'aktivasi', 'payah', '']</t>
  </si>
  <si>
    <t>['mantap', 'pengguna', 'tsel', 'setia', 'puas', 'semoga', 'promo', 'paketan', 'internet', 'pengguna', 'setia', 'terimakasih', '']</t>
  </si>
  <si>
    <t>['ganti', 'kartu', 'telkomsel', 'udah', 'percaya', 'beli', 'paket', 'ajah', 'susahnya', 'ampun', 'butuh', 'banget', 'lapor', 'nunggu', 'nunggu', 'solusinya', '']</t>
  </si>
  <si>
    <t>['min', 'paket', 'ribu', 'gb', 'promonya', 'sampe', 'juni', 'beli', 'mei', 'ampe', 'kagak', 'paketnya', 'murah', '']</t>
  </si>
  <si>
    <t>['mikirin', 'nomor', 'telkomsel', 'udah', 'kedaftar', 'dimana', 'urusan', 'kantor', 'perbankan', 'market', 'place', 'udah', 'buang', 'kartunya', 'karna', 'udh', 'dri', 'jaman', 'batu', 'smpe', 'skarang', 'penuh', 'pertimbangan', 'jaringan', 'kyk', 'gini', 'aktifin', 'paket', 'telkomsel', 'udah', 'murka', 'jaringannya', '']</t>
  </si>
  <si>
    <t>['aplikasi', 'bagus', 'login', 'muncul', 'koneksi', 'buruk', 'koneksi', 'internet', 'lancar', 'diperbaiki', 'bintang', '']</t>
  </si>
  <si>
    <t>['masak', 'beli', 'pulsa', 'rb', 'detik', 'pulsa', 'rb', 'langsung', 'habis', 'kali', 'beli', 'pulsa', 'gitu', 'bingung', 'habis', 'pulsa', 'mencoba', 'hapus', 'dlu', 'aplikasi', 'aplikasi', 'suka', 'mencuri', 'pulsa', 'orang', 'moga', 'aplikasi', 'telkomsel', 'masu', 'neraka', '']</t>
  </si>
  <si>
    <t>['min', 'tolong', 'pulsa', 'kesedot', 'normal', 'beli', 'paket', 'internet', 'kesedot', 'mohon', 'konfirmasinya', 'telefon', 'sms', '']</t>
  </si>
  <si>
    <t>['aneh', 'appk', 'stlh', 'capek', 'mlkkn', 'cek', 'hasilnya', 'sia', 'dpt', 'dipakai', 'biarlah', 'bintang', 'berbicara', '']</t>
  </si>
  <si>
    <t>['koq', 'paket', 'gb', 'unlimited', 'jelek', 'banget', 'paket', 'gb', 'habis', 'unlimitednya', 'dipakai', 'kadang', 'kecepatan', 'lambat', 'habis', 'fupnya']</t>
  </si>
  <si>
    <t>['internet', 'lemot', 'banget', 'wifi', 'maleh', 'kenceng', 'adil', 'pakai', 'semenit', 'internet', 'lemot', 'udah', 'gb', 'menyesal', 'beli', 'telkomsel', 'udah', 'mahal', 'lemot']</t>
  </si>
  <si>
    <t>['sehat', 'paket', 'internet', 'lokal', 'gua', 'kagak', 'dipake', 'gua', 'ngaktifinnya', 'kampung', 'gua', 'paket', 'internetnya', 'habis', 'paket', 'lokal', 'gua', 'udah', 'terkumpul', 'udah', 'giga', 'gunanya', 'woy', 'pajangan', 'doang', 'otak', '']</t>
  </si>
  <si>
    <t>['dowlond', 'telkomsel', 'nomor', 'promo', 'telkomsel', 'internet', 'mahal', 'sinyal', 'mati', 'lampu', 'hilang', 'telpon', 'gimana', 'solusinya', 'telkomsel', 'kerjaan', 'terhambat', 'gara', 'gara', 'sinyal', '']</t>
  </si>
  <si>
    <t>['senang', 'isi', 'paket', 'combo', 'sakti', 'paket', 'unlimited', 'nda', 'paket', 'unlimited', 'paket', 'internet', 'sinyal', 'lelet', 'senng', 'pembelian', 'mahal', 'jaring', 'pengambilan', 'datanya', 'sesuai', 'mohon', 'diubah', 'pengambilan', 'datanya', 'semoga', 'cepat', 'diubah', 'telkomsel']</t>
  </si>
  <si>
    <t>['sinyalnya', 'bagus', 'sinyalnya', 'kadang', 'daerah', 'tinggal', 'kekuatan', 'sinyalnya', 'mohon', 'perkuat', 'sinyalnya', 'mudah', 'buka', 'internet', 'lainya', 'terima', 'kasih', '']</t>
  </si>
  <si>
    <t>['kesini', 'gila', 'udh', 'paket', 'mahal', 'jaringan', 'suka', 'ilang', 'pulsa', 'kesedot', 'mulu', 'dll', 'aneh', 'pas', 'maen', 'jaringan', 'hilang', 'kesulitan', 'bermainnya', 'tolong', 'penjelasan', '']</t>
  </si>
  <si>
    <t>['jenis', 'paket', 'kartu', 'kartu', 'suami', 'paketnya', 'telkomsel', 'pdhl', 'tahunan', 'pelanggan', 'telkomsel', 'malas', 'isi', 'isi', 'paket', 'internet']</t>
  </si>
  <si>
    <t>['aplikasi', 'ribet', 'kirim', 'screenshot', 'aplikasi', 'ketiga', 'ruwet', 'upload', 'gambarnya', 'link', 'dikasih', 'langsung', 'kirim', 'customer', 'service']</t>
  </si>
  <si>
    <t>['mudah', 'giliran', 'pemenang', 'telkomsel', 'poin', 'telkomsel', 'rezekinya', 'amin']</t>
  </si>
  <si>
    <t>['trma', 'kasih', 'mantep', 'kartu', 'hallo', 'mengerti', 'pelanggannya', 'pelayanannya', 'memudahkan', 'akses', 'internet', 'pelanggannya', 'hati', '']</t>
  </si>
  <si>
    <t>['kesini', 'nambah', 'bagus', 'pelayanannya', 'rusak', 'paket', 'combo', 'tertera', 'unlimited', 'game', 'kuota', 'utama', 'habis', 'dipake', 'nge', 'game', 'nge', 'lag', 'muter', 'penipuan', 'berkedok', 'paket', 'unlimited', 'percaya', 'coba', 'kelean', 'buktikan', 'kuota', 'utama', 'habis', 'maen', 'lobi', 'muter', 'pindah', 'provider', 'bye', 'telkampret', '']</t>
  </si>
  <si>
    <t>['nanya', 'aplikasi', 'berkaitan', 'telkomsel', 'mis', 'roli', 'redi', 'blm', 'link', 'dijadikan', 'aplikasi', 'pengisian', 'paketnya', 'dibedakan', 'kartu', 'kartu', 'mahal', 'paketnya', 'sisi', 'kartu', 'murah', 'pengisian', 'paket', 'mohon', 'maaf', 'ratingnya', 'rubah', 'terima', 'kasih']</t>
  </si>
  <si>
    <t>['aplikasi', 'lambat', 'terbuka', 'isi', 'pulsa', 'beli', 'paket', 'bertambah', 'paket', 'download', 'aplikasi', 'fita', 'mendaftar', 'paket', 'gb', 'dijanjikan']</t>
  </si>
  <si>
    <t>['halo', 'telkomsel', 'knp', 'kuota', 'murah', 'habis', 'kuota', 'mahal', 'mahal', 'ngk', 'kartu', 'dimurahkan', 'kartu', 'teman', 'gb', 'harganya', 'gue', 'harganya', 'terima', 'kek', 'gitu', 'mohon', 'permurhakan', 'paket', 'internet', 'terima', 'kasih']</t>
  </si>
  <si>
    <t>['beli', 'paket', 'gb', 'harga', 'unlimated', 'bebas', 'kuota', 'utama', 'habis', 'harganya', 'unlimatednya', 'dikurangin', 'gb', 'doang', 'males', 'harganya', 'kuota', 'kurangin', 'beli', 'paket', 'harganya', 'aneh', '']</t>
  </si>
  <si>
    <t>['jaringan', 'jelek', 'heran', 'pengguna', 'sel', 'jaringannya', 'hancur', 'super', 'lelet', 'dikota', 'medan', 'pelosok', 'kuota', 'tolong', 'solusinya', 'emosi', 'liat', 'lelet', 'jaringan', '']</t>
  </si>
  <si>
    <t>['aplikasi', 'simple', 'berat', 'nyedot', 'kuota', 'fitur', 'lock', 'pulsa', 'kesedot', 'kuota', 'hbs', 'provider', 'sebelah', 'fitur', 'gtu', 'pelanggan', 'aman', 'takut', 'pulsa', 'ilang', '']</t>
  </si>
  <si>
    <t>['min', 'daerah', 'dengat', 'bts', 'telkomsel', 'operator', 'tercover', 'mhz', 'mhz', 'pengguna', 'telkomsel', '']</t>
  </si>
  <si>
    <t>['telkomsel', 'lemot', 'banget', 'pengguna', 'setia', 'telkomsel', 'kecewa', 'banget', 'kota', 'bukittinggi', 'telkomsel', 'rajanya', 'mah', 'rajanya', 'lemot']</t>
  </si>
  <si>
    <t>['udh', 'kesel', 'banget', 'sinyal', 'telkomsel', 'udh', 'stabil', 'cepat', 'perbaiki', 'stress', 'ngapa', 'ngapain', 'sinyal', 'sebagus', 'kaya', '']</t>
  </si>
  <si>
    <t>['pengguna', 'telkomsel', 'pergi', 'performa', 'kualitas', 'telkomsel', 'menurun', 'prediksi', 'ilang', 'pelanggan', 'telkomsel', 'sebentar', 'pelanggan', 'loyal', 'ganti', 'kartu', 'rekomen', 'banget', 'nggk', 'kecewa']</t>
  </si>
  <si>
    <t>['apk', 'bagus', 'mudah', 'gitu', 'murah', 'beli', 'paket', 'cepat', 'diprosesnya', 'nggak', 'repot', 'cari', 'konter', 'tinggal', 'buka', 'apk', 'rebahan']</t>
  </si>
  <si>
    <t>['suka', 'disney', 'hotstarr', 'heran', 'konsumen', 'udah', 'berlangganan', 'disney', 'hotstarr', 'telkomsel', 'maksain', 'konsumen', 'suka', 'pulsa', 'sisa', 'hilang', 'gara', 'disney', 'hotstarr', 'brengsek', 'nie', 'copet', 'pulsa', 'konsumen', 'pelayanan', 'sinyal', 'telkomsel', 'buruk', 'jelek', 'banget', '']</t>
  </si>
  <si>
    <t>['paket', 'telkomsel', 'download', 'streaming', 'lelet', 'mb', 'didownload', 'jam', 'selesai', 'buka', 'you', 'tube', 'menit', 'diklik', 'terbuka', 'nyesal', 'beli', 'paket', 'telkomsel', 'udah', 'mahal', 'layanan', 'memuaskan', 'sebulan', 'habis', 'kepake', 'kampreeeet', 'yuk', 'rame', 'check', 'out', 'telkomsel', '']</t>
  </si>
  <si>
    <t>['buruk', 'telkomsel', 'kecewa', 'telkomsel', 'transaksi', 'penawaran', 'promo', 'murah', 'mahal', 'dibandingkan', 'promo', 'nomor', 'jenis', 'promo', '']</t>
  </si>
  <si>
    <t>['beli', 'paket', 'masuk', 'riwayat', 'paket', 'beli', 'paket', 'data', 'masuk', 'pulsa', 'terpotong', 'kecewa', 'aplikasi', 'update']</t>
  </si>
  <si>
    <t>['kuata', 'jatuh', 'tempo', 'sisa', 'tanggal', 'tidaj', 'aktif', 'live', 'streaming', 'ibadah', 'minggu', 'jam', 'wib', 'mohon', 'diperhatikan', 'terima', 'kasih']</t>
  </si>
  <si>
    <t>['internet', 'lamban', 'duga', 'telkomsel', 'sengaja', 'melambankannya', 'cantumkan', 'prodaknya', 'telkomsel', 'buktinya', 'membeli', 'kuota', 'giga', 'coba', 'kecepatan', 'internetnya', 'lamban', 'kuota', 'aplikasi', 'browser', 'youtube', 'lamban', 'coba', 'beli', 'kuota', 'unlimited', 'youtube', 'kecepatannya', 'cepat', 'kecewa', 'mentang', 'bumn', '']</t>
  </si>
  <si>
    <t>['kasi', 'bintang', 'pas', 'beli', 'kuota', 'unlimited', 'kecepatan', 'jaringannya', 'menurun', 'kuota', 'batas', 'wajar', 'tela', 'jabis', 'trus', 'beli', 'kuota', 'unlimited', 'streming', 'yotube', 'kayak', 'layak', 'udah', 'beli', 'paket', 'mahal', 'buka', 'app', 'social', 'media', 'kecepatan', 'jaringan', 'menurun', 'kayak', 'kuota', 'proses', 'jaringannya', 'lemah', '']</t>
  </si>
  <si>
    <t>['sata', 'asn', 'penyuluh', 'pertanian', 'kerjanya', 'lapangan', 'butuh', 'sinyal', 'sll', 'telkomsel', 'alhamdulillah', 'sinyalnya', 'lapangan', 'terimakasih', 'telkomsel']</t>
  </si>
  <si>
    <t>['beli', 'paket', 'combo', 'unlimited', 'tertulis', 'paket', 'data', 'gratis', 'nelpon', 'telkomsel', 'menit', 'sms', 'gratis', 'trus', 'unlimited', 'app', 'jarak', 'gratis', 'nelponya', 'hilang', '']</t>
  </si>
  <si>
    <t>['aplikasi', 'membantu', 'penggunaan', 'produk', 'telkomsel', 'aplikasi', 'berguna', 'error', 'event', 'daily', 'check', '']</t>
  </si>
  <si>
    <t>['kuota', 'unlimited', 'fup', 'bebas', 'make', 'sepuasnya', 'telkomsel', 'berguna', 'bermutu', 'telkomsel']</t>
  </si>
  <si>
    <t>['pelanggan', 'telkomsel', 'karna', 'suka', 'jaringan', 'mahal', 'harga', 'paket', 'bukanya', 'pelanggan', 'setia', 'reward', 'kitu', 'mahal', 'harganya', 'paket', 'beli', 'kartu', 'perdana', 'barutuh', 'promo', 'murah', 'sayang', 'gunta', 'ganti', 'nomor', 'ribet', '']</t>
  </si>
  <si>
    <t>['pebisnis', 'perusaha', 'dimana', 'barang', 'laku', 'udah', 'jelek', 'jaringanya', 'trus', 'mahal', 'giliran', 'laku', 'jaringan', 'bagus', 'murah', 'taktik', 'memegang', 'kendali', 'komplen', 'bls', 'robot', 'hhahaha']</t>
  </si>
  <si>
    <t>['aplikasinya', 'bagus', 'memudahkan', 'penggunanya', 'kelemahannya', 'membeli', 'paket', 'habis', 'kuota', 'utamanya', 'tambahan', 'kuota', 'unlimited', 'lemah', 'sinyalnya', 'lelet', 'nggak', 'gunanya', 'ditambah', 'tolong', 'diperbaiki', 'terima', 'kasih', '']</t>
  </si>
  <si>
    <t>['jaringan', 'terbaik', 'indonesi', 'ngasih', 'saran', 'tolong', 'turunkan', 'harga', 'paket', 'data', 'sebulan', 'seminggu', 'perhari', 'kasihan', 'orang', 'beli', 'paket', 'sebulan', 'kerna', 'mahal', '']</t>
  </si>
  <si>
    <t>['kuota', 'unlimited', 'app', 'limit', 'pemakaiannya', 'unlimited', 'batasnya', 'pro', 'bener', 'males', 'mending', 'ganti', 'kartu', 'lbh', 'murah', 'males', 'pke', 'telkomsel']</t>
  </si>
  <si>
    <t>['halo', 'kak', 'aplikasinya', 'digunain', 'beli', 'paket', 'udah', 'upgrade', 'trus', 'uninstall', 'install', 'ttp', 'masukin', 'nomor', 'beli', 'paket', 'jaringan', 'bagus', 'try', 'again', 'trus']</t>
  </si>
  <si>
    <t>['maaf', 'saran', 'tolong', 'kecepatan', 'jaringan', 'kuota', 'unlimited', 'kurangin', 'dikurangin', 'mbps', 'mbps', 'mbps', 'mbps', 'buka', 'dll', 'sekian', 'terimakasih']</t>
  </si>
  <si>
    <t>['mohon', 'ditinjau', 'daerah', 'karna', 'kuat', 'khusus', 'jaringan', 'internet', 'diwilayah', 'profinsi', 'lampung', 'selatan', 'kec', 'sragi', 'trima', 'kasih', '']</t>
  </si>
  <si>
    <t>['harga', 'paket', 'dimahalin', 'kualitas', 'jaringan', 'buruk', 'burukk', 'udah', 'thn', 'pakai', 'telkomsel', 'jaringan', 'berubah', 'drastis', 'hancurr', '']</t>
  </si>
  <si>
    <t>['tolong', 'unlimitednya', 'dihilangkan', 'mahal', 'unlimited', 'puas', 'mending', 'pindah', 'kartu', 'telkomsel', 'gajelas', 'penggunya', 'kesusahan', '']</t>
  </si>
  <si>
    <t>['buka', 'gagal', 'muncul', 'infonya', 'koneksi', 'gagal', 'app', 'instal', 'penguna', 'kartunya', 'sabar', 'nunggu', 'bebera', 'refresh', 'kartunya', 'udah', '']</t>
  </si>
  <si>
    <t>['lumayan', 'apknya', 'cuman', 'kupon', 'undi', 'undi', 'hepi', 'hadiah', 'dimenangin', 'pengguna', 'kartu', 'kebanyakan', 'nomer', 'kartu', 'simpati', 'kartu', 'pengguna', 'kualitas', 'sinyal', 'menurun', 'didaerah', 'gan', '']</t>
  </si>
  <si>
    <t>['pakai', 'jaringan', 'telkomsel', 'jaringan', 'luas', 'puas', 'layanan', 'semenjak', 'perangkat', 'pakai', 'kartu', 'telkomsel', 'mohon', 'biaya', 'bentuk', 'pembiayaan', 'daribiayatelpon', 'paket', 'data', 'diperingan', 'masyarakat', 'ekonomi', 'lemah', 'terlayani', '']</t>
  </si>
  <si>
    <t>['bintang', 'gabisa', 'beli', 'paket', 'app', 'pulsanya', 'keterangan', 'pulsa', 'pulsa', 'kesedot', 'koneksinya', 'suka', 'gajelas', 'buka', 'broser', 'lola', 'giliran', 'buka', 'app', 'koneksi', 'jalan', 'maunya', 'coba', '']</t>
  </si>
  <si>
    <t>['kasih', 'bintang', 'jaringan', 'lancar', 'aplikasi', 'berjalan', 'lancar', 'disuruh', 'muat', 'ulang', 'buka', 'aplikasi', 'lancar']</t>
  </si>
  <si>
    <t>['telkomsel', 'gimana', 'kuota', 'lokal', 'pakai', 'aktifin', 'salemba', 'dijakarta', 'sia', 'sia', 'kuota', 'udah', 'gitu', 'kuota', 'app', 'ngga', 'gunain', 'lemot', 'banget']</t>
  </si>
  <si>
    <t>['hadeh', 'udah', 'percaya', 'eee', 'harga', 'jaringan', 'drop', 'udah', 'beli', 'voucer', 'unlimited', 'gb', 'oke', 'wusst', 'batas', 'eee', 'udah', 'beli', 'udah', 'loyo', 'unlimitednya', 'gb', 'abis', 'wusst', 'gb', 'buka', 'youtube', 'resolusi', 'udah', 'ngeden', 'muter', 'tinggal', 'unlimited', 'tinggal', 'chat', 'game', 'doang', 'sms', 'batas', 'pemakaian', 'data', 'aplikasi', 'habis', 'unlimited', '']</t>
  </si>
  <si>
    <t>['woi', 'sinyalnya', 'benerin', 'provider', 'keluh', 'kesah', 'pelanggan', 'urusin', 'kesini', 'sinyalnya', 'kouta', 'mahal', 'kualitas', '']</t>
  </si>
  <si>
    <t>['gua', 'beli', 'kuota', 'game', 'mahal', 'mahal', 'bet', 'kartu', 'gua', 'beli', 'kuota', 'game', 'main', 'game', 'main', 'game', 'buka', 'gamenya', 'kartu', '']</t>
  </si>
  <si>
    <t>['provider', 'terburuk', 'jaringan', 'lemot', 'kuota', 'mahal', 'perubahan', 'ngecewain', 'pelanggan', 'gblk', '']</t>
  </si>
  <si>
    <t>['jual', 'paket', 'internet', 'mahal', 'mahal', 'jaringan', 'internet', 'sungguh', 'sungguh', 'jelek', 'kompalin', 'berpa', 'puluh', 'kali', 'perubahan', 'jaringan', 'kondisi', 'sekian', 'terimakasih']</t>
  </si>
  <si>
    <t>['telkomsel', 'asik', 'jaringan', 'stabil', 'turun', 'naiknya', 'main', 'game', 'lag', 'paket', 'data', 'nambah', 'mahal', 'udh', 'th', 'kartu', 'peningkatan', 'males', 'ganti', 'kartu', 'lagii', 'woyy', 'nyaman', 'nyakitin', '']</t>
  </si>
  <si>
    <t>['kuota', 'gratisan', 'buka', 'aplikasi', 'sasmed', 'mya', 'banget', 'udah', 'lagin', 'banget', 'kuota', 'gratis', 'minggu', 'kasih', 'bintang', '']</t>
  </si>
  <si>
    <t>['jaringan', 'pas', 'hujan', 'lancar', 'banget', 'mati', 'lampu', 'tetep', 'lancar', 'jaya', 'pergi', 'pelosok', 'takut', 'signal', 'hilang', 'kangen', 'telkomsel', 'telkomsel', 'berguna', 'hujan', 'dikit', 'signal', 'langsung', 'hilang', 'mati', 'lampu', 'mending', 'ganti', 'kartu', 'ginimah', 'murah', 'saran', 'kembalikan', 'kualitas', 'signal', 'makasih', '']</t>
  </si>
  <si>
    <t>['jaringan', 'telkomsel', 'lelet', 'kalah', 'provider', 'emosi', 'canggih', 'jaringan', 'lelet', 'lemot', 'hpnya', 'layanan', 'veronika', 'aplikasi', 'telkomsel', 'membantu', 'mohon', 'koreksi', '']</t>
  </si>
  <si>
    <t>['provider', 'gede', 'tolol', 'kuota', 'jaringan', 'lambat', 'jaringan', 'bumn', 'jaringan', 'abal', 'customer', 'kabur', 'tambahin', 'provider', 'keterangan', 'sinyal', 'full', 'browsing', 'loading', 'sampe', 'chat', 'veronika', 'loading', 'coba', 'internet', 'sebelah', 'lancar', 'jaya', 'hadehhhh', 'beneran', 'provider', 'menang', 'nama', 'doang', 'jaringan', 'minim', 'nyesel', 'beli', 'kuota', 'mahal', 'jaringan', 'lol', 'perbaiki', 'jaringan', 'mencakup', 'senusantara', 'deh', 'daerah', 'pinggiran']</t>
  </si>
  <si>
    <t>['gini', 'membeli', 'unlimited', 'pas', 'internet', 'lokal', 'gda', 'membuka', 'status', 'whtasapp', 'cma', 'chatan', 'kaya', 'biasany', 'habis', 'buka', 'tiktok', 'sma', 'status', 'whtsap', 'tolong', 'jawabanya', 'perbaiki', 'kasih', 'bintang']</t>
  </si>
  <si>
    <t>['kali', 'paket', 'darurat', 'aktif', 'maksudnya', 'tipu', 'tipu', 'komplain', 'selesai', 'aktif', 'sialana']</t>
  </si>
  <si>
    <t>['udah', 'andelin', 'harga', 'mahal', 'dapet', 'kualitas', 'harga', 'mahal', 'kualitas', 'ancur', 'susah', 'koneknya', 'sinyal', 'ilang', 'masak', 'iya', 'sinyal', 'ealaaah', 'cuk', '']</t>
  </si>
  <si>
    <t>['', 'masuk', 'akal', 'promosi', 'gb', 'harga', 'sukses', 'beli', 'paket', 'masuk', 'ulang', 'berkali', 'kali', 'mengecewakan', '']</t>
  </si>
  <si>
    <t>['mohon', 'maaf', 'kasih', 'bintang', 'karna', 'paket', 'unlimited', 'telkomsel', 'asik', 'paket', 'unlimited', 'batasi', 'kecepatan', 'kbps', 'kemarin', 'kayak', 'gitu', 'paket', 'unlimited', 'kembalikan', 'telkomsel', 'campkan']</t>
  </si>
  <si>
    <t>['', 'ampun', 'udah', 'ahkir', 'bln', 'kartu', 'telkomsel', 'bener', 'bener', 'emosi', 'daftar', 'paket', 'data', 'jaringan', 'kayak', 'taik', 'ayam', 'jujur', 'kecewa', 'min', '']</t>
  </si>
  <si>
    <t>['bener', 'keluhan', 'temen', 'pengguna', 'laen', 'telkomsel', 'kualitas', 'signal', 'datanya', 'mengalami', 'perubahan', 'penurunan', 'kualitas', 'lelet', 'menjengkelkan', 'disatu', 'daerah', 'lokasi', 'mengalaminya', 'telkomsel', 'abaikan', 'keluhan', 'pengguna', 'bukti', 'telkomsel', 'abai', 'keluhan', 'pengguna', 'kurangnya', 'bertambahnya', 'keluhan', 'pengguna', 'mohon', 'dikoreksi', 'telkomsel', 'thanks', '']</t>
  </si>
  <si>
    <t>['bener', 'gua', 'pengguna', 'telkomsel', 'kecewwa', 'berat', 'sinyal', 'sinyal', 'down', 'merugikan', 'penggunanya', 'bermain', 'game', 'parah', '']</t>
  </si>
  <si>
    <t>['buka', 'aplikasi', 'memuat', 'ulang', 'nama', 'aplikasi', 'kayak', 'gini', 'ram', 'lancar', 'menjalankan', 'aplikasi', 'tolong', 'telkomsel', 'mutakhir', 'aplikasi', 'kalah', 'aplikasi', 'brand', 'tolong', 'tolong', 'direspon', 'terimakasih', '']</t>
  </si>
  <si>
    <t>['mudah', 'pembelian', 'pulsa', 'paket', 'internet', 'moment', 'pulsa', 'habis', 'paket', 'internet', 'habis', 'mudah', 'beli', 'counter', 'gerai', 'pulsa', 'paket', 'internet']</t>
  </si>
  <si>
    <t>['tolong', 'tingkatkan', 'jaringan', 'stabil', 'jaringannya', 'apk', 'suka', 'error', 'dibuka', 'bayar', 'paket', 'mahal', 'kualitas', 'menurun', '']</t>
  </si>
  <si>
    <t>['aplikasi', 'telkomsel', 'koneksimya', 'bagus', 'muncul', 'tulisan', 'unstable', 'connection', 'click', 'refresh', 'klik', 'refresh', 'tolonglah', 'telkomsel', 'kesalahan', 'perbaiki', '']</t>
  </si>
  <si>
    <t>['', 'tolong', 'sinyal', 'daerah', 'tingkatkan', 'jaringan', 'lte', 'lelet', 'banget', 'terkadang', 'auto', 'pindah', 'jaringan', 'tolong', 'tingkatkan', 'dongg', 'please', 'tinggal', 'kalimantan', 'palangkaraya', 'kec', 'pahandut', 'nenas', 'please', 'telkomselll', 'tingkatkan', 'provider', 'setia', '']</t>
  </si>
  <si>
    <t>['maaf', 'kasih', 'bintang', 'karna', 'kali', 'pakai', 'aplikasi', 'bagus', 'update', 'masuk', 'aplikasi', 'masuk', 'muncul', 'layar', 'putih', 'tolong', 'bantu', 'telkomsel', 'udah', 'masuk', 'aplikasi', 'makasih', '']</t>
  </si>
  <si>
    <t>['telkomsel', 'gini', 'kuliah', 'zoom', 'jaringan', 'bagus', 'aplikasi', 'paket', 'unlimited', 'batasannya', 'huftt', 'kemaren', 'kayak', 'gini', '']</t>
  </si>
  <si>
    <t>['telkomsel', 'parah', 'dikit', 'dikit', 'gangguan', 'cek', 'kuota', 'udah', 'kayak', 'nunggu', 'jodoh', 'tolong', 'perbaiki', 'udah', 'betah', 'pakai', 'telkomsel', '']</t>
  </si>
  <si>
    <t>['saran', 'jagalah', 'nama', 'perusahaan', 'telkomsel', 'kenal', 'jaringan', 'terbaiknya', 'jaringan', 'telkomsel', 'jelek', 'bermain', 'game', 'menghambat', 'jalannya', 'permainan', 'mohon', 'perbaikan', 'jaringan', 'telkomselnya', 'terima', 'kasih']</t>
  </si>
  <si>
    <t>['jaringan', 'jelek', 'harga', 'paket', 'data', 'harga', 'paket', 'mlm', 'normal', 'beli', 'berubah', 'telomsel', 'ganti', 'kartu', 'telksel', 'gimana', 'coba', '']</t>
  </si>
  <si>
    <t>['sungguh', 'mengecewakan', 'sekelas', 'telkomsel', 'sinyalnya', 'stabil', 'pas', 'hujan', 'sinyalnya', 'harga', 'paket', 'mahal', 'sinyalnya', 'kayak']</t>
  </si>
  <si>
    <t>['layanan', 'jaringan', 'telkomsel', 'puas', 'sisa', 'pulsa', 'berkurang', 'membeli', 'layanan', 'paket', 'nelpon', 'paket', 'combo', 'omg', 'aktif', 'menerima', 'paket', 'internet', 'kuota', 'kemendikbud', 'takut', 'mengisi', 'pulsa', 'langganan', 'layanan', 'google', 'drive', 'mohon', 'informasinya', 'melengkapi', 'kekurangan', 'trimakasih', '']</t>
  </si>
  <si>
    <t>['kartu', 'perdana', 'paketnya', 'seharga', 'sultan', 'jaringan', 'serendah', 'harga', 'cewek', 'open', 'mahal', 'doang', 'nggk', 'sesuai', 'jaringan', 'lemah', 'make', 'kartu', 'mahal', 'darah', 'doang', '']</t>
  </si>
  <si>
    <t>['ribet', 'pakai', 'aplikasi', 'isi', 'paket', 'data', 'telkomsel', 'update', 'isi', 'email', 'lakuin', 'nggak', 'pakai', 'aplikasi', '']</t>
  </si>
  <si>
    <t>['kuota', 'unlimited', 'game', 'maen', 'game', 'pemadaman', 'listrik', 'sinyal', 'telkomsel', 'down', 'hutan', 'belantara', '']</t>
  </si>
  <si>
    <t>['tolong', 'perbaiki', 'bug', 'paket', 'data', 'kartu', 'dipaketkan', 'sms', 'notifikasi', 'mengakses', 'internet', 'tarif', 'non', 'paket', 'dirugikan', 'pengguna', 'kartu', 'telkomsel', '']</t>
  </si>
  <si>
    <t>['tolong', 'iklan', 'dihapus', 'internet', 'kartu', 'pas', 'masuk', 'link', 'tugas', 'muncul', 'iklan', 'telkomsel', 'pas', 'wifi', 'dimatiin', 'data', 'jaringan', 'internet', 'selulernya', 'langsung', 'iklannya', 'diluar', 'cari', 'wifi', 'menggangu', '']</t>
  </si>
  <si>
    <t>['promo', 'hut', 'harganya', 'masi', 'murah', 'harga', 'minimal', 'provider', 'jaringan', 'ngga', 'kali', 'main', 'game', 'mesti', 'cari', 'bagus', 'jam', 'ngelag', 'harga', 'paket', 'kestabilan', 'jaringannya', 'dikondisikan', 'mahalnya']</t>
  </si>
  <si>
    <t>['provider', 'gblg', 'kuota', 'berlaku', 'berlaku', 'kepakai', 'duluan', 'berlaku', 'marketingnya', 'gini', 'kali']</t>
  </si>
  <si>
    <t>['harini', 'isi', 'plz', 'rb', 'beli', 'kuota', 'ketengan', 'whats', 'gb', 'tuk', 'harganya', 'rbuan', 'pketdata', 'dibuka', 'langsung', 'plznya', 'berangsur', 'angsur', 'habisss', 'hitungan', 'meniiittt', 'dpet', 'notifikasi', 'kuota', 'pesan', 'well', '']</t>
  </si>
  <si>
    <t>['bnyak', 'politik', 'paket', 'kartu', 'kartu', 'sakti', 'kartu', 'ublimited', 'setaraan', 'harga', 'paket', 'bnyak', 'toko', 'jual', 'kartu', 'harga', 'nalar', 'akibat', 'politik', 'paket', 'paket', 'murah', 'beli', 'kartu', 'nua', 'mahal', 'setarakan', 'promo', 'beda']</t>
  </si>
  <si>
    <t>['sisa', 'pulsa', 'habis', 'takut', 'isi', 'pulsa', 'kartu', 'pulsanya', 'berkurang', 'tolong', 'perhatikan', 'telkomsel', 'rugi', '']</t>
  </si>
  <si>
    <t>['kecewa', 'klaim', 'reward', 'cek', 'harian', 'hadiah', 'kuota', 'berhasil', 'terklaim', 'kuota', 'bonusnya', 'log', 'out', 'log', '']</t>
  </si>
  <si>
    <t>['complaint', 'harga', 'paketan', 'kuota', 'kuotanya', 'berkurang', 'puas', 'pelayanan', 'telkomsel', 'kemudahan', 'aplikasi', '']</t>
  </si>
  <si>
    <t>['dikasi', 'kualitas', 'sinyal', 'jaringan', 'aplikasi', 'telkomsel', 'memburuk', 'promo', 'seasik', 'program', 'pelanggan', 'beralih', 'provider', '']</t>
  </si>
  <si>
    <t>['unlimeted', 'beli', 'paket', 'mhal', 'liat', 'status', 'suuuuuusssaaaahhhhhhh', 'kecewa', '']</t>
  </si>
  <si>
    <t>['', 'aplikasi', 'telkomsel', 'udh', 'beli', 'paket', 'sukses', 'pas', 'hidupkan', 'data', 'cek', 'kuota', 'pulsa', 'terpotong', 'aplikasi', 'penipu', '']</t>
  </si>
  <si>
    <t>['aplikasi', 'buka', 'aplikasi', 'susah', 'masak', 'jaringan', 'internet', 'lancar', 'dibilang', 'koneksi', 'stabil', 'aplikasi', 'bobrok', '']</t>
  </si>
  <si>
    <t>['bagus', 'tpi', 'hadiah', 'redeem', 'dri', 'telkomsel', 'pulsa', 'handphone', 'mimpi', 'motor', 'mobil', 'makasih']</t>
  </si>
  <si>
    <t>['gue', 'isi', 'pulsa', 'gue', 'aktifin', 'paket', 'ceria', 'aplikasi', 'telkomsel', 'beli', 'pesanan', 'terkonfirmasi', 'internet', 'taunya', 'internet', 'pulsa', 'sekejap', 'habis', 'beli', 'paket', 'masuk']</t>
  </si>
  <si>
    <t>['nyesel', 'beli', 'paketan', 'gamemax', 'telkomsel', 'kirain', 'enak', 'main', 'game', 'ngelek', 'ping', 'merah', 'maunya', 'telkomsel', 'nie', 'niat', 'irit', 'rugi', 'niat', 'cari', 'hiburan', 'main', 'game', 'emosi', 'mohon', 'bantuan', 'telkomsel', 'udh', 'beli', 'gamemax', 'harga', 'rb', 'main', 'game', 'ngelek', 'tolong', 'benerin', '']</t>
  </si>
  <si>
    <t>['aplikasi', 'cringe', 'pas', 'beli', 'paket', 'error', 'jaringan', 'bagus', 'udh', 'paket', 'mahal', 'kartu', 'promo', 'teman', 'beli', 'pulsa', 'sungguh', 'mengecewakan', 'tambahan', 'bermain', 'game', 'jaringan', 'turun', 'udh', 'mahal', 'jelek']</t>
  </si>
  <si>
    <t>['', 'kasih', 'bintang', '']</t>
  </si>
  <si>
    <t>['telkomsel', 'kek', 'taeeekk', 'mahal', 'mending', 'sinyalnya', 'bagus', 'uda', 'mahal', 'kek', 'taeeek', 'sinyalnya', 'ngapain', 'paket', 'unlimited', 'pemakaian', 'ttp', 'dibatasi', 'kartu', 'beda', 'paket', 'kartu', 'kartu', 'bener', 'taeek', 'telomsel', 'uda', 'langgann', 'bln', 'unlimited', 'jengkel', 'paket', 'unlimited', 'jls', 'usa', 'msh', 'dibatasi', 'pemakaiannya', 'taeeeekkk', '']</t>
  </si>
  <si>
    <t>['tolong', 'dimasa', 'pandemi', 'harga', 'paketnya', 'dikondisikan', 'keringanan', 'paketnya', 'jenisnya', 'sayang', 'ditempatku', 'jaringan', 'kutinggalkan', 'namanya', 'telkomsel']</t>
  </si>
  <si>
    <t>['aplikasi', 'masuk', 'keterangannya', 'koneksi', 'stabil', 'buka', 'youtube', 'lancar', 'giliran', 'loadingnya', 'ujung', '']</t>
  </si>
  <si>
    <t>['paket', 'combo', 'unlimited', 'apk', 'mahal', 'temen', 'murah', 'emg', 'temen', 'udh', 'make', 'kali', 'semoga', 'dimurahin', 'pemake', 'selebihnya', 'enak', 'makasih', 'telkomsel']</t>
  </si>
  <si>
    <t>['hei', 'telkomsel', 'sumpah', 'telkomsel', 'ngadi', 'udah', 'jaringan', 'paket', 'mahal', 'nge', 'klaim', 'pas', 'nge', 'klaim', 'hadiah', 'mala', 'paket', 'kali', 'kecewa', 'banget', '']</t>
  </si>
  <si>
    <t>['kecewa', 'kualitas', 'jaringannya', 'udh', 'kyk', 'telkomsel', 'dikenal', 'harga', 'mahal', 'tpi', 'jaringan', 'plg', 'bagus', 'skrng', 'harga', 'kualitas', 'jaringannya', 'jelek', 'parah', 'maen', 'telponan', 'skrng', 'menghubungkan', 'kuota', 'unlimited', 'berguna', 'jaringan', 'nyesel', 'beli', 'kuota', 'telkomsel', 'pindah', 'skrng', 'make', 'telkomsel', 'berpergian', 'tenang', 'tolong', 'diperbaiki', 'trs', 'pindah', 'provider', 'nyesel', 'make', 'telkomsel', 'terimakasih', '']</t>
  </si>
  <si>
    <t>['knpa', 'beli', 'kuota', 'youtube', 'ketarik', 'kuota', 'internet', 'nonton', 'youtube', 'kuota', 'youtube', 'utuhh', 'truss', 'kuota', 'internet', 'abiss', 'sia', 'beli']</t>
  </si>
  <si>
    <t>['kesini', 'koq', 'sinyal', 'jelek', 'telkomsel', 'beda', 'malam', 'susah', 'banget', 'buka', 'tiktok', 'loading', 'trus', 'siangpun', '']</t>
  </si>
  <si>
    <t>['tolong', 'pengembang', 'aplikasi', 'telkomsel', 'buka', 'apl', 'terkendala', 'loading', 'gagal', 'masuk', '']</t>
  </si>
  <si>
    <t>['nanya', 'beli', 'paket', 'malam', 'jam', 'beli', 'paket', 'internet', 'malam', 'rb', 'gb', 'pakai', 'beli', 'semenit', 'notif', 'mengakses', 'internet', 'tarif', 'non', 'paket', 'paket', 'internet', 'terpakai', 'penghabisan', '']</t>
  </si>
  <si>
    <t>['nyesellllllll', 'bet', 'beli', 'paketan', 'telkomsel', 'pengen', 'patah', 'patahin', 'kartu', 'lemot', 'lambat', 'loading', 'terusssss', 'kecepatan', 'jaringan', 'stak', 'kbps', 'nyesel', 'kapokkkkkkk', 'kaga', 'kaga', 'kaga', 'kaga', 'bli', 'paketan', 'unlimited', 'gb', 'koutanya', 'kaya', 'kaga', 'koutanya', 'lemot', 'bngtttt', 'telkomsel', 'udh', 'ancur', 'sampe', 'akar', 'akarnya', 'kapok', 'asli', 'pindah', 'operator', 'laen', 'kaga', 'danta', 'udh', 'telkom', '']</t>
  </si>
  <si>
    <t>['telkomsel', 'penipuan', 'membeli', 'paket', 'gamemax', 'bermain', 'game', 'dibohongi', 'dikembalikan', 'minimal', 'dipakai', 'bermain', 'game', 'menghabiskan', 'penipuan', 'telkom']</t>
  </si>
  <si>
    <t>['aplikasi', 'telkomsel', 'wilaya', 'kec', 'mandiangin', 'kab', 'sarolangun', 'jambi', 'susah', 'akses', 'stiap', 'kali', 'masuk', 'aplikasi', '']</t>
  </si>
  <si>
    <t>['aplikasi', 'merugikan', 'orang', 'orang', 'telkomsel', 'mahal', 'doang', 'jaringan', 'buruk', 'ancur', 'orng', 'orang', 'download', 'aplikasi', 'kebanyakan', 'kecewa', 'operator', 'telkomsel', 'cuman', 'maaf', 'maf', 'dng', 'perbaiki', 'parah', 'ajh', 'langsung', 'perbaiki', 'jngn', 'kebanyakan', 'maaf', 'ngerti', 'operatos', 'telkomsel']</t>
  </si>
  <si>
    <t>['halo', 'telkomsel', 'knpa', 'jaringan', 'lemot', 'bngt', 'paketan', 'gb', 'tolong', 'min', 'diperbaiki', 'pengguna', 'telkomsel', 'kecewa', 'sekian', 'terimakasih']</t>
  </si>
  <si>
    <t>['update', 'program', 'daily', 'check', 'check', 'korupsi', 'dipercepat', 'kuota', 'gb', 'sengaja', 'dihilangkan', '']</t>
  </si>
  <si>
    <t>['telkomsel', 'kesini', 'lemot', 'kya', 'jaringan', 'tri', 'udh', 'paket', 'data', 'paket', 'tulis', 'harga', 'diskon', 'normal', 'bli', 'paket', 'apk', 'harga', 'normal', 'diskon', 'in', 'halu', 'baget', 'kya', 'lucinta', 'luna', 'jaringan', 'kya', 'mending', 'pakai', 'kenceng', 'murah', 'mahal', 'donk', 'sinya', 'bagus', 'abal', 'perbaikin', 'donk', 'kecewa', 'ngabisin', 'pulsa', 'ane', 'costmer', 'servis', 'ramah', 'sekli', '']</t>
  </si>
  <si>
    <t>['knp', 'wilayah', 'kode', 'pos', 'jaringan', 'telkomsel', 'buruk', 'wilayah', 'terganggu', 'jaringan', 'indosat', 'karn', 'kantor', 'jaringan', 'indosat', '']</t>
  </si>
  <si>
    <t>['mudah', 'beli', 'paket', 'pulsa', 'mudah', 'didaerah', 'sinyalnya', 'didaerah', 'sinyalnya', 'jelik', 'mudah', 'kebijakan', 'telkumsel', 'app', 'kalangan', 'daerah', 'jaringannya', 'jelik']</t>
  </si>
  <si>
    <t>['kartu', 'orang', 'kaya', 'harga', 'paketan', 'mahal', 'jaringannya', 'jelek', 'mati', 'lampu', 'outo', 'mati', 'jaringannya', 'datanya', 'app', 'kali', 'muter', 'mulu', 'pan', 'udah', 'diperbarui', 'app', 'telkomsel', 'tolonglah', 'min', 'balikin', 'kepercayaan', 'konsumen']</t>
  </si>
  <si>
    <t>['memakai', 'kartu', 'telkomsel', 'nomor', 'telepon', 'sudh', 'ribuan', 'pulsa', 'isi', 'mengisi', 'pulsa', 'sms', 'poin', 'pas', 'buka', 'aplikasih', 'sya', 'memiliki', 'poin', '']</t>
  </si>
  <si>
    <t>['alhamdulillah', 'membantu', 'mempermudah', 'kelancaran', 'komunikasi', 'menggali', 'informasi', 'teknologi', 'paket', 'tersedia', 'murah', 'tercepat', 'prosesnya', 'terbaik', 'pelanyananya', '']</t>
  </si>
  <si>
    <t>['telkomsel', 'putus', 'apartemen', 'gading', 'mediterania', 'kelapa', 'gading', 'disepanjang', 'jalan', 'kerja', 'halte', 'asmi', 'sdg', 'kalideres', 'signal', 'lemah', 'mati', 'kwalitasnya', 'harap', 'diperbaiki', 'signal', 'kuat', '']</t>
  </si>
  <si>
    <t>['', 'bener', 'bumn', 'pulsa', 'hilang', 'complain', 'iphone', 'imessage', 'pindahin', 'kartunya', 'android', 'hilang', 'pulsanya', 'komplain', 'ntar', 'nyari', 'alasan', 'parah']</t>
  </si>
  <si>
    <t>['semenjak', 'tower', 'telkomsel', 'sinyalnya', 'mnjdi', 'jelek', 'bagusan', 'bangun', 'bts', 'vicallan', 'ngadat', 'buka', 'ytb', 'muter', 'pegel', 'nunggunya', 'serasa', 'pengen', 'banting', '']</t>
  </si>
  <si>
    <t>['operator', 'terkaya', 'telkomsel', 'jaringan', 'buruk', 'ngga', 'stabil', 'kyak', 'pokonya', 'mengecewakan', 'pelanggan', 'mohon', 'perbaiki', 'jaringan', 'telkomsel', 'segitu', 'udah', 'bagus', 'kasih', 'deh']</t>
  </si>
  <si>
    <t>['eeee', 'telkomjing', 'kuota', 'gua', 'sinyal', 'kenapasih', 'ping', 'tolonglah', 'perbaiki', 'sebentar', 'launching', 'telkomjing', 'gini', 'trs', 'jaringan', 'indonesia', 'buktinya', 'tolong', 'developer', 'serius', 'kerja', '']</t>
  </si>
  <si>
    <t>['tinggal', 'kota', 'tangerang', 'selatan', 'jaringan', 'internetnya', 'buruk', 'beli', 'kuota', 'sampe', 'gb', 'susah', 'sinyal', 'gnya', 'main', 'game', 'lambat', 'banget', 'move', 'telkomsel', 'jelek', '']</t>
  </si>
  <si>
    <t>['turunin', 'bintangnya', 'telkomsel', 'mahal', 'kualitas', 'jaringanya', 'buruk', 'main', 'games', 'lancar', 'ramai', 'trlkomsel', 'mahal', 'lemot', 'mending', 'pindah', 'profider', '']</t>
  </si>
  <si>
    <t>['telfon', 'call', 'center', 'telkomsel', 'pas', 'angkat', 'langssung', 'matikan', 'menang', 'undian', 'kali', 'telfon', 'diangkat', 'lgsg', 'dimatikan', 'kecewa']</t>
  </si>
  <si>
    <t>['kpd', 'telkomsel', 'terhormat', 'jjr', 'kali', 'kecewakan', 'jaringan', 'internet', 'kian', 'memburuk', 'trutama', 'kampung', 'dimana', 'telkomsel', 'dlu', 'slalu', 'mmberikan', 'kepuasan', 'kpada', 'stiap', 'planggan', 'patahkan', 'kartu', 'pengguna', 'telkomsel', 'thn', 'ganti', 'kartu', 'tpi', 'ttp', 'tlkomsel', 'tpi', 'kali', 'bener', 'bener', 'mengecewakan', '']</t>
  </si>
  <si>
    <t>['sms', 'telkomsel', 'bebas', 'internetan', 'telpon', 'sms', 'kuota', 'gb', 'harga', 'ribu', 'aktifkan', 'paket', 'combo', 'sakti', 'max', 'telkomsel', 'tsel', 'outlet', 'skb', 'klik', 'bit', 'max', 'buka', 'link', 'call', 'muncul', 'paket', 'tsb', 'tolong', 'promosi', 'menggiurkan', 'konsumen', 'judulnya', 'pengguna', 'telkomsel', 'nomor', 'th', 'tolong', 'apresiasikan', 'pengguna', 'setia', 'telkomsel', 'paket', 'murah']</t>
  </si>
  <si>
    <t>['aplikasi', 'sialan', 'mentang', 'blom', 'isi', 'pulsa', 'login', 'susah', 'banget', 'sms', 'konfirmasi', 'masuk', 'mendin', 'jaringanya', 'bagus', 'aplikasi', 'sampah', 'kaya', 'gini', 'nambah', 'sampah', 'ajj', 'tolong', 'kenyamanan', 'konsumen', '']</t>
  </si>
  <si>
    <t>['menururut', 'ngasih', 'bintang', 'udah', 'gambaran', 'bawa', 'mengecewakan', 'twiter', 'telegram', 'perbaiki', 'langsung', 'simpel', 'bayar', 'rupiah', 'sebanding', 'pelayanan', 'telkomsel', 'sinyal', 'lemot', 'cepat', 'tanggap', 'kehilangan', 'pelanggan', 'setia', '']</t>
  </si>
  <si>
    <t>['menyebalkan', 'sinyal', 'turun', 'aplikasi', 'mytelkomsel', 'susah', 'buka', 'pemakaian', 'arus', 'listriknya', 'gimana', '']</t>
  </si>
  <si>
    <t>['teruntuk', 'mytelkomsel', 'saran', 'customer', 'dengar', 'ulasan', 'platform', 'mengadakan', 'event', 'undang', 'teman', 'reward', 'mytelkomsel', 'mengadopsi', 'system', 'reward', 'point', 'telkomsel', '']</t>
  </si>
  <si>
    <t>['udah', 'daftar', 'nelpon', 'kesesama', 'telkomsel', 'udah', 'kepotong', 'pulsanya', 'pas', 'nelpon', 'pulsa', 'utama', 'abis', 'kuota', 'nelpon', 'dipake', 'tolong', 'perbaiki', 'sampe', 'ngerugiin', 'konsumen']</t>
  </si>
  <si>
    <t>['buatlah', 'aplikasi', 'sms', 'banking', 'mudah', 'jaringan', 'data', 'pedalaman', 'jaringan', 'internet', '']</t>
  </si>
  <si>
    <t>['komplain', 'paket', 'minggu', 'kemarin', 'aktipin', 'paket', 'kaga', 'paketnya', 'udah', 'berlaku', 'apl', 'telkomsel']</t>
  </si>
  <si>
    <t>['knpa', 'telkomsel', 'beli', 'paket', 'anlimitid', 'aplikasi', 'telponan', 'pulsa', 'terpakai', 'mohon', 'bantuannya', '']</t>
  </si>
  <si>
    <t>['telkomsel', 'hapy', 'mimpi', 'hadiah', 'telkomsel', 'mudah', 'undiannya', 'amin', 'jaya', 'telkomsel', '']</t>
  </si>
  <si>
    <t>['buruk', 'pelayanan', 'jng', 'deh', 'pindah', 'pasca', 'bayar', 'pemaksaan', 'namanya', 'tenggang', 'tgl', 'keatas', 'kuota', 'msh', 'sisa', 'kuota', 'anjin', '']</t>
  </si>
  <si>
    <t>['bro', 'aplikasimu', 'ancur', 'abis', 'update', 'out', 'aplikasi', 'benerin', 'bro', 'pulsa', 'orang', 'kampung', 'susah', 'gara', 'aplikasimu', 'eror', 'gini', 'kabarin', 'secepatnya', 'bro', 'uda', 'benerin', 'cemangat', 'bro']</t>
  </si>
  <si>
    <t>['min', 'knapa', 'kuota', 'unlimited', 'dipake', 'nonton', 'youtube', 'buka', 'sosmed', 'buak', 'games', 'kuota', 'unlinmited', 'kayak', 'gini', 'beli', 'rp', 'nonton', 'youtube', 'buka', 'sosmed', 'pokoknya', 'kecawa', 'telkomse', '']</t>
  </si>
  <si>
    <t>['mah', 'bebas', 'byk', 'tugasmu', 'puas', 'pindah', '']</t>
  </si>
  <si>
    <t>['', 'beli', 'kartu', 'unlimited', 'udh', 'trus', 'aktifin', 'kemaren', 'masak', 'aktifnya', 'sampe', 'udh', 'email', 'dibenerin', 'internetnya', 'doang', 'unlimited', 'dibenerin', 'trus', 'aktif', 'kartunya', 'sampe', 'rugi', 'beli']</t>
  </si>
  <si>
    <t>['kecewa', 'kemarin', 'beli', 'kuota', 'langsung', 'gamesmax', 'gold', 'harganya', 'apk', 'telkomsel', 'berhasil', 'kuotanya', 'kuotanya', 'nggk', 'dijalankan', 'aktif', 'kartuku', 'kartuku', 'nggk', 'ngirim', 'foto', 'kirim', 'screenshotnya', 'mohon', 'bantuannya', 'kuota', 'tsb', 'terima', 'kasih', '']</t>
  </si>
  <si>
    <t>['hallo', 'aplikasi', 'telkomselnya', 'skrg', 'susah', 'diakses', 'koneksi', 'stabil', 'kali', 'masuk', 'aplikasi', 'berjalan', 'mulus', 'kesini', 'buruk', 'malas', 'buka', 'aplikasi', 'saran', 'kedepannya', 'mohon', 'diperbaiki', 'fungsinya', 'pengguna', 'nyaman', 'aplikasi', 'terimakasih', '']</t>
  </si>
  <si>
    <t>['pulsaku', 'sedot', 'woii', 'beli', 'paket', 'ribu', 'pulsa', 'didalam', 'mytelkomsel', 'rb', 'pas', 'beli', 'paketnya', 'app', 'mytekomsel', 'pulsaku', 'disedot', 'tinggal', 'terpaksa', 'deh', 'beli', 'paket', 'paket', 'rb', 'gb', 'telkomsel', 'pengguna', 'dikecewain', '']</t>
  </si>
  <si>
    <t>['unlimitid', 'jelek', 'banget', 'promo', 'kenceng', 'udah', 'harga', 'bagus', 'lelet', 'udah', 'hapus', 'paket', 'unlimitednya', 'utu', 'ngibul', 'elanggan', 'kapok', '']</t>
  </si>
  <si>
    <t>['tinggal', 'wisata', 'dikunjungi', 'pengunjung', 'merasakan', 'kecepatan', 'internet', 'telkomsel', 'drop', 'libur', 'mengganggu', 'ditingkatkan', 'nggak', 'drop', 'wisatawan', 'membludak', 'selebihnya', 'oke', 'hadiah', 'disediakan', 'daily', 'check', 'telkomsel', 'thanks', '']</t>
  </si>
  <si>
    <t>['layanan', 'telkomsel', 'semoga', 'mempertahankan', 'undian', 'pelanggan', 'senang', 'memakai', 'jaringan', 'telkomsel', 'sukses', 'telkomsel', 'suwarno', 'sulawesi', '']</t>
  </si>
  <si>
    <t>['telkomsel', 'karuan', 'jaringan', 'aplikasi', 'dibuka', 'andai', 'bermasalah', 'perbaikan', 'gratis', 'gunain', 'jaringan', 'kelean', 'berbayar', 'astaga']</t>
  </si>
  <si>
    <t>['provider', 'main', 'game', 'ndk', 'suport', 'merah', 'gitu', 'sinyal', 'provider', 'ndk', 'niat', 'gini', 'komplen', 'maaf', 'kak', 'hai', 'kak', 'ndk', 'niat', 'memprbaiki', 'sinyal', 'harga', 'paket', 'mahal', 'sinyal', 'buruk', 'mending', 'pkai', 'provider', 'pembaca', 'telkomsel', 'niat', 'provider']</t>
  </si>
  <si>
    <t>['unlimited', 'batasi', 'telkomsel', 'konyol', 'mending', 'pindah', 'kartu', 'terimakasih', 'mengecewakan', '']</t>
  </si>
  <si>
    <t>['jujur', 'ngeluarin', 'unek', 'kartu', 'telkomsel', 'sinyal', 'tlkomsel', 'lemot', 'gatau', 'penyebabnya', 'emang', 'skrng', 'bener', 'lemot', 'download', 'apk', 'playstore', 'ukuran', 'mb', 'luaaammmmaaaaa', 'banget', 'main', 'game', 'loading', 'banget', 'karna', 'sinyalnya', 'gastabil', 'mahal', 'iya', 'dibandingkan', 'kartu', 'telkomsel', 'im', 'bagus', 'im', 'skrng', 'murah', 'im', 'paket', 'internet', 'gb', 'telkomsel', 'rb', 'im', 'rb', 'udh', 'dpt', 'gb', 'next', 'gamakai', 'kartu', 'lgi']</t>
  </si>
  <si>
    <t>['please', 'banget', 'udah', 'maret', 'jaringannya', 'turun', 'tolong', 'main', 'game', 'jaringannya', 'ilang', 'dimarahin', 'teman', 'tim', 'banget', 'kek', 'gitu', 'plis', 'corona', 'orang', 'online', 'sekolah', 'online', 'jaringan', 'tolong', 'jaringannya', 'diperbaiki', 'orang', 'impian', 'gamers', 'persiapan', 'jaringan', 'bagus', 'tolong', '']</t>
  </si>
  <si>
    <t>['tolong', 'telkomsel', 'kasih', 'dipahami', 'keluhan', 'bener', 'bener', 'kecewa', 'kuota', 'pas', 'paginya', 'habis', 'digeletakin', 'ditinggal', 'tidur', 'selang', 'besok', 'beli', 'kuota', 'pas', 'paginya', 'sisa', 'bener', 'dirugikan', 'beli', 'beli', '']</t>
  </si>
  <si>
    <t>['capek', 'telkomsel', 'paket', 'internet', 'mahal', 'jaringan', 'lelet', 'kesal', 'sampe', 'banting', 'udh', 'lapor', 'berkali', 'call', 'center', 'perubahan', 'jaringannya', 'mending', 'pindah', 'operator', 'jaringan', 'bagus', 'tarif', 'internet', 'standar', '']</t>
  </si>
  <si>
    <t>['', 'bahasa', 'inggris', 'hayo', 'belajar', 'bahasa', 'inggris', 'unlimited', 'terbatas', 'bahasa', 'inggris', 'unlimited', 'gb', 'bahasa', 'telkomsel', 'ngakak', 'sumpah', 'gaskan', 'pindah', 'provider']</t>
  </si>
  <si>
    <t>['telkomsel', 'loyal', 'pengguna', 'dikasih', 'promo', 'murah', 'meriah', 'pengguna', 'harga', 'paket', 'combo', 'saktinya', 'dinaikan', 'gua', 'beli', 'paket', '']</t>
  </si>
  <si>
    <t>['bilangnya', 'unlimited', 'taunya', 'batasan', 'kuotanya', 'mahal', 'bilangnya', 'unlimited', 'sebulan', 'batasan', 'kuotanya', 'kemarin', 'kaya', 'gitu', 'kemarin', 'masi', 'unlimited', 'sebulan', 'telkomsel', 'bagus', 'mengecewakan', 'mending', 'ganti', 'kartu', 'sumpah', 'telkomsel', 'darah']</t>
  </si>
  <si>
    <t>['kesini', 'sampah', 'simpaty', 'okelah', 'gua', 'rela', 'bayar', 'mahal', 'emang', 'gua', 'akuin', 'sinyal', 'bagus', 'bener', 'bener', 'sampah', 'ditambah', 'suka', 'nyedot', 'pulsa', 'kuota', 'udah', 'sekarat', 'pulsa', 'gua', 'goceng', 'abis', 'kuota', 'gua', 'ratus', 'iya', 'pulsa', 'duluan', 'disedot', 'sampe', 'abis', 'kuota', 'bener', 'bener', 'sampah', 'simpaty', '']</t>
  </si>
  <si>
    <t>['mohon', 'maaf', 'kuota', 'game', 'login', 'game', 'koneksi', 'internet', 'kuota', 'beli', 'tolong', 'banget', 'udh', 'susah', 'beli', 'pulsa', 'dasar', 'ngntod']</t>
  </si>
  <si>
    <t>['jaringan', 'tambahan', 'jelek', 'paket', 'tawarkan', 'mahal', 'enak', 'daerah', 'jawa', 'paketnya', 'mendingan', 'indonesia', 'timur', 'sadis', 'mahalnya']</t>
  </si>
  <si>
    <t>['min', 'beli', 'paket', 'combo', 'semalam', 'langsung', 'abis', 'kecewa', 'bnget', 'asli', 'pdhal', 'lgi', 'promo', 'combo', 'murah', 'tpi', 'lngsung', 'abis', 'semalam', 'pdhal', 'bacaan', 'mohon', 'solusinya', 'gan', '']</t>
  </si>
  <si>
    <t>['tolong', 'unlimited', 'batas', 'wajarnya', 'kaya', 'unlimited', 'jdi', 'paket', 'utama', 'habis', 'nonton', 'dibatasin', 'udh', 'nonton', '']</t>
  </si>
  <si>
    <t>['', 'minggu', 'isi', 'paket', 'sminggu', 'isi', 'paket', 'isi', 'parah', 'lelet', 'internet', 'habisin', 'paket', 'uda', 'sue', 'paket', 'game', 'conect', 'pas', 'main', 'game', 'codm', 'rugi', 'beli', '']</t>
  </si>
  <si>
    <t>['tolong', 'perbaiki', 'pembelian', 'kuota', 'aplikasi', 'telkomsel', 'beli', 'promo', 'untukmu', 'gagal', 'gagal', 'kembalikan', 'pulsa', 'kehilangan', 'pulsa', 'hangus', 'sia', 'sia', 'tolong', 'perbaiki']</t>
  </si>
  <si>
    <t>['telkomsel', 'jelek', 'banget', 'lancar', 'lihat', 'sisa', 'kuota', 'dibilang', 'jaringan', 'jaringan', 'bagus', 'nyaman', 'pakai', 'telkomsel', 'tolong', 'diperbaiki', 'konsumen', 'nyaman', 'aplikasinya', 'terima', 'kasih']</t>
  </si>
  <si>
    <t>['beli', 'paket', 'gamemax', 'silver', 'main', 'game', 'mlbb', 'jaringan', 'terputus', 'masuk', 'match', 'gamenya', 'koutanya', 'hadeeeh']</t>
  </si>
  <si>
    <t>['sbg', 'penggunaan', 'telkomsel', 'nyaman', 'pembelian', 'paket', 'data', 'pdhl', 'pulsa', 'mencukupi', 'transaksi', 'mengulang', 'transaksi', 'tlog', 'perbaiki', '']</t>
  </si>
  <si>
    <t>['telkomsel', 'kaya', 'telkomsel', 'enak', 'skrng', 'jaringan', 'jelek', 'trus', 'sinyal', 'trus', 'tolong', 'diperbaiki', '']</t>
  </si>
  <si>
    <t>['aplikasi', 'tertulis', 'unlimited', 'multimedia', 'tapidi', 'batasi', 'pengguna', 'nys', 'udah', 'tupaket', 'buknnya', 'kpasitas', 'jdi', 'berkurang', 'kecewa', '']</t>
  </si>
  <si>
    <t>['telkomsel', 'parah', 'pelanggan', 'setia', 'telkomsel', 'udah', 'kecewa', 'berat', 'jaringan', 'lemot', 'parah', 'buka', 'youtube', 'loading', 'mulu', 'parah', 'parah', 'kecewa', 'kecewa', 'main', 'pubg', 'game', 'jaringan', 'hilang', 'trus', 'gitu', 'trus', 'smpe', 'main', 'game', 'menang', 'kecewa', '']</t>
  </si>
  <si>
    <t>['sangatt', 'jelek', 'iyaa', 'nomor', 'gua', 'terdaftar', 'darurat', 'otomatis', 'jdi', 'pulsa', 'beli', 'langsung', 'terpotong', 'sepengetahuan', '']</t>
  </si>
  <si>
    <t>['sinyal', 'lemot', 'aktif', 'aktif', 'isi', 'pulsa', 'menambah', 'aktif', 'keculai', 'aktif', 'habis', 'operator', 'terbaik', 'terburuk']</t>
  </si>
  <si>
    <t>['terimakasih', 'menghadirkan', 'aplikasi', 'manfaat', 'mudah', 'penggunaannya', 'berharap', 'peningkatan', 'promo', 'layanan', 'peningkatan', 'jaringan', 'kuat', 'daerah', 'pelosok', 'pedesaan', '']</t>
  </si>
  <si>
    <t>['telkomsel', 'aneh', 'membeli', 'perdana', 'unlimited', 'telkomsel', 'pakai', 'kuota', 'unlimited', 'menghabiskan', 'kuota', 'utama', 'kuota', 'utama', 'habis', 'unlimited', 'dipakai', 'kaya', 'gini', 'mah', 'kasian', 'pelangga', 'setia', 'telkomsel', 'berkembang', 'permasalahan']</t>
  </si>
  <si>
    <t>['tolong', 'jaringan', 'aplikasi', 'perbaiki', 'udah', 'update', 'lambat', 'buka', 'buka', 'susah', 'ngecek', 'sisa', 'kuota', 'pusing', '']</t>
  </si>
  <si>
    <t>['telkomsel', 'hati', 'kuota', 'gamesmax', 'ditambahin', 'aplikasi', 'call', 'duty', 'ngotak', 'dikit', 'kuota', 'utama', 'mulu', 'kepake', 'multimedia', 'nganggur', 'mulu', 'bayar', 'mahal', 'kepake', '']</t>
  </si>
  <si>
    <t>['custumer', 'telkomsel', 'ngeluh', 'kasih', 'bintang', 'kouta', 'unlimited', 'internet', 'batasi', 'beralih', 'provider', '']</t>
  </si>
  <si>
    <t>['jaringan', 'telkomsel', 'jaringan', 'berjasa', 'kerja', 'luat', 'telkomsel', 'melepas', 'rindu', 'keluarga', 'admin', 'telkomsel', 'miliki', 'orang']</t>
  </si>
  <si>
    <t>['hello', 'telkomsel', 'ceritanya', 'malam', 'isi', 'pulsa', 'kali', 'pulsa', 'pulsa', 'kartu', 'simpati', 'kemudia', 'cek', 'aplikasi', 'pulsaku', 'dipakai', 'rencana', 'ambil', 'paket', 'internet', 'hrganya', 'trnyata', 'pulsa', 'ckup', 'pdahal', 'udah', 'isi', 'terpaksa', 'isi', 'pulsa', 'konter', 'bru', 'kali', 'kecewa', 'telkomsel', '']</t>
  </si>
  <si>
    <t>['aplikasinya', 'iklan', 'iklan', 'iklan', 'info', 'menyedot', 'kuota', 'beda', 'tetangga', 'sebelah', 'berfokus', 'layanannya', 'pulsa', 'kuota', 'info', 'paket', '']</t>
  </si>
  <si>
    <t>['telkomsel', 'ngotak', 'sikit', 'dakjal', 'jual', 'paket', 'mahal', 'mahal', 'jaringannya', 'macem', 'taik', 'babi', 'malu', 'dikit', 'orang', 'telkomsel', 'kek', 'taik', 'jaringan', 'tolong', 'perbaiki', 'kecewa', 'udah', 'langganan', 'bertahun', '']</t>
  </si>
  <si>
    <t>['mohon', 'maaf', 'kasih', 'bintang', 'main', 'game', 'pingnya', 'paketannya', 'sisa', 'gb', 'jaringan', 'telkomsel', 'lelet', 'udah', 'mahal', 'lelet', 'kecewa']</t>
  </si>
  <si>
    <t>['semoga', 'aplikasi', 'informasi', 'versi', 'tolong', 'telkomsel', 'terhormat', 'kasih', 'gratisa', 'jaringan', 'super', 'cepat', 'anti', 'lag', 'makasih']</t>
  </si>
  <si>
    <t>['kuota', 'udh', 'login', 'dapet', 'kuota', 'php', 'kesini', 'php', 'telkomsel', 'menipu', 'customer', '']</t>
  </si>
  <si>
    <t>['buka', 'aplikasi', 'mytelkomsel', 'paketin', 'kuota', 'kepotong', 'rb', 'gila', 'ngisi', 'pulsa', 'belom', 'dipake', 'medsos', 'udah', 'habis', 'pulsanya', 'sial', '']</t>
  </si>
  <si>
    <t>['jaringan', 'lelet', 'banget', 'kecewa', 'banget', 'telkomsel', 'udah', 'konsisten', 'aduuh', 'pokoknya', 'kecewa', 'banget', 'cek', 'kuota', 'telkomsel', 'nunggu', 'banget', 'sampe', 'bosen']</t>
  </si>
  <si>
    <t>['sumpah', 'suka', 'banget', 'smaa', 'telkomsel', 'paket', 'unlimited', 'batasan', 'kuota', 'mahal', 'jaringannya', 'lelet', 'bingung', 'ntah', 'mahal', 'bagus', 'bagus', 'jaringannya', '']</t>
  </si>
  <si>
    <t>['tolong', 'donk', 'telkomsel', 'simpati', 'sosial', 'media', 'kuota', 'utama', 'habis', 'parah', '']</t>
  </si>
  <si>
    <t>['make', 'operator', 'telkomsel', 'udah', 'bertahun', 'kali', 'kecewa', 'jaringan', 'lambat', 'daerah', 'laen', 'lancar', 'gilirand', 'daerah', 'lambat', 'banget', 'gini', 'ganti', 'operator', 'laen']</t>
  </si>
  <si>
    <t>['tolong', 'diperbaiki', 'masuk', 'kedalam', 'aplikasi', 'susah', 'masuknya', 'jaringan', 'bagus', 'masuk', 'kedalam', 'aplikasi', 'susah', 'mengecek', 'paket', 'isi', 'paket', 'dll', '']</t>
  </si>
  <si>
    <t>['isi', 'pulsa', 'besoknya', 'ngechek', 'pulsa', 'pulsa', 'terpotong', 'telpon', 'sms', 'internet', 'cek', 'riwayat', 'penggunaan', 'pemberitahuan', 'apapun', 'telkomsel', 'mencuri', 'pemberitahuan', '']</t>
  </si>
  <si>
    <t>['bintang', 'jaringan', 'telkomsel', 'bagusnya', 'jaringan', 'bagus', 'jaringan', 'telkomsel', 'bagus', 'setia', 'telkomsel', 'jaringan', 'telkomsel', 'bagus', 'bohongan', 'telkomsel']</t>
  </si>
  <si>
    <t>['apl', 'tlkomsel', 'kebanyakan', 'koneksi', 'stabil', 'buka', 'apl', 'memuat', 'ulang', 'kecepatan', 'jaringan', 'tolong', 'diperbaiki']</t>
  </si>
  <si>
    <t>['telkomsel', 'kebanyakan', 'makan', 'babi', 'jaringan', 'lemot', 'bermutu', 'mahal', 'lemot', 'akses', 'apps', 'telkomsel', 'gratis', 'jaringan', 'siput', 'makan', 'kuota', 'kelaut']</t>
  </si>
  <si>
    <t>['tolonglah', 'perbaiki', 'sinyal', 'bales', 'maaf', 'maaaaaf', 'doang', 'brp', 'bnyk', 'orang', 'komplain', 'jaringan', 'lemot', 'sinyal', 'mutu', 'pengguna', 'butuh', 'tindakan', 'omong', 'kosong', '']</t>
  </si>
  <si>
    <t>['dih', 'apasi', 'telkomsel', 'tempo', 'jaringan', 'bagus', 'drop', 'udah', 'unlimited', 'batasi', 'kuota', 'utama', 'turunkan', 'kecepatannya', 'terganggu', 'jaringan', 'drop', 'kecepatan', 'mb', 'turun', 'drastis', 'bersyukur', 'kecepatan', 'mb', 'drop', '']</t>
  </si>
  <si>
    <t>['telkomsel', 'harii', 'beres', 'jaringan', 'udah', 'buruk', 'jaringan', 'down', 'kena', 'pulsa', 'gokillll', 'kartu', 'duluu', 'gini', 'kapok', 'daftar', 'paket', 'pulsa', 'always', 'ketarik', 'rugii', 'bangett', 'udah', 'jaringan', 'ilang', 'tolong', 'kaloo', 'gini', 'kapok', 'telkomsel', 'pulsa', 'beli', 'uang', 'telkomsel', 'main', 'potong', 'ajah', 'pemberitahuan', 'tolong', 'gimanaa', 'rugi', 'thx']</t>
  </si>
  <si>
    <t>['mengecewakan', 'beli', 'paket', 'mahal', 'ehh', 'jaringan', 'buruk', 'tolong', 'telkomsel', 'diperbaiki', 'pelanggan', 'kecewa', '']</t>
  </si>
  <si>
    <t>['aplikasi', 'aneh', 'gajelas', 'gua', 'pulsa', 'beli', 'paket', 'harga', 'paket', 'terbeli', 'gb', 'pulsa', 'harusny', 'sisa', 'habis', 'bangsaaatttt', 'aplikasi', 'msh', 'ngebug', '']</t>
  </si>
  <si>
    <t>['kecewa', 'telkomsel', 'harganya', 'mahal', 'telkomsel', 'tolong', 'rendah', 'harganya', 'auto', 'pindah', 'im']</t>
  </si>
  <si>
    <t>['mending', 'pakai', 'indosat', 'jaringan', 'telkomsel', 'jelek', 'parah', 'ditahan', 'tahankan', 'pakai', 'telkomsel', 'berbulan', 'jaringan', 'selemot', 'berharap', 'nnt', 'bagus', 'kemajuan', 'mohon', 'maaf', 'pilih', 'ganti', 'provider', '']</t>
  </si>
  <si>
    <t>['sinyal', 'terbaik', 'pulsa', 'kesedot', 'telkomsel', 'hilang', 'penggunamu']</t>
  </si>
  <si>
    <t>['jaringan', 'telkomsel', 'buruk', 'main', 'game', 'ngeyoutube', 'dll', 'loading', 'kesalahan', 'sambungan', 'telkomsel', 'tolong', 'perbaiki', 'jaringan', '']</t>
  </si>
  <si>
    <t>['woy', 'telkomsel', 'sbg', 'puncak', 'trtinggi', 'operator', 'indonesia', 'tolong', 'jaringan', 'enternet', 'percepat', 'malu', 'opt', 'paket', 'inet', 'murah', 'sinyal', 'mngecewakan', 'telkomsel', 'kedepan', 'skadar', 'saran', '']</t>
  </si>
  <si>
    <t>['kesini', 'buruk', 'kecepatan', 'lemot', 'lelet', 'promosi', 'klu', 'hasilnya', 'sinyal', 'kecepatan', 'buruk', 'paket', 'unlimitednya', 'sosial', 'media', 'super', 'lambat']</t>
  </si>
  <si>
    <t>['pengguna', 'kadang', 'terbantu', 'tuk', 'layanan', 'internetan', 'telkomsel', 'terjangkau', 'jaringannya', 'luas', 'memudahkan', 'pengguna', 'berkomunikasi', 'daerah', 'indonesia', '']</t>
  </si>
  <si>
    <t>['', 'harga', 'paket', 'unlimited', 'sinyalnya', 'jelek', 'kuota', 'lokal', 'kuota', 'internet', 'habis', 'tinggal', 'kuota', 'unlimited', 'jdi', 'lelet', 'sinyalnya', 'min', 'nggak', 'kaya', 'dlu', 'kuota', 'utama', 'kuota', 'lokal', 'abis', 'tpi', 'kuota', 'unlimited', 'sinyal', 'lancar', 'tpi', 'sinyalnya', 'jelek', 'dlu', 'rekomendasi', 'temen', 'telkomsel', 'harga', 'kuota', 'lumayan', 'tpi', 'sinyalnya', 'bagus', 'jdi', 'sesuai', 'harga', 'tpi', 'mikir', '']</t>
  </si>
  <si>
    <t>['aplikasi', 'sampah', 'uninstall', 'lucu', 'aplikasinya', 'ambil', 'bonus', 'paket', 'contoh', 'paket', 'harga', 'pulsa', 'pas', 'ambil', 'paket', 'keterangan', 'pulsa', 'trus', 'keseringan', 'paket', 'telfon', 'pulsa', 'ntah', 'tetep', 'kesedot', 'aneh', 'emang', 'org', 'pindah', 'operator', 'laen', 'emang', 'provider', 'tetep', 'ngatur', 'menkom', 'telkomsel', 'complain', 'maaf', 'make', 'telkomsel', 'gua', 'out']</t>
  </si>
  <si>
    <t>['dulunya', 'beli', 'paket', 'combo', 'harga', 'trjangkau', 'skrng', 'orang', 'kaya', 'harganya', 'sdah', 'diatas', 'mengecewakan']</t>
  </si>
  <si>
    <t>['gatau', 'pakai', 'kartu', 'telkomsel', 'jaringan', 'nyan', 'haduuuhh', 'pusing', 'pakai', 'kartu', 'telkomsel', '']</t>
  </si>
  <si>
    <t>['kemaren', 'isi', 'rb', 'dipake', 'udh', 'dipotong', 'rupiah', 'internet', 'telkomsel', 'kerja', 'sistemnya', 'gimana', 'min', 'tlg', 'dibalas', 'emailnya']</t>
  </si>
  <si>
    <t>['provider', 'plat', 'merah', 'pioner', 'internet', 'murah', 'berkualitas', 'gratis', 'kemakmuran', 'rakyat', 'indonesia', 'mahal', 'dri', 'provider', 'swasta', 'kah', 'negriku', '']</t>
  </si>
  <si>
    <t>['mohon', 'maaf', 'beli', 'kuota', 'unlimited', 'telkomsel', 'gb', 'buka', 'instagram', 'tiktok', 'youtube', 'games', 'chat', 'whattsapp', 'story', 'whatsapp', 'jaringan', 'full', '']</t>
  </si>
  <si>
    <t>['kecewa', 'kwalitas', 'sinyal', 'plosok', 'desa', 'mohon', 'memperbaiki', 'kalanya', 'kena', 'gangguan', 'apapun', 'mengakibatkan', 'sinyal', 'plosok', 'desa', 'lemot', 'kasian', 'orang', 'tinggal', 'plosok', 'desa', 'mengeluhkan', 'suah', 'sinyal', 'telkomsel']</t>
  </si>
  <si>
    <t>['hai', 'kak', 'ketidak', 'nyamanan', 'mohon', 'maaf', 'paketan', 'mahal', 'jaringan', 'standar', 'telkomsel', 'mending', 'dirikan', 'jaringan', 'memperbaiki', 'jaringan', 'gangguan', 'kasihan', 'pelanggan', 'daerah', 'maluku', 'jaringan', 'cuman', 'telkomsel', 'sekian', 'terima', 'kasih']</t>
  </si>
  <si>
    <t>['sinyal', 'parah', 'cuk', 'banggakan', 'lemot', 'ngapa', 'in', 'gimana', 'nihh', 'gua', 'mesti', 'ganti', 'kartu', 'taun', 'pke', 'telkomsel', '']</t>
  </si>
  <si>
    <t>['sinyal', 'ngadat', 'kota', 'surabaya', 'jelek', 'signalnya', 'udah', 'mahal', 'mohon', 'diperbaiki', 'signalnya', 'streaming', 'ngegame', 'sosmed', 'buffring']</t>
  </si>
  <si>
    <t>['aplikasi', 'rusak', 'promo', 'internet', 'pulsa', 'beli', 'pulsa', 'keterangannya', 'pulsa', 'beli', 'pulsa', 'keterangannya', 'paket', 'dibeli', 'mohon', 'perbaiki', 'pulsa', 'habis', 'tersedot', 'karenda', 'data', '']</t>
  </si>
  <si>
    <t>['bagus', 'udah', 'paket', 'malemnya', 'paket', 'sahur', 'diadakan', 'gapapa', 'gb', 'rb', 'alasan', 'memperpanjang', 'kartu', 'thanks', '']</t>
  </si>
  <si>
    <t>['aplikasi', 'penipuan', 'kemarin', 'isi', 'pulsa', 'paket', 'rb', 'aplikasi', 'paketannya', 'habis', 'masuk', 'akal', 'sma', 'skli', 'slma', 'isi', 'counter', 'terdekat', 'hbis', 'muda', 'han', 'aplikasi', 'kekurangan', 'konsumen', '']</t>
  </si>
  <si>
    <t>['lemot', 'isi', 'pulsa', 'trus', 'beli', 'paket', 'aplikasi', 'notif', 'paket', 'aktif', 'kepotong', 'pulsa', 'reguler', 'kuota', 'paket', 'pulsa', 'sisa', 'terima', 'kasih', 'mytelkomsel']</t>
  </si>
  <si>
    <t>['paket', 'beli', 'aktivasi', 'mending', 'pajang', 'belanja', 'app', 'telkomsel', 'udah', 'coba', 'berkali', 'kali', 'gagal', 'aktivasim', 'pulsa', 'nyaman', 'runyam']</t>
  </si>
  <si>
    <t>['jaringan', 'telkomsel', 'jeeeellllleeeeekkkkkk', 'ngasih', 'jaringan', 'unlimited', 'unlimited', 'mengecewakan', '']</t>
  </si>
  <si>
    <t>['kartu', 'udah', 'seminggu', 'jaringan', 'kayak', 'gini', 'mending', 'ganti', 'kartu', 'mahin', 'telkom']</t>
  </si>
  <si>
    <t>['kebanyakan', 'promo', 'kualitas', 'jaringan', 'anjlok', 'kemarin', 'perbaikan', 'kesini', 'jelek', 'jaringan', 'rumah', 'dapet', 'bar', 'cuman', 'dapet', 'bar', 'itupun', 'kadang', 'bolak', 'karuan', '']</t>
  </si>
  <si>
    <t>['telkomsel', 'jaringannya', 'luas', 'menjangkau', 'daerah', 'pelosok', 'tempatku', 'perkotaan', 'jaringannya', 'lemot', 'niat', 'telkomsel', 'keluhan', 'pengguna', 'udah', 'udah', 'jaringan', 'diperbaiki', '']</t>
  </si>
  <si>
    <t>['suka', 'pelayanan', 'grapari', 'mall', 'kelapa', 'gading', 'counter', 'tatapan', 'sopan', 'mata', 'ramah', 'pelanggan', 'setia', 'telkomsel', 'camkan', 'tgl', 'mei', 'jam', 'wib', 'menawarkan', 'produk', 'beda', 'harga', 'aplikasi', 'mytelkomsel', '']</t>
  </si>
  <si>
    <t>['kapok', 'deh', 'paket', 'kuota', 'telkomsel', 'udah', 'harganya', 'mahal', 'kuotanya', 'cepat', 'habis', 'udah', 'gitu', 'paketnya', 'abis', 'pulsa', 'potong', 'mending', 'kuota', 'operator', 'habisnya', 'sesuai', 'aktif', 'pulsa', 'potong']</t>
  </si>
  <si>
    <t>['harga', 'paket', 'mahal', 'dibanding', 'kualitas', 'buruk', 'dlm', 'sehari', 'jaringan', 'ilang', 'sekalinya', 'gtu', 'jaringan', 'bayar', 'woooy', '']</t>
  </si>
  <si>
    <t>['kecewa', 'denga', 'telkomsel', 'menyesal', 'karna', 'menukar', 'kartu', 'hallo', 'imingi', 'paket', 'paket', 'habis', 'unlimited', 'paket', 'unlimitednya', 'paket', 'habis', 'stak', 'trus', 'parahnya', 'den', 'mengirim', 'menyesal', 'dangan', 'menerima', 'tawaran', 'merubah', 'hallo', 'karna', 'tipu']</t>
  </si>
  <si>
    <t>['mohon', 'maap', 'yak', 'telkomsel', 'dibuka', 'tulisannya', 'apl', 'dioptimalkan', 'perangkat', 'oppo', '']</t>
  </si>
  <si>
    <t>['aplikasinya', 'bagus', 'buka', 'aplikasinya', 'suka', 'log', 'out', 'mesti', 'masuk', 'ulang', 'mengetik', 'nomor', 'nomor', 'pas', 'log', 'dipasang', 'berbeda', 'dng', 'memasang', 'aplikasi', 'mytelkomsel', 'tolong', 'beritau', 'jalan', 'keluarnya', 'tksh']</t>
  </si>
  <si>
    <t>['fitur', 'bagus', 'transaksi', 'lancar', 'aplikasi', 'stabil', 'frontend', 'kadang', 'hape', 'nge', 'close', 'habis', 'beli', 'paket', 'langsung', 'update', 'lokal', 'fetch', 'ulang', 'refresh', '']</t>
  </si>
  <si>
    <t>['aneh', 'paket', 'unlimited', 'skrg', 'batas', 'wajar', 'beli', 'unlimited', 'batas', 'skrg', 'udah', 'gada', 'min', 'trs', 'unlimited', 'skrg', 'batas', 'wajar', 'habis', 'gabisa', 'buka', 'jaringan', 'aneh', 'eror', 'jaringan', 'bagus', 'kecewa']</t>
  </si>
  <si>
    <t>['kemari', 'tarif', 'mahal', 'pls', 'data', 'abis', 'notif', 'sinyal', 'kadang', 'ilang', 'ilangan', 'beli', 'paket', 'mendingan', 'smartfren', 'sinyal', 'kuat', 'harga', 'mantap', '']</t>
  </si>
  <si>
    <t>['telkomsel', 'banget', 'ngeyoutube', 'kayak', 'lancar', 'ngeyoutube', 'tujuan', 'gua', 'beli', 'kartu', 'telkomsel', 'enak', 'ngeyoutube', 'lancar', 'cacat', 'anjink']</t>
  </si>
  <si>
    <t>['tolong', 'buka', 'aplikasi', 'koneksi', 'stabil', 'beli', 'paket', 'transaksi', 'proses', 'kuotanya', 'masuk', 'masuk']</t>
  </si>
  <si>
    <t>['error', 'aplikasi', 'telkomsel', 'koneksi', 'stabil', 'kterangannya', 'close', 'dll', 'tolong', 'perbaiki', 'aplikasinya', 'terlaly', 'bnyak', 'fitur', 'bikit', 'lambat']</t>
  </si>
  <si>
    <t>['jaringan', 'skrg', 'jelek', 'sebentar', 'nongol', 'sebentar', 'ilang', 'klu', 'udah', 'magrib', 'atw', 'hujan', 'parah', 'pelanggan', 'jaringan', 'skrg', 'dlu', 'nama', 'bagus', 'kwalitas', 'ilang']</t>
  </si>
  <si>
    <t>['paket', 'omg', 'bobrok', 'kuota', 'kuota', 'lokal', 'multimedia', 'kepakai', 'parah', '']</t>
  </si>
  <si>
    <t>['wifi', 'rumah', 'isi', 'paketan', 'paketan', 'habis', 'langsung', 'hilang', 'sisa', 'pulsa', 'pemberitahuan', 'sms', 'tarif', 'non', 'paket', 'pulsa', 'udah', 'rupiah', 'dikasih', 'banget', 'kayak', 'gini', 'kelupaan', 'jam', 'sisa', 'pulsa', 'pemberitahuan', '']</t>
  </si>
  <si>
    <t>['migrasi', 'bolak', 'butuh', 'nomernya', 'kejelasan', 'pasca', 'bayar', 'nominalnya', 'blm', 'ppn', 'kecewa', '']</t>
  </si>
  <si>
    <t>['tolong', 'daerah', 'taliabu', 'desa', 'jorjoga', 'tingkatkan', 'jaringan', 'telkomsel', 'sulit', 'jaringan', 'telkomsel', 'karnakan', 'towernya', 'jangkau', 'jaringan', 'trimakasih']</t>
  </si>
  <si>
    <t>['telkomsel', 'parah', 'hancur', 'kualitas', 'sinyal', 'lemot', 'kuota', 'hancur', 'paket', 'unlimited', 'apps', 'dibatasi', 'kuota', 'maaf', 'maaf', 'kayak', 'gini', 'mending', 'ganti', 'kartu']</t>
  </si>
  <si>
    <t>['tolong', 'min', 'jaringan', 'telkomsel', 'buruk', 'unlimited', 'kuota', 'janringan', 'buruk', 'menelpon', 'susah', 'bermain', 'game', 'wilayah', 'ramai', 'penduduk', 'kuota', 'unlimited', 'kecepatan', 'mbps', 'kenyataannya', 'bohong', 'terimakasih', '']</t>
  </si>
  <si>
    <t>['aplikasinya', 'bagus', 'membantu', 'pengguna', 'kartu', 'telkomsel', 'bintang', 'aplikasinya', 'kekurangan', 'jaringan', 'telkomsel', 'data', 'stabil', 'jam', 'beraktifitas', 'terputus', 'lost', 'conection', 'telkomsel', 'berjaya', 'indonesia', 'atasi', 'terima', 'kasih', '']</t>
  </si>
  <si>
    <t>['jaringan', 'dirumah', 'bagus', 'internet', 'putus', 'pilihan', 'penawaran', 'paket', 'menarik', 'ditambah', 'pilihan', '']</t>
  </si>
  <si>
    <t>['bagus', 'jaringan', 'telkomsel', 'hilang', 'jaringannya', 'kadang', 'please', 'perbaiki', 'jaringan', 'udah', 'bayar', 'paket', 'mahal', 'jaringannya', 'kayak', 'gitu', 'tolong', 'mengecewakan', 'customer', 'terimakasih', '']</t>
  </si>
  <si>
    <t>['telkomsel', 'main', 'game', 'online', 'sinyal', 'turun', 'giliran', 'main', 'game', 'online', 'sinyal', 'lancar', 'tolong', 'perbaiki', 'paketan', 'mahal', 'sinyal', 'sesuai', 'harga', 'paketanya', 'main', 'game', 'turun', 'sinyalnya', '']</t>
  </si>
  <si>
    <t>['tinggal', 'pulau', 'jawa', 'alamat', 'sendang', 'kec', 'tersono', 'kab', 'batang', 'jawa', 'jaringan', 'ditempat', 'bar', 'krna', 'saking', 'jauhnya', 'tower', 'bts', 'telkomsel', 'tolong', 'pasang', 'tower', 'stabil', 'datanya', 'miris', 'berbukit', 'tower', 'mayoritas', 'udah', 'pke', 'internet', 'siang', 'speednya', 'kbps', 'nonton', 'youtube', 'ngelag', 'bufring', 'buruk', 'internetnya', 'telpon', 'doang', 'andai', 'dilahirkan', 'kota', '']</t>
  </si>
  <si>
    <t>['tolong', 'min', 'sinyal', 'hilang', 'informasi', 'telkomsel', 'ditingkatkan', 'informasinya', 'pengguna', 'min', '']</t>
  </si>
  <si>
    <t>['', 'jam', 'baca', 'komentar', 'planggan', 'telkomsel', 'kecewa', 'kecewa', 'kecewa', 'injak', 'injak', 'ludahi', 'kencingi', 'tpi', 'mengobati', 'luka', 'hati', 'karna', 'paket', 'data', 'beli', 'paket', 'padahaljaringan', 'alangkah', 'baiknya', 'telkomsel', 'belajar', 'tetangga', '']</t>
  </si>
  <si>
    <t>['aplikasi', 'muter', 'gue', 'cari', 'menu', 'stop', 'paket', 'mekkah', 'udah', 'haji', 'gue', 'aplikasi', 'nemu', 'stop', 'berlangganan', 'biji', 'ribet', 'ama', 'provider', 'udah', 'ratusan', 'ribu', 'gue', 'beli', 'paket', 'kecuali', 'nyangkut', '']</t>
  </si>
  <si>
    <t>['error', 'signal', 'full', 'diganti', 'hallo', 'maxstremnya', 'lbh', 'parah', 'ulasannya', 'bintang', '']</t>
  </si>
  <si>
    <t>['terang', 'kecewa', 'dlunya', 'beli', 'paket', 'unlimited', 'paket', 'utama', 'habis', 'akses', 'internet', 'paket', 'utama', 'habis', 'ngk', 'akses', 'internet', 'beli', 'paket', 'unlimited', 'ngk', 'konsisten', '']</t>
  </si>
  <si>
    <t>['developer', 'maaf', 'kesalahan', 'error', 'sistem', 'untum', 'memuat', 'kuota', 'tolong', 'perbaiki', 'lakukan', 'apk', 'berjalan', '']</t>
  </si>
  <si>
    <t>['tolong', 'telkomsel', 'udah', 'sinyal', 'daerah', 'kalbar', 'hilang', 'hilang', 'tolong', 'dibenahi', 'karna', 'telkomsel', 'jaringan', 'masuk', 'daerah', 'jaringan', 'masuk', 'kesini', 'jaringan', 'telkomsel', 'dibenahi', 'berhenti', 'berlangganan', 'telkomsel', 'jujur', 'pelanggan', 'jaringan', 'telkomsel', 'menjanjikan', '']</t>
  </si>
  <si>
    <t>['telkomsel', 'pulsa', 'beli', 'paket', 'malam', 'harga', 'sisa', 'kemana', '']</t>
  </si>
  <si>
    <t>['unlimited', 'mah', 'batasi', 'combo', 'sakti', 'unlimited', 'nama', 'membatasi', '']</t>
  </si>
  <si>
    <t>['kasih', 'bintang', 'buwat', 'telkomsel', 'jaringan', 'percaya', 'quota', 'knapa', 'buwat', 'main', 'game', 'buwat', 'baca', 'story', 'susah', 'telkomsel', 'mengecewakan', 'buang', 'kartu', 'telkomsel', 'ganti', 'kartu', 'jaringanya', '']</t>
  </si>
  <si>
    <t>['unlimited', 'combo', 'batas', 'wajar', 'pakai', 'unlimited', 'smartfren', 'kecewa', 'mah', 'enak', 'unlimited', 'combo', 'paket', 'utamanya', 'habis', 'buka', 'whatsapp', 'tik', 'tok', 'instagram', 'youtube', 'ngelag', 'sungguh', 'mengecewakan', '']</t>
  </si>
  <si>
    <t>['jaringan', 'lte', 'terluas', 'signal', 'hilang', 'ngelag', 'gangguan', 'paket', 'kuota', 'sisa', 'takut', 'pulsanya', 'ambil', 'yaudah', 'beli', 'paket', 'kuotanya', 'knapa', 'kepakenya', 'paket', 'kuota', 'barunya', 'habisin']</t>
  </si>
  <si>
    <t>['', 'internetku', 'cepat', 'habis', 'gb', 'sebulan', 'masi', 'sisanya', 'habis', 'kecewa', 'langganan', '']</t>
  </si>
  <si>
    <t>['mohon', 'maaf', 'berpisah', 'suka', 'kebijakan', 'merugikan', 'pelanggan', 'harga', 'kualitas', 'memberatkan', 'pelanggan', 'pribadi', 'permasalahn', 'paket', 'internet', 'kena', 'fupdan', 'jaringan', 'lemah', 'terimakasih', 'menemani', '']</t>
  </si>
  <si>
    <t>['pembobolan', 'data', 'top', 'game', 'salah', 'oepratornya', 'smpi', 'tnya', 'pusat', 'pembelian', 'seagame', 'google', 'play', 'store', 'emng', 'pembeliannya', 'gagal', 'tpi', 'pulsanya', 'sudh', 'terlanjur', 'disedot', 'nyalahin', 'sea', 'games', 'tunggu', 'tanggal', 'mainnya', 'tks']</t>
  </si>
  <si>
    <t>['bintang', 'beli', 'pulsa', 'tgl', 'mei', 'mytelkomsel', 'pakai', 'shopeepay', 'menerima', 'cashback', 'dijanjikan', 'telkomsel', 'promo', 'mei', 'paket', 'combo', 'sakti', 'aplikasi', 'telkomsel', 'tarif', 'internet', 'ditawarkan', 'mahal', '']</t>
  </si>
  <si>
    <t>['telkomsel', 'beli', 'kuota', 'unlimited', 'gagal', 'kendala', 'sistem', 'kadang', 'sinyal', 'trouble', 'plis', 'percaya', 'dikecewakan', 'kerja', 'pakai', 'internet', 'terhambat', '']</t>
  </si>
  <si>
    <t>['wuoy', 'bang', 'kembalikan', 'paket', 'unlimited', 'masyrakat', 'miskin', 'udah', 'nyaman', 'banget', 'karna', 'paket', 'unlimited', 'tolongg', 'dongg', 'kembalikan', 'unlimited', 'gb', 'tolong', 'kembalikan', 'paket', 'unlimited', 'mending', 'pindah', 'kartu']</t>
  </si>
  <si>
    <t>['mempersulit', 'transaksi', 'promo', 'ceria', 'aktif', 'aktivasi', 'rekomendasi', 'teman', 'teman', 'kerja']</t>
  </si>
  <si>
    <t>['terpaksa', 'ngasih', 'bintang', 'ngak', 'patut', 'kasih', 'kecewa', 'banget', 'ama', 'telkomsel', 'payah', 'layanan', 'sma', 'skali', 'mengabaikan', 'kepuasan', 'pelanggan', 'combo', 'sakti', 'unlimited', 'kuota', 'gb', 'abis', 'enak', 'pakai', 'internet', 'skrng', 'combo', 'sakti', 'gb', 'omdo', 'gb', 'abis', 'gb', 'seok', 'pakai', 'internet', 'mending', 'cari', 'kuning', 'ngertiin', 'kantong', 'orang', 'kyak', 'sya', 'thank', '']</t>
  </si>
  <si>
    <t>['bintangnya', 'turunin', 'sinyalnya', 'susah', 'paketnya', 'mahal', 'mahal', 'sinyal', 'bagus', 'mah', 'mah', 'mahal', 'sinyal', 'susah', 'kecawalah', 'telkomsel']</t>
  </si>
  <si>
    <t>['susah', 'jaringan', 'main', 'mobile', 'leagend', 'susah', 'banget', 'koneksinya', 'kampung', 'susah', 'main', 'gatau', 'kartu', 'simpati', 'pakai', 'main', 'mobile', 'leagend', 'hancurkan', 'tumbuk', 'batu', 'payah', 'payah', 'payah']</t>
  </si>
  <si>
    <t>['maaf', 'cari', 'pakai', 'bhs', 'inggris', 'bhs', 'inggris', 'rating', 'bintang', 'aplikasi', 'hapus', 'pakai', 'ngerti', 'bhs', 'inggris', '']</t>
  </si>
  <si>
    <t>['telkomsel', 'gilak', 'jaringan', 'full', 'kuota', 'susah', 'koneksi', 'internet', 'kaya', 'perbaiki', 'kinerjanya', '']</t>
  </si>
  <si>
    <t>['balikin', 'kuota', 'telkomsel', 'unlimited', 'malas', 'banget', 'kuota', 'unlimited', 'karna', 'batasan', 'kuotanya', 'kuota', 'batas', 'pemakaiannya', 'habis', 'buka', 'tiktok', 'facebook', 'susa', 'lemot', 'parah', 'kuota', 'unlimited', 'dibatasi', 'kecewa', 'telkomsel', 'udah', 'telkomsel', '']</t>
  </si>
  <si>
    <t>['susah', 'bener', 'cek', 'pulsa', 'tetep', 'susah', 'call', 'center', 'ditelpon', 'sms', 'terkirim', 'pulsa', 'aktif', 'jaringan', 'bagus', 'restart', 'cek', 'smsc', 'utak', 'atik', 'mode', 'pesawat', 'cari', 'tutorial', 'googl', 'gagal']</t>
  </si>
  <si>
    <t>['perbaiki', 'tolong', 'jaringan', 'lag', 'parah', 'mohonkan', 'minggu', 'jaringan', 'daerah', 'bermasalah', 'terimakasih']</t>
  </si>
  <si>
    <t>['', 'telkomsel', 'cepat', 'tanggap', 'memasyarakat', 'kebutuhan', 'masyatakat', 'berhubungan', 'komunikasi', 'daring', 'terjangkau', 'lancar', 'mudah', 'mudahan', 'cakep', 'bagus', 'pelayanan', 'komunikasi', 'daring', '']</t>
  </si>
  <si>
    <t>['paket', 'internet', 'mahal', 'kualitas', 'jaringan', 'lte', 'serasa', 'lokasi', 'rumah', 'diperkotaan', 'mendukung', 'jaringan', 'lte', 'yaa', 'maaf', 'kecewa', 'telkomsel', 'provider', 'sebelah', 'opsi', 'lancar', 'transaksi', 'dll', 'perbaiki', 'maintenance', 'mahal', 'kendala', 'jaringan', '']</t>
  </si>
  <si>
    <t>['', 'area', 'lampung', 'kecamatan', 'rajabasa', 'telkomsel', 'lemot', 'kayak', 'siput', 'masak', 'mode', 'sungguh', 'mengecewakan', '']</t>
  </si>
  <si>
    <t>['udah', 'ditindaklanjuti', 'ulasannya', 'diedit', 'makasih', 'beli', 'pulsa', 'mytelkomsel', 'bayar', 'shopeepay', 'transaksi', 'berhasil', 'saldo', 'shopeepay', 'berkurang', 'pulsa', 'bertambah', 'banget', 'korbannya', 'admin', 'mytelkomsel', 'merespons', 'membantu', '']</t>
  </si>
  <si>
    <t>['provider', 'dipercaya', 'masyarakat', 'indonesia', 'suka', 'ngecewain', 'contohnya', 'kuota', 'unlimited', 'max', 'harga', 'jadu', 'berubah', 'full', 'unlimited', 'fup', 'sungguh', 'ngecewain', 'nihh', 'dimana', 'mahal', 'berkurang', 'chat', 'akun', 'telkomsel', 'resmi', 'ngejawab', 'bott', '']</t>
  </si>
  <si>
    <t>['aplikasinya', 'bagus', 'mudah', 'penggunaan', 'masuk', 'aplikasi', 'sinyal', 'reload', 'aplikasinya', 'bagus', 'mudah', 'menunya', '']</t>
  </si>
  <si>
    <t>['maaf', 'sengaja', 'sya', 'download', 'sya', 'sya', 'main', 'mobile', 'legend', 'sinyal', 'merah', 'lag', 'menjengkelkan', 'sinyal', 'telkomsel', 'tolong', 'terima', 'kasih', '']</t>
  </si>
  <si>
    <t>['telkomsel', 'ditinggalkan', 'jaringan', 'internet', 'lemot', 'maaf', 'telkomsel', 'pindah', 'provider', 'terimah', 'kasih', 'provider', 'andalan', '']</t>
  </si>
  <si>
    <t>['telkomsel', 'promo', 'kuota', 'terjangkau', 'kalangan', 'menengah', 'kebawah', 'kegiatan', 'sistem', 'online', 'terimakasih']</t>
  </si>
  <si>
    <t>['sinyal', 'telkomsel', 'buruk', 'kuota', 'mahal', 'imbang', 'sinyal', 'minat', 'makai', 'telkomsel', 'kualitasnya', 'dijamin', 'kecewa', 'gara', 'gara', 'sinyal', 'lemah', '']</t>
  </si>
  <si>
    <t>['aplikasi', 'mytelkomsel', 'jaringan', 'top', 'alhamdulillah', 'semoga', 'maju', 'telkomsel', 'saran', 'coba', 'telkomsel', 'kek', 'axis', 'harganya', 'murah', 'jaringan', 'lumayan', 'kencang', 'direktur', 'telkomsel', 'harga', 'paketnya', 'usahakan', 'dimurahin', 'dikit', 'kasian', 'masyarakat', 'perusahaan', 'bumn', 'harganya', 'selangit', 'jahat', 'contohnya', 'ditempat', 'aceh', 'tenggara', 'jaringan', 'rusakkkkkkkkkkkkkkkkkkkk', 'udh', 'mahal', 'lagii', 'astaghfirullah', 'tobatt', 'broo', 'tobat']</t>
  </si>
  <si>
    <t>['min', 'unlimited', 'rubah', 'buka', 'disitu', 'tertera', 'kbs', 'kbs', 'jalanya', 'kbs', 'min', '']</t>
  </si>
  <si>
    <t>['paket', 'kartu', 'beda', 'harga', 'paketnya', 'perbedaan', 'harga', 'paket', 'disetiap', 'daerah', 'didaerah', 'paketnya', 'beda', 'contoh', 'simpati', 'loop', 'loop', 'user', 'membeli', 'paket', 'internet', 'cepat', 'paket', 'dinaikan', 'harganya', 'loop', 'user', 'ngak', 'beli', 'paket', 'internet', 'harga', 'paket', 'normal', 'murah', 'paket', 'belajar', 'provider', 'telkomsel', 'harga', 'paketnya', 'mahal', 'kuotanya', 'tipis', '']</t>
  </si>
  <si>
    <t>['gmn', 'min', 'lapor', 'perbaiki', 'jaringan', 'telkomselnya', 'gamer', 'nyaman', 'koneksi', 'jaringan', 'lemot', 'paket', 'data', 'mainkan', 'game', 'online', 'salam', 'gemer', 'kota', 'bima', 'semoga', 'cepat', 'perbaiki', 'jaringan', 'telkomsel', 'trims']</t>
  </si>
  <si>
    <t>['', 'aplikasi', 'mytelkomsel', 'udah', 'berat', 'lambat', 'kacau', 'klaim', 'bonus', 'hasil', 'check', 'dibilang', 'point', 'mencukupi', 'aplikasi', 'isi', 'produknya', 'koq', 'lelet', 'toko', 'online', 'spt', 'toped', 'bukalapak', 'dll']</t>
  </si>
  <si>
    <t>['buka', 'aplikasi', 'cek', 'pulsa', 'kuota', 'tertulis', 'koneksi', 'stabil', 'promo', 'dibawahnya', 'muncul', 'klaim', 'hadiah', 'kuota', 'daily', 'check', 'ngga', 'masuk', 'pulsa', 'poin', 'udah', 'potong', 'waduhhh', 'parah', 'mahal', 'paket', 'datanya', 'telkomsel', 'banget', 'mah', '']</t>
  </si>
  <si>
    <t>['kebijakan', 'combo', 'sakti', 'unlimited', 'fup', 'unlimited', 'youtube', 'unlimited', 'game', 'max', 'tikok', 'dll', 'boro', 'unlimited', 'buka', 'facebook', 'kirim', 'massage', 'pesan', 'udah', 'lelet', 'kebangetan', 'kirim', 'chat', 'buka', 'lho', 'lelet', 'cobak', 'unlimitednya', 'youtube', 'games', 'tiktok', 'dll', '']</t>
  </si>
  <si>
    <t>['telkomsel', 'paket', 'unlimited', 'chat', 'sosmed', 'tiktok', 'skrg', 'batas', 'wajarnya', 'menyukainya', 'terpaksa', 'skrg', 'pindah']</t>
  </si>
  <si>
    <t>['tolong', 'perbaikin', 'jaringan', 'liat', 'tik', 'tok', 'kouta', 'mohon', 'perbaiki', 'secepatnya', 'ajah', 'semoga', 'perbaiki', 'kedepannya', 'sekian', 'trimakasihh', '']</t>
  </si>
  <si>
    <t>['yess', 'mohon', 'maaf', 'telkomsel', 'kasih', 'bintang', 'karna', 'combo', 'sakti', 'unlimited', 'udah', 'sesuai', 'ngapain', 'dinamakan', 'combo', 'sakti', 'unlimited', 'batasi', 'kaya', 'sosial', 'media', 'batas', 'kouta', 'utama', 'habis', 'pindah', 'kartu', 'telkomsel', 'oiiii']</t>
  </si>
  <si>
    <t>['telkomsel', 'lemotnya', 'masyallah', 'udah', 'susah', 'banget', 'sinyalnya', 'udah', 'beli', 'paket', 'mahal', 'mahal', 'gmeet', 'gimana', 'kenapaaaaa']</t>
  </si>
  <si>
    <t>['telkomsel', 'curang', 'kuota', 'internet', 'pulsa', 'dihabiskan', 'kuota', 'beda', 'berlakunys', 'disedot', 'kuotanya', 'aktip', 'aktip', 'pendek', 'mengecewakan', '']</t>
  </si>
  <si>
    <t>['telkomsel', 'kadang', 'lancar', 'kadang', 'lag', 'kaget', 'mslh', 'harga', 'kuota', 'cmn', 'tolong', 'harga', 'kuota', 'kualitas', 'jaringan', 'layanan', 'harga', 'diutamain', 'lupa', 'kualitas', 'jaringannya']</t>
  </si>
  <si>
    <t>['dear', 'telkomsel', 'kemarin', 'beli', 'kuota', 'ketengan', 'youtube', 'nonton', 'youtube', 'ngelag', 'sinyalnya', 'pindah', 'developer', '']</t>
  </si>
  <si>
    <t>['mantep', 'jaringan', 'download', 'game', 'gb', 'jam', 'udah', 'selesai', 'parah', 'semangat', 'konsumen', 'kecewa', '']</t>
  </si>
  <si>
    <t>['woi', 'telkomsel', 'bonus', 'kuota', 'internet', 'klaim', 'bonus', 'chek', 'harian', 'terklaim', 'bonusnya', 'hadeh', 'tipu', 'tipu', 'udah', 'apk', 'lemot', 'bener', '']</t>
  </si>
  <si>
    <t>['sinyal', 'telkomsel', 'jelek', 'banget', 'enak', 'enak', 'main', 'game', 'sinyalnya', 'ngilang', 'bkan', 'kali', 'atwa', 'kali', 'tpi', 'tolong', 'perbaiki', 'udah', 'lmyan', 'pke', 'telkomsel', 'tpi', 'skrang', 'kya', 'gini', 'lemot', 'cpat', 'bnget', '']</t>
  </si>
  <si>
    <t>['telkomsel', 'secepat', 'aplikasi', 'telkomsel', 'tertera', 'paket', 'ceria', 'dibeli', 'progress', 'alias', 'status', 'pending', 'membeli']</t>
  </si>
  <si>
    <t>['tukar', 'poin', 'voucher', 'makanan', 'grabfood', 'konfirmasi', 'kasir', 'layanan', 'grabfood', 'langsung', 'restorannya', 'tolol']</t>
  </si>
  <si>
    <t>['mahal', 'doank', 'jaringan', 'buruk', 'layak', 'provider', 'provider', 'sebelah', 'murah', 'koneksi', 'lancar', '']</t>
  </si>
  <si>
    <t>['mohon', 'perbaiki', 'kwalitasnya', 'sinyal', 'internetnya', 'jelek', 'simbol', 'stabil', 'koneksi', 'jelek', 'terputus', 'putus', 'posisi', 'dimanapun', 'setahun', 'bagus', 'kesininya', 'merosot', 'jelek', 'harga', 'mahal', 'operator', 'seluler', 'sebelah', 'murah', 'kwalitas', 'bagus', 'gedung', 'beton', 'pengganggu', 'aktifitas', 'usaha', 'pindah', 'mohon', 'pehatian', '']</t>
  </si>
  <si>
    <t>['beli', 'paket', 'konter', 'harga', 'paket', 'unlimited', 'abis', 'kuota', 'utama', 'paket', 'unlimited', 'cuman', 'whatsapp', 'gini', 'udah', 'beda', 'paket', 'chat', 'sebulan', 'cuman', 'semoga', 'cepat', 'perbaiki']</t>
  </si>
  <si>
    <t>['bermasalah', 'tampilan', 'menu', 'koneksi', 'stabil', 'refresh', 'ulang', 'masuk', 'mytelkomsel', 'kali', 'stabil', 'itupun', 'tolong', 'diperbaiki', 'diperhatikan', 'servernya', '']</t>
  </si>
  <si>
    <t>['ngasih', 'ulasan', 'buruk', 'telkomsel', 'bangkrut', 'sampe', 'isi', 'ulasan', 'produk', 'providernya', 'gada', 'iklanya', 'jorjoran', 'disemua', 'media', 'kendala', 'telkomsel', 'ragu', '']</t>
  </si>
  <si>
    <t>['paket', 'saktinya', 'udah', 'ngak', 'karuan', 'daftar', 'seminggu', 'udah', 'ngilang', 'batas', 'pendaftarannya', 'habis', 'tanggal', 'hilang', 'paketnyapun', 'nyampe', 'pas', 'buru', 'bli', 'pulsa', 'pengen', 'daftar', 'ehh', 'udah', 'ngilang', 'paket', 'dehh', 'aneh']</t>
  </si>
  <si>
    <t>['jaringan', 'buruk', 'main', 'game', 'nama', 'doang', 'telkomsel', 'bagus', 'jaringan', 'hasil', 'nihil', 'mahal', 'doang', 'bales', 'chat', 'benerin', 'jaringan', 'telkom', 'gua', 'pabuaran', 'bogor']</t>
  </si>
  <si>
    <t>['jaringan', 'lemot', 'harga', 'paket', 'mahal', 'pokoknya', 'deh', 'pakek', 'telkomsel', 'pindah', 'provider', 'sebelah', 'harga', 'paket', 'terjangkau', 'jaringan', 'setabil']</t>
  </si>
  <si>
    <t>['hallo', 'assalamu', 'alaikum', 'telkomsel', 'mohon', 'donk', 'jaringan', 'diperbaiki', 'memakai', 'kartu', 'telkomsel', 'salah', 'xixi', 'kali', 'mengalami', 'jaringan', 'buruk', 'mohon', 'diperbaiki', 'ngab', 'oke', '']</t>
  </si>
  <si>
    <t>['susah', 'mengakses', 'ditempat', 'jaringan', 'telkomsel', 'dulunnya', 'nomor', 'login', 'mytelkomsel', 'indosat', 'lancar', 'jaya']</t>
  </si>
  <si>
    <t>['kasih', 'bintang', 'nyesel', 'ubah', 'bintang', 'mengecewakan', 'poin', 'tukerin', 'pulsa', 'paketan', 'telkomsel', 'sebener', 'uda', 'bagus', 'uda', 'kayak', 'dlu', 'jaringan', 'no', 'skrg', 'jaringan', '']</t>
  </si>
  <si>
    <t>['adakan', 'promo', 'kuota', 'gede', 'harga', 'murah', 'aktif', 'contoh', 'gb', 'harga', 'cek', 'terima', 'kasih']</t>
  </si>
  <si>
    <t>['pancingan', 'kartu', 'perdana', 'mahal', 'giga', 'tuk', 'isi', 'giga', 'unlimited', 'harga', 'bensin', 'premium', 'dor', 'kena', 'tipu', 'pancingan', 'sue', 'telkomsel', 'gitu']</t>
  </si>
  <si>
    <t>['nyata', 'bro', 'semenjak', 'jaringan', 'im', 'drastis', 'telkomsel', 'pindah', 'im', 'paket', 'murah', 'jaringan', 'kuat', 'hobi', 'main', 'game', 'online', 'belajar', 'online', 'rumah', 'terima', 'kasih', 'im', 'paket', 'menguras', 'duit', '']</t>
  </si>
  <si>
    <t>['fitur', 'mengunci', 'pulsa', 'provider', 'pulsa', 'pengguna', 'bablas', 'paket', 'internet', 'isi', 'pulsa', 'lupa', 'matikan', 'paket', 'secepat', 'kilat', 'pulsa', 'langsung', 'bablas', 'tolong', 'telkomsel', '']</t>
  </si>
  <si>
    <t>['memuaskan', 'slama', 'apl', 'mytelkomsel', 'mbantu', 'dlm', 'sgala', 'pelayanan', 'trimakasih', 'telkomsel', 'smoga', 'slalu', 'sukses', 'kedepan', '']</t>
  </si>
  <si>
    <t>['signal', 'tsel', 'bagus', 'perbaikan', 'istimewa', 'sinyal', 'ancur', '']</t>
  </si>
  <si>
    <t>['ibuk', 'telkomsel', 'terhormat', 'mohon', 'penjelasannya', 'kesini', 'telkomsel', 'pulsa', 'disedot', 'gada', 'langganan', 'apapun', 'data', 'idup', 'buruk', 'layanan', 'telkomsel', 'isi', 'pulsa', 'disedot', 'ujung', 'ngisi', 'pulsa', 'asli', 'kecewa', 'banget', 'telkomsel', 'udahlah', 'paket', 'mahal', 'jaringannya', 'buruk', 'pindah', 'oprator', 'nihhh']</t>
  </si>
  <si>
    <t>['sinyal', 'telkomsel', 'lag', 'udah', 'buka', 'tik', 'tok', 'game', 'banget', 'loading', 'heran', 'jaringan', 'telkomsel', 'tolong', 'perbaiki', 'nyaman', 'internetan', 'beli', 'kouta', 'mahal', 'jaringan', 'kaya', 'nga']</t>
  </si>
  <si>
    <t>['apanya', 'tingkatkan', 'buruk', 'mati', 'jaringan', 'gimqna', 'beralih', 'buruk', 'payah']</t>
  </si>
  <si>
    <t>['tolong', 'kembalikan', 'unlimited', 'keterangannya', 'doank', 'unlimited', 'kuotanya', 'dibagi', 'kesal', 'udah', 'beli', 'ktanya', 'unlimited', 'tpi', 'pas', 'kuota', 'reguler', 'habis', 'unlimitednya', 'pembohongan', 'publik', 'namanya', 'bkn', 'unlimited', 'mhon', 'diubah', 'nmnya', 'pembodohan', 'telkomsel', 'parah', 'bnget']</t>
  </si>
  <si>
    <t>['app', 'tapiiii', 'sayang', 'skarang', 'nggak', 'pagi', 'siang', 'malam', 'malam', 'sinyalnya', 'telkomselnya', 'parrraaaahhhhhh', 'soak', 'perhatiin', 'pelanggan', 'jual', 'kuota', 'doang']</t>
  </si>
  <si>
    <t>['jelek', 'paket', 'nyedot', 'pulsa', 'trs', 'ngak', 'memperioritaskan', 'paket', 'habis', 'malam', 'pakek', 'paket', 'aktif', 'paket', 'habis', 'otomatis', 'pakek', 'pulsa', 'sms', 'pemberitahuan', 'telat', 'pulsa', 'udah', 'habis', 'kirimin', 'sms', 'pemberitahuan']</t>
  </si>
  <si>
    <t>['mohon', 'telkomsel', 'pelanggan', 'telkomsel', 'sungguh', 'menyenangkan', 'tolong', 'perbaiki', 'promo', 'sinyal', 'internet', 'normal', 'donwload', 'menonton', 'hiburan', 'buka', 'web', 'bermain', 'games', 'sinyal', 'drop', 'stabil', 'mohon', 'diperbaiki', 'telkomsel', '']</t>
  </si>
  <si>
    <t>['kecewa', 'pelanggan', 'pelayananya', 'tolong', 'ditingkatkan', 'dioptimalkan', 'beli', 'pulsa', 'telkomsel', 'byar', 'pakek', 'shopepay', 'saldo', 'potong', 'pulsa', 'masuk', 'sampek', 'ceritanya', '']</t>
  </si>
  <si>
    <t>['rusak', 'telkomsel', 'udah', 'paket', 'mahal', 'jaringan', 'putusss', 'makan', 'uang', 'haram', 'woi', 'emang', 'pengguna', 'indonesia', '']</t>
  </si>
  <si>
    <t>['tukar', 'poin', 'aplikasinya', 'susah', 'tukar', 'poin', 'undian', 'berhadiah', '']</t>
  </si>
  <si>
    <t>['sulit', 'mantau', 'orang', 'tua', 'jarak', 'kali', 'dipakai', 'logout', 'butuh', 'verifikasi', 'link', 'org', 'tua', 'bingung', 'kah', 'logout', 'kali', '']</t>
  </si>
  <si>
    <t>['pulsa', 'berkurang', 'rb', 'rupiah', 'harga', 'paketan', 'mahal', 'mahal', 'mahal', 'mengeluh', 'karna', 'bot', '']</t>
  </si>
  <si>
    <t>['kesini', 'sinyalnya', 'bagus', 'paketnya', 'mahal', 'mahal', 'provider', 'simpati', 'sinyalnya', 'bagus', 'kecewa', 'pelanggan', '']</t>
  </si>
  <si>
    <t>['thn', 'pengguna', 'telkomsel', 'puas', 'layanan', 'telkomsel', 'semoga', 'kali', 'salah', 'beruntung', 'gift', 'telkomsel', 'sukses', 'telkomsel', 'berjaya', 'kedepannya', 'aammiin', 'yra', '']</t>
  </si>
  <si>
    <t>['kartu', 'mahal', 'sinyal', 'burik', 'telkomsel', 'boss', 'jaringan', 'jelek', 'banget', 'sumpah', 'boong', 'pengen', 'bakar', 'sinyal', 'perbaiki', 'omong', 'kosong', 'doang', 'mah', 'udah', 'hapus', 'kartu', 'telkomsel', 'jugaa', 'sinyal', 'apaa', 'jelek', 'banget', 'udah', 'harga', 'mahal', 'sesuai', 'pelayanan', 'hah', 'kartu', 'terbaik', 'kartu', 'terburuk', 'masaa', 'lapor', 'ribett', 'banget', 'tanganin', 'omong', 'kosong', 'doang', 'telkomsel', 'payah', '']</t>
  </si>
  <si>
    <t>['paket', 'doang', 'mahal', 'jaringan', 'murahan', 'maen', 'game', 'lag', 'kalah', 'three', 'paket', 'murah', 'jaringan', 'bagus', 'gabisa', 'ngasih', 'kualitas', 'kah', 'telkomsel', '']</t>
  </si>
  <si>
    <t>['telkomsel', 'jaringan', 'bagus', 'mengecewakan', 'aturan', 'mah', 'udah', 'bagus', 'tingkatkan', 'mengecewakan', 'pengguna', 'tlkmsl', 'perasaan', 'kemaren', 'paket', 'unlimited', 'batas', 'wajar', 'batas', 'wajar', 'alasan', 'kecepatan', 'pengguna', 'lancar', 'lancar', 'matamuu', 'unlimited', 'stop', 'telkomsel', 'perbaiki', 'sekian', 'terima', 'rugi', '']</t>
  </si>
  <si>
    <t>['maaf', 'membeli', 'paket', 'ceria', 'muncul', 'pembelian', 'proses', 'banget', 'udah', 'coba', 'berulang', 'ulang', 'kali', 'pulsa', 'habis', 'ambil', 'mohon', 'perbaiki', 'pembeliannya', 'lancar']</t>
  </si>
  <si>
    <t>['asuuuu', 'jaringan', 'stabil', 'main', 'game', 'udah', 'kuota', 'mahal', 'kecepatan', 'sebanding', 'harga', 'bangkeee', 'kasih', 'bintang', '']</t>
  </si>
  <si>
    <t>['telkomsel', 'jelek', 'banget', 'kesekian', 'kalinya', 'gangguan', 'jaringan', 'tolong', 'benerin', 'sinyal', 'udah', 'paket', 'mahal', 'internet', 'lemot', 'haduh', '']</t>
  </si>
  <si>
    <t>['kartu', 'promo', 'pas', 'beli', 'min', 'situ', 'tulisannya', 'teransaki', 'berhasil', 'proses', 'masuk', 'coba', 'berkali', 'hasilnya', 'masuk', 'paket', 'mohon', 'perbaikin', 'min', '']</t>
  </si>
  <si>
    <t>['sinyal', 'internet', 'wilayah', 'cirebon', 'upload', 'download', 'konten', 'cuaca', 'mendung', 'habis', 'hujan', 'mati', 'lampu', 'sinyal', 'internet', 'data', 'turun', 'drastis', 'mohon', 'tingkatkan', 'kualitas', 'pelayanan', 'publik', 'gampang', 'memuaskan']</t>
  </si>
  <si>
    <t>['aplikasi', 'hilang', 'pulsa', 'malam', 'isinya', 'rp', 'buka', 'aplikasi', 'telkomsel', 'habis', 'pulsanya', 'kayak', 'gini', '']</t>
  </si>
  <si>
    <t>['telkomsel', 'pas', 'aktifin', 'voucher', 'tulisan', 'maaf', 'voucher', 'regional', 'tolong', 'telkomsel', 'mohon', 'bantu']</t>
  </si>
  <si>
    <t>['telkomsel', 'kaya', 'maling', 'lupa', 'paketin', 'pulsanya', 'udh', 'raib', 'pdahal', 'gitu', 'paket', 'aktifin', 'internetnya', 'stop', 'blokir', '']</t>
  </si>
  <si>
    <t>['relevan', 'harga', 'coba', 'harga', 'kuota', 'telkomsel', 'mahal', 'dibandingkan', 'operator', 'sinyal', 'mohon', 'kuota', 'unlimited', 'pembaca', 'ulasan', 'saran', 'pindah', 'provider', 'telkomsel', 'gulung', 'tikar', 'jamin', '']</t>
  </si>
  <si>
    <t>['aneh', 'pulsa', 'dipotong', 'kuota', 'habis', 'komitmen', 'plat', 'merah', 'jujur', 'transparan', 'dlm', 'menjaga', 'kepercayaan', 'pelanggan', 'fasilitasnya', 'pelanggan', 'kehabisan', 'kouta', 'data', 'mencapai', 'batas', 'pemakaian', 'paket', 'kuota', 'langsung', 'memotong', 'automatis', 'pelanggan', 'kehabisan', 'kuota', 'data', 'mencapai', 'batas', 'pemakaian', 'paket', 'kuota', 'tolong', 'dibenahi', 'layanannya', '']</t>
  </si>
  <si>
    <t>['', 'paket', 'sahur', 'dinonaktifkan', 'paket', 'sahur', 'baca', 'deskripsi', 'membelinya', 'terkena', 'scam', 'deskripsi', 'tertera', 'harganya', 'berkurang', 'cek', 'mytelkomsel', 'paket', 'tertulis', 'disitu', 'dikecewakan', 'sepele', '']</t>
  </si>
  <si>
    <t>['hak', 'alasan', 'sistem', 'sibuk', 'harga', 'sesuai', 'zona', 'penindas', 'masyarakat', 'penghasilnya', 'bawa', '']</t>
  </si>
  <si>
    <t>['telkomsel', 'mundur', 'poin', 'reward', 'ditukerin', 'pulsa', 'kuota', 'nambah', 'perak', 'giga', 'berlaku', 'nambah', 'ribu', 'beli', 'kuota', 'beralih', '']</t>
  </si>
  <si>
    <t>['lumayan', 'sayang', 'menurun', 'kualitas', 'sinyalnya', 'menyarankan', 'saudara', 'teman', 'memakainya', 'sinyal', 'bagus', 'menawarkan', 'pakai', 'telkomsel', 'berharap', 'lekas', 'diperbaiki', 'pengguna', 'telkomsel', 'memakai', 'menawarkannya', '']</t>
  </si>
  <si>
    <t>['simpati', 'unlimited', 'youtube', 'soschat', 'tiktok', 'gamesmax', 'kuota', 'utama', 'habis', 'kuota', 'unlimited', 'beneran', 'unlimited', 'aplikasi', 'diatas', 'batas', 'pemakaian', 'wajar', 'udah', 'abis', 'kecepatan', 'diturunkam', 'kbps', 'unlimited', 'kbps', 'youtube', 'halaman', 'loading', 'terosss', 'emang', 'gitu', 'kbps', 'kbps', 'kek', 'nama', 'doang', 'unlimited', 'kuota', 'wajar', 'abis', 'kecepatan', 'kbps', 'nyesal', 'beli', 'kartunya']</t>
  </si>
  <si>
    <t>['liat', 'unlimited', 'sosmed', 'aktif', 'paketnya', 'jam', 'detik', 'menit', 'selesai', 'jam', 'esok', 'harinya', 'ketipu', 'tolong', 'telkomsel', 'kasih', 'paket']</t>
  </si>
  <si>
    <t>['kuota', 'kau', 'mahal', 'jaringan', 'jelek', 'parah', 'rumahku', 'kota', 'kayak', 'gini', 'gimana', 'dipelosok', 'perbaiki', 'kwalitas', 'ngejar', 'enak', 'pelanggan', 'puas', 'kinerja', 'telkomsel', 'ganti', 'kartu', 'gini', '']</t>
  </si>
  <si>
    <t>['apapun', 'ngelag', 'bangett', 'unlimited', 'intagram', 'youtube', 'dll', 'ngelag', 'teruss', 'karna', 'dapet', 'pesan', 'batas', 'wajar', 'kuota', 'dll', 'unlimited', 'batasin', 'sihh', 'whastapp', 'doangg', 'story', 'bngtt', 'liat', 'story', 'ngelag', 'video', 'buka', 'kecewa', 'banget', 'sumpahhh', 'balikin', 'telkomsel', 'terimakasih', '']</t>
  </si>
  <si>
    <t>['aplikasi', 'sampah', 'sekelas', 'telkomsel', 'aplikasi', 'kaya', 'gini', 'lelet', 'emosi', 'cek', 'pulsa', 'error', 'teross', 'aplikasinya', 'sebagus', 'indosat', 'mym', 'beli', 'kuota', 'cek', 'pulsa', 'lelet', 'mahal', '']</t>
  </si>
  <si>
    <t>['jaringan', 'lambat', 'banget', 'udah', 'kaya', 'biarpun', 'mahal', 'make', 'telkomsel', 'jelek', 'banget', 'jaringan', 'udah', 'males', 'kartu', 'telkomsel', 'ayo', 'telkomsel', 'seharus', 'dimaksimalkan', 'jaringan', 'internet', 'menurunn']</t>
  </si>
  <si>
    <t>['permasalahannya', 'gini', 'disitu', 'tertulis', 'paket', 'unlimited', 'pas', 'paket', 'utama', 'habis', 'dipakai', 'internetan', 'kali', 'beli', 'paket', 'chat', 'gangguan', 'gini', 'beli', 'paket', 'unlimited', 'tetangga', 'ngalamin', 'kek', 'gini', 'paket', 'utama', 'habis', 'dipakai', 'jaringan', 'ditempat', 'paketnya', 'bermasalah', '']</t>
  </si>
  <si>
    <t>['teruntuk', 'min', 'bertugas', 'semangat', 'jalani', 'tugasnya', 'kecewa', 'telkomsel', 'memburuk', 'merasakannya', 'mohon', 'diperbaiki', 'konsumen', 'nyaman', 'puas', 'sediakala', '']</t>
  </si>
  <si>
    <t>['tolong', 'jaringan', 'perbaiki', 'desa', 'sinarancang', 'kecamatan', 'mundu', 'kabupaten', 'cirebon', 'jaringan', 'slalu', 'buruk', 'muncul', 'slalu', 'lemot', 'internet', 'nelpon', 'marah', 'kehabisan', 'kuota', 'pulsa', 'ambil', 'perhatian', 'kaya', 'sebelah', 'pemberitahuan', 'ngambil', 'pulsa']</t>
  </si>
  <si>
    <t>['ngasih', 'bintang', 'sehat', 'akal', 'nilai', 'sinyalnya', 'ampas', 'sinyalnya', 'jaringan', 'kayak', 'taik', 'kucing', 'paketan', 'mahal', 'promo', 'kasih', 'bintang', 'rusak', 'akal', 'sehat']</t>
  </si>
  <si>
    <t>['aplikasi', 'jelek', 'banget', 'aplikasinya', 'bagus']</t>
  </si>
  <si>
    <t>['ngeriii', 'telkomsel', 'skrg', 'paketan', 'mahal', 'mahal', 'sinyalnya', 'ilang', 'ilang', 'sinyalnya', 'tolong', 'perbaiki', 'jaringanya', 'terimakasih', '']</t>
  </si>
  <si>
    <t>['tolong', 'telkomsel', 'sintang', 'kecamatan', 'ketungau', 'hulu', 'puas', 'sinyal', 'telkomsel', 'tolong', 'diperiksa', 'sayang', 'kuota', 'terbuang', 'sia', 'sia', 'akibat', 'sinyal', 'kebanyakan', 'hilangnya', '']</t>
  </si>
  <si>
    <t>['bro', 'paket', 'unlimited', 'ngasi', 'kecepatan', 'sesuaikannya', 'paket', 'utama', 'habis', 'ngakak', 'buka', 'sosmed', 'loading', 'video', 'ama', 'foto', 'setahun', 'cok', '']</t>
  </si>
  <si>
    <t>['min', 'adain', 'fitur', 'lock', 'pulsa', 'napa', 'isi', 'pulsa', 'trs', 'beli', 'paketan', 'telkomsel', 'kuota', 'trs', 'login', 'telkomsel', 'doang', 'rb', 'ilang', 'males', 'min', 'gini', 'mah', 'rugi', 'min', 'allah', '']</t>
  </si>
  <si>
    <t>['kau', 'jual', 'paket', 'mahal', 'kualitas', 'sinyal', 'kau', 'kalah', 'kartu', 'bahkah', 'harga', 'paketnya', 'murah', 'kau', 'harga', 'paket', 'sesuai', 'denga', 'kualitas', 'sinyal', 'tolong', 'kau', 'fahami', 'perasaan', 'pengguna', 'telkomsel', '']</t>
  </si>
  <si>
    <t>['unlimited', 'buka', 'status', 'whats', 'lemot', 'ampun', 'nggak', 'kek', 'gini', 'telkom', 'ngeselin', 'nggak', 'kasih', 'bintang', 'unlimited', 'dikembalikan', 'trimaksii']</t>
  </si>
  <si>
    <t>['tolong', 'besarnya', 'telkomsel', 'memperbaiki', 'jaringan', 'internet', 'desa', 'kecewa', 'jaringan', 'internet', 'telkomsel', 'desa', 'telkomsel', 'terkenal', 'slogan', 'jaringan', 'internet', 'terluas', 'tercepat', 'kenyataannya', 'desa', 'sulit', 'mengakses', 'jaringan', 'internet', 'mohon', 'tindak', 'lanjuti', 'pelanggan', 'setia', 'telkomsel', 'kecewa', 'ketidak', 'nyamanan', '']</t>
  </si>
  <si>
    <t>['kecewa', 'telkomsel', 'customer', 'servis', 'tlvn', 'menawarkan', 'paket', 'menggiurkan', 'kmudahan', 'hemat', 'tarif', 'kartu', 'halo', 'orang', 'awam', 'paham', 'setuju', 'penawaran', 'kecewa', 'sblm', 'setuju', 'penawaran', 'sesui', 'kbutuhan', 'ganti', 'operator', 'jwab', 'email', 'smpai', 'relakan', 'kartu', 'nonaktif']</t>
  </si>
  <si>
    <t>['dikasih', 'bintang', 'kasih', 'deh', 'bintang', 'ntah', 'telkomsel', 'jaringan', 'parah', 'penyebabnya', 'notif', 'kecewa', 'berat', 'jaringan', 'telkomsel', 'beli', 'paket', 'internet', 'dipake', '']</t>
  </si>
  <si>
    <t>['halo', 'keluhan', 'kartu', 'peket', 'gb', 'unlimited', 'dipake', 'gb', 'paket', 'internet', 'utamanya', 'abih', 'pdahal', 'wktu', 'beli', 'tulisan', 'unlimited', 'tolong', 'perbaiki', 'jaringannya', 'nggak', 'stabil', 'paket', 'unlimited', 'tlong', 'help', 'kudoakan', 'telkomsel', 'minat', 'berkurang', 'amin', 'kecuali', 'udah', 'dibenerin', '']</t>
  </si>
  <si>
    <t>['perbaikan', 'jringan', 'orang', 'beli', 'mhl', 'paket', 'disediain', 'ama', 'telkomsel', 'tpi', 'perbaiki', 'jgk', 'jringan', 'sampe', 'konsumen', 'protes', 'pengguna', 'telkomsel', 'kecewa', 'jringn', 'kdng', 'turun', 'pakek', 'mohon', 'diberitahukan', 'kepala', 'direktur', 'tower', 'apalah', 'jringn', 'stabil', 'konsumen', 'sepeti', 'kecewa', 'jringn', 'kartu', 'paket', 'data', 'telkomsel', 'luncurkan', 'konsumen', 'lainya', '']</t>
  </si>
  <si>
    <t>['ktny', 'provider', 'nomor', 'jaringan', 'telkm', 'bagus', 'bngt', 'smpe', 'pergi', 'dri', 'internet', 'skrng', 'mandi', 'minum', 'nunggu', 'kekirim', 'rekomended', 'baca', 'mending', 'indosat', 'ooredo', 'genk', 'kekny', 'provider', 'noh', 'jaringan', 'jam', 'jaringan', 'anti', 'lag', 'minimal', 'sped', 'internet', 'max', 'smpe', 'gila', 'menurutku', '']</t>
  </si>
  <si>
    <t>['gimana', 'kuota', 'msih', 'giga', 'bsa', 'main', 'game', 'giliran', 'tiktok', 'lancar', 'banget', 'emg', 'pas', 'buka', 'tiktok', 'bsa', 'smpe', 'perdetik', 'pas', 'ganti', 'game', 'langsung', 'banget', 'telkom', 'mohon', 'perbaiki', 'sinyalnya', '']</t>
  </si>
  <si>
    <t>['paket', 'mahal', 'sinyal', 'buruk', 'bohongan', 'kencang', 'modus', 'doank', 'nipuin', 'rakyat', '']</t>
  </si>
  <si>
    <t>['sulu', 'telkomsel', 'andalan', 'nomer', 'duakan', 'karna', 'bermasalah', 'lambatnya', 'koneksi', 'kejelasan', 'perbaikan', 'mohon', 'maaf', '']</t>
  </si>
  <si>
    <t>['kenapaa', 'jaringan', 'ngeleg', 'maen', 'gamee', 'tolong', 'perbaikii', 'udah', 'kali', 'gini', 'lohh', 'tolongg', 'bangett', 'perbaikii', 'beli', 'kartu', 'telkomsel', 'maen', 'jaringan', 'leg', 'banget', '']</t>
  </si>
  <si>
    <t>['beli', 'kouta', 'unlimited', 'kecewa', 'telkomsel', 'unlimited', 'batas', 'wajar', 'pemakaian', 'setauh', 'nama', 'unlimited', 'batas', 'wajar', 'keciali', 'habis', 'pemakaian']</t>
  </si>
  <si>
    <t>['halo', 'admin', 'mytelkomsel', 'cuman', 'ngasih', 'saran', 'coba', 'telkomsel', 'pointnya', 'ditambah', 'tukar', 'item', 'diamond', 'game', 'diminati', 'kalangan', 'masyarakat', 'mudamudi', 'penukarannya', 'kalangan', 'menengah', 'keatas', 'telkomsel', 'peminatnya', 'terimakasih', '']</t>
  </si>
  <si>
    <t>['tolong', 'pusat', 'perhatikan', 'pokok', 'daerah', 'gara', 'gara', 'koneksi', 'internet', 'stabil', 'mengalami', 'kerugian', 'tower', 'telkomsel', 'membantu', 'buruk', 'udah', 'kouta', 'mahal', 'jaringan', 'internet', 'stabil', '']</t>
  </si>
  <si>
    <t>['telkomsel', 'mengecewakan', 'jaringan', 'karuan', 'kadang', 'jaringan', 'tibang', 'hilang', 'kecepatan', 'internet', 'lambat', 'kuota', 'unlimited', 'udah', 'batasi', 'pemakaiannya', 'kecepu', 'internet', 'menurun', 'drastis', 'memakai', 'jaringan', 'unlimited', 'tolonglah', 'balikan', 'kecepatan', 'internet', 'menghambat', 'aktifitas', 'pelajar', 'mahasiswa', 'balikan', 'kecepatan', 'internet']</t>
  </si>
  <si>
    <t>['buruk', 'pulsa', 'hilang', 'gara', 'daily', 'check', 'bonus', 'kuota', 'rugi', 'pakai', 'app', 'next', 'males', 'ngikutin', 'daily', 'check', 'bonus', 'kuota', 'daily', 'check', 'habis', 'pulsa', 'kuras', 'kuota', 'internet', 'byk', 'nguras', 'pulsa', '']</t>
  </si>
  <si>
    <t>['the', 'real', 'kartu', 'pelit', 'kuota', 'harga', 'diskon', 'ngurang', 'harganya', 'naek', 'harganya', 'anjg', 'kali', 'kostumer', 'ngeluh', 'suruh', 'twitter', 'jelasin']</t>
  </si>
  <si>
    <t>['pemakai', 'telkomsel', 'memakai', 'telkomsel', 'paket', 'gb', 'unlimited', 'kemaren', 'kuota', 'utama', 'habis', 'memakai', 'kuota', 'pemakaian', 'wajar', 'lancar', 'jaya', 'buka', 'youtube', 'game', 'dikuota', 'utama', 'kadang', 'lelet', 'pas', 'memasuki', 'kuota', 'pemakaian', 'wajar', 'unlimited', 'parah', 'buka', 'game', 'buka', 'google', 'map', 'lelet', 'kuota', 'pemakaian', 'wajar', 'msh', 'sekelas', 'telkomsel', 'selemot', '']</t>
  </si>
  <si>
    <t>['permasalahannya', 'layanan', 'paket', 'darurat', 'telkomsel', 'isi', 'ulang', 'pulsa', 'langsung', 'sms', 'pelunasan', 'paket', 'darurat', 'tolong', 'tolong', 'banget', 'pelanggan', 'kecewa', 'pelayanan', 'jengkel', 'pulsa', 'diambil', 'layanan', 'paket', 'darurat', 'terimakasih', '']</t>
  </si>
  <si>
    <t>['maaf', 'min', 'kog', 'download', 'aplikasi', 'telkomsel', 'perna', 'pakai', 'skarang', 'download', 'aplikasinya', 'tulisan', 'aplikasi', 'sesuai', 'perangkat', 'maksudnya', 'pakai', '']</t>
  </si>
  <si>
    <t>['kecewa', 'isi', 'ulang', 'pulsa', 'ribu', 'banking', 'udah', 'bebankan', 'banking', 'beban', 'pulsa', 'udah', 'langsung', 'ganti', 'provider', 'kecewa', 'banget', '']</t>
  </si>
  <si>
    <t>['telkomsel', 'babi', 'koneksi', 'internet', 'buruk', 'perbedaan', 'please', 'merasakan', 'kasih', 'bintang', 'paham', 'gimana', 'koneksi', 'internet', 'hilang', '']</t>
  </si>
  <si>
    <t>['bintangnya', 'aplikasi', 'telkomsel', 'mengecewakan', 'beli', 'paket', 'ceria', 'gb', 'tgl', 'tgl', 'berhasil', 'keterangannya', 'proses', 'pulsa']</t>
  </si>
  <si>
    <t>['udh', 'kali', 'ganti', 'kartu', 'karna', 'beli', 'kuota', 'kek', 'ribu', 'gb', 'unlimited', 'perbatasan', 'jaringan', 'jelek', 'banget', 'kek', 'kecewa', 'banget', 'nama', 'kartu', 'mahal', 'ganti', 'ganti', '']</t>
  </si>
  <si>
    <t>['beli', 'paket', 'dll', 'jaringan', 'stabil', 'pelanggan', 'sebulan', 'jaringan', 'daerah', 'mengalami', '']</t>
  </si>
  <si>
    <t>['kecewa', 'promosi', 'combo', 'unlimited', 'disitu', 'terpisah', 'multimedia', 'internet', 'gb', 'internet', 'gb', 'multimedia', 'ttp', 'kuota', 'terpotong', 'sampe', 'internet', 'trs', 'sdk', 'multimedia', 'msh', 'utuh', 'gb', 'terpisah', 'tolong', 'aturan', 'berbelit']</t>
  </si>
  <si>
    <t>['mslh', 'klasik', 'pulsa', 'terpotong', 'penggunaan', 'data', 'internet', 'gpp', 'min', 'santai', 'slama', 'telkomsel', 'msh', 'terluas', 'jaringannya', 'jelek', 'kyk', 'apapun', 'msh', 'bnyak', 'maaf', 'min', '']</t>
  </si>
  <si>
    <t>['bingung', 'telkomsel', 'beli', 'paket', 'internet', 'aktif', 'smpe', 'juni', 'gb', 'pas', 'kouta', 'kemendikbud', 'dtg', 'gb', 'aktif', 'smpe', 'juni', 'eeh', 'sedot', 'duluan', 'kuota', 'kemendikbud', 'atu', 'paketan', 'internet', 'abisin', 'duluan', 'nyedot', 'kuota', 'kemendikbud', 'heran', 'dehh', 'mohon', 'paket', 'duluan', 'aktif', 'pakai', 'udh', 'abis', 'nyedot', 'paket', 'data', 'kemendikbud', 'ank', 'blm', 'masuk', 'sekolahnya']</t>
  </si>
  <si>
    <t>['', 'semangat', 'batas', 'wajar', 'sperti', 'harapkan', 'unlimited', 'sesuai', 'tanggal', 'hati', 'unlimited', 'udh', 'habis']</t>
  </si>
  <si>
    <t>['telkomsel', 'mahal', 'jaringan', 'parah', 'banget', 'nonton', 'video', 'youtube', 'susahnya', 'kebangetan', 'tolong', 'cepet', 'diperbaiki', 'kuota', 'kebeli', 'mahal', 'berguna', 'mubazir', 'diperbaiki', '']</t>
  </si>
  <si>
    <t>['kecewa', 'pesan', 'promo', 'beli', 'pulsa', 'cashback', 'melalu', 'telkomsel', 'beli', 'dipesan', 'keterangan', 'cashback', 'pas', 'cek', 'yaa', 'kecewa']</t>
  </si>
  <si>
    <t>['jaringan', 'jelek', 'pindah', 'telkomsel', 'karna', 'jaringan', 'jam', 'top', 'mengecewakan', 'ganti', 'operator']</t>
  </si>
  <si>
    <t>['telkomsel', 'jelek', 'jaringan', 'tolong', 'diperbaikin', 'jaringannya', 'orang', 'kapok', 'kali', 'paket', 'internet', 'murah', 'jaringan', 'jelek', 'udah', 'mahal', 'ngelag', 'trus', 'kapok', 'beneran', 'uninstal', 'bye', '']</t>
  </si>
  <si>
    <t>['komentari', 'ganti', 'kerugian', 'udah', 'alami', 'jujur', 'kena', 'ite', 'pencemaran', 'nama', 'biarlah', 'akhirat', 'urusannya', 'berani', 'berbuat', 'berani', 'menerima', 'akibatnya', '']</t>
  </si>
  <si>
    <t>['isi', 'voucher', 'jaringan', 'sibuk', 'balasan', 'kayak', 'gitu', 'beli', 'paketan', 'mahal', 'dlu', 'recomended', 'jaringanya', 'fix', 'ganti', 'operator', 'langsung', '']</t>
  </si>
  <si>
    <t>['jaringan', 'telkomsel', 'lambat', 'main', 'game', 'jaringannya', 'lag', 'benerrrr', 'mohonlah', 'perbaikilah', 'jaringannya', 'aplikasi', 'game', 'facebook', 'youtube', 'instagram', 'jaringannya', 'hancur', 'mohonlah', 'developer', 'bertindak', 'secepatnya', 'pelanggan', 'puas', 'terimakasih', '']</t>
  </si>
  <si>
    <t>['kuota', 'internet', 'sms', 'mengunakan', 'pulsa', 'internetan', 'pulsa', 'non', 'tarif', 'pulsa', 'habis', 'kuota', 'strategi', 'sedot', 'pulsa', 'nieh', '']</t>
  </si>
  <si>
    <t>['kuota', 'internet', 'aktifnya', 'duluan', 'dipotong', 'kuota', 'kemendikbud', 'msh', 'aktifnya', 'duluan', 'dipotong', 'cari', 'untung', 'dzolim', 'namanya', '']</t>
  </si>
  <si>
    <t>['maaf', 'selingkuh', 'provider', 'data', 'internetnya', 'nomer', 'udah', 'belasan', 'paket', 'gb', 'harga', 'rb', 'provider', 'gb', 'udah', 'harga', 'rb', 'plus', 'unlimited', 'sosmed', 'streaming', 'youtube', 'syarat', 'loss', 'memotong', 'data', 'utama', 'pengaktifan', 'paket', '']</t>
  </si>
  <si>
    <t>['jaringan', 'signal', 'ngawur', 'gimana', 'hubungi', 'customer', 'service', 'susah', 'jaringan', 'signal', 'kaga', 'stabil', 'hadeehhhhhh', '']</t>
  </si>
  <si>
    <t>['didaerah', 'menang', 'undian', 'telkomsel', 'menangkanlah', 'undian', 'berhadiah', 'telkomsel', 'masyarakat', 'memakai', 'kartu', 'telkomsel', 'terimakasih', 'telkomsel', '']</t>
  </si>
  <si>
    <t>['jaringan', 'kesini', 'gajelas', 'main', 'game', 'patah', 'patah', 'ping', 'full', 'kecewa', 'udh', 'beli', 'gb', 'hasilnya', 'kayak', 'gini', 'mending', 'ganti', 'kartu', 'kesini', 'buruk', 'tambahan', 'udah', 'beli', 'mahal', 'mahal', 'bates', 'unlimited', 'wajar', 'batasannya', 'jelek', 'banget', 'jaringannya', 'nonton', 'youtube', 'parah', 'lag', 'banget', 'udh', 'beli', 'mahal', 'mahal', 'kecewa']</t>
  </si>
  <si>
    <t>['telkomsel', 'terhomat', 'tolong', 'deh', 'kecewakan', 'jaringan', 'internet', 'buruk', 'banget', 'kota', 'fasilitas', 'jaringan', 'bagus', 'pelosok', 'tanah', 'air', '']</t>
  </si>
  <si>
    <t>['internet', 'substansi', 'umat', 'permasalah', 'pembelian', 'paket', 'turunkan', 'harga', 'sesuai', 'ekonomi', 'masyarakat', 'pengangguran']</t>
  </si>
  <si>
    <t>['keluhan', 'masyarakat', 'beli', 'kuota', 'gb', 'pas', 'kuota', 'utamanya', 'habis', 'jaringan', 'telkomsel', 'anjlok', 'kya', 'gini', 'tolong', 'diperbaiki', 'dipercaya', 'jelek', 'jaringannya']</t>
  </si>
  <si>
    <t>['jelek', 'layanan', 'telkomsel', 'koneksi', 'lambat', 'telkomsel', 'mempersulit', 'pelanggan', 'kecewa', 'turunkan', 'bintang']</t>
  </si>
  <si>
    <t>['silahkan', 'hubungi', 'custumer', 'twitter', 'telkomsel', 'bagus', 'smart', 'frenn', 'paket', 'unlimitite', 'pnipuan', 'tlkomsel', 'nyesel', 'ganti', 'kartu', 'telkomsel', 'beli', 'mahal', 'penipuan']</t>
  </si>
  <si>
    <t>['jaringan', 'lambat', 'aplikasinya', 'update', 'lambat', 'muat', 'ulang', 'memuaskan', '']</t>
  </si>
  <si>
    <t>['telkomsel', 'sihh', 'keren', 'paket', 'unlimited', 'burik', 'gini', 'saran', 'pelangan', 'ganti', 'provider', 'unlimitednya', 'hoax', 'strategi', 'pemasaran', 'teler']</t>
  </si>
  <si>
    <t>['parah', 'parah', 'jaringan', 'ilang', 'trus', 'bangke', 'udah', 'belain', 'beli', 'paketan', 'mahal', 'mahal', 'jaringan', 'taik', 'stabil', 'provider']</t>
  </si>
  <si>
    <t>['iya', 'unlimited', 'gb', 'kcptn', 'fikir', 'anak', 'kcptn', 'seprti', 'buka', 'mending', 'kasih', 'its', 'not', 'about', 'money', 'you', 'know', 'kekecewaan', 'ehh', 'mbak', 'mas', 'bpk', 'emang', 'rugi', 'kasi', 'full', 'contoh', 'provider', 'ngk', 'tanggung', 'dont', 'know', 'whats', 'going', 'here', 'but', 'you', 'know', 'what', 'mean', 'mean', 'thanks', '']</t>
  </si>
  <si>
    <t>['astagaaaa', 'kirain', 'error', 'isi', 'paketan', 'lemot', 'chek', 'temen', 'temen', 'mengecewakan', 'perbaikan', 'min', 'via', 'twitter', 'email', 'hedeeeh', 'kuy', 'ganti', 'provider', 'perubahan', 'edit', '']</t>
  </si>
  <si>
    <t>['gimasih', 'ancur', 'operator', 'ngakunya', 'sinyal', 'knapa', 'paketan', 'telkomse', 'mahal', 'operator', 'kualitas', 'jaringannya', 'bagus', 'dri', 'operator', 'jdi', 'wajar', 'paketan', 'mahal', 'preeeet', 'jaringan', 'telkomsel', 'ancur', 'menghubungi', 'customer', 'service', 'trouble', 'perbaikan', 'haduh', 'udah', 'jawabannya', 'kayak', 'gitu', 'hadeh', 'parah']</t>
  </si>
  <si>
    <t>['telkomsel', 'tolong', 'paketan', 'udh', 'abis', 'ngambil', 'pulsa', 'sepengetahuan', 'sisa', 'pulsa', 'rb', 'langsung', 'abis', 'itungan', 'menit', 'wifi', 'paket', 'data', 'semalam', 'aneh', 'banget', 'pulsa', 'lenyap', 'gitu', 'donk', 'tolong', 'kebijakan', 'telkomsel', 'pilihan', 'pulsa', 'data', 'gini', 'kecewa', '']</t>
  </si>
  <si>
    <t>['tulisan', 'unlimited', 'tpi', 'pas', 'kuota', 'utama', 'abis', 'bsa', 'internetan', 'lgi', 'pdhl', 'pas', 'dlu', 'kuota', 'internet', 'abis', 'msh', 'bsa', 'pakai', 'harga', 'mahal', 'gb', 'skrng', 'jdi', 'gb', 'jaringan', 'dulunya', 'jam', 'lncr', 'skrng', 'cma', 'bsa', 'pgi', 'siang', 'doang', 'malem', 'lag', 'pas', 'kuota', 'utama', 'udh', 'abis', 'download', 'apk', 'msh', 'bsa', 'skrng', 'kuota', 'utama', 'abis', 'download', 'apk', 'tinggal', 'bbrp', 'lgi', 'tba', 'batal', 'cpe', 'nunggu', 'mlh', 'batal', 'tolong', 'kecewa', '']</t>
  </si>
  <si>
    <t>['kuota', 'telkomsel', 'gb', 'buka', 'sinyalnya', 'sampah', 'rugi', 'membeli', 'kartu', 'paketan', 'mahal', 'telkomsel', 'untung', 'gb', 'mengahabiskan', 'ribu', 'membeli', 'paketannya', 'sinyal', 'sampah']</t>
  </si>
  <si>
    <t>['kecewa', 'bngt', 'sinyal', 'bagus', 'kota', 'doang', 'desa', 'membayar', 'paket', 'data', 'bayaran', 'sinyal', 'desa', 'lemah', 'banget']</t>
  </si>
  <si>
    <t>['holla', 'telkomsel', 'terhormat', 'pengguna', 'setia', 'telkomsel', 'kualitas', 'sinyal', 'kota', 'kecewa', 'aturan', 'membatasi', 'penggunaan', 'wajar', 'kuota', 'unlimited', 'sesuai', 'namanya', 'unlimited', 'batasi', 'seteleh', 'kuota', 'utama', 'habis', 'bohong', 'ngprank', 'stop', 'user', 'telkomsel', 'udah', 'asik', 'kecewa', '']</t>
  </si>
  <si>
    <t>['hallo', 'telkomsel', 'jujur', 'kecewa', 'berlangganan', 'pegang', 'percaya', 'telkomsel', 'bonafit', 'kualitas', 'menurun', 'jaringannya', 'buruk', 'youtube', 'membuka', 'menyelesaikan', 'tugas', 'kuliah', 'membuka', 'zoom', 'mohon', 'diperbaiki', 'merugikan', 'terimakasih']</t>
  </si>
  <si>
    <t>['beli', 'promo', 'paket', 'masuk', 'masuk', 'mulu', 'kouta', 'udah', 'kali', 'coba', 'gagal', 'orang', 'orang', 'berhenti', 'makai', 'kartu', 'telkomsel', 'tolong', 'perbaiki']</t>
  </si>
  <si>
    <t>['knapa', 'promo', 'unlimited', 'harap', 'rakyat', 'indonesia', 'menikmati', 'jaringan', 'telkomsel', 'lemot', '']</t>
  </si>
  <si>
    <t>['isi', 'pulsa', 'ribu', 'habis', 'semalam', 'paket', 'terdaftar', 'data', 'nyala', 'aktifkan', 'kuota', 'internet', 'isi', 'pulsa', 'ribu', 'hitungan', 'menit', 'tinggal', 'ribuan', '']</t>
  </si>
  <si>
    <t>['nice', 'emosi', 'menyediakan', 'bantuan', 'info', 'nggak', 'ending', 'nggak', 'paket', 'giliran', 'nyedot', 'pulsa', 'disuruh', 'nunggu', 'notifikasi', 'gue', 'tunggu', 'sampe', 'besok', 'nggak', 'notifikasi', 'masuk', 'nggak', 'niat', 'mending', 'nggak', 'cape', 'gini', 'php', '']</t>
  </si>
  <si>
    <t>['telkomsel', 'pelayanan', 'paket', 'bagus', 'tolong', 'tingkatkan', 'jaringan', 'internet', 'khusus', 'wilayah', 'kecamatan', 'bungbulang', 'kabupaten', 'garut', 'pelanggan', 'setia', 'telkomsel', 'belasan', 'orng', 'pindah', 'provider', 'karenakan', 'jaringan', 'lemot', 'mohon', 'tingkatkan', 'jaringan', 'wilayah', 'kecamatan', 'bungbulang', 'pelanggan', 'telkomsel', 'berpindah', 'provider', 'revenue', 'tsel', 'bagus', '']</t>
  </si>
  <si>
    <t>['quotanya', 'mahal', 'kecepatan', 'lemot', 'improve', 'internet', 'nyedot', 'pulsa', 'paketan', 'pulsa', 'habis', '']</t>
  </si>
  <si>
    <t>['kemarin', 'bintang', 'kasih', 'bintang', 'internet', 'lancar', 'aplikasinya', 'connect', 'internet', 'refresh', 'hadeuh', '']</t>
  </si>
  <si>
    <t>['service', 'kualitas', 'telkomsel', 'menurun', 'sinyal', 'kdg', 'susah', 'sring', 'delay', 'pdhl', 'udh', 'restart', 'provider', 'kenceng', 'sya', 'chat', 'veronika', 'email', 'tanggapan', 'sekeluarga', 'user', 'telkomsel', 'herannya', 'pda', 'dpt', 'combo', 'sakti', 'sdgkan', 'nomer', 'sya', 'user', 'dapet', 'pdhal', 'pemakaian', 'smpe', 'rb', 'sebulan', 'harapannya', 'pgen', 'ngrasain', 'combo', 'sakti']</t>
  </si>
  <si>
    <t>['fungsi', 'bagus', 'knapa', 'pembaruan', 'aplikasi', 'telkomsel', 'sulit', 'buka', 'koneksi', 'jaringan', 'full', 'untk', 'download', 'bagus', 'buka', 'aplikasi', 'telkomsel', 'sulit', '']</t>
  </si>
  <si>
    <t>['', 'telkomsel', 'tolong', 'harga', 'promo', 'paket', 'combo', 'sakti', 'kasi', 'turun', 'harganya', 'paket', 'data', 'harga', 'turun', 'harga', 'pelanggan', 'senang', 'kasi', '']</t>
  </si>
  <si>
    <t>['aplikasi', 'membaik', 'pengguna', 'mudah', 'pembelian', 'paket', 'produk', 'telkomsel', 'praktis', 'error', 'diperbaiki', 'cepat', '']</t>
  </si>
  <si>
    <t>['aplikasi', 'buruk', 'buka', 'eror', 'ngelag', 'bug', 'cek', 'info', 'akun', 'beli', 'paket', 'muncul', 'koneksi', 'stabil', 'buka', 'aplikasi', 'kecepatan', 'mbps', 'lancar', 'aplikasi', 'bermutu']</t>
  </si>
  <si>
    <t>['point', 'gunanya', 'kirain', 'beli', 'paket', 'point', 'darurat', 'tanggal', 'tua', 'ehh', 'mesti', 'pulsa', 'medit', 'banget', 'telkomsel', 'point', 'kumpulkan', 'bantu', 'bos', 'telkomsel', '']</t>
  </si>
  <si>
    <t>['tolong', 'tingkatkan', 'jaringan', 'internet', 'kecamatan', 'kecamatan', 'panai', 'hilir', 'kabupaten', 'labuhan', 'batu', 'provinsi', 'sumatera', 'utara', 'jaringan', 'internet', 'parah', 'provider', 'tolong', 'tingkat', 'tanggapi', 'donk', 'keluhan', 'pelanggan', 'memakai', 'telkomsel', 'peningkatan', 'kualitas']</t>
  </si>
  <si>
    <t>['aplikasi', 'loading', 'ngeklik', 'tunggu', 'semenit', 'kebuka', 'nggak', 'ribet', 'ribet', 'tampilannya', 'leletnya', 'pool', 'buka', 'lola', 'ganti', 'menu', 'udah', 'nunggu', 'ngelagnya', 'hadehh']</t>
  </si>
  <si>
    <t>['unlimited', 'dibatasi', 'unlimited', 'namanyaa', 'gimana', 'udah', 'bayarnya', 'mahal', 'perasaan', 'provider', 'murah', 'yaa', '']</t>
  </si>
  <si>
    <t>['paket', 'unlimited', 'batas', 'wajarnya', 'buka', 'status', 'rugi', 'beli', 'paket', 'telkomsel', 'mahasiswa', 'kuliah', 'online', 'emang', 'bener', 'bener', 'paket', 'unlimited', 'gini', 'mikir', 'uang', 'beli', 'paket', 'tolong', 'telkomsel', '']</t>
  </si>
  <si>
    <t>['combo', 'sakti', 'udah', 'sakti', 'skrg', 'namanya', 'unlimited', 'kenyataannya', 'unlimited', 'unlimited', 'bedakanlah', 'unlimited', 'piknik', 'kah', 'membedakan', 'unlimited', 'google']</t>
  </si>
  <si>
    <t>['', 'rumah', 'jaringan', 'berantakan', 'ngga', 'dipakai', 'tetangga', 'bagus', 'udah', 'dilaporin', 'hasilnya', 'respons', 'sorry', 'bintang', '']</t>
  </si>
  <si>
    <t>['telkomsel', 'lumayan', 'aga', 'sinyal', 'lumayan', 'bagus', 'cuman', 'paketan', 'super', 'mahal', 'obat', 'tolong', 'min', 'murahkan', 'paketan']</t>
  </si>
  <si>
    <t>['dih', 'suka', 'versi', 'dulunya', 'install', 'uninstall', 'aplikasi', 'gimana', 'coba', 'login', 'ngakalinnya', 'install', 'uninstall', 'membuka', 'google', 'membuka', 'google', 'bermasalah', 'paket', 'habis', 'memakai', 'wifi', 'disuruh', 'download', 'aplikasi', 'suka', '']</t>
  </si>
  <si>
    <t>['kesini', 'buruk', 'update', 'versi', 'terbaru', 'bingung', 'cari', 'fitur', 'daily', 'check', 'dimana', 'letaknya', 'muncul', 'beranda', 'berita', 'seputar', 'dunia', 'games']</t>
  </si>
  <si>
    <t>['jaringan', 'kota', 'garis', 'turun', 'paket', 'kouta', 'mahal', 'kartu', 'sebulan', 'rb', 'penggunaan', 'paket', 'internet', 'nelpon', 'telkomsel', 'beli', 'paket', 'nelpon', 'nelpon', 'menit', 'abis', 'pulsa', 'nelpon', 'kartu', 'mahal', 'tarif', 'pulsa', 'terbuang', 'beda', 'banget', 'sungguh', 'mengecewakan', 'pakai', 'telkomsel', 'urusan', 'perbankan']</t>
  </si>
  <si>
    <t>['aplikasinya', 'lemot', 'promo', 'daily', 'sign', 'akses', 'app', 'susah', 'provider', 'akses', 'app', 'suka', 'lemot', 'parah', 'cek', 'paket', 'data', 'disuruh', 'donlot', 'mytelkomsel', 'akses', 'susah', '']</t>
  </si>
  <si>
    <t>['paket', 'combo', 'unlimited', 'penggunaan', 'nonton', 'youtube', 'ngabisin', 'quota', 'utama', 'quota', 'multimedia', 'terpakai', 'keterangannya', 'chat', 'sosmed', 'youtube', 'quota', 'sesuai', 'keterangan', 'promosi', 'quota', 'utama', 'keperluan']</t>
  </si>
  <si>
    <t>['dimasah', 'sulit', 'harga', 'kuota', 'perusahaan', 'telkomsel', 'membantu', 'rakyat', 'kegiatan', 'dimasah', 'pandemi', 'pakai', 'kuota', 'anak', 'belajar', 'daring', '']</t>
  </si>
  <si>
    <t>['terimakasih', 'telkomsel', 'berkat', 'kecewa', 'membatasi', 'penggunaan', 'kuota', 'unlimited', 'namanya', 'unlimited', 'sepuasnya', 'membatasi', 'penggunaan', 'max', 'kbps', 'tolong', 'naikin', 'kasihan', 'jaringannya', 'susah', 'susah', 'nambahin', 'susah', '']</t>
  </si>
  <si>
    <t>['mohon', 'kembalikan', 'paketan', 'kuota', 'unlimited', 'max', 'duluu', 'unlimited', 'dibatasi', 'gb', 'doang', 'unlimited', 'namanya', 'harganya', 'unlimited', 'max', 'murah', 'ribu', 'unlimited', 'unlimited', 'namanya', 'tolong', 'kembalikan', 'duluu', 'mengecewakan', 'pelanggan', '']</t>
  </si>
  <si>
    <t>['kesini', 'lelet', 'jaringan', 'browser', 'leletnya', 'ampun', 'trus', 'paket', 'unlimited', 'udah', 'dibatasi', 'unlimited', 'namanya']</t>
  </si>
  <si>
    <t>['kasih', 'bintang', 'telkomsel', 'mengecewakan', 'beli', 'pulsa', 'dipaketin', 'diambil', 'sumpah', 'gasuka', 'kartu', 'telkomsel']</t>
  </si>
  <si>
    <t>['siang', 'mengisi', 'kuota', 'cma', 'mb', 'malam', 'kuotanya', 'lenyap', 'sya', 'tggu', 'penjelasan', 'telkomsel', 'bukti', 'nomor', 'pembelian', 'paket', 'terima', 'kasih']</t>
  </si>
  <si>
    <t>['bad', 'app', 'kuota', 'mahal', 'kualitas', 'ditingkatkan', 'orang', 'tua', 'mengerti', 'internet', 'dll', 'pakai', 'tlkmsel', 'terkuras', 'pulsanya', '']</t>
  </si>
  <si>
    <t>['maaf', 'kasih', 'bintang', 'telkomsel', 'sinyalnya', 'gangguan', 'kadang', 'suka', 'ditambah', 'harga', 'kuota', 'mulu', 'sinyalnya', 'maaf', 'banget', 'mah']</t>
  </si>
  <si>
    <t>['batas', 'wajar', 'kuota', 'aplikasi', 'habis', 'dikenakan', 'penyesuaian', 'kecepatan', 'internet', 'kembalikan', 'unlimated', 'unlimated', 'unlimated', 'namanya', 'kecewa']</t>
  </si>
  <si>
    <t>['aplikasi', 'membantu', 'keperluan', 'sehari', 'promo', 'menarik', 'dapatkan', 'pengguna', 'kartu', 'telkomsel', '']</t>
  </si>
  <si>
    <t>['telkomsel', 'buruk', 'sinyalnya', 'telkomsel', 'jual', 'nama', 'kenyamanan', 'konsumen', 'abaikan', 'harga', 'paket', 'selangit', 'kualitas', 'jaringan', 'buruk']</t>
  </si>
  <si>
    <t>['pengguna', 'kecewa', 'banget', 'telkomsel', 'menu', 'paket', 'kaya', 'banget', 'pas', 'daftar', 'paket', 'error', 'mulu', 'greget', 'saran', 'telkomsel', 'mohon', 'diperbaiki', 'error', 'mulu', '']</t>
  </si>
  <si>
    <t>['kuota', 'unlimitedmax', 'batas', 'batas', 'kasih', 'judul', 'unlimited', 'donk', 'kasian', 'orang', 'orang', 'kena', 'tipu', 'jelek', 'banget', 'aplikasi']</t>
  </si>
  <si>
    <t>['tukar', 'poin', 'menang', 'cuman', 'ngabisin', 'poin', 'undian', 'berhadiah', 'menarik', 'baper', 'undian', 'aplikasi', 'buang', 'buang', 'sja', '']</t>
  </si>
  <si>
    <t>['beli', 'perdana', 'telkomsel', 'unlimited', 'download', 'aplikasi', 'masukan', 'nomernya', 'dapet', 'sms', 'ulang', 'kali', 'tolong', 'dijawabbb']</t>
  </si>
  <si>
    <t>['tolong', 'telkomsel', 'ngak', 'cepat', 'jaringan', 'internet', 'lambat', 'cepat', 'beli', 'paket', 'mahal', 'mohon', 'perbaiki', 'jaringan', 'desa', 'latukan', 'rw', 'kecamatan', 'karanggeneng', 'kabupaten', 'lamongan', 'jawa', 'timur', 'terimakasih', 'perhatiannya', '']</t>
  </si>
  <si>
    <t>['tolong', 'benarkan', 'jaringan', 'telkomsel', 'kuota', 'mahal', 'jaringan', 'kuat', 'donk', 'kuota', 'mahal', 'jaringan', 'susah', '']</t>
  </si>
  <si>
    <t>['aplikasi', 'berbeda', 'paket', 'combo', 'sakti', 'udah', 'perbarui', 'trus', 'paket', 'internet', 'max', 'kembalikan', 'lgi', '']</t>
  </si>
  <si>
    <t>['tolong', 'jaringan', 'perbaiki', 'daerah', 'desa', 'pangkalan', 'kec', 'siak', 'hulu', 'kab', 'kampar', 'riau', 'harga', 'paket', 'mahal', 'jaringan', 'lelet', 'semoga', 'telkomsel', 'membacanya', '']</t>
  </si>
  <si>
    <t>['sekedar', 'informasi', 'hidupkan', 'koneksi', 'data', 'paket', 'data', 'isi', 'pulsa', 'koneksindata', 'hidup', 'blm', 'paket', 'data', 'pulsa', 'berkurang', 'cepat', 'tarif', 'data', 'mahal', 'pakai', 'pulsa', 'reguler', '']</t>
  </si>
  <si>
    <t>['aplikasi', 'susah', 'buka', 'alasan', 'jaringan', 'stabil', 'buka', 'aplikasi', 'internet', 'perbaikan', 'konsumen', 'beralih', '']</t>
  </si>
  <si>
    <t>['lumayan', 'tingkatkan', 'trs', 'pas', 'log', 'pertma', 'kali', 'kadang', 'susah', 'log', 'kadang', 'pas', 'buka', 'suruh', 'log', 'susah', 'disuruh', 'priksa', 'koneksi', 'internet', 'pdhal', 'wifi']</t>
  </si>
  <si>
    <t>['parah', 'dpt', 'bnusan', 'beli', 'paketan', 'ceria', 'berlaku', 'tanggal', 'juni', 'skrng', 'beli', 'udh', 'maksudnya', 'tolong', 'perbaiki', 'kasihan', 'customer', 'jdi', 'kecewa']</t>
  </si>
  <si>
    <t>['harga', 'mahal', 'kualitas', 'murahan', 'sinyal', 'jelek', 'kecewa', 'udah', 'kualitas', 'sinyal', 'menurun', 'mles', 'sinyal', 'ilang', 'ilangan']</t>
  </si>
  <si>
    <t>['pindah', 'kartu', 'halo', 'jaringan', 'internet', 'rusak', 'memilih', 'kartu', 'halo', 'nyesal', 'pindah', 'kartu', 'halo']</t>
  </si>
  <si>
    <t>['login', 'telkomsel', 'bonus', 'kuota', 'terklaim', 'notif', 'penambahan', 'bonus', 'kuotanya', 'kali', 'bonus', 'klaim', '']</t>
  </si>
  <si>
    <t>['aplikasi', 'mytelkomsel', 'bagus', 'seh', 'buruk', 'sinyal', 'telkomselnya', 'baleendah', 'bandung', 'sungguh', 'lancar', 'provider', 'sebelah', '']</t>
  </si>
  <si>
    <t>['bintang', 'senang', 'pelayanan', 'telkomsel', 'harga', 'paket', 'murah', 'jankauanya', 'luas', 'semoga', 'kedepanya']</t>
  </si>
  <si>
    <t>['pengguna', 'telkomsel', 'udh', 'udh', 'termaksud', 'kategori', 'diamond', 'menghubungi', 'veronika', 'ribet', 'laporan', 'data', 'laporan', 'polisi', 'sistem', 'cek', 'teknologi', 'tolol', 'kerja', 'telkomsel', 'ngetot', 'paket', 'doang', 'mahal', 'sinyal', 'bagus', 'pelayanan', 'bagus', 'bngsat']</t>
  </si>
  <si>
    <t>['bintang', 'karna', 'memuaskan', 'paket', 'data', 'mahal', 'harga', 'mahal', 'beli', 'paket', 'data', 'jelek', 'jaringan', 'main', 'game', 'ganti', 'kartu', 'kayak', 'gini']</t>
  </si>
  <si>
    <t>['kau', 'kuota', 'reguler', 'multimedia', 'ujung', 'ujungnya', 'ngeyoutube', 'facebook', 'whatsapp', 'dll', 'kau', 'potong', 'kuota', 'reguler', 'multimedia', 'utuh', 'utuh', '']</t>
  </si>
  <si>
    <t>['simpati', 'kartu', 'suka', 'diskriminasi', 'penggunanya', 'paket', 'murah', 'saudara', 'bela', 'belain', 'nabung', 'langganan', 'paket', 'anehnya', 'list', 'promo', 'simpati', 'paketnya', 'mahal', 'mahal', 'smua', 'paket', 'murah', 'donk', 'simpati', 'pilih', 'pilih', 'user', 'melulu']</t>
  </si>
  <si>
    <t>['tolong', 'unlimited', 'max', 'ubah', 'ubah', 'pakek', 'batesan', 'gb', 'unlimited', 'pakek', 'tolong', 'kembalikan', 'bebas', 'akses', 'kaya', '']</t>
  </si>
  <si>
    <t>['pribadi', 'aplikasinya', 'mantap', 'pengalaman', 'aplikasi', 'membantu', 'semoga', 'berkembang', 'sukses', 'barokah', 'telkomsel', 'minal', 'aaidin', 'walfaizin', 'mohon', 'lahir', 'batin', '']</t>
  </si>
  <si>
    <t>['pengguna', 'telkomsel', 'paket', 'unlimited', 'notifikasi', 'pesan', 'paket', 'aktif', 'dikenakan', 'tarif', 'non', 'paket', 'paket', 'abis', 'mei', 'abis', 'tenggang', 'paket', 'unlimited', 'tgl', 'mei', 'paket', 'anehnya', 'kecepatannya', 'mentok', 'error', 'gimana', 'tolong', 'admin', 'telkomsel', 'setia', 'pengguna', 'telkomsel', 'mohon', 'diperbaiki', 'bugnya', '']</t>
  </si>
  <si>
    <t>['nyaman', 'aplikasi', 'diperbaharui', 'menutup', 'aplikasinya', 'telkomsel', 'operator', 'terbesar', 'memperbarui', 'tsb', 'pelanggan', 'nyaman', 'aplikasi']</t>
  </si>
  <si>
    <t>['paket', 'combo', 'giliran', 'buka', 'aplikasi', 'tercatat', 'deskripsi', 'paket', 'kuota', 'utama', 'kepake', 'udah', 'mahal', 'bedain', 'server', 'lemotnya', 'parah']</t>
  </si>
  <si>
    <t>['aplikasi', 'mytelkomsel', 'membantu', 'cek', 'sisa', 'pulsa', 'quota', 'cepat', 'beli', 'paket', 'internet', 'sesuai', 'kebutuhan', 'terimakasih', 'mytelkomsel', 'salam', 'sukses', '']</t>
  </si>
  <si>
    <t>['beli', 'kuota', 'combo', 'nua', 'semkin', 'mahal', 'kayak', 'serbah', 'murah', 'isi', 'pulsa', 'kagak', 'semoga', 'semkain', 'depannya', 'playanan', 'kemudhan', 'konsumen', 'mahal', 'mempertarifkan', 'kuota', 'internetnya', 'terima', 'kasih']</t>
  </si>
  <si>
    <t>['mohon', 'telkomsel', 'ayo', 'lahh', 'kualitas', 'sinyal', 'pelosok', 'daerah', 'tolong', 'tingkatkan', 'karan', 'sna', 'bnyak', 'nyaman', 'hayo', 'perbaiki', 'kualitasnya', '']</t>
  </si>
  <si>
    <t>['ragam', 'paket', 'telepon', 'internet', 'paket', 'pilih', 'beli', 'tolong', 'perbaiki', 'pelanggan', 'kecewa', '']</t>
  </si>
  <si>
    <t>['bagus', 'hrs', 'ditingkat', 'byk', 'saudara', 'msh', 'blm', 'dpt', 'internet', 'telk', 'msel', 'thank', 'good', '']</t>
  </si>
  <si>
    <t>['salah', 'menu', 'aplikasi', 'daily', 'check', 'klaim', 'tertulis', 'diklaim', 'klaim', 'veronika', 'aplikasi', 'terjawab', '']</t>
  </si>
  <si>
    <t>['telkomsel', 'sisa', 'kuota', 'mudah', 'telpon', 'karna', 'aplikasi', 'telkomsel', 'paket', 'paket', 'menarik', 'murah', 'the', 'best', 'pokonya']</t>
  </si>
  <si>
    <t>['jaringan', 'telkomsel', 'ngak', 'bagus', 'lelet', 'chat', 'gitu', 'ngak', 'perubahan', 'promo', 'jaringan', 'lelet', 'bagus', 'ngak', 'promo']</t>
  </si>
  <si>
    <t>['telkomsel', 'developer', 'mahal', 'sinyalnya', 'susah', 'padam', 'listrik', 'daerah', 'terpencil', 'tolong', 'telkomsel', 'developer', 'berpindah', 'jaringan', 'sebelah', 'kayak', 'sinyalnya', 'stabil', '']</t>
  </si>
  <si>
    <t>['jengkeul', 'jeungkel', 'sekale', 'telkomsel', 'skrg', 'maen', 'game', 'susah', 'buanget', 'sinyal', 'lemot', 'kayak', 'pindah', 'operator', 'internetnya', 'makasih', 'buay', 'jeungkel', 'wkwkwkkwa']</t>
  </si>
  <si>
    <t>['batas', 'wajar', 'kuota', 'aplikasi', 'habis', 'katmya', 'unlimited', 'buka', 'njing', 'nyesel', 'pakek', 'telkomnyet', 'harga', 'paket', 'mahal', 'sinyal', 'lemot', 'koar', 'unlimited', 'taunya', 'batesin', 'auto', 'pindah', 'kartu', 'indosat', '']</t>
  </si>
  <si>
    <t>['komentar', 'jujur', 'takut', 'ngasi', 'bintang', 'kasi', 'bintang', 'ulasan', 'bertaun', 'pakai', 'telkomsel', 'uninstal', 'ganti', 'pakai', 'telkomsel', '']</t>
  </si>
  <si>
    <t>['pengguna', 'skrng', 'paket', 'internet', 'bulanan', 'telkomsel', 'mahal', 'kuota', 'nelp', 'gini', 'mikir', 'make', 'jangka', 'dimurah', 'mahal', 'terbatas', 'kecewa', '']</t>
  </si>
  <si>
    <t>['tolong', 'min', 'kembalikan', 'paket', 'unlimited', 'batas', 'gb', 'unlimited', 'namanya', 'pengguna', 'telkomsel', 'tolong', 'min', 'kembalikan', 'paket', 'unlimited', 'terima', 'kasih', '']</t>
  </si>
  <si>
    <t>['telkomsel', 'ancur', 'sinyal', 'kalah', 'provider', 'kaya', 'suka', 'lemot', 'parahhh', 'parahnya', 'unlimited', 'apps', 'kemarin', 'kemarin', 'batas', 'minimum', 'data', 'dibatasi', 'males', 'tsel', 'saran', 'kasih', 'bintang', 'kembalikan', 'paket', 'unlimited', 'pindah', 'provider', '']</t>
  </si>
  <si>
    <t>['jaringan', 'jelek', 'banget', 'tolong', 'kembangin', 'daerah', 'demak', 'jawa', 'kota', 'gede', 'jaringan', 'lancar', 'trs', 'kabar', 'pelosok', 'main', 'game', 'lag', 'parah']</t>
  </si>
  <si>
    <t>['beli', 'paket', 'unlimited', 'paket', 'utamanya', 'habis', 'sisa', 'paket', 'unlimitednya', 'knp', 'penyesuaian', 'kecepatan', 'internet', 'lemot', 'sumpah', 'paket', 'unlimited', 'mohon', 'kondisikan', 'kecepatan', 'jaringan', 'internet', 'unlimited', '']</t>
  </si>
  <si>
    <t>['pas', 'beli', 'paketku', 'blokir', 'tolong', 'kembalikan', 'pulsaku', 'mohon', 'uang', 'senang', 'beli', 'paket', 'blokir']</t>
  </si>
  <si>
    <t>['beli', 'paket', 'telkomsel', 'mahal', 'permainkan', 'kek', 'gini', 'beli', 'pakai', 'uang', 'jaringan', 'kek', 'gini', 'main', 'game', 'leg', 'kek', 'niat', 'telkomsel', 'harga', 'mahal', 'kualitas', 'jaringan', 'hancur']</t>
  </si>
  <si>
    <t>['telkomsel', 'udah', 'bersahabat', 'paket', 'hilang', 'nomor', 'udah', 'tenggang', 'isi', 'tenggang', 'nambah', 'nambah', 'tolong', 'perbaiki', 'kali', 'pakai', 'handphone', 'udah', 'telkomsel', 'udh', '']</t>
  </si>
  <si>
    <t>['nmr', 'telkomsel', 'bisnis', 'pas', 'nomornya', 'mati', 'krna', 'lupa', 'isi', 'pulsa', 'krna', 'covid', 'kmrin', 'nmrnya', 'recyle', 'nmr', 'pelanggan', 'dstu', 'nmr', 'parah', 'banget', 'ketentuan', 'kamk', 'pengguna', 'mengisi', 'mendaftarkan', 'sesuai', 'dgan', 'format', 'ktp', 'asli', 'mohon', 'untk', 'provider', 'telkomsel', 'memperbarui', 'sistemnya']</t>
  </si>
  <si>
    <t>['telkomsel', 'taikkk', 'kartu', 'sultan', 'smua', 'belik', 'kuota', 'mahal', 'sinyal', 'twlkom', 'taikkk', 'taik', 'signal', 'telkomsel', 'kalah', 'ama', 'kartu', 'sultan', 'sinyal', 'bagus', 'taikkk', 'telkomsel', 'bales', 'ulasan', 'gwa', 'berani', 'gmna', 'respon']</t>
  </si>
  <si>
    <t>['kecewa', 'beli', 'voucer', 'telkomsel', 'menggunakannya', 'tlp', 'laporan', 'tlp', 'call', 'center', 'diaktifkan', 'kenyataannya', 'solusinya', 'terbaik', 'mohon', 'bantuannya', '']</t>
  </si>
  <si>
    <t>['telkomsel', 'busuk', 'kebuka', 'udah', 'hapus', 'download', 'hasilnya', 'tetep', 'udah', 'versi', 'terbaru', 'payah', 'parah', 'mytelkomsel', 'bobrok', '']</t>
  </si>
  <si>
    <t>['telkomsel', 'transaksi', 'penukaran', 'pulsa', 'paket', 'data', 'menukar', 'paket', 'data', 'tolong', '']</t>
  </si>
  <si>
    <t>['paket', 'mahal', 'aplikasi', 'cek', 'informasi', 'kartu', 'sanggup', 'aplikasi', 'buka', 'loading', 'suruh', 'update', 'clear', 'data', 'buka', 'buka', 'aplikasi', 'loading', 'loading', 'loading', 'loading', 'loading', 'cocok', 'aplikasi', 'loading', 'namanya']</t>
  </si>
  <si>
    <t>['merugikan', 'kena', 'tarif', 'non', 'paket', 'kuota', 'pulsa', 'kepotong', 'habis', 'gimana', 'telkomsel', 'rugi', 'banget', 'kali', 'berfikir', 'pindah', 'provider']</t>
  </si>
  <si>
    <t>['', 'ngerti', 'aplikasi', 'signal', 'bagus', 'aplikasi', 'lancar', 'udah', 'make', 'wifi', 'make', 'data', 'paket', 'banget', 'app', 'buka', 'sekaliny', 'macet', 'parah', 'perbaiki', 'ping', 'ato', 'gitu', 'check', 'masuk', '']</t>
  </si>
  <si>
    <t>['balikin', 'paket', 'unlimited', 'unlimited', 'batasi', 'sinyal', 'bagus', 'kuota', 'utama', 'kuota', 'pemakaian', 'wajar', 'habis', 'buka', 'facebook', 'liat', 'status', 'whatshap', 'lemot', 'ampun']</t>
  </si>
  <si>
    <t>['permasalahan', 'masyarakat', 'percaya', 'provider', 'knpa', 'kecewakan', 'contoh', 'membeli', 'paket', 'combo', 'sakti', 'unlimited', 'gb', 'garis', 'bawahi', 'unlimited', 'knpa', 'kuota', 'utama', 'habis', 'akses', 'internet', 'unlimited', 'baca', 'deskripsi', 'sosmet', 'chat', 'game', 'max', 'dll', 'saran', 'provider', 'bonafit', 'kecewakan', 'pelanggan', 'unlimited', '']</t>
  </si>
  <si>
    <t>['paraaahhh', 'loadingnya', 'klamaan', 'kuota', 'habis', 'pemberitahuaan', 'maaf', 'knp', 'download', 'trpaksa', 'download', 'apk', '']</t>
  </si>
  <si>
    <t>['woi', 'kecewa', 'banget', 'telkomsel', 'udah', 'jaringan', 'jumping', 'ilang', 'ilang', 'mahal', 'paket', 'unlimeted', 'batas', 'wajar', 'pemakaian', 'tolong', 'kembalikan', 'paket', 'unlimeted', 'max', 'gb', 'kuota', 'utama', 'habis', 'batas', 'wajar', 'penggunaan', 'aplikasi', 'tolong', 'kembalikan']</t>
  </si>
  <si>
    <t>['promo', 'promonya', 'bagus', 'sayangnya', 'layanan', 'call', 'center', 'nama', 'arin', 'buruk', 'keluhan', 'selesai', 'memutuskan', 'sambungan', 'tlkomsel', 'memiliki', 'option', 'unreg', 'option', 'berhenti', 'langganan', 'dihapus', 'sengaja', 'telkomsel', 'memeras', 'pelanggan', 'kah', 'hapus', 'option', 'berhenti', 'langganan', '']</t>
  </si>
  <si>
    <t>['dibeberapa', 'desa', 'pintu', 'bosi', 'kecamatan', 'laguboti', 'kabupaten', 'toba', 'provinsi', 'sumatera', 'utara', 'kadang', 'hilang', 'sinyal', 'telkomsel', 'memuaskan', 'bagus', 'ratingnya', 'ditambah', '']</t>
  </si>
  <si>
    <t>['tolong', 'telkomsel', 'tercinta', 'jaringan', 'stabil', 'buka', 'aplikasi', 'telkomsel', 'susah', 'bos', 'terlambat', 'cek', 'kuota', 'pulsa', 'tinggal', 'habis', 'libas', 'telkomsel', 'jaringan', 'stabil', 'butuhkan', 'telkomsel', 'terima', 'kasih', '']</t>
  </si>
  <si>
    <t>['gimana', 'kak', 'tolong', 'perbaiki', 'beli', 'pulsa', 'dipaketin', 'saldonya', 'siang', 'kepotong', 'malamnya', 'beli', 'pulsa', 'lgi', 'counter', 'udh', 'masuk', 'ngak', 'sisa', 'saldo', 'kemaren', 'muncul', 'tolong', 'perbaiki', 'kak', '']</t>
  </si>
  <si>
    <t>['pra', 'bayar', 'tawarkan', 'product', 'pasca', 'bayar', 'signalnya', 'lemah', 'titik', 'gps', 'berwarna', 'abu', 'abu', 'posisi', 'titik', 'birunya', 'menetap', 'alias', 'bergeser', 'km', 'mohon', 'admin', 'lakukan', 'terbaik', 'costamer', 'thanx']</t>
  </si>
  <si>
    <t>['kuota', 'pulsa', 'kesedot', 'alasannya', 'veronika', 'jaringannya', 'jelek', 'pulsa', 'pulsa', 'hilang', 'kuota', 'unlimited', 'dibatasi', 'gb', 'hey', 'namanya', 'unlimited', 'terbatas', 'penggunaannya', 'dibatasi', 'beli', 'mahal', 'dibatasi', 'rugi', 'cuk', 'tolong', 'kembalikan', 'unlimited', 'dibatasi', 'penggunaannya', 'pidah', 'kartu', '']</t>
  </si>
  <si>
    <t>['batas', 'wajar', 'kuota', 'aplikasi', 'habis', 'dikenakan', 'penyesuaian', 'kecepatan', 'internet', 'cek', 'kuota', 'beli', 'paket', 'tsel', 'tsel', 'balikin', 'paket', 'unlimited', 'min', 'mahal', 'tot', 'beli', 'paketnya', 'habis', 'kuota', 'internet', 'memakai', 'kuota', 'aplikasi', 'unlimited', 'udah', 'batasi', 'enak', 'aplikasi', 'telkomsel', 'kasih', 'kuota', 'aplikasi', 'batasnya', 'langsung', 'notif', 'pusing', 'tot', 'balikin', 'paket', 'tot']</t>
  </si>
  <si>
    <t>['paket', 'combo', 'unlimited', 'penipuan', 'batas', 'pemakaian', 'wajar', 'tertulis', 'batas', 'maks', 'kbps', 'notifnya', 'jam', 'dinding', 'kekirim', 'instagram', 'update', 'terliat', 'notifikasi', 'speed', 'realtime', 'diatas', 'layar', 'kbps', 'paket', 'internet', 'telkomel', 'case', 'layak', 'diadukan', 'ylki', 'trims']</t>
  </si>
  <si>
    <t>['telkomsel', 'tolong', 'perbaiki', 'jaringan', 'anak', 'geme', 'benci', 'jaringan', 'udah', 'parah', 'kali', 'mohon', 'perbaiki', 'cepat', 'cepat', 'karna', 'kaota', 'mahal', 'gelek', 'tolong', 'perbaiki', 'terimakasih', 'wassalamu', 'alaikum', '']</t>
  </si>
  <si>
    <t>['maaf', 'pekerja', 'telkomsel', 'jaringan', 'telkomsel', 'hancur', 'kali', 'udh', 'bagus', 'kayak', 'tolong', 'pekerja', 'telkomsel']</t>
  </si>
  <si>
    <t>['telkomsel', 'sesuka', 'hatinya', 'mengubah', 'peraturan', 'tntang', 'kartu', 'unlimited', 'max', 'jujur', 'kecewa', 'karna', 'kecepatan', 'koneksinya', 'turunkan', 'isi', 'harga', 'unlimited', 'max', 'pelajar', 'mudah', 'uang', 'segitu', 'pelajar', 'jujur', 'dirugikan', 'kecewa', '']</t>
  </si>
  <si>
    <t>['kecewa', 'paket', 'unlimited', 'batasi', 'pemakaian', 'tolong', 'dikembalikan', '']</t>
  </si>
  <si>
    <t>['jaringan', 'buruk', 'mahal', 'mahal', 'bagus', 'kualitas', 'menurun', 'cari', 'cuannya', 'memperbaiki', 'kualitasnya', 'karna', 'penggunanya', 'udah', 'rame', 'suka', 'providernya', 'sing', 'cuan']</t>
  </si>
  <si>
    <t>['buruk', 'provider', 'tolong', 'kembalikan', 'daftar', 'harga', 'pembelian', 'didalam', 'aplikasinya', 'buruk', 'provider', 'mending', 'pindah', 'provider', 'layanan', 'buruk', '']</t>
  </si>
  <si>
    <t>['pembayaran', 'via', 'shopeepay', 'bermasalah', 'saldo', 'udah', 'kepotong', 'pulsa', 'masuk', 'udah', 'kelar', 'shopeenya', 'pas', 'pulsanya', 'masuk', 'cuman', 'komplain', 'ribet', 'like', 'banget']</t>
  </si>
  <si>
    <t>['tipu', 'akhlak', 'paham', 'deh', 'pokoknya', 'beli', 'paket', 'nelpon', 'saldo', 'potong', 'pakai', 'padalaha', 'sms', 'berhasil', 'emg', 'otak', 'gada', 'nipu', 'pelanggan', 'persaingan', 'kecewa']</t>
  </si>
  <si>
    <t>['kecewa', 'paket', 'unlimitid', 'main', 'game', 'nglag', 'langganan', 'nglag', 'turun', 'drastis', 'unlimitid', 'nglag', 'tolong', 'diperbaiki', 'min', 'dri', 'telkomselnya', '']</t>
  </si>
  <si>
    <t>['mohon', 'maaf', 'kritik', 'aplikasi', 'kebuka', 'lebaran', 'sampe', 'jaringan', 'parah', 'aplikasi', 'susah', 'buka', 'pakai', 'unlimited', 'kuota', 'gb', 'momen', 'raya', 'jaringan', 'ditingkatkan', 'tunggu', 'sampe', 'tgl', 'trs', 'mohon', 'maaf', 'ganti', 'maaf', '']</t>
  </si>
  <si>
    <t>['bagus', 'internet', 'tetangga', 'sebelah', 'harga', 'ngak', 'sesuai', 'kualitas', 'ancuuurr', 'telkomsel', 'msih', 'untung', 'dpake', 'telponan', 'doang', 'internet', 'mikir', 'harga', 'paket', 'ngk', 'sebanding', 'kualitas', 'ancuuuurrrr', 'ditinggalkan', 'jwban', 'bot', 'mohon', 'maaf', 'silahkan', 'hub', 'slah', 'operator', 'layanan', 'kartu']</t>
  </si>
  <si>
    <t>['telkomsel', 'akses', 'internet', 'terbaik', 'sinyal', 'bagus', 'memuaskan', 'telkomsel', 'memuaskan', 'terimakasih', 'telkomsel']</t>
  </si>
  <si>
    <t>['sekedar', 'keluhan', 'pelanggan', 'daerah', 'sekayu', 'musi', 'banyuasin', 'palembang', 'sumatera', 'selatan', 'jaringan', 'telkomsel', 'skrg', 'buruk', 'malam', 'jaringan', 'buruk', 'buruk', 'knp', 'telkomsel', 'menurun', 'segi', 'kualitas', 'jaringan', 'paket', 'data', 'mahal', '']</t>
  </si>
  <si>
    <t>['woiiii', 'pikir', 'beli', 'paket', 'pakek', 'daun', 'beli', 'paket', 'jaringan', 'kaya', 'babi', 'sanggup', 'pemakai', 'pemakai', 'kartu', 'telkomsel', 'seneng', 'mending', 'punah', '']</t>
  </si>
  <si>
    <t>['woyy', 'telkom', 'pelayan', 'internet', 'sya', 'langgnan', 'dri', 'kecewa', 'provider', 'masuk', 'daerah', 'jamnin', 'sya', 'salah', 'bklan', 'pindah', 'kartu']</t>
  </si>
  <si>
    <t>['halo', 'kak', 'gini', 'sekaran', 'login', 'susah', 'koneksi', 'stabil', 'buka', 'apk', 'apk', 'stabil', 'nonton', 'youtube', 'lancar', 'ntar', 'cek', 'kuota', 'beli', 'kuota', 'login', 'login', 'seharian', 'jaringannya', 'penuh', 'terimakasih', 'kak', 'responnya']</t>
  </si>
  <si>
    <t>['beli', 'paket', 'internet', 'mesti', 'nunggunya', 'banget', 'paketanya', 'mahal', 'ngga', 'kaya', 'paketan', 'murah', 'mending', 'sinyalnya', 'sulit', 'keringanya', 'paket', 'internet', 'murah', 'tolong', 'telkomsel', 'beli', 'paket', 'internet', 'nunggu', 'banget', '']</t>
  </si>
  <si>
    <t>['bagus', 'memerluka', 'jaringan', 'masuk', 'aplikasi', 'jaringan', 'stabil', 'masuk', 'aplikasi', '']</t>
  </si>
  <si>
    <t>['admin', 'operator', 'telkomsel', 'harga', 'paketan', 'malam', 'telkomsel', 'telepon', 'sesuai', 'daftar', 'list', 'masak', 'tulisan', 'gb', 'paket', 'malam', 'rb', 'pas', 'pilih', 'rb', 'ngotak', 'emang', 'tolong', 'harga', 'sesuain', 'tulis', '']</t>
  </si>
  <si>
    <t>['telkomsel', 'plis', 'adain', 'layanan', 'netflix', 'via', 'paket', 'data', 'donk', 'kayak', 'langganan', 'disneyhotstar', 'kartu', 'kredit', 'langganan', 'netflik', 'langsung', 'via', 'paket', 'internet', 'bulanan', 'setuju', '']</t>
  </si>
  <si>
    <t>['kualitas', 'sinyal', 'buruk', 'paketan', 'mahal', 'mahal', 'jaringan', 'bagus', 'buruk']</t>
  </si>
  <si>
    <t>['sumpah', 'udah', 'mahal', 'jaringan', 'lelet', 'trus', 'masuk', 'sms', 'nomor', 'berguna', 'sprti', 'pinjamanlah', 'hadiahlah', 'dll', 'ngeselin', 'telkomsel']</t>
  </si>
  <si>
    <t>['hai', 'kak', 'coeg', 'mohon', 'maaf', 'kakak', 'nyaman', 'blablabla', 'pelayanan', 'diperbaiki', 'boss', 'maaf', 'trus', 'kau', 'maaf', 'dibutuhkan', 'konsumen', 'bagus', 'pelayanan', 'bacotan', 'like', '']</t>
  </si>
  <si>
    <t>['redeem', 'voucher', 'poin', 'dishopee', 'dipake', 'shopback', 'dipake', 'dishopee', 'gua', 'beli', 'meteran', 'baju', 'barang', 'udh', 'diluar', 'kategori', 'dilarang', 'tetep', 'voucher', 'telkomsel', 'provider', 'scam', 'program', 'undian', 'poin', 'fiktif']</t>
  </si>
  <si>
    <t>['telkomsel', 'kntl', 'jaringan', 'perbaiki', 'udah', 'harganya', 'mahal', 'lag', 'dasar', 'telkomsel', 'jaringan', 'anak', 'haram', '']</t>
  </si>
  <si>
    <t>['tolong', 'penggunaan', 'aplikasinya', 'permudah', 'buka', 'aplikasi', 'kuota', 'tukar', 'pulsa', 'paket', 'internet', 'ngegidupin', 'data', 'seluler', 'pulsa', 'berkurang', 'ngidupin', 'data', 'paket', 'tertulis', 'koneksi', 'stabil', 'tolong', 'tingkatkan', 'aplikasi', 'sebelah', 'beroperasi', 'paket']</t>
  </si>
  <si>
    <t>['sinyal', 'bener', 'siny', 'bener', 'akses', 'game', 'nonton', 'youtube', 'bener', 'separah', 'telkomsel', 'komplen', 'via', 'online', 'suruh', 'gerai', 'offline', 'kaya', 'gitu', 'mendingan', 'pindah', 'provider', 'kali', '']</t>
  </si>
  <si>
    <t>['bilangnya', 'unlimited', 'dibatasi', 'cuman', 'gb', 'kecewa', 'berat', 'gua', 'ganti', 'kartu', 'abis', 'kasih', 'bonus', 'gb', 'tulis', 'gb', 'unlimited', 'munafik', 'namanya', 'baca', 'gua', 'saranin', 'pakai', 'telkomsel', 'deh', '']</t>
  </si>
  <si>
    <t>['jaringan', 'lemot', 'banget', 'dipake', 'tethering', 'susah', 'banget', 'download', 'file', 'emg', 'daerah', 'emg', 'susah', 'banget', 'browsing', 'ampun', '']</t>
  </si>
  <si>
    <t>['telkomsel', 'kali', 'kecewa', 'sinyal', 'buruk', 'dipake', 'dikampung', 'halaman', 'tolong', 'tungkatkan', 'kualitas', 'sesuai', 'harga', '']</t>
  </si>
  <si>
    <t>['mytelkomsel', 'hadiahnya', 'promo', 'susah', 'login', 'alhamdulillah', 'masuk', 'keamanan', 'bagus', '']</t>
  </si>
  <si>
    <t>['', 'adminn', 'pengisian', 'alamat', 'menjdi', 'syarat', 'gabung', 'agen', 'reseller', 'telkomsel', 'diisi', 'dipasang', 'icon', 'gabung', 'reseller', 'asli', 'anehhhhhh']</t>
  </si>
  <si>
    <t>['pakai', 'telkomsel', 'puluhan', 'berlanggan', 'internet', 'data', 'karna', 'jaringan', 'lemah', 'beda', 'proveder', 'sebelah', 'kencang', 'murah']</t>
  </si>
  <si>
    <t>['kesini', 'sinyal', 'stabil', 'daerah', 'lancar', 'terima', 'beli', 'paket', 'mahal', 'sinyal', 'kek', 'taik']</t>
  </si>
  <si>
    <t>['tolong', 'sinyal', 'segara', 'perbaiki', 'dri', 'masak', 'sinyal', 'daerah', 'desa', 'plosok', 'lelet', 'harga', 'pulsa', 'kuota', 'internet', 'mahal', 'kualitas', 'sinyal', 'sepadan', 'harga', 'paket', 'pulsa', 'internet', 'baca', 'smua', 'komen', 'aplikasi', 'smuanya', 'mengeluh', '']</t>
  </si>
  <si>
    <t>['paket', 'ceria', 'dibeli', 'pulsaku', 'expired', 'salah', 'beli', 'pulsanya', 'beli', 'pulsa', 'dimana', 'apotek', '']</t>
  </si>
  <si>
    <t>['pakai', 'telkomsel', 'telkomsel', 'jaringan', 'bagus', 'pakai', 'indosat', 'jaringan', 'mantap', 'jamin', 'contoh', 'pakai', 'indosat', 'indosat', 'terpecaya', 'sumpah', 'bangkrut', 'perusahaan', 'telkomsel', 'jaringan', 'emosi', 'sumpah', 'rugi', 'pakai', 'telkomsel', 'paket', 'internet', 'mahal', 'loading', 'kntl', '']</t>
  </si>
  <si>
    <t>['telkomsel', 'gabagus', 'udah', 'bertahun', 'pakai', 'kartu', 'telkomsel', 'kesini', 'parah', 'sinyal', 'gajelas', 'ilang', 'udah', 'gitu', 'paketan', 'internet', 'unlimited', 'customer', 'nyaman', 'aneh', 'kecewa', 'beli', 'paketnya', 'mahal', 'sesuai', 'jaringan', 'lemot', 'banget', 'kaya', 'gini', 'mls', 'telkomsel', 'tolong', 'diperhatikan', 'customer', 'mengurus', 'jaringan', 'pelanggan', 'kabur', 'terimakasih']</t>
  </si>
  <si>
    <t>['hallo', 'telkomsel', 'niat', 'jdi', 'provider', 'harga', 'mahal', 'tpi', 'kualitas', 'jaringannya', 'sampah', 'kebijakan', 'deskripsi', 'internet', 'unlimeted', 'tpi', 'knapa', 'batasi', 'sya', 'dri', 'thn', 'telkomsel', 'bener', 'kecewa', 'klk', 'sperti', 'provider', 'bayar', 'mahal', 'kualitas', 'sampah', 'kyak', 'gini']</t>
  </si>
  <si>
    <t>['berhentikan', 'paket', 'susah', 'bngt', 'udh', 'tlpn', 'suruh', 'nunggu', 'aktif', 'abis', 'otw', 'ganti', 'kartu', 'simpati', 'lgi', '']</t>
  </si>
  <si>
    <t>['aduh', 'tolong', 'telkomsel', 'diperbaiki', 'beli', 'paket', 'paket', 'geme', 'max', 'silver', 'kuota', 'utama', 'gb', 'habis', 'langsung', 'dipake', 'main', 'paket', 'berfungsi', 'kuota', 'utamanya', 'tolong', 'diperbaiki', 'kebijakan', 'kuota', 'pengguna', 'ditelkomsel', 'kali', 'merasakan', 'tolong', 'diperbaiki', 'kebijakan', 'penggunaan', 'kuota', '']</t>
  </si>
  <si>
    <t>['stiap', 'paketan', 'dihp', 'tinggal', 'mb', 'dpt', 'sms', 'paket', 'darurat', 'aktif', 'mengaktifkan', 'paket', 'darurat', '']</t>
  </si>
  <si>
    <t>['batas', 'pemakaian', 'wajar', 'yaa', 'unlimitednya', 'pass', 'belli', 'paket', 'internet', 'sms', 'kayak', 'gitu', 'pakek', 'seharian', 'full', 'enak', 'lemmout', 'unlimitednya', 'batesin', 'kecewa', 'daach', 'males', 'pakek', 'telkomsel']</t>
  </si>
  <si>
    <t>['kecewa', 'aplikasi', 'aplikasi', 'membatu', 'kerana', 'terkoneksi', 'lgsg', 'linkaja', 'ribet', 'ngisi', 'pulsa', 'skrg', 'ngisi', 'pulsa', 'sulit', 'pembayarannya', 'aplikasi', 'linkaja', '']</t>
  </si>
  <si>
    <t>['kak', 'vertifikasi', 'whatsapp', 'facebook', 'pesan', 'vertifikasinya', 'masuk', 'make', 'nomer', '']</t>
  </si>
  <si>
    <t>['aplikasinya', 'ribet', 'jaringannya', 'hancur', 'semoga', 'provider', 'cepat', 'maju', 'ramai', 'meninggalkan', 'telkomsel', 'udah', 'tarif', 'mahal', 'jaringan', 'diandalkan', 'alasan', 'bertahan', 'telkomsel', '']</t>
  </si>
  <si>
    <t>['tolong', 'pengelola', 'telkomsel', 'jaringan', 'ambruk', 'sinyal', 'buka', 'game', 'buka', 'instagram', 'aplikasi', 'lemot', 'lancar', 'banget', 'dlam', 'perbaikan', 'gimana', 'pengguna', 'telkomsel', 'kali', 'sinyal', 'kaya', 'gini', 'nanya', 'kuota', 'lokal', 'abis', 'tinggal', 'sisa', 'unlimited', 'unlimited', 'lancar']</t>
  </si>
  <si>
    <t>['kasih', 'bintang', 'telkomsel', 'menghargai', 'upaya', 'telkomsel', 'perbaikan', 'menghargai', 'jasa', 'telkomsel', 'pribadi', 'salama', 'keluhan', 'keluhan', 'rasakan', 'menyalahkan', 'telkomsel', 'belajar', 'ikhlas', 'melupakan', 'telkomsel', 'maafkan', 'pindah', 'hati', 'perbaikan', 'tunggu', 'salam']</t>
  </si>
  <si>
    <t>['maunya', 'combo', 'sakti', 'unlimited', 'kaya', 'kemaren', 'kemaren', 'enak', 'kuota', 'utama', 'habis', 'lancar', 'skrg', 'kuota', 'utama', 'habis', 'lelet', 'batas', 'pemakaian', 'wajar', 'kecepatannya', 'kbps', 'lelet', 'super', 'lelet', 'kemaren', 'combo', 'sakti', 'unlimited', 'wlwpun', 'kuota', 'utama', 'habis', 'enak', 'buka', 'tele', 'google', 'lancar', 'wlwpun', 'ngelag', 'skrg', 'diubah', 'kebijakannya', 'gabisa', 'kebijakan', 'kaya', 'kemaren', '']</t>
  </si>
  <si>
    <t>['kecewa', 'apk', 'telkomsel', 'buka', 'aplikasi', 'lemot', 'mulu', 'jaringan', 'full', 'mohon', 'perbaiki', 'apk']</t>
  </si>
  <si>
    <t>['jaringan', 'telkomsel', 'jelek', 'bertahun', 'gold', 'member', 'mengeluarkan', 'uang', 'lumayan', 'pelayanan', 'jaringan', 'telkomsel', 'memburuk', 'streaming', 'gaming', 'download', 'cepat', 'jaringan', 'stabil', 'lokasi', 'koneksi', 'batang', 'indikator', 'jaringan', 'cepat', 'melambat', 'berlanjut', 'memilih', 'layanan', '']</t>
  </si>
  <si>
    <t>['min', 'paketan', 'jadk', 'banyaknyanya', 'internet', 'lokal', 'internet', 'lokal', 'pakai', 'rumah', 'kerja', 'pakai', 'wilayah', 'bandung', 'kartu', 'upgrade', 'combo', 'sakti', 'gerai', 'grapari', '']</t>
  </si>
  <si>
    <t>['aplikasinya', 'beli', 'paket', 'internet', 'paket', 'conference', 'pendidikan', 'paket', 'internet', 'malam', '']</t>
  </si>
  <si>
    <t>['berlangganan', 'paket', 'internet', 'malam', 'internet', 'jam', 'aneh', 'paket', 'malamnya', 'paket', 'internet', 'jam', 'aktif', 'karna', 'paket', 'internet', 'malam', 'aktif', 'stop', 'paket', 'malamnya', 'telkomsel', 'menu', 'pilihan', 'stop', 'kecewa', 'habisin', 'duit', 'udah', 'mahal', 'ngecewain']</t>
  </si>
  <si>
    <t>['telkomsel', 'sinyalnya', 'lemot', 'pemerintah', 'ngasih', 'kuota', 'telkomsel', 'jahat', 'sinyalnya', 'lemot', 'kadang', 'sinyalnya', 'error', 'disayangkan', 'serba', 'online', 'belajar', 'online', 'susah', 'kecewa', 'telkomsel', '']</t>
  </si>
  <si>
    <t>['jaringan', 'dipakai', 'nonton', 'youtube', 'streaming', 'lancar', 'dipakai', 'main', 'game', 'ping', 'stabil', 'rumah', 'kamar', 'hancur', 'saran', 'perbaiki', 'ping', 'kasih', 'bintang']</t>
  </si>
  <si>
    <t>['orang', 'kampung', 'tinggal', 'daerah', 'jenis', 'operator', 'seluler', 'ngomong', 'operator', 'seluler', 'memperluas', 'jangkauan', 'selulernya', 'coba', 'pertimbangkan', 'daerah', 'perkampungan', 'karna', 'telkomsel', 'laku', 'kampung', 'didaerah', 'kesal', 'telkomsel', 'alasannya', 'harga', 'kuota', 'mahal', 'orang', 'kampung', 'kuota', 'unlimited', 'batasi', 'aplikasi', 'akses']</t>
  </si>
  <si>
    <t>['parah', 'aplikasinya', 'susah', 'dibuka', 'sinyal', 'error', 'unstable', 'connection', 'sinyal', 'penuh', 'jaringan', 'buka', 'aplikasi', 'lancar', 'hadeuhhh', '']</t>
  </si>
  <si>
    <t>['mohon', 'maaf', 'telkomsel', 'bagus', 'berlangganan', 'kuota', 'bertahan', 'sebulan', 'berubah', 'dibagi', 'mode', 'internet', 'internet', 'lokal', 'parahnya', 'internet', 'lokal', 'aktifkan', 'daerah', 'daerah', 'mengecewakan', 'terimakasih']</t>
  </si>
  <si>
    <t>['sayangnya', 'upload', 'bukti', 'provider', 'kapitalis', 'nilai', 'ingi', 'merugikan', 'konsumennya', 'pemasangan', 'paket', 'kuota', 'data', 'telpon', 'notifikasinya', 'besok', 'harinya', 'notifikasi', 'paket', 'konsumen', 'jelih', 'terkecoh', 'menyedot', 'pulsa', 'jaman', 'smp', 'umur', 'pakai', 'telkomsel', 'tolong', 'perbaiki', 'pelayanannya', 'kapitalisnya', 'keliatan', '']</t>
  </si>
  <si>
    <t>['', 'males', 'bat', 'beli', 'kuota', 'dapet', 'trus', 'udah', 'abis', 'durasinya', 'trus', 'pas', 'nge', 'game', 'kuota', 'udah', 'habis', 'cuman', 'sampe', 'tgl', 'segini', 'intinya', 'kaya', 'gitu', 'mah', 'nguras', 'duit', 'orang', 'kasih', 'aplikasi', 'nyesel', 'telkomsel', '']</t>
  </si>
  <si>
    <t>['nyesel', 'update', 'kartu', 'halo', 'paket', 'mahal', 'jaringan', 'buruk', 'jaringan', 'prioritas', 'apanya', 'prioritaskan', 'akses', 'multimedia', 'gunanya', 'kuota', 'unlimited', '']</t>
  </si>
  <si>
    <t>['telkomsel', 'pascabayar', 'kuota', 'mahal', 'boros', 'dibanding', 'operator', 'harga', 'unlimited', 'hr', 'halo', 'hr', 'abis', 'ampunnn', 'deh', '']</t>
  </si>
  <si>
    <t>['mohon', 'perbaikannya', 'telkomsel', 'beli', 'kuota', 'nonton', 'film', 'iflix', 'berkurang', 'paketan', 'utama', 'paketan', 'khusus', 'nonton', 'film', 'tolong', 'diperbaiki', '']</t>
  </si>
  <si>
    <t>['cuman', 'unlimited', 'max', 'parah', 'buka', 'status', 'buka', 'kemaren', 'gini', 'min', 'coba', 'jelasin', 'knapa', 'kesini', 'jelek', 'min', 'telkomsel', 'udh', 'min', 'mhon', 'perbaikin', 'min', '']</t>
  </si>
  <si>
    <t>['wahh', 'parah', 'paket', 'unlimited', 'kuota', 'batas', 'batasi', 'ngeluarin', 'unlimited', 'kuotanya', 'batasi', 'beli', 'mahal', 'mahal', 'tipu', 'besok', 'besok', 'ngeluarin', 'unlimited', 'batasi', 'kecewa', 'parahh', '']</t>
  </si>
  <si>
    <t>['', 'lemot', 'banget', 'akses', 'youtube', 'susah', 'tiktok', 'dowload', 'lemot', 'kecepatan', 'gimana', 'cek', 'kuota', 'minggu', 'data', 'idup', 'main', 'game', 'online', 'pas', 'cek', 'kuota', 'tetep', 'temen', 'hotspot', 'cek', 'kuota', 'telkomsel', 'udah', 'rusak', 'gimana', 'mohon', 'penjelasannya', '']</t>
  </si>
  <si>
    <t>['tolong', 'jaringannya', 'benerin', 'mahal', 'paketannya', 'jaringan', 'stabil', 'perdulikan', 'buruk']</t>
  </si>
  <si>
    <t>['horee', 'sinyal', 'memburuk', 'banget', 'berkali', 'laporan', 'macem', 'mohon', 'bersabar', 'hahahhaha', 'provider', 'peduli', 'customer', 'yaa', 'kayak', 'gini']</t>
  </si>
  <si>
    <t>['paket', 'internet', 'malam', 'harga', 'beda', 'keterangan', 'harga', 'pas', 'beli', 'sesuai', 'muncul', 'harga', 'tolong', 'update', 'infonya', '']</t>
  </si>
  <si>
    <t>['mohon', 'maaf', 'kritik', 'sopan', 'sayamohon', 'telkomsel', 'kalok', 'tuker', 'koin', 'paket', 'pulsa', 'karna', 'merugikan', 'contoh', 'pas', 'koin', 'trus', 'pulsa', 'habis', 'berfungsi', 'tolong', 'permintaan']</t>
  </si>
  <si>
    <t>['parah', 'jaringan', 'game', 'online', 'haeus', 'jam', 'malem', 'lancar', 'kuota', 'mahal', 'karingan', 'sesuai', 'kasih', 'bintang', '']</t>
  </si>
  <si>
    <t>['jaringan', 'berantakan', 'biaya', 'karuan', 'isi', 'pulsa', 'pulsa', 'kepotong', 'selang', 'pdhal', 'paket', 'msh', 'jaringan', 'ancur', 'gila', 'cek', 'pulsa', 'paket', 'susahnya', 'maen', 'nguras', 'pulsa', 'pengaktifan', 'paket', 'lakukan', 'berkali', 'kali', 'aktif', 'aktif', 'paketnya', 'internet', 'nyedot', 'pulsa', 'paket', 'gua', 'woi', 'gua', 'pakai', 'paket', 'sore', 'nyedot', 'pulsa', 'harga', 'murah', 'mahal', '']</t>
  </si>
  <si>
    <t>['simpati', 'eror', 'klu', 'pingin', 'percaya', 'pengguna', 'tolong', 'perbaiki', 'dikit', 'eror', 'mahal']</t>
  </si>
  <si>
    <t>['aplikasi', 'berat', 'butuh', 'loading', 'detik', 'menit', 'itupun', 'berhasil', 'mengonfirmasikan', 'tlp', 'ulang', 'jaringan', 'telkomsel', 'buruk', 'rekomendasikan', 'bermain', 'games', 'online', 'harga', 'kuota', 'jaringan', 'turun', 'banggakan', '']</t>
  </si>
  <si>
    <t>['kecewa', 'paket', 'combo', 'sakti', 'mengecewakan', 'karna', 'paket', 'unlimited', 'udah', 'main', 'game', 'mecewakan', 'pelanggan', 'setia', 'telkomsel', '']</t>
  </si>
  <si>
    <t>['telkomsel', 'please', 'hargai', 'pengguna', 'paketan', 'serba', 'mahal', 'jaringan', 'diajak', 'kerja', 'pengguna', 'pilihan', 'paket', 'murahnya', 'susah', 'susah', 'isi', 'pulsa', 'beli', 'paket', 'jaringan', 'mendukung', '']</t>
  </si>
  <si>
    <t>['haruskah', 'ganti', 'provider', 'leletnya', 'ampun', 'dulunya', 'andalan', 'tinggal', 'kenangan', 'pdhal', 'pegang', 'setia', 'telkomsel', 'gini', '']</t>
  </si>
  <si>
    <t>['lier', 'beli', 'paket', 'telkomsel', 'unlimited', 'kuota', 'utama', 'mati', 'lelet', 'beli', 'takut', 'banget', 'rugi', 'luh', 'telkomsel', 'butut', 'butut', 'butut', 'butut', 'sue', 'sue', 'luh', '']</t>
  </si>
  <si>
    <t>['menu', 'belanja', 'daftar', 'menu', 'paketnya', 'beda', 'aplikasi', 'adik', 'paket', 'ekstra', 'unlimited', 'sdangkan', 'aplikasi', 'mohon', 'telkomsel', 'disamaratakan', 'tks']</t>
  </si>
  <si>
    <t>['maaf', 'sinyal', 'telkomsel', 'jelek', 'kirain', 'paket', 'habis', 'isi', 'udah', 'kali', 'mutar', 'habis', 'pakai', 'tri', 'bagus', 'sinyalnya', 'kecewa', 'jaringan', 'telkomsel', 'tolong', 'perbaiki', 'pelanggan', 'puas', '']</t>
  </si>
  <si>
    <t>['udh', 'paket', 'data', 'mb', 'sampe', 'malam', 'pulsa', 'abis', 'kepotong', 'notifikasi', 'sms', 'dikenakan', 'tarif', 'non', 'paket', 'telkomsel', 'knpa', 'ngambilin', 'pulsa', 'mulu', 'males', 'isi', 'ulang', 'pulsa', 'gini', 'coba', 'benerin', 'aplikasi', 'skrg', 'msh', 'sisa', 'paket', 'mb', 'kesel', 'pisan', 'benerin', 'balikin', 'pulsa', 'gue']</t>
  </si>
  <si>
    <t>['mengecewakan', 'jaringan', 'telkomsel', 'cuman', 'jaringan', 'luas', 'jangkauannya', 'edge', 'tolong', 'tingkatkan', 'jaringannya', 'bagus']</t>
  </si>
  <si>
    <t>['berulang', 'kali', 'pulsa', 'kesedot', 'sedekahin', 'telkomsel', 'kasih', 'vitur', 'potong', 'pulsa', 'kuota', 'habis', 'perusahaan', 'gede', 'mental', 'nyuri', 'contoh', 'axis', 'murah', 'murahan', 'vitur', 'stop', 'kuota', 'habis', 'nyedot', 'pulsa', 'iya', '']</t>
  </si>
  <si>
    <t>['pembohongan', 'udah', 'check', 'cape', 'nungguberhari', 'giliran', 'claim', 'free', 'kuota', 'bonus', 'suruh', 'coba', 'giliran', 'coba', 'claim', '']</t>
  </si>
  <si>
    <t>['', 'telkomsel', 'paket', 'habis', 'tgl', 'kemaren', 'otomatis', 'paket', 'unlimitid', 'habis', 'isi', 'pket', 'jangka', 'sya', 'beli', 'paket', 'unlimitid', 'pas', 'paket', 'unlimitid', 'habis', 'tgl', 'barengan', 'paket', 'kemaren', 'solusi', 'rugikan']</t>
  </si>
  <si>
    <t>['kuota', 'jaringan', 'lemooot', 'ngalahin', 'provider', 'sebelah', 'posisi', 'ane', 'panongan', 'citra', 'raya', 'sengaja', 'ganti', 'nomor', 'telkomsel', 'kerja', 'sehari', 'butuh', 'jaringan', 'stabil', 'buka', 'halaman', 'utama', 'gmail', 'butuh', 'menitan', 'telkomsel', 'menang', 'nama', '']</t>
  </si>
  <si>
    <t>['sinyal', 'simpati', 'parah', 'bagus', 'banget', 'sinyal', 'simpati', 'skrang', 'jelek', 'banget', 'udeh', 'gitu', 'paketan', 'tolonglah', 'perbaiki', 'sinyal', 'streaming', 'batasi', 'skrang', 'batasi', 'pemakian', 'nyesel', 'kartu', 'simpati', 'pelanggan', 'merasakan', 'rasakan', 'daerah', 'tiang', 'campur', 'tiang']</t>
  </si>
  <si>
    <t>['mohon', 'maaf', 'jarang', 'kasih', 'ulasan', 'kali', 'bisnis', 'beli', 'paket', 'unlimited', 'lancar', 'internet', 'lambat', 'sinyal', 'bagus', 'tolong', 'perbaiki', 'bnayka', 'pelanggan', 'beralih', 'tetangga']</t>
  </si>
  <si>
    <t>['bagus', 'kartu', 'layanannya', 'mohon', 'telkomsel', 'kuota', 'unlimited', 'aplikasi', 'dikenain', 'fup', 'kuota', 'utama', 'kena', 'fup', 'wajar', 'kuota', 'appnya']</t>
  </si>
  <si>
    <t>['kecewa', 'telkomsel', 'harga', 'paket', 'mahal', 'paket', 'ambil', 'tolong', 'kurangin', 'pliss', 'perbaiki', '']</t>
  </si>
  <si>
    <t>['mengecewakan', 'embel', 'paket', 'unlimited', 'terpakai', 'iya', 'unlimited', 'kbps', 'loading', 'loading', 'beralih', 'provider', '']</t>
  </si>
  <si>
    <t>['kesini', 'harga', 'telkomsel', 'ganti', 'kartu', 'ujungnya', 'promo', 'pengguna', 'naikin', 'harga', 'kuotanya', 'dikuranginn', 'haduhhhh', 'gimana', 'sihhh']</t>
  </si>
  <si>
    <t>['plis', 'operator', 'perbaiki', 'sinyal', 'udah', 'pengguna', 'tsel', 'sinyalnya', 'ngeblank', 'bls', 'trus', 'suruh', 'masok', 'jls', 'perbaiki', 'kecewa', 'terima', 'kasih']</t>
  </si>
  <si>
    <t>['harga', 'kouta', 'mahal', 'jaringan', 'lelet', 'ayolah', 'kembalikan', 'telkomsel', 'dengarkan', 'benahi', 'dikeluhkan', 'pelanggan', 'mengecewakan', '']</t>
  </si>
  <si>
    <t>['pengguna', 'telkomsel', 'turun', 'derajat', 'aplikasi', 'jelek', 'paket', 'gonta', 'ganti', 'jaringan', 'lemah', 'internet', 'stabil', 'mahal', 'harganya', 'ngapain', 'telkomsel', 'udah', 'pindah', 'murah', 'mudah', 'jaringan', 'kuat', 'telkomsel', 'buang', 'kartunya', '']</t>
  </si>
  <si>
    <t>['parah', 'sinyal', 'bagus', 'menghargai', 'pengguna', 'setia', 'telkomsel', 'paket', 'harga', 'mahal', 'paket', 'promo', 'berguna', 'kartu', 'adil']</t>
  </si>
  <si>
    <t>['kuota', 'unlimited', 'tdi', 'rb', 'jdi', 'rb', 'trus', 'knp', 'kuota', 'unlimitednya', 'dibataskan', 'beli', 'pulsa', 'mahal', 'unlimited', 'youtube', 'tpi', 'batasi', 'membeli', 'kuota', 'unlimited', 'sebulan', 'youtube', 'sepuasnya', 'telkomsel', 'membatasinya', 'kecewa']</t>
  </si>
  <si>
    <t>['berlangganan', 'unlimitedmax', 'pemberitahuan', 'melewati', 'batas', 'kecepatan', 'alami', 'penyesuaian', 'kecepatan', 'kuota', 'habis', 'lemot', 'gabisa', 'dipakai', 'kecewa', 'beli', 'tanggal', 'kemarrin', 'pakai', '']</t>
  </si>
  <si>
    <t>['', 'pembelian', 'combo', 'sakti', 'unlimitet', 'harga', 'akun', 'dana', 'kuotanya', 'blm', 'masuk', 'saldo', 'dana', 'terpotong', 'kali', 'transaksix', 'bgtu', 'mohon', 'perbaiki']</t>
  </si>
  <si>
    <t>['paketan', 'data', 'ilang', 'kejadian', 'udah', 'kejadian', 'isi', 'kuota', 'paketan', 'ilang', 'ketambah', 'kuota', 'ilang', 'suruh', 'isi', 'kuota', '']</t>
  </si>
  <si>
    <t>['apk', 'error', 'mulu', 'kyk', 'network', 'kota', 'kirain', 'harga', 'mahal', 'ningkatin', 'perfoma', 'service', 'kapitalis', 'pengen', 'untung', 'ngeluarin', 'modal', 'wkwkwkw']</t>
  </si>
  <si>
    <t>['install', 'aplikasi', 'jebakan', 'batman', 'aplikasi', 'kartu', 'hangus', 'gara', 'kontrol', 'aktif', 'uninstal', 'gunanya', 'berat', 'aplikasinya', '']</t>
  </si>
  <si>
    <t>['kecewa', 'berlangganan', 'telkomsel', 'pulsa', 'habis', 'disedot', 'aktif', 'paket', 'penukaran', 'poin', 'pulsa', 'disedot', 'tolong', 'penanganan', 'dirugikan', 'harga', 'paket', 'mahal', 'pulsa', 'disedot', 'pemberitahuan', 'kecewe', 'jaringan', 'sinyal', 'bagus', 'tolong', 'operator', 'perbaiki', '']</t>
  </si>
  <si>
    <t>['kasih', 'ulasan', 'kecewa', 'telkomsel', 'mikir', 'diperbaiki', 'sungguh', 'blok', 'blok', 'memaki', 'kulir', 'wkwkwkwk', '']</t>
  </si>
  <si>
    <t>['kuota', 'lokal', 'tolol', 'banget', 'kartu', 'beda', 'kabupaten', 'dipakek', 'payah', 'harga', 'mahal', 'dipakek', '']</t>
  </si>
  <si>
    <t>['tolong', 'daerah', 'kediri', 'jawa', 'timur', 'check', 'sinyal', 'suka', 'berubah', 'nyaman', 'protes', 'nyuruh', 'matiin', 'mode', 'pesawat', 'gitu', 'mulu', 'solusi', '']</t>
  </si>
  <si>
    <t>['perbaikin', 'sinyalnya', 'udah', 'gitu', 'gpp', 'mahal', 'perbaikin', 'udah', 'mahal', 'lemot', 'iya', 'kesel', 'pelanggan', 'perbaikin', 'sinyalnya', '']</t>
  </si>
  <si>
    <t>['batas', 'wajar', 'kuota', 'aplikasi', 'habis', 'dikenakan', 'penyesuaian', 'kecepatan', 'internet', 'cek', 'kuota', 'beli', 'paket', 'tsel', 'tsel', 'unlimited', 'dibatasi', 'sesuai', 'deskripsi', 'paket', 'unlimited', 'buka', 'stop', 'telkomsel']</t>
  </si>
  <si>
    <t>['jaringan', 'lag', 'turnamen', 'free', 'fire', 'jaringan', 'lag', 'parah', 'tolong', 'perbaiki', 'telkomsel', 'telkomsel', 'tolong', 'diperbaiki', 'jaringan', 'jaringan', 'bagus', 'kasih', 'bintang', 'deh', '']</t>
  </si>
  <si>
    <t>['nyedot', 'pulsa', 'orang', 'manfaatnya', 'kemarin', 'beli', 'pulsa', 'tersisa', 'niatnya', 'telepon', 'sodara', 'mendesak', 'pulsa', 'tersedot', 'abis', 'kuota', 'menyimpan', 'gb', 'kuota', 'telkomsel', 'susah', 'payah', 'mengambil', 'pulsa', 'internet', 'kuota', 'good', '']</t>
  </si>
  <si>
    <t>['error', 'aplikasi', 'bluetooth', 'pesan', 'google', 'dll', 'edit', 'diupdate', 'developer', 'lancar', 'terima', 'kasih', 'edit', 'aplikasi', 'error', 'aplukasi', '']</t>
  </si>
  <si>
    <t>['penyakit', 'darah', 'rendah', 'pakailah', 'telkomsel', 'jamin', 'darah', 'telkomsel', 'paket', 'komplit', 'jaringan', 'ngelag', 'paket', 'mahal', 'ragukan', '']</t>
  </si>
  <si>
    <t>['ambil', 'keuntungan', 'disaat', 'momen', 'puasa', 'lebaran', 'pandemi', 'harga', 'paket', 'data', 'rupiah', 'perpaket', 'bayangkan', 'kali', 'pengguna', 'telkomsel', 'untung', 'peduli', 'sulit', 'pandemi', 'susah', 'nyari', 'uang', 'pandai', 'kali', 'memanfaatkan', 'pengguna', 'harga', 'paket', 'data', 'mencekik', 'rakyat', 'seluler', 'perasaan']</t>
  </si>
  <si>
    <t>['kecewa', 'telkomsel', 'mahal', 'jaringannya', 'super', 'lemott', 'jarak', 'rumah', 'towernya', 'harap', 'diperbaiki']</t>
  </si>
  <si>
    <t>['tolong', 'telkomsel', 'jaringan', 'susah', 'trus', 'secepat', 'telkomsel', 'jaringan', 'perbaiki', 'jaringan', 'mahal', 'tpi', 'jaringan', 'parah']</t>
  </si>
  <si>
    <t>['simpati', 'sinyal', 'terkuat', 'nusantara', 'giliran', 'pulang', 'kampung', 'solo', 'sinyal', 'isi', 'kuota', 'penuh', 'nggak', 'dipakai', 'anak', 'pakai', 'kartu', 'oprator', 'ngaciirrr', 'simpati', 'iklan', 'doang']</t>
  </si>
  <si>
    <t>['ampas', 'main', 'game', 'online', 'nol', 'browsing', 'anjng', 'nambah', 'dosa', 'doang', 'kartu', 'senang', 'emosi', 'beli', 'paket', 'mahal', 'kaya', 'jaringan', 'kota', 'mataram', 'kualitas', 'jaringan', 'stabil', 'turun', 'data', 'udah', 'nyala', 'astaghfirullah', 'doang', 'terkirim', 'menit', 'chat', 'parah', 'telkomsel', 'jempol', 'telkomsel', 'tingkatkan', 'telkomsel', 'pengguna', 'sangt', 'senang', 'maaf', 'kartu', 'telkomsel', 'cabut', 'nambah', 'dosa', 'doang']</t>
  </si>
  <si>
    <t>['mengalami', 'kendala', 'sinyal', 'buka', 'internet', 'susah', 'pakai', 'maen', 'game', 'online', 'susah', '']</t>
  </si>
  <si>
    <t>['skarang', 'jaringan', 'telkomsel', 'super', 'lelet', 'paket', 'unlimited', 'tpi', 'kecepatanya', 'kaya', 'keong', 'sinyal', 'full', 'paket', 'isi', 'mohon', 'perbikin', 'klu', 'kyak', 'gini', 'trus', 'pelangan', 'sebelah', 'masak', 'senior', 'jaringan', 'telkomunikasi', 'terbesar', 'asial', 'kalah', 'junior', 'payah', 'klu', 'kyak', 'gini', '']</t>
  </si>
  <si>
    <t>['dri', 'jaringan', 'app', 'telkomsel', 'pencuri', 'pulsa', 'udh', 'jdi', 'pencuri', 'pulsa', 'telkomsel', 'udh', 'brp', 'gua', 'kluarga', 'perhatikan', 'telkomsel', 'pengisian', 'pulsa', 'dri', 'jam', 'pulsa', 'terpakai', 'berkurang', 'ajha', 'brp', 'juta', 'jiwa', 'penguna', 'telkomsel', 'indonesia', 'xan', 'ajha', 'pencuri', 'uang', 'rakyat', 'dunia', 'akhirat', 'ridho', 'ikhlas', 'sumpahin', 'muntah', 'darah', 'struk', 'telkomsel', 'mencuri', 'amiin']</t>
  </si>
  <si>
    <t>['telkom', 'jaringannya', 'lelet', 'kayak', 'bangke', 'perusahaan', 'bumn', 'emang', 'parah', 'pegawainya', 'makan', 'gaji', 'buta', 'liat', 'noh', 'smartfren', 'harga', 'kuota', 'miring', 'jaringan', 'lancar', 'bangke', '']</t>
  </si>
  <si>
    <t>['telkomsel', 'harga', 'unlimited', 'udh', 'naikan', 'tpi', 'akses', 'data', 'batasi', 'unlimited', 'batasi', 'kecewa', 'banget', 'beralih', 'lgi', 'dri', 'pengguna', 'telkomsel', 'orng', 'kecewa', 'jdi', 'pengguna', 'telkomsel', 'good', 'telkomsel']</t>
  </si>
  <si>
    <t>['nyesal', 'banget', 'dasar', 'kartu', 'php', 'bisanya', 'udah', 'langganan', 'unlimited', 'sosmed', 'dibatasin', 'cuman', 'gb', 'seharus', 'batas', 'namanya', 'unlimited', 'dibatasin', 'haduhhhhh', 'penipuan', 'dasarrrrrrrr', 'mengecewakan', 'mending', 'pindah', 'smartfren', 'cussssscusssss', 'benci', 'telkomsel', 'udah', 'data', 'paketnya', 'bermutu', 'cepat', 'habis', 'giliran', 'beli', 'unlimited', 'dibatasin', 'gb']</t>
  </si>
  <si>
    <t>['tolong', 'daerah', 'kec', 'klampis', 'kab', 'bangkalan', 'madura', 'sinyalnya', 'lemah', 'gaming', 'buruk', 'memakai', 'simpati', 'telkomsel', 'tolong', 'tanggapi', 'terima', 'kasih']</t>
  </si>
  <si>
    <t>['tolong', 'diperbaiki', 'sinyal', 'unlimitednya', 'udah', 'minggu', 'akses', 'apapun', 'lag', 'parah', 'udah', 'berlangganan', 'telkomsel', 'pindah', 'kartu', 'mohon', 'tindak', 'lanjuti', 'nyuruh', 'chat', 'twitter', 'email', 'lakukan', 'balasan', 'tolong', 'perbaiki', 'secepet', 'pelanggan', 'setia', 'kecewa', 'terima', 'kasih']</t>
  </si>
  <si>
    <t>['jaringan', 'lambatttt', 'tulisan', 'jaringan', 'nasional', 'dibandingkan', 'swasta', 'mohon', 'diperbaiki', 'mengecewakan', 'pelanggan', '']</t>
  </si>
  <si>
    <t>['kecewa', 'telkomsel', 'harga', 'paket', 'mahal', 'sinyalnya', 'kenceng', 'seandainya', 'harga', 'kuota', 'turunin', 'bagus', '']</t>
  </si>
  <si>
    <t>['mohon', 'fitur', 'save', 'pulsa', 'kadang', 'udah', 'paketnya', 'kriterianya', 'akses', 'aplikasi', 'pas', 'buka', 'ketarik', 'pulsanya', 'kehilangan', 'pulsa', 'kadang', 'mohon', 'diperbaiki', 'sistemnya']</t>
  </si>
  <si>
    <t>['selamat', 'siang', 'pengguna', 'telkomsel', 'membeli', 'pket', 'seharga', 'rbuan', 'dapet', 'gb', 'saran', 'telkomsel', 'jaya', 'pengguna', 'kartu', 'pindah', 'telkomsel', 'pembelian', 'paket', 'kouta', 'unlimitednya', 'facebook', 'instagram', 'watshapp', 'penggunaan', 'kouta', 'utama', 'habis', 'mohon', 'pengertiannya', 'orang', '']</t>
  </si>
  <si>
    <t>['sip', 'bonus', 'monetary', 'gunanya', 'update', 'emang', 'mending', 'dikembalikan', 'kesemula', 'diupdate']</t>
  </si>
  <si>
    <t>['beli', 'paket', 'game', 'max', 'app', 'telkomsel', 'minggu', 'beli', 'boros', 'kuota', 'tolong', 'adain', 'bonus', 'membeli', 'paket', 'game', 'max', 'terima', 'kasih']</t>
  </si>
  <si>
    <t>['', 'terhormat', 'telkomsel', 'kemarin', 'dapet', 'sms', 'telkomsel', 'paket', 'darurat', 'gb', 'otomatis', 'aktif', 'pembayaran', 'isi', 'ulang', 'pulsaa', 'hruss', 'begituu', 'minn', 'pdhal', 'dftrin', 'paket', 'data', 'paket', 'darurat', 'ptongan', 'pas', 'sya', 'isi', 'pulsaa', 'sdgkan', 'isi', 'rb', 'dftr', 'paket', 'data', 'ckup', 'sya', 'sebulan', 'paket', 'darurat', 'tlg', 'bkin', 'ribet', 'krna', 'ptgn']</t>
  </si>
  <si>
    <t>['jaringan', 'lambat', 'banget', 'selali', 'nge', 'lag', 'main', 'game', 'aksesaplikasi', 'error', 'ppas', 'belik', 'paket', 'data', 'beli', 'paket', 'link', 'method', 'udah', 'isi', 'saldo', 'kecewa', 'please', 'tsel', 'warga', 'kota', 'prioritaskan', 'rakyat', 'diperhatikan', 'kebutuhan', '']</t>
  </si>
  <si>
    <t>['buka', 'aplikasi', 'link', 'sms', 'ribet', 'banget', 'langsung', 'klik', 'sms', 'linknya', 'copy', 'browser', 'edit', 'tulisan', 'linknya']</t>
  </si>
  <si>
    <t>['jual', 'pulsa', 'telkomsel', 'rb', 'rb', 'susah', 'jualannya', 'pelanggan', 'berkurang', 'udah', 'gitu', 'harga', 'pulsanya', 'mahal', 'minimal', 'rb', 'beli', 'harga', 'rb', 'operator', 'ttp', 'rb', 'kecewa', 'pengguna', 'link', 'bertahun', 'mohon', 'telkomse', 'balikin', 'pulsa', 'rb', 'lumayan', 'penghasilan', 'tambahan', 'pandemi', 'kayak']</t>
  </si>
  <si>
    <t>['jaringan', 'internetnya', 'jelek', 'pagi', 'siang', 'sore', 'malem', 'tetep', 'jelek', 'banget', 'pdhl', 'sekedar', 'chat', 'loading', 'nyuruh', 'hubungi', 'mimin', 'akun', 'udah', 'mencoba', 'menghubungi', 'tetep', 'memuaskan', 'tanggapannya', 'butuhkan', 'jaringan', 'telkomsel', 'kembalikan', 'lgi', 'seprti', 'ocehan', 'gajelas', 'namanya', 'veronika', 'telkomsel', 'lelet', 'jelek', 'bangkrut', '']</t>
  </si>
  <si>
    <t>['kedepannya', 'tolong', 'pemakaian', 'paket', 'internet', 'udah', 'beli', 'beli', 'seru', 'paket', 'udah', 'abis', 'sedot', 'paket', 'beli', 'intinya', 'tolong', 'berdasarkan', 'urutan', '']</t>
  </si>
  <si>
    <t>['isi', 'pulsa', 'rp', 'beli', 'paket', 'internet', 'seharga', 'rp', 'pulsa', 'habis', 'pulsa', 'sisa', 'tolong', 'kembalikan', 'pulsa', 'hilang', '']</t>
  </si>
  <si>
    <t>['buruk', 'pdhl', 'aktif', 'kartu', 'msih', 'kuota', 'sinyal', 'ngeload', 'sosmed', 'dll', 'pdhl', 'udh', 'coba', 'ngereboot', 'mode', 'pesawat', 'coba', 'pindah', 'lokasi', 'dri', 'rumah', 'rumah', 'ttp', 'perubahan', 'dimaklumi', 'kesini', 'sakit', 'hati', 'ktnya', 'sinyal', 'udh', 'sampe', 'plosok', 'pdhl', 'rumah', 'daerah', 'kota', 'sinyal', 'turun', 'udh', 'gitu', 'stabil', 'tolonglah', 'dibenerin', 'tolong', '']</t>
  </si>
  <si>
    <t>['tsel', 'skrang', 'knpa', 'jelek', 'tinggal', 'plosok', 'sinyal', 'baris', 'coneksi', 'internet', 'kuota', 'perbaiki', 'jaringan', 'mentingin', 'daerah', 'perkotaan', 'doang']</t>
  </si>
  <si>
    <t>['mengecewakan', 'pelanggan', 'bertahun', 'pakai', 'nomer', 'simpati', 'zonk', 'tenggang', 'info', 'nomer', 'hangus', 'kobong', 'ganti', 'sebelah', 'amanah', '']</t>
  </si>
  <si>
    <t>['males', 'kartu', 'simpati', 'udah', 'harga', 'paketan', 'mahal', 'jaringan', 'luas', 'jaringan', 'lemot', 'dorprize', 'sia', 'in', 'point', 'mending', 'kartu', 'jaringan', 'ancurrrr', 'mending', 'tutup', 'kerja', 'nipu', 'jaringan', 'luas', 'paketan', 'mahal', 'kartu', 'lemot', 'wajar', 'orang', 'murah', 'paketan', 'udah', 'mahal', 'ancur', 'murah', 'hufffttt']</t>
  </si>
  <si>
    <t>['maaf', 'telkomsel', 'rampok', 'pulsa', 'termakan', 'pulsa', 'reguler', 'sadar', 'kehabisan', 'kuota', 'internet', 'harap', 'sistem', 'perbaiki', 'quota', 'internet', 'habis', 'stop', 'layanan', 'internet', 'memakan', 'pulsa', 'reguler', 'sekian', 'terimakasih']</t>
  </si>
  <si>
    <t>['telkomsel', 'gimana', 'sinyal', 'stabil', 'streaming', 'lag', 'nonton', 'drama', 'lag', 'main', 'games', 'lag', 'tolong', 'diperbaiki', 'kuota', 'telkomsel', 'mahal', 'sesuai', 'harganya', 'layanan', '']</t>
  </si>
  <si>
    <t>['andai', 'bnr', 'hadian', 'motor', 'apl', 'telkomsel', 'rame', 'pengguna', 'nyh', 'karna', 'nyh', 'klw', 'hadiah', 'sungguan', 'telkomsel', '']</t>
  </si>
  <si>
    <t>['nyesel', 'migrasi', 'simpati', 'hallo', 'emg', 'enak', 'beli', 'paket', 'sndri', 'tinggal', 'bayar', 'tagihan', 'isi', 'pulsa', 'top', 'kasih', 'limit', 'pulsa', 'sayang', 'kartu', 'thn', 'buang', 'deh', 'gnti', '']</t>
  </si>
  <si>
    <t>['mahal', 'ganti', 'nomor', 'telkomsel', 'mahal', 'jangkauan', 'luas', 'tetep', 'setia', 'telkomsel', 'moga', 'hadiah', 'telkomsel', 'aamiin']</t>
  </si>
  <si>
    <t>['kartu', 'enam', 'skrg', 'isi', 'pulsa', 'poin', 'skrg', 'poin', 'poin', 'mohon', 'penjelasannya']</t>
  </si>
  <si>
    <t>['beli', 'kuota', 'unlimitid', 'gb', 'seharga', 'ribu', 'dipakai', 'merugikan', 'pelanggan', 'min', 'kecewa', 'telkomsel']</t>
  </si>
  <si>
    <t>['unlimited', 'dibatasi', 'kayak', 'pakai', 'unlimited', 'dibatasi', 'pkai', 'dibatas', 'unlimited', 'dibatasi', 'kayak', 'gini', 'sungguh', 'membantu', 'mahasiswa', 'pelajar', 'belajar', 'telkomsel', 'memperbaiki', 'unlimited', 'terbatasi', 'kasihan', 'org', 'susah', 'nyari', 'uang', 'membeli', 'kouta', 'yng', 'dibatasi', 'unlimitednya', 'semoga', 'seblumnya', 'mempermudah', 'mahasiswa', 'pelajar']</t>
  </si>
  <si>
    <t>['paket', 'internet', 'kebalik', 'app', 'akun', 'unreg', 'via', 'app', 'berfungsi', 'via', 'dial', 'telp', 'menu', 'berhenti', 'berlangganan', 'paket', 'paket', 'internet', 'mingguan', 'kali', 'hilang', 'aktif', 'kuota', 'lelah', 'rugi', '']</t>
  </si>
  <si>
    <t>['jaringanya', 'jelek', 'banget', 'bayar', 'mahal', 'jaringan', 'busuk', 'tolong', 'diperbaiki', 'terkait', 'konsumen', 'kecewa']</t>
  </si>
  <si>
    <t>['jaringan', 'benerin', 'beli', 'paket', 'telkomsel', 'murah', 'cuy', 'tpi', 'jaringan', 'kalah', 'murahan', 'game', 'online', 'lacak', 'email', 'tinggal', 'lacak', 'benerin', 'jaringan', 'pusing', 'banget', 'liat', 'jaringan', 'kaya', 'jaringan', 'gratisan', 'beli', 'geratisan', 'gada', 'tanggap', 'otw', 'beli', 'murahan', 'tpi', 'jaringan', 'gada', 'tanggapan', 'keluarga', 'suruh', 'buang', 'telkomsel', 'rugi', 'menang', 'mahal', 'doang', 'kualitas', 'murahan', 'acc', 'min', 'paketan', 'mahal', '']</t>
  </si>
  <si>
    <t>['telkomsel', 'main', 'game', 'jaringan', 'susah', 'kayak', 'hilang', 'nonton', 'video', 'lancar', 'permasalahan', 'tolong', 'bantantuan', 'solusi', 'trima', 'kasih', '']</t>
  </si>
  <si>
    <t>['performa', 'jaringan', 'lemot', 'paketan', 'mahal', 'kesini', 'jaringan', 'lemot', 'pelanggan', 'setia', 'beralih', 'operator', '']</t>
  </si>
  <si>
    <t>['sinyal', 'dbm', 'teramat', 'buruk', 'provider', 'nasional', 'lho', 'miris', 'tlp', 'perubahan', 'tlp', 'klinya', 'hubungi', 'telkomsel', 'tlp', 'jam', 'org', 'shalat', 'trus', 'ujungnya', 'tlp', 'kbr', 'smpe', 'skrg', 'lucunya', 'catatan', 'layanan', 'pelanggan', 'laporan', 'sinyal', 'sinyal', 'stabil', 'dlm', 'rmh', 'gedung', 'realitanya', 'laporan', 'sinyal', 'hnya', 'stabil', 'sgt', 'buruk', 'bkn', 'hnya', 'dlm', 'rmh', 'gedung', '']</t>
  </si>
  <si>
    <t>['pengguna', 'internet', 'gamers', 'saranin', 'kartu', 'telkomsel', 'jaringan', 'buruk', 'game', 'jaringan', 'kek', 'lampu', 'lintas', 'kuning', 'merah', 'hijau', 'stabil', 'nge', 'drop', 'mending', 'pilih', 'kartu', 'nyesal', '']</t>
  </si>
  <si>
    <t>['nanya', 'telkomsel', 'sibuk', 'ngapain', 'jaringan', 'bagus', 'kouta', 'knp', 'bagus', '']</t>
  </si>
  <si>
    <t>['dear', 'telkomsel', 'sms', 'darivtekomsel', 'pulsa', 'download', 'login', 'aplikasi', 'telkomsel', 'buktinya', 'pulsa', 'menipu', 'kasihan', 'pelanggan', 'tipu', 'suruh', 'download', 'login', 'pulsa', 'bohongan', 'payahhhhhh', '']</t>
  </si>
  <si>
    <t>['nyesel', 'asli', 'jaringanya', 'stabil', 'didaerah', 'bagus', 'stabil', 'provider', 'murah', 'suka', 'kesel', 'karuan', 'dipakai', 'main', 'game', 'recommend', 'daily', 'check', 'imbasnya', 'pulsa', 'abis', '']</t>
  </si>
  <si>
    <t>['sial', 'kartu', 'paket', 'internet', 'telkomsel', 'pakai', 'pelit', 'parah', 'telkomsel', 'hebat', 'sial', 'beli', 'kartu', 'unlimited', 'gb', 'kuato', 'gb', 'kuato', 'hbis', 'unlimted', 'berlaku', 'sial', 'unlimeted', 'lelet', 'you', 'tube', 'terkadang', 'pakai', 'kasih', 'promo', 'bro', 'tolong', 'publik', 'promonya', 'membohongin', 'pelanggan', 'sial', 'telkomsel', 'publik', 'promo', 'batas', 'kecepatan', '']</t>
  </si>
  <si>
    <t>['katanye', 'login', 'telkomsel', 'dpt', 'pulsa', 'rb', 'bohong', 'maaf', 'sya', 'bukanya', 'paket', 'data', 'telkomsel', 'kedepan', 'smakin', 'bagus', 'jaringannya', 'dibuang', 'sayang', 'nomer', 'bnyak', 'relasi', 'tolong', 'telkomsel', 'ditingkatkan', 'jaringanya', 'mantul', 'bravo', 'telkomsel']</t>
  </si>
  <si>
    <t>['kecewa', 'banget', 'telkomsel', 'sinyal', 'jelek', 'banget', 'udah', 'coba', 'email', 'twitter', 'respon']</t>
  </si>
  <si>
    <t>['telkomsel', 'jaringan', 'daerah', 'nggak', 'bagus', 'udah', 'main', 'game', 'nonton', 'video', 'muter', 'keliling', 'jaringan', 'kek', 'taik', 'sulawesi', 'kec', 'tojo', 'jaringan', 'telkomsel', 'stabil', 'kadang', 'kadang', 'telkomsel', 'tolong', 'perbaiki', 'jaringan', 'masak', 'paket', 'mahal', 'jaringan', 'nggak', 'bagus', 'beli', 'paket', 'telkomsel', 'rakyat', 'tojo', 'una', 'jaringan', 'mengecewakan', 'loop', 'simpati']</t>
  </si>
  <si>
    <t>['dpt', 'pulsa', 'masuknya', 'monetary', 'coba', 'iming', 'pulsa', 'andai', 'unduh', 'login', 'pulsa', 'bintang', 'uniinstal', '']</t>
  </si>
  <si>
    <t>['telkomsel', 'mahal', 'menyesal', 'ganti', 'telkomsel', 'gara', 'telat', 'mengisi', 'pulsa', 'blokir', 'ngurus', 'grapari', 'ganti', 'kartu', 'halo', 'nomor', 'paketan', 'tagihan', 'sebulan', 'habis', 'pakek', 'im', 'gb', 'melebihi', 'aktif', 'paketan', 'paketan', 'telkomsel', 'mahal', 'habis', 'ngak', '']</t>
  </si>
  <si>
    <t>['simpati', 'kecewa', 'penipuan', 'telkomsel', 'memainkan', 'menu', 'pelanggan', 'tertipu', 'isi', 'pulsa', 'data', 'quota', 'apapun', 'skrg', 'dpt', 'promo', 'isi', 'pulsa', 'ribu', 'tulisannya', 'cashback', 'ribu', 'berlaku', 'itupun', 'ngisi', 'magrib', 'coba', 'tlp', 'berkurang', 'pulsa', 'utama', 'bonusnya', 'dipake', 'bangke', '']</t>
  </si>
  <si>
    <t>['jaringan', 'telkomsel', 'lemot', 'kali', 'buka', 'aplikasi', 'sosmed', 'main', 'game', 'udah', 'kartunya', 'mahal', 'kek', 'gini', 'kecewa', 'pelanggan', 'perbaikan', 'taunya', 'mahal', 'pelanggan', 'rugi', '']</t>
  </si>
  <si>
    <t>['kecewa', 'telkomsel', 'minggu', 'jaringanya', 'jelek', 'nyaman', 'butuhkan', 'buka', 'internet', 'maen', 'game', 'online', 'sinyal', 'pengaruh', 'buka', 'internet', '']</t>
  </si>
  <si>
    <t>['apk', 'jelek', 'eror', 'mulu', 'tolong', 'diperbaiki', 'udah', '']</t>
  </si>
  <si>
    <t>['', 'saranin', 'sedaerah', 'sma', 'mending', 'beli', 'kuota', 'malam', 'beli', 'kuota', 'bulanan', 'mahal', 'sinyalnya', 'down', 'parah', 'dri', 'jam', 'sampe', 'jam', 'pagi', 'udh', 'terlanjur', 'beli', 'mending', 'jual', 'beli', 'kartu', 'kya', 'tri', 'jam', 'sinyalnya', 'kya', 'kartu', 'tsel', 'udh', 'mahal', 'sinyal', 'jelek', 'bagusnya', 'cmn', 'mlm', 'doang']</t>
  </si>
  <si>
    <t>['hoe', 'gue', 'beli', 'pulsa', 'beli', 'paktan', 'pakek', 'duit', 'gue', 'pelanggan', 'telkomsel', 'udah', 'ber', 'sinyal', 'kasih', 'pelanggan', 'mkin', 'ngaco', 'sinyal', 'mentok', 'kecuali', 'buka', 'syroi', 'buka', 'foroto', 'fban', 'main', 'game', 'dpat', 'dri', 'telkomsel', '']</t>
  </si>
  <si>
    <t>['jaringan', 'telkomsel', 'ngak', 'kuota', 'sinyalnya', 'ngak', 'kuat', 'ngirim', 'chat', 'ngak', 'kuat', 'tolong', 'perbaiki']</t>
  </si>
  <si>
    <t>['aplikasi', 'membantu', 'koq', 'buka', 'aplikasi', 'mytelkomsel', 'mesti', 'telusuri', 'web', 'dikirim', 'pesan', 'trus', 'lemot', 'koneksi', 'stabil', 'periksa', 'jaringan', 'ato', 'apalah', 'bingung', 'buka', 'aplikasi', 'gede', 'pubg', 'mobile', 'lancar', 'lancar', 'dmn', 'celah', 'kesalahan', 'gondok', 'kadang', 'kadang', 'kasih', 'solusi', 'donk', 'makasih', '']</t>
  </si>
  <si>
    <t>['beli', 'paket', 'combo', 'sakti', 'unlimited', 'kuota', 'internet', 'abis', 'aktif', 'kuota', 'medsos', 'dll', 'lemooooootnya', 'nangudubila', 'sabar', 'dikampung', 'bingung', 'kagak', 'cek', 'yutub', 'beli', 'kuota', 'yutub', 'ketengan', 'lemooot', 'buka', 'yutub', 'kayaknya', 'kuota', 'aktif', 'kuota', 'medsos', 'ahirnya', 'beli', 'kuota', 'internet', 'buka', 'yutub', 'kawan', 'nomor', 'telkomsel', 'pakai', 'produk', 'besok', 'pakai', 'kartu', 'beli', 'modem']</t>
  </si>
  <si>
    <t>['kesini', 'aplikasinya', 'ribet', 'masuknya', 'bener', 'bermasalah', 'make', 'telkomsel', 'buka', 'apk', 'pengaturan', 'penggunaan', 'kuotanya', 'aneh', 'paket', 'dipakai', 'duluan', 'paket', 'tinggal', 'sia', 'paket', 'menghubungi', 'nggak', 'membantu', 'ngabisin', 'karrna', 'antri', '']</t>
  </si>
  <si>
    <t>['knapa', 'sinyalnya', 'jelek', 'semenjak', 'kartu', 'telkomsel', 'unlimited', 'sinyal', 'jelek', 'harga', 'doang', 'mahal', 'sinyalnya', 'jelek', 'mohon', 'diperbaiki']</t>
  </si>
  <si>
    <t>['halo', 'admin', 'jujur', 'kecewa', 'update', 'aplikasi', 'error', 'parah', 'paket', 'kuota', 'internet', 'hilang', 'cuman', 'paket', 'conference', 'harga', 'rb', 'knp', 'errornay', 'dpt', 'promo', 'combo', 'sakti', 'dll', 'pas', 'dklik', 'promo', 'trsedia', 'gimana', 'ngisi', 'kuota', 'gini', 'org', 'pindah', 'provider', 'kartunya', 'ngisi', 'paket', 'internet', 'twitter', 'oktober', 'thn', 'kemarin', 'ngga', 'dbls', 'veronika', 'tulisannya', 'error', 'solusinya']</t>
  </si>
  <si>
    <t>['tinggal', 'daerah', 'kota', 'harga', 'kuota', 'mahal', 'dibanding', 'provider', 'kualitas', 'provider', 'kadang', 'dibawah', 'harga', 'mahal', 'kualitas', 'tolong', 'diimbangi', '']</t>
  </si>
  <si>
    <t>['telkomsel', 'terhormat', 'mohon', 'maaf', 'kualitas', 'jaringan', 'telkomsel', 'turun', 'kenyamanan', 'pengguna', 'terganggu', 'aplikasi', 'telkomsel', 'sya', 'lumayan', 'bagus', 'menyediakan', 'paket', 'data', 'harga', 'terjangkau', 'terima', 'kasih', 'telkomsel', 'adakan', 'promo', 'unlimited', 'data', 'rupiah', 'sekian', 'terima', 'gaji']</t>
  </si>
  <si>
    <t>['hati', 'paket', 'data', 'paket', 'pancingan', 'merampok', 'pulsa', 'pelanggan', 'sinyal', 'otomatis', 'connect', 'sinyal', 'otomatis', 'langsung', 'memotong', 'pulsa', 'pemakaian', 'data', 'pulsa', 'rb', 'beli', 'paket', 'gb', 'rb', 'sisa', 'rb', 'data', 'gb', 'pulsa', 'sisa', 'rb', 'raja', 'tega', 'bener', 'rb', 'perak', 'diembat']</t>
  </si>
  <si>
    <t>['kesini', 'jaringan', 'telkomsel', 'parah', 'internetan', 'kuota', 'gb', 'terima', 'whatsaapp', 'masuk', 'posisi', 'pedalaman', 'kampung', 'daerah', 'gedung', 'daerah', 'jakarta', 'posisi', 'gedung', 'menghalangi', 'signal', 'pindah', 'provider', 'pesan', 'whatsaapp', 'langsung', 'masuk', 'tolong', 'perbaiki', 'telkosel', 'pindah', 'provider', 'trims']</t>
  </si>
  <si>
    <t>['pakek', 'internetnya', 'telkomsel', 'aplikasi', 'app', 'telkomsel', 'susah', 'loadingnya', 'aneh', 'bin', 'ajaib', 'setahun', 'lelet', 'apps', 'telkomsel', 'memuat', 'ulang', 'why', '']</t>
  </si>
  <si>
    <t>['cobalah', 'operator', 'telkomsel', 'pemerataan', 'jaringan', 'berfokus', 'wilayah', 'kota', 'pengembangan', 'pemerataan', 'jaringan', 'telkomsel', 'wilayah', 'pedesaan', 'terkhusus', 'wilayah', 'tapung', 'hilir', 'jaringan', 'hilang', 'hilang', 'timbul', 'hilangnya', '']</t>
  </si>
  <si>
    <t>['koneksi', 'stabil', 'kesalahan', 'sistem', 'bobrok', 'produk', 'telkomsel', 'berkali', 'kali', 'keluh', 'tapj', 'berhasil', 'perubahan', 'nyesal', 'aplikasi', 'telkomsel', 'klu', 'perubahan', '']</t>
  </si>
  <si>
    <t>['buruk', 'jaringan', 'parah', 'disuruh', 'komplain', 'bot', 'nanya', 'kemana', 'kemana', 'nyambung', 'kecewa', 'recommended', 'gamers', 'internet', 'mending', 'indihome', 'wifi', 'gamers', 'perubahan', 'alasan', 'gangguan']</t>
  </si>
  <si>
    <t>['migrasi', 'ribet', 'upload', 'foto', 'ktp', 'mulu', 'klik', 'muncul', 'muncul', 'udah', 'jaringan', 'telkomsel', 'bagus', 'jaringan', 'akses', 'konsumen', 'visibilitas']</t>
  </si>
  <si>
    <t>['telkomsel', 'tolong', 'kuota', 'unlimited', 'youtube', 'pas', 'menonton', 'youtube', 'kuota', 'utama', 'kesedot', 'tolong', 'dibenerin', 'telkomsel', 'rugi', 'membeli', 'kuota', 'unlimited', 'youtube']</t>
  </si>
  <si>
    <t>['aplikasi', 'kadang', 'berjalan', 'koneksi', 'buruk', 'bagus', 'klaim', 'telkomsel', 'terbaik', 'ditempat', 'keisini', 'jelek', 'sinyal', 'suka', 'hilang', 'pindah', 'hadeeehhhh', 'kualitas', 'menurun', 'drastis', 'kalah', 'smartfren', 'maaf', 'emang', 'gitu', 'kenyataannya']</t>
  </si>
  <si>
    <t>['pakai', 'kartu', 'tri', 'emang', 'kenceng', 'sinyal', 'kampung', 'telkomsel', 'lumayan', 'kenceng', 'kadang', 'ngeselin', 'main', 'game', 'musuh', 'ngelek', 'papa', 'sik', 'jarang', 'jarang']</t>
  </si>
  <si>
    <t>['jaringan', 'internet', 'telkomsel', 'gangguan', 'terkadang', 'beda', 'beda', 'loading', 'mulu', 'lancar', 'banget', 'kartu', 'telkomsel', 'loading', 'mulu', 'nontonin', 'video', 'youtub', 'kualitas', 'kuat', 'ngelod', 'android', 'realme', 'pro', 'android', 'tolong', 'kelancaran', 'internet', '']</t>
  </si>
  <si>
    <t>['aplikasi', 'download', 'coba', 'ambil', 'paket', 'mahal', 'download', 'ambil', 'paket', 'murah', 'pas', 'download', 'aplikasi', 'mahal', 'langsung', 'hapus', 'aplikasi', 'download', 'mahal', 'gara', 'ambil', 'paket', 'aplikasi', 'kecewa', '']</t>
  </si>
  <si>
    <t>['pembatasan', 'kouta', 'unlimited', 'berlaku', 'ato', 'pembatas', 'kecepatan', 'sampe', 'sisa', 'paket', 'internet', 'mati', 'bru', 'habis', '']</t>
  </si>
  <si>
    <t>['login', 'telkom', 'susah', 'jaringan', 'suka', 'lemot', 'telkom', 'percaya', 'pengguna', 'telkom', 'fans', 'telkom', 'kualitas', 'pelayanan', 'berkurang', 'tolong', 'tingkatkan', 'salam', 'telkom', 'sukses', 'jaya']</t>
  </si>
  <si>
    <t>['mgkn', 'ajj', 'tpi', 'abis', 'isi', 'pulsa', 'pulsanya', 'cmn', 'bertahan', 'seminggu', 'abis', 'tersedot', 'gimana', 'mengecewakan']</t>
  </si>
  <si>
    <t>['smakin', 'beli', 'paket', 'rb', 'rb', 'berasa', 'mnggu', 'nyampe', 'hbis', 'emng', 'brapa', 'sedot', 'gede', 'kebeli', 'bumn', 'tpi', 'mahal', 'bonus', 'kmi', 'lupa', 'tlg', 'penyedia', 'bonus', 'otomatiskan', 'kasih', 'kuota', 'kepedulian', 'anak', 'negri', 'sanggup', 'beli', 'ketengan', '']</t>
  </si>
  <si>
    <t>['pulsa', 'ribu', 'ilang', 'udah', 'beli', 'paket', 'bulanan', 'gimana', 'pas', 'beli', 'pulsa', 'beli', 'pas', 'cek', 'pulsanya', 'habis', 'parah', 'rugi', 'telkomsel', 'sekaranma']</t>
  </si>
  <si>
    <t>['gua', 'bisanya', 'beli', 'kuota', 'internet', 'max', 'telkomsel', 'tolong', 'perbaiki', 'melaporkan', 'berwajib', 'perbaiki']</t>
  </si>
  <si>
    <t>['nanya', 'nihh', 'yaa', 'klaim', 'paket', 'internet', 'pulsa', 'sedot', 'rp', 'kuota', 'masukk', 'pesan', 'tulisan', 'kayak', 'gini', 'mohon', 'maaf', 'sistem', 'sibuk', 'coba', 'poin', 'dikembalikan', 'terima', 'kasih', 'tolongtelkomsel']</t>
  </si>
  <si>
    <t>['nyesel', 'gua', 'berlangganan', 'unlimited', 'telkomsel', 'kuota', 'utama', 'habis', 'unlimited', 'harian', 'pkek', 'nonton', 'snap', 'facebook', 'mending', 'gua', 'pkek', 'developer', 'deh', 'gapapa', 'mahal', 'sinyal', 'lancar', 'kaya', 'telkomsel', 'udah', 'sinyal', 'jelek', 'pelit', 'sekian', 'terimakasih', '']</t>
  </si>
  <si>
    <t>['tolong', 'kembalikan', 'unlimited', 'yng', 'pemakaian', 'batasi', 'kecepatan', 'kurangi', 'pelanggan', 'kecewa', 'telkomsel', 'kali', 'namanya', 'unlimuted', 'batasi', 'pemakaian', 'tenggang', 'mengecewakan']</t>
  </si>
  <si>
    <t>['susah', 'diakses', 'jaringan', 'stabil', 'klik', 'merefresh', 'jaringannya', 'akses', 'aplikasi', 'lancar', 'lancar', 'aplikasi', 'telkomsel', 'uninstal', 'instal', 'hitungan', 'menit', 'selesai', 'instal', 'tolong', 'min', 'diperbaiki']</t>
  </si>
  <si>
    <t>['udh', 'beli', 'mahal', 'mahal', 'unlimitednya', 'fup', 'kaya', 'gini', 'tolong', 'ngasih', 'unlimited', 'bener', 'unlimited', 'melebihi', 'fup', 'lemotnya', 'ampun']</t>
  </si>
  <si>
    <t>['maaf', 'kak', 'kecewa', 'kartu', 'jaringan', 'telkomsel', 'mahal', 'sinyal', 'kentang', 'rugi', 'maaf', 'kak', 'tolong', 'perbaiki', 'sinyal', '']</t>
  </si>
  <si>
    <t>['jaringan', 'hancur', 'lebur', 'ditempat', 'dkat', 'kota', 'jaringan', 'lemot', 'kek', 'siput', 'msh', 'kalah', 'sma', 'udh', 'paket', 'mahal', 'stop', 'paket', 'internet', 'telkomsel']</t>
  </si>
  <si>
    <t>['apk', 'telkomsel', 'suka', 'error', 'penawaran', 'paket', 'ceria', 'beli', 'udah', 'kaya', 'membeli', 'barang', 'isi', 'tolong', 'bantuan', '']</t>
  </si>
  <si>
    <t>['coba', 'deh', 'kartu', 'halo', 'penutupan', 'biaya', 'siluman', 'usul', 'biaya', 'tagihan', 'tanggal', 'segini', 'mah', 'iya', 'iya', 'ngilangin', 'penasaran', '']</t>
  </si>
  <si>
    <t>['kecewa', 'bangettt', 'kuota', 'unlimited', 'fup', 'sesuai', 'namanya', 'unlimited', 'limited', 'ganti', 'kartu', 'gitu', 'udah', 'lumayan', 'kecewaaaaaaa', '']</t>
  </si>
  <si>
    <t>['lemot', 'banget', 'udah', 'beli', 'mahal', 'mahal', 'lemot', 'bangeeett', 'buka', 'sosmed', 'muter', 'muter', 'muluu', 'kemarin', 'belinya', 'ngga', 'kayak', 'gini', 'solusinya', 'dongg', 'udah', 'nyaman', 'banget', 'telkomsel', 'mengecewakan', 'gini', '']</t>
  </si>
  <si>
    <t>['sory', 'kasih', 'bintang', 'karna', 'jaringan', 'lag', 'trus', 'parah', 'beli', 'paketan', 'mahal', 'jaringan', 'parah', 'abis', 'pikir', 'telkomsel', 'udah', 'nyaman']</t>
  </si>
  <si>
    <t>['beli', 'paket', 'maxstream', 'pemakaian', 'app', 'iflik', 'udah', 'terdaftar', 'langganan', 'terpotong', 'kuota', 'maxstream', 'kuota', 'utama', 'terpotong', 'gmn', 'penjelasan', 'mkin', 'mkin', 'nipu']</t>
  </si>
  <si>
    <t>['keamanan', 'data', 'pribadi', 'oke', 'minus', 'pinalti', 'merugikan', 'masyarakat', 'pulsa', 'utama', 'selelu', 'prioritas', 'penggunaan', 'data', 'internet', 'membantu', 'masyarakat', 'nkri', 'internet', 'data', 'khususs', 'internet', 'mengambil', 'nominal', 'pulsa', 'utama', 'salam', 'merdeka', 'pembangunan', 'nkri']</t>
  </si>
  <si>
    <t>['aplikasinya', 'erroorrr', 'kaatanya', 'koneksi', 'internet', 'kecepatan', 'koneksi', 'data', 'bagus', 'semoga', 'aplikasinya', 'diperbaiki', 'mantap', '']</t>
  </si>
  <si>
    <t>['lelet', 'dibuka', 'butuh', 'menunggu', 'masuk', 'menu', 'beda', 'aplikasi', 'operator', 'aksesnya', 'mudah', 'cepat', 'mahal', 'kualitas', 'aplikasi', 'dibawah', '']</t>
  </si>
  <si>
    <t>['komplain', 'terkait', 'penggunaan', 'paket', 'data', 'mhs', 'bantuan', 'kuota', 'pemerintah', 'memakan', 'pulsa', 'isi', 'isi', 'pulsa', 'pulsa', 'sbg', 'tarif', 'internet', 'kejadian', 'isi', 'pulsa', 'diambil', 'paket', 'internetnya', 'tolong', 'penjelasannya', 'jujur', 'kecewa', 'nomor', 'telkomsel', 'keseharian', 'isi', 'pulsa', '']</t>
  </si>
  <si>
    <t>['paket', 'combo', 'sakti', 'ribu', 'kurangin', 'kecepatan', 'kbs', 'kbs', 'main', 'game', 'leg', 'leg', 'loding', 'kbs', 'supya', 'leg', 'leg', 'main', 'game', 'liat', 'stori', 'telkomsel', 'takut', 'rugi', 'gitu']</t>
  </si>
  <si>
    <t>['apk', 'gajelas', 'login', 'ngambil', 'paketan', 'sinyal', 'telkomsel', 'paketan', 'mah', 'gapapa', 'gimana', 'ngisi', 'pulsa', 'langsung', 'abis', 'login', 'apk', 'ngentod', 'paketannya', 'diambil', 'apk']</t>
  </si>
  <si>
    <t>['mohon', 'aplikasi', 'diperbaiki', 'error', 'dibuka', 'aplikasi', 'mytelkomsel', 'mempermudah', 'pengguna', '']</t>
  </si>
  <si>
    <t>['develover', 'mohon', 'info', 'jaringan', 'telkomsel', 'lemot', 'kayak', 'siput', 'jlannya', 'ajh', 'tolong', 'pantau', 'tower', 'udah', 'sarangin', 'rayap', 'towernya']</t>
  </si>
  <si>
    <t>['daerah', 'kertosari', 'ulujami', 'pemalang', 'jawa', 'jaringan', 'telkomsel', 'buruk', 'kuota', 'gb', 'sinyal', 'full', 'internetan', 'tolong', 'perbaiki', 'harga', 'mahal', 'bagus', 'lemoooooot', '']</t>
  </si>
  <si>
    <t>['aplikasinya', 'lambat', 'banget', 'pas', 'buka', 'kayak', 'jaringannya', 'pertengahan', 'puasa', 'jaringan', 'telkomsel', 'jarang', 'tembus', 'kecepatan', 'kb', 'tembus', 'sampe', 'mb', 'daerah', 'pedesaan', '']</t>
  </si>
  <si>
    <t>['sya', 'pelanggan', 'telkomsel', 'lumayan', 'kesini', 'harga', 'paket', 'kuota', 'mahal', 'sinyal', 'nyapun', 'jelek', 'parah', 'nambah', 'mahal', 'nambah', 'jelek', 'pelayanannya', '']</t>
  </si>
  <si>
    <t>['lemot', 'ampun', 'pindah', 'langsung', 'operator', 'sebelah', 'lancar', 'jaya', 'gue', 'udh', 'langganan', 'telkomsel', 'internet', 'telpon', 'internet', 'operator', 'udah', 'telkomsel', 'nge', 'game', 'lemot', 'kah', 'pengalaman', '']</t>
  </si>
  <si>
    <t>['telkomsel', 'error', 'gimana', 'coba', 'isi', 'paket', 'gagal', 'dial', '']</t>
  </si>
  <si>
    <t>['kuota', 'mahal', 'sinyal', 'jelek', 'kuota', 'kecewa', 'banget', 'telkomsel', 'mending', 'disebelah', 'kuota', 'murah', 'sinyal', 'lancar', '']</t>
  </si>
  <si>
    <t>['pulsa', 'slalu', 'kepotong', 'kadang', 'isi', 'pulsa', 'beli', 'paket', 'menit', 'berkurang', 'beli', 'paketnya', 'pulsa', 'sisa', 'ribu', 'skrang', 'tinggal', '']</t>
  </si>
  <si>
    <t>['pengguna', 'kartu', 'telkomsel', 'udah', 'emang', 'bener', 'sinyal', 'bagus', 'paketannya', 'lumayan', 'mahal', 'seimbang', 'pemakaian', 'kesini', 'pas', 'masuk', 'ramadhan', 'kemarin', 'sinyal', 'jelek', 'knapa', 'emang', 'gangguan', 'gimana', 'tolong', 'telkomsel', 'perbaiki', 'kangen', 'sinyal', 'bagus', 'telkomsel', '']</t>
  </si>
  <si>
    <t>['telkomsel', 'non', 'sinyal', 'sampe', 'telkomsel', 'sinyal', 'internet', 'terburuk', 'indonesia', 'kampung', 'sya', 'brebes', 'kec', 'losari', 'ancur', 'padang', 'kerja', 'sinyal', 'telkomsel', 'buruk', 'kalah', 'sma', 'xsis', 'smarfren', 'terimkasih', 'klu', 'terbaik', 'perbaiki', 'cari', 'untung', 'doank', 'target', 'indihomkah', '']</t>
  </si>
  <si>
    <t>['kualitas', 'sinyal', 'ancur', 'ancuran', 'youtube', 'lambat', 'maen', 'game', 'online', 'lambat', 'harga', 'mahal', 'diimbangi', 'kualitas', 'jaringan', 'internet', 'telkomsel', 'bangkrut', 'gimana', 'masak', 'sinyal', 'kayak', 'edge', '']</t>
  </si>
  <si>
    <t>['suka', 'jaringan', 'telkomsel', 'paketannya', 'mahal', 'operator', 'harga', 'karna', 'peforma', 'jaringannya', 'memadahi', 'kebutuhan', 'pecinta', 'gaming', 'jaringan', 'telkomsel', 'mengalami', 'gangguan', 'suka', 'nge', 'lag', 'nge', 'frame', 'hilang', 'server', 'game', 'mainkan', 'kecewa', 'pelayanan', 'jaringannya', 'memburuk', 'lokasi', 'jepara', 'jawa', '']</t>
  </si>
  <si>
    <t>['signal', 'telkomsel', 'jelek', 'harga', 'paket', 'mahal', 'ngebut', 'bnget', 'abisnya', 'padahl', 'kuota', 'lum', 'terpakai', 'hitungan', 'terpakai', 'sekian', 'aneh', 'kaann', '']</t>
  </si>
  <si>
    <t>['kecewa', 'telkomsel', 'kirain', 'sinyal', 'perbaiki', 'tetep', 'ajj', 'udah', 'sinyalnya', 'buruk', 'buruk', 'laen', 'apapa', 'telkomsel', 'terkait', 'dya', 'data', 'off', 'terkadang', 'orang', 'pintar', 'omongannya', 'kecewa', 'tutup', 'telkomselnya', 'jgan', 'kaya', 'gitu', 'kasian', 'pelanggan', 'setia', '']</t>
  </si>
  <si>
    <t>['jaringan', 'telkomsel', 'didaerah', 'payah', 'jelek', 'tower', 'sinya', 'telkomsel', 'buka', 'kejebak', 'salah', 'klik', 'mengaktifkan', 'pulsa', 'darurat', 'dibayar', 'mengisi', 'pulsa', 'data', 'kaya', 'boros', 'telkomsel', '']</t>
  </si>
  <si>
    <t>['kemarin', 'paket', 'sosmed', 'unlimited', 'sosmed', 'unlimited', 'judul', 'kaya', 'kmrn', '']</t>
  </si>
  <si>
    <t>['mohon', 'maaf', 'telkomsel', 'jaringan', 'daerah', 'buruk', 'terbaik', 'hilang', 'sampe', 'turun', 'jaringan', 'jaringan', 'lemot', '']</t>
  </si>
  <si>
    <t>['apapun', 'provider', 'sebelah', 'asyik', 'aplikasinya', 'mytelkomtod', 'logout', 'mulu', 'gila', 'koneksi', 'bagus', 'aplikasinya', 'gangguan', 'udah', 'paketnya', 'mahal', 'aplikasinya', 'receh', 'heran', 'indo']</t>
  </si>
  <si>
    <t>['telkomsel', 'perusahaan', 'konsumen', 'teliti', 'pembelian', 'paket', 'berkembang', 'konsumen', 'kemajuan', 'bisnis', 'kritis', 'cek', 'paket', 'ditawarkan', 'tertarik', 'promo', '']</t>
  </si>
  <si>
    <t>['aneh', 'combo', 'sakti', 'unlimited', 'gb', 'unlimited', 'quota', 'pisah', 'akses', 'youtube', 'sedot', 'quota', 'internet', 'jaringan', 'melambat', '']</t>
  </si>
  <si>
    <t>['tah', 'minggu', 'aplikasi', 'telkomsel', 'susah', 'buka', 'error', 'kesel', 'banget', 'cek', 'kuota', 'manual', 'klik', 'susah', 'kali', 'beli', 'paket', 'buka', 'aplikasi', 'telkomsel']</t>
  </si>
  <si>
    <t>['mohon', 'maaf', 'apknya', 'beli', 'paketan', 'loading', 'banget', 'kali', 'beli', 'koneksi', 'internet', 'pakai', 'buka', 'apk', 'lancar', 'mengecek', 'sisa', 'kuota', 'mohon', 'saran', 'terimakasih']</t>
  </si>
  <si>
    <t>['telkomsel', 'pengisian', 'pulsa', 'top', 'game', 'pas', 'bayar', 'pulsa', 'langsung', 'habis', 'top', 'ngutang', 'pulsa', 'oprator', 'kejadian', 'kali', '']</t>
  </si>
  <si>
    <t>['puas', 'trouble', 'signal', 'tolong', 'tingkat', 'kinerja', 'mahal', 'harga', 'paket', 'kinerja', 'bagus', 'trm', 'ksh']</t>
  </si>
  <si>
    <t>['kartu', 'bngsaatt', 'lemot', 'amatt', 'baaabiii', 'jijikk', 'kli', 'pkai', 'telkomsel', 'udah', 'perbaiki', 'bngsat', 'bkan', 'tmbah', 'bagus', 'mala', 'tmbah', 'emosi', 'pkainya', 'bngsatttt', '']</t>
  </si>
  <si>
    <t>['harga', 'paketan', 'mahal', 'jaringan', 'kayak', 'taik', 'seru', 'main', 'game', 'jaringan', 'hilang', 'bolak', 'tower', 'telkomsel', 'cuman', 'kilo', 'rumahku', '']</t>
  </si>
  <si>
    <t>['jaringan', 'sestabil', 'pengguna', 'setia', 'dirugikan', 'kasih', 'bintang', 'harap', 'perbaiki', 'koneksi', 'internetnya', 'telkomsel']</t>
  </si>
  <si>
    <t>['kecewa', 'telkomsel', 'akses', 'internet', 'pulsa', 'disedot', 'kuota', 'kemendikbut', 'mengalami', 'kebocoran', 'pulsa', 'menghubungi', 'terkait', 'penjelasan', 'memuaskan']</t>
  </si>
  <si>
    <t>['keluhan', 'telkomsel', 'bersangkutan', 'aplikasi', 'telkomsel', 'paket', 'internet', 'lokal', 'ketimbang', 'paket', 'internet', 'paket', 'internet', 'lokal', 'didaerah', 'membeli', 'paket', 'dipakai', 'diluar', 'jangkauan', 'internet', 'lokal', 'mohon', 'pembenahannya', 'tunggu', 'jawabannya', 'aplikasi', 'telkomsel', 'didalam', 'aplikasi', 'kritik', 'saran', 'terima', 'kasih', '']</t>
  </si>
  <si>
    <t>['', 'telkomsel', 'error', 'gini', 'error', 'apknya', 'sayang', 'beban', 'andorid', 'mending', 'sms', 'ajakan', 'lumayan', 'emosi', 'beliin', 'paket', 'kaga', 'terespon', 'gara', 'error', 'masuk', 'lelet', 'banget', 'haringan', 'plesss', 'apk', 'bagus', 'harungan', 'mending', 'sarankan', 'perbaiki', 'telkomselnya']</t>
  </si>
  <si>
    <t>['pelanggan', 'setia', 'telkomsel', 'kecewa', 'membeli', 'kartu', 'unlinmited', 'lemot', 'unlinmited', 'cek', 'kuota', 'tertera', 'unlinmited', 'medsos', 'games', 'buka', 'medsos', 'tetep', 'lemot', 'kuota', 'berharap', 'telkomsel', 'mengembalikan', 'mencoba', 'mengunakan', 'telkomsel', 'unlinmited', 'sarankan', 'pindah', 'kartu', 'provider', 'okay', 'menyesal', '']</t>
  </si>
  <si>
    <t>['telkomsel', 'membantu', 'pelanggan', 'hilang', 'otomatis', 'hilang', 'dtg', 'grapari', 'terdekat', 'no', 'dihub', 'kasih', 'sistem', 'cuman', 'pakai', 'pakai', 'pakai', 'data', 'akurat', 'bersifat', 'bantu', 'kerja', 'ilang', 'ribet', 'bolak', 'bank', 'ngurusin', 'phone', 'grapari', 'menyelesaikan', 'good']</t>
  </si>
  <si>
    <t>['tolong', 'benerin', 'sinyalnya', 'main', 'game', 'youtube', 'facebook', 'instagram', 'muter', 'kuota', 'udh', 'mahal', 'sinya', 'jelek', 'tolong', 'perbaiki', 'secepatnya', '']</t>
  </si>
  <si>
    <t>['layanan', 'magic', 'call', 'kurangi', 'biaya', 'mahal', 'banget', 'pilihan', 'paket', 'layanan', 'magic', 'call', 'jam', 'rupiah', 'menit', 'perak', 'kemahalan', 'kartu', 'nyaman', 'pengguna', 'membebani', 'terimakasih']</t>
  </si>
  <si>
    <t>['gabisa', 'lock', 'pulsa', 'provider', 'sebelah', 'paket', 'data', 'udh', 'habis', 'pulsanya', 'aman', 'tpi', 'engga', 'kena', 'langsung', 'pulsa', 'niatnya', 'nabung', 'pulsa', 'urgent', 'butuh', 'mendadak', 'aman', 'cepat', 'bingung', 'beli', 'kemana', 'beli', 'dimana', 'beli', 'sisa', 'kebuang', 'sia', 'tlng', 'fitur', 'ditingkatkan', '']</t>
  </si>
  <si>
    <t>['mytelkomsel', 'payah', 'check', 'hadiah', 'kuota', 'hadiah', 'voucher', 'klaim', 'hadiah', 'kuota', 'terklaim', 'otomatis', 'iming', 'iming', 'doang', '']</t>
  </si>
  <si>
    <t>['silaturahmi', 'online', 'jaringan', 'drop', 'langsung', 'turun', 'kadang', 'koneksi', 'jelek', 'banget', 'silaturahmi', 'online', 'gimana', 'coba', '']</t>
  </si>
  <si>
    <t>['kartu', 'telkomsel', 'enak', 'banget', 'sinyal', 'kuat', 'banget', 'sinyal', 'giliran', 'udah', 'sinyal', 'buruk', 'banget', 'susah', 'kalok', 'main', 'game', 'bawa', 'emosi', 'muluk', 'udah', 'paketan', 'mahal', 'performa', 'turunin', '']</t>
  </si>
  <si>
    <t>['info', 'aplikasi', 'linkaja', 'redeem', 'telkomselpoin', 'saldo', 'linkaja', 'poin', 'buka', 'cari', 'promonya', 'aplikasi', 'mytelkomsel', 'ketemu', 'pdhal', 'promo', 'mei', 'tanggal', 'mei', '']</t>
  </si>
  <si>
    <t>['beli', 'paket', 'game', 'gb', 'pas', 'main', 'pubg', 'server', 'merespon', 'trus', 'ajing', 'emang', 'pas', 'kouta', 'internet', 'habis', 'main', 'pubg', 'lancar', 'giliran', 'kouta', 'internet', 'habis', 'tinggal', 'kuota', 'geme', 'main', 'pubg', 'server', 'merespon', 'main', 'mobile', 'legends', 'main', 'giliran', 'main', 'pubg', 'tolong', 'perbaiki', '']</t>
  </si>
  <si>
    <t>['tarif', 'kuota', 'turun', 'pulsa', 'utama', 'kesedot', 'paket', 'internet', 'diaktifkan', 'semoga', 'depannya', '']</t>
  </si>
  <si>
    <t>['auto', 'ganti', 'kartu', 'pertengahan', 'puasa', 'internet', 'lemot', 'banget', 'buka', 'apk', 'aksesnya', 'lamaaa', 'banget', 'loading', 'buka', 'lemot', 'buka', 'pelanggan', 'kabur', 'persatu', 'mending', 'kartu', 'kecewa']</t>
  </si>
  <si>
    <t>['daya', 'belajar', 'ponsel', 'androuid', 'belajar', 'memakainya', 'kesalahan', 'mohon', 'bantuan', 'pintar', 'mengunakan', 'ponsel', 'androuid', 'oke']</t>
  </si>
  <si>
    <t>['buruk', 'sekalii', 'karenaa', 'paket', 'data', 'habis', 'alhasil', 'membeli', 'kouta', 'dataa', 'internet', 'kenapaa', 'pulsa', 'kepake', 'ribu', 'amblas', 'pulsa', 'tolong', 'diperbaiki', 'sistem', 'transisi', 'kouta', 'langsung', 'kouta', 'kek', 'provider', 'kek', 'langsung', 'otomatis', 'kecewa', 'poll']</t>
  </si>
  <si>
    <t>['assalamuallaikum', 'ngomong', 'jujur', 'yaa', 'kuota', 'telkomsel', 'udh', 'mahal', 'sinyal', 'lag', 'daerah', 'auto', 'ganti', 'kartu', 'terima', 'kasih', '']</t>
  </si>
  <si>
    <t>['pelanggan', 'setia', 'telkomsel', 'kecewa', 'kesini', 'jaringan', 'jaringan', 'hilang', 'tindakan', 'cari', 'provider']</t>
  </si>
  <si>
    <t>['sinyal', 'telkomsel', 'buka', 'pending', 'off', 'data', 'pesan', 'kirim', 'telkomsel', 'mahal', 'doang', 'sinyal', 'jaringannya', 'murahan']</t>
  </si>
  <si>
    <t>['perkuat', 'signal', 'daerah', 'percut', 'sei', 'tuan', 'tembung', 'pasar', 'deli', 'serdang', 'sumut', 'pas', 'belanja', 'mini', 'market', 'pembayaran', 'pakai', 'gopay', 'aplikasi', 'berjalan', 'dikaernakan', 'signal', 'lemah', 'antri', 'membayar', 'belanjaan', 'disitu', 'dipermalukan', '']</t>
  </si>
  <si>
    <t>['telkomsel', 'mudah', 'bertransaksi', 'pembelian', 'paket', 'promo', 'paket', 'telkomsel', '']</t>
  </si>
  <si>
    <t>['khusus', 'nge', 'game', 'recomended', 'bnget', 'provider', 'wifiny', 'emosi', 'kuota', 'mahal', '']</t>
  </si>
  <si>
    <t>['masuk', 'aplikasi', 'reload', 'kali', 'jaringan', 'sinyal', 'bagus', 'kesal', 'nunggu', 'kali', 'kemaren', 'kayak', 'gini', 'membuka', 'menu', 'belanja', 'pembuatan', 'paket', 'tolong', 'yaa', '']</t>
  </si>
  <si>
    <t>['paket', 'multimedia', 'free', 'firee', 'pubg', 'login', 'data', 'tolong', 'benerin', 'paket', 'multimedia', 'free', 'fire', 'pubg', 'tolong', 'cepat', 'balas']</t>
  </si>
  <si>
    <t>['aplikasi', 'bermanfaat', 'jaringan', 'pelayanan', 'terburuk', 'harga', 'kouta', 'mahal', 'applikasi', 'diupdate', 'rampok']</t>
  </si>
  <si>
    <t>['tolong', 'server', 'barusan', 'beli', 'paket', 'games', 'disitu', 'tertera', 'diamond', 'udah', 'beli', 'tpi', 'diamond', 'nggkk', 'masuk', 'gimana', '']</t>
  </si>
  <si>
    <t>['buruk', 'kecewa', 'membeli', 'paket', 'proses', 'menunggu', 'sms', 'pemberitahuan', 'paketnya', 'aktif', 'mengulanginya', 'kali', 'pulsa', 'customer', 'service', 'bertele', 'tolong', 'bantu', 'beralih', 'telkomsel', 'balas', 'ulasan', 'bertele', 'suka', 'perbaiki', '']</t>
  </si>
  <si>
    <t>['woi', 'gua', 'beli', 'kuota', 'pakai', 'uang', 'kesini', 'lemot', 'jaringan', 'gua', 'beli', 'unlimited', 'kuota', 'reguler', 'lemot', 'kesel', 'orang', 'gua', 'pelanggan', 'telkomsel', 'sampe', 'gua', 'pindah', 'kartu', 'laen', 'cuman', 'gara', 'gara', 'sinyal', 'simpati', 'lemot']</t>
  </si>
  <si>
    <t>['kecewa', 'pemberitahuan', 'kuota', 'habis', 'pulsa', 'habis', 'tersisa', 'rating', 'perbaiki', 'komentar', 'ditanggapi']</t>
  </si>
  <si>
    <t>['plissssssssssss', 'tolong', 'kartu', 'telkonsel', 'mahal', 'hilang', 'jaringanya', 'tolong', 'mahal', 'dikit', 'kaga', 'papa', 'jaringanya', 'puasa', 'jaringanya', 'lag', 'parah', 'main', 'game', 'lancar', 'lag', 'ampun', '']</t>
  </si>
  <si>
    <t>['', 'peringatan', 'kuota', 'habis', 'nyedot', 'pulsa', 'reguler', 'pulsa', 'reguler', 'habis', 'peringatan', 'akses', 'internet', 'memakai', 'pulsa', 'reguler', 'paket', 'internet']</t>
  </si>
  <si>
    <t>['nge', 'leg', 'main', 'game', 'balesnya', 'banget', 'copy', 'paste', 'orang', 'orang', 'niat', 'niat', 'ditulis', 'solutif', '']</t>
  </si>
  <si>
    <t>['gimana', 'nafsu', 'bermain', 'game', 'hilang', 'gara', 'jatingan', 'ancur', 'permasalahan', 'garena', 'freefire', 'terselesaikan', 'kali', 'bertemu', 'musuh', 'jaringan', 'stabill', 'tolong', 'lahh', 'respon', '']</t>
  </si>
  <si>
    <t>['oprator', 'sinyalnya', 'jlek', 'pakek', 'kartu', 'kartu', 'dri', 'tpi', 'udh', 'kyk', 'kartu', 'murahan', 'sinyalnya', 'kek', 'kartu', 'murah']</t>
  </si>
  <si>
    <t>['tolong', 'min', 'sinyal', 'telkom', 'sukabumi', 'jelek', 'banget', 'sinyalnya', 'min', 'ska', 'bagus', 'tpi', 'sinyalnya', 'jelek', 'mulu', 'data', 'lumayan', 'gua', 'paket', 'unlimax', 'coba', 'tolong', 'perbaiki', 'sinyalnya', 'daerah', 'sukabumi', 'makasih', 'min', '']</t>
  </si>
  <si>
    <t>['telkomsel', 'sinyalnya', 'buruk', 'buka', 'internet', 'lemot', 'eror', 'paket', 'internet', 'mahal', 'perubahan', 'ganti', 'kartu', '']</t>
  </si>
  <si>
    <t>['jaringan', 'full', 'diwilayah', 'desa', 'sampuabalo', 'kecamatan', 'siotapina', 'kabupaten', 'buton', 'prop', 'sul', 'tra', 'kualitas', 'jaringan', 'internetnya', 'buruk', 'mohon', 'telkomsel', 'memperhatikan', 'kondisi', 'diwalayah', 'mahasiswa', 'berbasis', 'kuliah', 'online', 'bisnis', 'penjualan', 'online', 'terimakasih', 'telkomsel']</t>
  </si>
  <si>
    <t>['telkomsel', 'baguss', 'mengecewakan', 'sinyal', 'jaringan', 'lelet', 'stabil', 'main', 'game', 'youtuban', 'sekedar', 'membuka', 'loading', 'ampun', 'pilihan', 'bintang', 'bintang', 'satupun', 'provider', 'sungguh', 'kecewa', 'terimakasih']</t>
  </si>
  <si>
    <t>['kakk', 'tolong', 'cepet', 'benerin', 'sinyal', 'ngegame', 'beli', 'kuota', 'gabisa', 'login', 'cari', 'game', 'tpi', 'org', 'make', 'tsl', 'masuk', 'lancar', 'tolong', 'banget', 'deh', 'udh', 'trs', 'gabisa', 'ngegame']</t>
  </si>
  <si>
    <t>['update', 'update', 'jaringannya', 'perbaiki', 'main', 'game', 'susah', 'kuota', 'alesannya', 'jaringan', 'sibuk', 'tolong', 'donk', 'perbaiki', 'harga', 'paketnya', 'langit', 'sinyal', 'jlk']</t>
  </si>
  <si>
    <t>['telkom', 'ngelag', 'jaringannya', 'tpi', 'buka', 'tik', 'tok', 'game', 'ngelag', 'gangguan', 'min', 'mohon', 'perbaikin', 'karna', 'puas', 'karna', 'relog', 'berkali', 'kali', 'ngelag', 'parahnya', 'ngelag', 'main', 'game', 'sakit', 'kasih', 'bintang', 'dlu', 'jaringannya', 'udh', 'setabil', 'kasih', 'bintang', 'terimakasih', 'min']</t>
  </si>
  <si>
    <t>['penguna', 'telkomsel', 'kecewa', 'telkomsel', 'main', 'game', 'online', 'sinyal', 'buruk', 'kuota', 'mahal', 'mahal', 'tolong', 'perbaiki', 'sinyalnya', 'kalok', 'gini', 'gua', 'ganti', 'kartu', 'kuota', 'harganya', 'turunin', 'dikit', 'cari', 'uang', 'susah']</t>
  </si>
  <si>
    <t>['bintang', 'masuk', 'gimana', 'ngasik', 'sampean', 'masuk', 'aplikasi', 'telkomsel', 'gimana', 'menghubungi', 'tolong', 'perbaiki', '']</t>
  </si>
  <si>
    <t>['allo', 'kak', 'delay', 'banget', 'pembelian', 'paket', 'telkomsel', 'beli', 'langsung', 'masuk', 'tpi', 'delay', '']</t>
  </si>
  <si>
    <t>['menyenangkan', 'kartu', 'telkomsel', 'meninggalkannya', 'mematah', 'matahkan', 'kartu', 'jaringannya', 'buruk', 'kinerja', 'profesional', '']</t>
  </si>
  <si>
    <t>['woi', 'pemberitahuan', 'kouta', 'tinggal', 'dikit', 'efektif', 'kada', 'kadang', 'engga', 'sengaja', 'gmn', 'pulsa', 'gue', 'sedot', 'telkomsel', 'gue', 'telkomsel', 'udh', 'thn', 'gue', 'pindah', 'operator', 'kaya', 'gini']</t>
  </si>
  <si>
    <t>['aplikasi', 'bagus', 'mempermudah', 'kostumer', 'mengisi', 'saldo', 'pembelian', 'kouta', 'terima', 'kasih', 'telkomsel', 'semoga', 'bia', 'doorprize', 'motor', 'motor', 'berkuliah', '']</t>
  </si>
  <si>
    <t>['terimakasih', 'telkomsel', 'udah', 'menang', 'kali', 'undian', 'telkomsel', 'poin', 'toyota', 'yaris', 'mercedes', 'benz', 'ayo', 'buruan', 'download', 'aplikasi', 'rekomendasi', 'bnget', 'beruntung', 'hoaxs']</t>
  </si>
  <si>
    <t>['aplikasi', 'kesalahan', 'sinyal', 'error', 'sinyal', 'tolong', 'perbaiki', 'kenyaman', 'pengguna', 'dear', 'telkomsel', 'pas', 'buka', 'apk', 'koneksi', 'stabil', 'pas', 'buka', 'sosmed', 'lancar', 'haruskah', 'berhenti', 'berlangganan', '']</t>
  </si>
  <si>
    <t>['parah', 'banget', 'telkomsel', 'udah', 'taun', 'ancur', 'jaringan', 'internetnya', 'andalan', 'internet', 'telkomsel', 'sampah', 'tolong', 'perbaiki', 'kampung', 'andalannya', 'telkomsel', 'pindah', 'telkomsel', 'maju', 'parah', 'lemot', 'lambat', '']</t>
  </si>
  <si>
    <t>['memuaskan', 'semoga', 'poin', 'terbuang', 'join', 'menang', 'semoga', 'lebaran', 'mobil', 'amiin', 'allahhumma', 'ammin']</t>
  </si>
  <si>
    <t>['pulsa', 'beli', 'paket', 'ribu', 'unlimited', 'soschat', 'games', 'musik', 'tiktok', 'tulisan', 'maaf', 'gangguan', 'sistem', 'perbaiki']</t>
  </si>
  <si>
    <t>['aplikasi', 'mytelkomsel', 'banget', 'log', 'out', 'sulit', 'mengecek', 'pulsa', 'kuota', 'apk', 'mytelkomsel', 'tolong', 'perbaiki', 'terima', 'kasih', '']</t>
  </si>
  <si>
    <t>['sarannnnn', 'kuota', 'habis', 'beli', 'kuota', 'tolong', 'kuota', 'dipakai', '']</t>
  </si>
  <si>
    <t>['telkomsel', 'dibukak', 'tulisan', 'unstable', 'connection', 'reload', 'udah', 'reload', 'berkali', 'capek', 'jaringan', 'penuh', 'kadang', 'udah', 'pakai', 'wifi', 'tolong', 'diperbaiki', '']</t>
  </si>
  <si>
    <t>['kesini', 'beli', 'paketan', 'kuota', 'mahal', 'beda', 'operator', 'sebelah', 'paket', 'kuota', 'sangatttttt', 'terjangkau', 'dikalangan', 'masyarakat', 'maaf', 'pelanggan', 'telkomsel', 'nyaman', 'seiringnya', 'harga', 'beli', 'paketan', 'mahal', 'beranjak', 'operator', 'sebelah', 'tolong', 'pelanggan', 'kabur', 'beralih', 'operator', 'terpercaya', 'murahnya', 'terimakadih', '']</t>
  </si>
  <si>
    <t>['alhamdulillah', 'pemakai', 'telkomsel', 'paket', 'murah', 'murah', 'banget', 'menghabis', 'paket', 'gb', 'pengeluaran', 'perbulan', 'beli', 'paket', 'telkomsel', 'murah', 'banget', 'bersyukur', 'kenal', 'telkomsel']</t>
  </si>
  <si>
    <t>['telkomsel', 'mengecewakan', 'sistem', 'sibuk', 'udah', 'mahal', 'sistem', 'sibuk', 'trus', 'masukkin', 'voucher', 'sistem', 'sibuk', 'mengecewakan', 'parah', '']</t>
  </si>
  <si>
    <t>['pakai', 'kartu', 'telkomsel', 'udah', 'thn', 'pelanggan', 'pelayanannya', 'mengecewakan', 'paket', 'mahal', 'pelanggan', 'menikmati', 'deretan', 'paket', 'murah', 'untung', 'kartu', 'kupakai', 'kartu', 'telponan', 'makai', 'jaringan', 'internetan', '']</t>
  </si>
  <si>
    <t>['pelanggan', 'telkomsel', 'udah', 'ksini', 'sinyal', 'stabil', 'memudah', 'menyusahkan', 'pekerjaan', 'kecewa', 'jaringan', '']</t>
  </si>
  <si>
    <t>['app', 'bagus', 'kemarin', 'beli', 'paket', 'masuk', 'udah', 'kebeli', 'paketnya', 'masuk', 'pulsanya', 'ngurang', 'telkomsel', 'tolong', 'fix', 'sanggat', 'terganggu', 'oke', 'oke', 'ttd', 'paket', 'gb', 'diskon', '']</t>
  </si>
  <si>
    <t>['', 'bener', 'telkomsel', 'lemot', 'telp', 'operator', 'operator', 'pura', 'denger', 'penipu', 'sedot', 'pulsa', 'doang', 'layanan', 'memuaskan']</t>
  </si>
  <si>
    <t>['harga', 'kwalitas', 'preeeettttttt', 'paket', 'swadaya', 'asalnya', 'dibeli', 'paket', 'dibeli', 'beli', 'paket', 'laen', 'mikir', 'mikir', 'dlu', 'kemahalan', 'kwalitas', 'jaringan', 'parahhh', 'mending', 'paket', 'sebelah', 'promo', 'kwalitas', 'jaringan', 'sesuai', 'harganya', 'benr', 'benr', 'udah', 'mahal', 'jaringan', 'parahhh', '']</t>
  </si>
  <si>
    <t>['kali', 'kecewa', 'transaksi', 'tlkomsel', 'berhasil', 'beli', 'paket', 'internet', 'paket', 'blm', 'alhasil', 'pulsa', 'terpotong', 'rb', 'bbrapa', 'detik']</t>
  </si>
  <si>
    <t>['', 'jaringannya', 'stabil', 'mohon', 'diperbaiki', 'pengguna', 'telkomsel', 'puas', 'mohon', 'memperbaiki', 'koneksi', 'jaringannya', '']</t>
  </si>
  <si>
    <t>['cek', 'kuota', 'pulsa', 'permasalahan', 'kuota', 'pulsa', 'kartu', 'sim', 'menyelesaikannya', 'ngk', 'grafari', '']</t>
  </si>
  <si>
    <t>['pakai', 'kartu', 'telkomsel', 'jaringannya', 'kendala', 'puaaaaas', 'terima', 'kasih', 'telkomsel', 'tingkatkan', 'layanan', 'jaringannya', '']</t>
  </si>
  <si>
    <t>['kemarin', 'beli', 'pulsa', 'dipake', 'paket', 'harian', 'besoknya', 'pulsa', 'tolong', 'telkom', 'gitu', 'udh', 'brapa', 'kali', 'ngalamin', 'kek', 'gini', 'rugi', 'sumpah', 'gaada', 'hati']</t>
  </si>
  <si>
    <t>['setau', 'paket', 'unlimitedmax', 'kecepatan', 'habis', 'kurangi', 'kecepatan', 'aplikasi', 'anjurkan', 'bohong', 'buktinya', 'youtube', 'kurangi', 'kecepatan', 'youtube', 'salah', 'aplikasi', 'anjurka', 'telkomsel', 'penipu', 'maunya', 'untung', 'memeras', 'pelanggan', 'telkomsel', 'sensara', 'pelanggan', 'doa', 'semoga', 'tower', 'telkomsel', 'sabar', 'petir', 'hancur', 'amin', '']</t>
  </si>
  <si>
    <t>['paket', 'unlimited', 'pasang', 'paket', 'unlimited', 'super', 'deal', 'tolong', 'paket', 'unlimitednya', 'adakan', 'pembaharuan', 'telkomsel', 'beli', 'pulsa', 'bayar', 'pakai', 'card', 'bni', 'sulit', 'update', 'telkomsel', 'transaksi', 'enak', 'sulit', 'gagal', 'mohon', 'permudah', '']</t>
  </si>
  <si>
    <t>['knp', 'jaringan', 'bagus', 'buka', 'belajar', 'online', 'susah', 'main', 'game', 'tolong', 'telkomsel', 'perbaiki', 'jarigan', 'sayaselalu', 'beli', 'paket', 'combo', 'perbulan', 'tpi', 'terbuang', 'sia', 'sia', 'karana', 'jaringan', 'titik', 'lelet']</t>
  </si>
  <si>
    <t>['', 'batasan', 'pengguna', 'gitu', 'nonton', 'batasana', 'pengguna', 'gituu', 'nyaa', 'paket', 'unlimited', 'udah', 'batasan', 'mohon', 'bales']</t>
  </si>
  <si>
    <t>['assalamualaikum', 'min', 'cuman', 'kasih', 'jaringan', 'telkomsel', 'lemot', 'ngelek', 'udah', 'paket', 'unlimitid', 'tolong', 'perbaikin', 'jaringan', 'palembang', 'saran', 'mksi']</t>
  </si>
  <si>
    <t>['susah', 'beli', 'paket', 'aplikasi', 'pulss', 'membeli', 'paket', 'keterangan', 'gagal', 'pulsa', 'makss', 'twlkomsel', 'nggk', '']</t>
  </si>
  <si>
    <t>['kecewa', 'perubahan', 'paket', 'unlimited', 'fup', 'turun', 'kbps', 'bedanya', 'paket', 'habis', 'judul', 'paket', 'embel', 'embel', 'unlimited', 'paket', 'akal', 'akalan', 'kecewa', 'perubahan', 'paket', 'unlimited', 'sblm', 'dirubah', 'msh', 'paket', 'worth', 'msh', 'nonton', 'youtube', 'tenang', 'sbg', 'konsumen', 'kecewa', 'kecewa', '']</t>
  </si>
  <si>
    <t>['sakit', 'telkomsel', 'perbaikan', 'pelayanan', 'pelanggan', 'alasan', 'seribu', 'alasan', 'pelayanan', 'pelanggan', 'hancur', 'ngak', 'bos', 'telkomsel', 'pelayanan', 'kecewa', 'berat', '']</t>
  </si>
  <si>
    <t>['telkomsel', 'provider', 'terbesar', 'indonesia', 'pelayanannya', 'memuaskan', 'segi', 'fasilitas', 'aplikasi', 'eror', 'jaringan', 'suka', 'hilang', 'ntah', 'penyebabnya', 'bermasalah', 'kuota', 'mahal', 'berbeda', 'provider', 'kompetitor', 'tetangga', 'menang', 'top', 'brand', 'mohon', 'diperbaiki', 'pelayannanya', 'percaya', 'layanan', 'mohon', 'feedbacknya', 'customer', 'raja', 'customer']</t>
  </si>
  <si>
    <t>['ngilang', 'pket', 'unlimited', 'kartu', 'saktinya', 'sumpah', 'kartu', 'gaje', 'banget', 'unlimited', 'tetep', 'kuota', 'utama', 'kpake', 'aneh', 'sumpah', 'pemerasan', 'inimah', 'contoh', 'dipaket', 'tertulis', 'youtube', 'unlimited', 'dicek', 'aplikasi', 'tetep', 'habis', 'kuota', 'utama', 'udahlah', 'unlimited', 'nipu', '']</t>
  </si>
  <si>
    <t>['telkomsel', 'terhormat', 'tolong', 'penjelasan', 'isi', 'pulsa', 'aktif', 'nambah', 'klw', 'aktif', 'habis', 'kartu', 'mati', 'data', 'ewalet', 'banking', 'ngalamin', 'kartu', 'mati', 'aktifkan', '']</t>
  </si>
  <si>
    <t>['setia', 'memakai', 'kartu', 'telkomsel', 'umur', 'thun', 'smpai', 'umur', 'uda', 'thun', 'ngasih', 'saran', 'ganti', 'kartu', 'dengar', 'omongan', 'org', 'jatuh', 'cinta', 'sma', 'telkomsel', 'intinya', 'pindah', 'kartu', 'telkomsel', 'sukses', 'terimakasih', '']</t>
  </si>
  <si>
    <t>['kartu', 'tpi', 'tmen', 'telkomsel', 'paket', 'unlimited', 'nyoba', 'doang', 'ketagihan', 'telkom', 'unlimited', 'gausah', 'dikasih', 'batasan', 'dlu', 'gua', 'mabar', 'trus', 'ama', 'kawan', 'krna', 'unlimited', 'tpi', 'skrg', 'jarang', 'unlimited', 'dikasih', 'batasan', 'kuota', 'pesanku', 'telkomsel', 'kembalikan', 'unlimited', '']</t>
  </si>
  <si>
    <t>['memuaskan', 'sinyal', 'daerah', 'jeleeek', 'banget', 'jaringan', 'terluas', 'apanya', 'kampung', 'pinggir', 'kota', 'bagus', 'perbaiki', 'sinyal', 'daerah', 'dlu', 'sprti', 'sangaaaat', 'mengeceawakan', '']</t>
  </si>
  <si>
    <t>['telkomsel', 'tolong', 'pelayanan', 'mengecewakan', 'bayar', 'blm', 'khusus', 'pengguna', 'kartu', 'hallo', 'payah', 'kapok', 'pokonya', 'pakai', 'layanan', 'abodemen', 'hallo', '']</t>
  </si>
  <si>
    <t>['kecewa', 'kuota', 'unlimited', 'kecepatan', 'internet', 'kek', 'lemes', 'enaknya', 'unlimited', 'kecepatan', 'internet', 'maafkan', 'rencana', 'ganti', 'telkomsel', 'kubuang', 'bye', 'telkomsel', 'busuk', 'skrg']</t>
  </si>
  <si>
    <t>['maaf', 'telkomsen', 'knp', 'telkomsel', 'mahal', 'puasa', 'promo', 'diskon', 'event', 'ngk', 'mahal', 'harganya', 'bukanya', 'mahal', 'bagus', 'sinyalnya', 'knp', 'down', 'bngt', 'main', 'gane', 'online', 'laq', 'down', 'jaringan', 'heran', 'pas', 'harganya', 'setabil', 'maaf', 'mohon', 'perbaiki', 'sinyal', 'sanggat', 'menggangu', 'daerah', 'lampung']</t>
  </si>
  <si>
    <t>['kemarin', 'aplikasi', 'mytelkomsel', 'loading', 'detik', 'loading', 'koneksi', 'stabil', 'pakai', 'wifi', 'pas', 'ganti', 'paketdata', 'loading', 'teruss', '']</t>
  </si>
  <si>
    <t>['nama', 'promonya', 'paket', 'combo', 'sakti', 'unlimited', 'tpi', 'unlimited', 'beli', 'gb', 'unlimited', 'gb', 'internet', 'sisanya', 'unlimited', 'skrng', 'gb', 'internet', 'gb', 'unlimited', 'unlimited', 'kecewa', 'udah', 'nyaman', 'pakek', 'kartu', 'tolong', 'ganti', 'paket', 'internet', '']</t>
  </si>
  <si>
    <t>['maaf', 'jaringan', 'telkomsel', 'lambat', 'juara', 'jaringan', 'lelet', 'mohon', 'perbaiki', 'secepatnya', 'terimakasih']</t>
  </si>
  <si>
    <t>['kuota', 'gamesmax', 'serasa', 'download', 'data', 'game', 'tetep', 'kuota', 'utama', 'pdhal', 'download', 'data', 'game', 'pas', 'buka', 'game', 'kecuali', 'pas', 'download', 'playstore', 'makan', 'kuota', 'utama', 'data', 'gamesmax', 'coba', 'maen', 'game', 'doang', 'mah', 'beli', 'sumpah', '']</t>
  </si>
  <si>
    <t>['kualitas', 'sinyal', 'terjelek', 'paket', 'promo', 'combo', 'gb', 'jelek', 'sinyal', 'gampang', 'banget', 'ilang', 'browsing', 'padhal', 'tinggal', 'kota', 'kaya', 'banget', 'kualitas', 'terbaik', 'udah', 'paketannya', 'mahal', 'kualitas', 'murah', 'nyesek', 'saia', '']</t>
  </si>
  <si>
    <t>['bahasa', 'tenggang', 'berubah', 'hangus', 'pdhal', 'aktifnya', 'nanggepin', 'bercanda', 'sinyal', 'jelek', 'menguntungkan', 'pelanggan', 'telkomsel', 'songo', '']</t>
  </si>
  <si>
    <t>['isi', 'pulsa', 'pulang', 'liat', 'pulsa', 'langsung', 'kepotong', 'otomatis', 'paket', 'nelpon', 'seminggu', 'ngk', 'langganan', 'ngk', 'beli', 'paket', 'nelpon', 'bagusnya', 'confirmasi', 'pelanggan', 'dapst', 'sms', 'paket', 'nelpon', 'aktif', 'parah', '']</t>
  </si>
  <si>
    <t>['aneh', 'paham', 'bisanya', 'promo', 'paket', 'nomor', 'beda', 'banget', 'promo', 'murah', 'nomor', 'nomor', 'dapet', 'nomor', 'ganti', 'provider', 'fungsi', 'tombol', 'share', 'paketan', 'dipakai', 'nomor', '']</t>
  </si>
  <si>
    <t>['terkait', 'mimin', 'bantu', 'login', 'smp', 'sinyal', 'perbaikan', 'hati', 'lgi', 'emang', 'hati', 'respon', 'bahakn', 'slow', 'respon', 'perbaikan', 'tinggalkan', '']</t>
  </si>
  <si>
    <t>['halo', 'telokomsel', 'beli', 'paket', 'yutub', 'ketengan', 'harapan', 'mengambil', 'pulsa', 'regulaer', 'pasahal', 'telkonsel', 'paket', 'yutub', 'aktip', 'unlimited', 'kenaapa', 'rugi', '']</t>
  </si>
  <si>
    <t>['kartu', 'telkomsel', 'gajelas', 'sinyal', 'bagus', 'ancur', 'buang', 'kartu', 'telkom', 'ganti', 'pket', 'selangit', 'kualitas', 'sinyal', 'rendahh', 'cuihhhhhh', '']</t>
  </si>
  <si>
    <t>['internetnya', 'lancar', 'app', 'error', 'harga', 'internet', 'mahal', 'mohon', 'perbaiki', '']</t>
  </si>
  <si>
    <t>['apaaaaa', 'sihh', 'jaringaaaaaaannnnnn', 'idup', 'jaringaaannnnnn', 'penuh', 'ngeluhh', 'lohh', 'nge', 'toxic', 'astaghfirullah', 'mohon', 'maap', 'belumnya', 'apk', 'bagus', 'cma', 'jaringan', 'ngga', 'bagus', '']</t>
  </si>
  <si>
    <t>['tolong', 'pulsa', 'berkurang', 'pdhal', 'tagihan', 'penggunaan', 'tolong', 'rugi', 'kek', 'gini', 'raya', 'tolong', 'tanggapi', '']</t>
  </si>
  <si>
    <t>['mengecewakan', 'paket', 'disediakan', 'combo', 'sakti', 'unlimited', 'pakai', 'batas', 'pemakaian', 'wajar', 'dulunya', 'bagus', 'konsumen', 'puas', 'mohon', 'kebijakan', 'kepuasan', 'konsumen', '']</t>
  </si>
  <si>
    <t>['pelanggan', 'telkomsel', 'kecewa', 'paket', 'combo', 'sakti', 'unlimited', 'dulunya', 'kuota', 'unlimited', 'batas', 'pemakaian', 'wajar', 'paket', 'dibeli', 'mahal', 'kepuasan', 'pelanggan', 'tolong', 'konsisten', 'kebijakan', '']</t>
  </si>
  <si>
    <t>['puas', 'tpi', 'kesini', 'kesal', 'kecewa', 'dlu', 'dlu', 'kuota', 'unlimited', 'batas', 'pemakaian', 'kuota', 'inti', 'habis', 'sesuai', 'namanya', 'unlimited', 'batas', 'skrg', 'pakai', 'embel', 'unlimited', 'kenyataannya', 'kuotanya', 'terbatas', 'namnya', 'konsumen', 'dibohongi', 'unlimited', 'pdhl', 'setalah', 'dipakai', 'data', 'berbatas', 'tolong', 'diperbaiki', 'kuota', 'unlimitednya', 'bohongi', 'konsumen', 'terima', 'kasih', '']</t>
  </si>
  <si>
    <t>['paket', 'unlimited', 'max', 'harganya', 'mahal', 'paket', 'unlimited', 'dibatasi', 'gini', 'mendingan', 'pindah', 'operator', 'udah', 'muak', 'telkomsel', 'harga', 'paketnya', 'mahal', 'sebanding', 'kualitas', 'jaringannya', 'super', 'jelek', 'selamat', 'tinggal', 'tekomsel', 'udh', 'nemenin', 'pindah', 'operator']</t>
  </si>
  <si>
    <t>['berharap', 'telkomsel', 'pengguna', 'telkomsel', 'kecewa', 'jaringan', 'telkomsel', 'stabil', 'pelamggan', 'beralih', 'server', 'berharap', 'telkomsel', 'pelanggan', 'kecewa', '']</t>
  </si>
  <si>
    <t>['telkomsel', 'unlimited', 'pembatasan', 'pemakaian', 'wajar', 'haduh', 'udh', 'lumayan', 'seneng', 'msh', 'lag', 'parah', 'kaya', 'smartfren', 'karna', 'unlimited', 'batas', 'pemakaian', 'wajar', 'pindah', 'kartu', 'perdana', 'mls', 'mohon', 'perbaiki', 'kaya', 'kemaren', 'kemaren']</t>
  </si>
  <si>
    <t>['mahal', 'ngelag', 'beli', 'paket', 'uang', 'daun', 'kuota', 'unlimited', 'jaringannya', 'tolonglah', 'unlimited', 'batas', 'namanya', 'unlimited', 'tolong', 'hargai', 'orang', 'berpenghasilan', 'minim']</t>
  </si>
  <si>
    <t>['jaringan', 'buruk', 'kualitasnya', 'main', 'game', 'pingnya', 'stabil', 'tlg', 'telkomsel', 'sllu', 'cek', 'kualitas', 'signal', 'daerah', 'desa', 'kyk', 'wilayah', 'udh', 'lma', 'plggn', 'setia', 'telkomsel', 'msa', 'prioritaskan', 'kota', 'desa', 'dibiarin', 'kuota', 'mahal', 'gpp', 'kualitas', 'jaringannya', 'optimalkan', '']</t>
  </si>
  <si>
    <t>['mangkin', 'mangkin', 'telkomsel', 'kesalahan', 'jaringan', 'mulu', 'ajg', 'jaringan', 'bagus', 'perbaiki', 'woy', 'udah', 'gitu', '']</t>
  </si>
  <si>
    <t>['tolong', 'perbaiki', 'kouta', 'mahal', 'jaringan', 'jelek', 'main', 'games', 'ngelek', 'tolong', 'perbaiki', 'kadang', 'kadang', 'jaringanya', 'turun', 'main', 'games', 'tolong', 'diperbaikinya', 'kartunya', 'mahal', 'meyesal', 'kartu', 'telkomsel', '']</t>
  </si>
  <si>
    <t>['app', 'telkomsel', 'mantulllll', 'membantu', 'memudahkan', 'dlm', 'urusan', 'isi', 'kuota', 'dll', 'jamin', 'ngak', 'nyesal', 'undian', 'sgt', 'bayak', 'pokoknya', 'mantap', 'mudah', 'han', 'rejeki', 'undian', 'mobil', 'kali', '']</t>
  </si>
  <si>
    <t>['aplikasi', 'instal', 'aplikasi', 'susah', 'dibuka', 'munsul', 'peringatan', 'kesalahan', 'sistemlah', 'koneksi', 'stabil', '']</t>
  </si>
  <si>
    <t>['ulasan', 'dihapus', 'knp', 'takut', 'ketahuan', 'minusnya', 'kebiasaan', 'sedot', 'pulsa', 'paket', 'data', 'uda', 'mati', 'beli', 'pulsa', 'rb', 'beli', 'kuota', 'rb', 'sisa', 'rb', 'beli', 'pulsa', 'rb', 'isi', 'kuota', 'rb', 'sisa', 'pulsa', 'rb', 'kesedot', 'sbelumnya', 'emg', 'beres', 'sistem', 'meras', 'pulsa', 'telkomsel']</t>
  </si>
  <si>
    <t>['terimakasih', 'telkomsel', 'menemani', 'keseharian', 'ngobrol', 'keluarga', 'keluarga', 'biarpun', 'pendemi', 'covid', 'semangat', 'produk', 'semoga', 'bertugas', 'kesehatan', 'umur', 'sukses', 'telkomsel']</t>
  </si>
  <si>
    <t>['', 'udah', 'mengabdi', 'telkomsel', 'jaringan', 'kadang', 'lelet', 'pertahanin', 'kartu', 'langganan', 'unlimited', 'udah', 'bebas', 'dikenakan', 'batas', 'wajar', 'kayak', 'gini', 'unlimited', 'namanya', 'buka', 'youtube', 'kecepatan', 'kb', 'detik', 'mata', 'sakit', 'resolusi', 'fix', 'pindah', 'kartu']</t>
  </si>
  <si>
    <t>['dahlah', 'pindah', 'provider', 'udah', 'harga', 'kena', 'fup', 'provider', 'tercepat', 'chat', 'whatsapp', 'kuat', 'fix', 'pindah', 'provider']</t>
  </si>
  <si>
    <t>['kemari', 'payah', 'aplikasi', 'suka', 'berhenti', 'virusnya', 'ngadat', 'sentuh', 'beruluang', 'ulang', 'instal', 'uninstal', 'ngeri', 'eror', 'gini', '']</t>
  </si>
  <si>
    <t>['pengguna', 'setia', 'telkomsel', 'males', 'ganti', 'nomor', 'paket', 'kuota', 'murah', 'membeli', 'paket', 'kuota', 'telkomsel', 'kecewa', 'org', 'memakai', 'telkomsel', 'paket', 'kuotanya', 'murah', 'dibandingkan', 'membeli', 'paket', 'kuota', 'mentang', 'pengguna', 'kuota', 'mahal', 'mudah', 'provider', 'bagus', 'telkomsel', 'bsa', 'mnghrgai', 'pngguna', 'lmanya', 'akn', 'gnti']</t>
  </si>
  <si>
    <t>['isi', 'pulsa', 'pemberitahuan', 'pulsa', 'hilang', 'kemana', 'kecewa', 'bener', 'cek', 'telkomsel', 'beli', 'paket', 'telfon', 'pulsanya', 'hilang', 'kah', 'dikembalikan', 'pulsa', '']</t>
  </si>
  <si>
    <t>['quota', 'telkomsel', 'boros', 'pakek', 'telkomsel', 'paketnya', 'sebulan', 'ganti', 'aplikasi', 'pakai', 'zoom', 'meting', 'data', 'gb', 'maket', 'tgl', 'tanggal', 'tinggal', 'mb', 'salah', 'hpnya', 'kartunya', 'bayak', 'aplikasi', 'main', 'game', 'coba', 'tolong', '']</t>
  </si>
  <si>
    <t>['telkomsel', 'pulsa', 'hilang', 'kronologi', 'beli', 'pulsa', 'trus', 'pasang', 'paket', 'trus', 'beli', 'pulsa', 'pas', 'buka', 'aplikasi', 'telkomsel', 'saldo', 'sisa', 'kemana', 'hey', 'beli', 'paket', 'bulanna', '']</t>
  </si>
  <si>
    <t>['', 'min', 'nanya', 'paket', 'combo', 'sakti', 'unlimited', 'unlimited', 'dibatasi', 'kemarin', 'kemarin', 'ndak', 'dibatasi', 'unlimited', 'tolong', 'kejelasannya', 'kaget', 'unlimited', 'dibatasi', 'paket', 'unlimited']</t>
  </si>
  <si>
    <t>['telkomsel', 'bagus', 'harga', 'selangit', 'kualitas', 'enak', 'makenya', 'buka', 'apapun', 'leg', 'saran', 'beli', 'mikir', 'mending', 'kartu', 'harga', 'terjangkau', 'kualitas', 'lumayan', 'bandingin', 'telkomsel']</t>
  </si>
  <si>
    <t>['pulsa', 'tersedot', 'misterius', 'internet', 'kartu', 'telp', 'sms', 'make', '']</t>
  </si>
  <si>
    <t>['susah', 'wifi', 'lancar', 'data', 'seluler', 'isa', 'lumayan', 'penggunaan', 'aplikasi', 'efesien']</t>
  </si>
  <si>
    <t>['permisi', 'kartu', 'menerima', 'pulsa', 'diisi', 'pulsa', 'masuk', 'masuk', 'udah', 'kali', 'isi', 'pulsa', 'pulsanya', 'masuk']</t>
  </si>
  <si>
    <t>['kuota', 'utama', 'kesedot', 'membuka', 'youtube', 'beli', 'paket', 'multimedia', 'unlimited', 'gratis', 'youtube', 'merugikan', 'konsumen', 'kayak', 'gini', 'emg', 'telkomsel', 'tipu', 'konsumen', 'kayak', 'gini', 'mohon', 'penjelasan', '']</t>
  </si>
  <si>
    <t>['maaf', 'bintang', 'kasih', 'kali', 'masuk', 'aplikasi', 'butuh', 'loading', 'apl', 'sekelas', 'telkomsel', 'lelet', 'pengguna', 'setia', 'telkomsel', 'kecewa', 'pelayanan', 'tolong', 'ditingkatkan', 'makasih', 'gbu']</t>
  </si>
  <si>
    <t>['kualitas', 'sinyal', 'telkomsel', 'perubahan', 'harga', 'paket', 'mahal', 'sinyal', 'buruk', 'pengguna', 'telkomsel', 'kecewa', 'tambahan', 'keluhan', 'pulsa', 'top', 'diamond', 'mobile', 'legends', 'bang', 'bang', 'susah', 'update', 'aplikasi']</t>
  </si>
  <si>
    <t>['apk', 'telkomsel', 'parah', 'banget', 'klw', 'beli', 'paket', 'jaringan', 'langsung', 'bagus', 'terbuka', 'jaringan', 'stabil', 'tolong', 'cpt', 'perbaiki', '']</t>
  </si>
  <si>
    <t>['kesini', 'ngawur', 'harga', 'paket', 'paket', 'hilang', 'harga', 'unlimited', 'max', 'engga', 'kaya', 'dlu', 'batas', 'fup', 'harga', 'signal', 'turun', 'server', 'down', '']</t>
  </si>
  <si>
    <t>['top', 'telkomsel', 'masuk', 'ulangi', 'masuk', 'mohon', 'tanggung', 'selebihnya', '']</t>
  </si>
  <si>
    <t>['tukarkan', 'point', 'honda', 'jazz', 'unit', 'honda', 'jazznya', 'unit', 'honda', 'jazz', 'tukar', 'unit', 'brio', 'kasih', 'bintang', 'unitnya', 'ajakan', 'tukar', 'point', '']</t>
  </si>
  <si>
    <t>['mengalami', 'kendala', 'transaksi', 'pilih', 'paket', 'pulsanya', 'notifikasi', 'sms', 'masuk', 'pulsa', 'kepotong', 'please', 'perbaikin', 'transaksi']</t>
  </si>
  <si>
    <t>['bagus', 'masii', 'ngk', 'paham', 'buka', 'aplikasi', 'data', 'manteng', 'teruss', 'modus', 'operator', 'jaringannya', 'kuras', 'data', 'why', 'what', 'nyedot', 'kenceng', 'gitu', 'mohon', 'penjelasannya', '']</t>
  </si>
  <si>
    <t>['payah', 'telkomnyet', 'beli', 'kuota', 'darurat', 'disuruh', 'lunasin', 'pulsa', 'pulsa', 'potong', 'otomatis', 'pembelian', 'ngaco', 'telkomsel', 'males', 'pindah', 'smartfren']</t>
  </si>
  <si>
    <t>['unlimited', 'max', 'but', 'limited', 'kuota', 'unlimited', 'ujung', 'ujungnya', 'dibatasin', 'terimakasih', 'telkomsel', 'beralih', 'kartu', '']</t>
  </si>
  <si>
    <t>['aplikasinya', 'lemot', 'paraahhh', 'kogin', 'susah', 'gimana', 'cek', 'kuota', 'beli', 'kuota', 'yutuban', 'sinyalnya', 'lancar', 'pas', 'dipake', 'buka', 'apk', 'lemot', 'ketulungan', '']</t>
  </si>
  <si>
    <t>['teruntuk', 'telkomsel', 'pulsa', 'kesedot', 'mulu', 'rb', 'kadang', 'beli', 'paket', 'suka', 'responya', 'mohon', 'perbaiki', 'terimakasih', '']</t>
  </si>
  <si>
    <t>['kalinya', 'telkomsel', 'pelanggan', 'provider', 'kecewa', 'layanan', 'internet', 'stabil', 'daerah', 'ibukota', 'jakarta', 'terdampak', 'sinyal', 'buruk', '']</t>
  </si>
  <si>
    <t>['woyy', 'abdate', 'koplak', 'abis', 'perbarui', 'liat', 'paket', 'yag', 'bacaan', 'kesalahan', 'silakan', 'coba', 'heran', 'paket', 'game', 'max', 'promo', 'beli', 'rib', 'nahh', 'main', 'game', 'kouta', 'utama', 'habis', 'nihh', 'kouta', 'utama', 'habis', 'tersisa', 'paket', 'game', 'max', 'gb', 'main', 'game', 'lahhh', 'kouta', 'coba', 'kouta', 'sampah']</t>
  </si>
  <si>
    <t>['harga', 'genap', 'masak', 'dulunya', 'dulunya', 'topup', 'pulsa', 'ngisinya', 'skali', 'beres', 'rsa', 'telkomsel', 'kedepan', 'pelayananya', 'buruk']</t>
  </si>
  <si>
    <t>['koneksi', 'internet', 'bagus', 'cepet', 'main', 'game', 'koneksi', 'stabil', 'terputus', 'lag', 'promo', 'kuota', 'cashbak', 'mending', 'pindah', 'operator']</t>
  </si>
  <si>
    <t>['maap', 'kasih', 'bintang', 'nyesel', 'beli', 'kuota', 'mahal', 'mahal', 'lemot', 'jaringan', 'gue', 'bagus', 'tolong', 'perbaiki', 'kasihanilah', 'konsumen', 'menikmati', 'lemot']</t>
  </si>
  <si>
    <t>['turun', 'bintang', 'kebiasaan', 'abis', 'isi', 'pulsa', 'langsung', 'paketin', 'gangguan', 'mulu', 'hubungin', 'customer', 'sevice', 'bertele', 'tele', 'terlau', 'mgearahkan', 'link']</t>
  </si>
  <si>
    <t>['harga', 'kuota', 'kualitas', 'sinyal', 'telkomsel', 'customer', 'seimbang', 'harga', 'kuota', 'mahal', 'diimbangi', 'kualitas', 'sinyal', 'bagus', 'sinyal', 'telkomsel', 'didaerah', 'buruk', 'tolong', 'diperhatikan', 'mengambil', 'keuntungan', 'terima', 'kasih', '']</t>
  </si>
  <si>
    <t>['kartu', 'telkomsel', 'paketan', 'kuota', 'unlimited', 'max', 'berhenti', 'udah', 'beli', 'kuota', 'kepake', 'unlimited', 'max', 'pdhl', 'unlimited', 'udah', 'fub', 'lemot', 'pokok', 'kecewa', 'telkomsel']</t>
  </si>
  <si>
    <t>['aplikasi', 'telkomsel', 'parah', 'klu', 'buka', 'aplikasi', 'lemot', 'banget', 'parah', 'update', 'parah', 'berat', 'banget', 'bukanya', 'hadeh']</t>
  </si>
  <si>
    <t>['tolong', 'aplikasi', 'diperbaiki', 'koneksi', 'stabil', 'buka', 'aplikasi', 'lancar', 'buka', 'telkomsel', 'berubah', 'stabil', 'stabil', 'koneksi', 'apk', '']</t>
  </si>
  <si>
    <t>['sinyal', 'bagus', 'taik', 'sinyal', 'jelek', 'sinyal', 'tolollllllllllllllll', 'muaaaak', 'telkomsel', 'nyesel', 'kartu', 'jelek', '']</t>
  </si>
  <si>
    <t>['kecewa', 'unlimited', 'batas', 'wajarnya', 'lancar', 'udah', 'harga', 'batas', 'wajarnya', 'nyaman', 'telkomsel']</t>
  </si>
  <si>
    <t>['susah', 'terbuka', 'app', 'loadingnya', 'lelet', 'jaringan', 'bagus', 'buka', 'app', 'lancar', 'harap', 'perbaiki', 'bug', '']</t>
  </si>
  <si>
    <t>['jelek', 'apk', 'boong', 'bagus', 'kasih', 'bintang', '']</t>
  </si>
  <si>
    <t>['kecewa', 'banget', 'balikin', 'combo', 'sakti', 'unlimited', 'kaya', 'multimedia', 'unlimited', 'kasih', 'kuota', 'ong', 'mending', 'hapus', 'paket', 'combo', 'sakti', 'ganti', 'operator']</t>
  </si>
  <si>
    <t>['min', 'nanya', 'combo', 'sakit', 'telkomsel', 'sisa', 'paket', 'multimedia', 'nonton', 'youtube', 'dll', 'error', 'min', 'dijelasin', 'trs', 'main', 'game', 'jaringan', 'sibuk', 'kouta', 'sampe', 'tanggal', 'mei', 'error']</t>
  </si>
  <si>
    <t>['gratis', 'game', 'game', 'lag', 'kecewa', 'gua', 'beli', 'paket', 'telkomsel', 'mending', 'beli', 'kuota', 'udah', 'bagus', 'lancar', 'ngga', 'kaya', 'telkomsel', 'nyesel', 'gua', 'beli', 'kuota', 'telkomsel']</t>
  </si>
  <si>
    <t>['telkomsel', 'jaringannya', 'lelet', 'ngalahin', 'mendung', 'dikit', 'udah', 'kepake', 'buka', 'tolong', 'jaringannya', 'diperbaiki', 'bli', 'kuota', 'duit', '']</t>
  </si>
  <si>
    <t>['min', 'tolong', 'pengguna', 'telkomsel', 'setia', 'tolong', 'tolong', 'sinyal', 'perbaiki', 'harga', 'kartu', 'telkomsel', 'mahal', 'sinyal', 'bagus', 'tolong', 'perbaiki', 'sinyal', '']</t>
  </si>
  <si>
    <t>['play', 'store', 'langsung', 'ngapain', 'repot', 'mail', 'butuh', 'solusi', 'mimin', 'omong', 'kosong', 'hadeh', 'hubungi', 'mail', 'twitter', 'solusi', '']</t>
  </si>
  <si>
    <t>['apk', 'udah', 'update', 'sampe', 'bermasalah', 'jaringan', 'jaringan', 'full', 'nyambung', 'kuota', 'internet', 'kecewa', 'parah', 'telkomsel', 'jaringan', 'telkom', 'kalah', 'tree', 'maluuu']</t>
  </si>
  <si>
    <t>['telkomsel', 'paket', 'mahal', 'jaringan', 'jelek', 'lahh', 'suka', 'beli', 'paket', 'unlinmited', 'mahalin', 'unlinmuted', 'ilang', 'tolong', 'kasih', 'paket', 'harga', 'enak', 'gituh', 'beli']</t>
  </si>
  <si>
    <t>['bertahun', 'pengguna', 'telkomsel', 'internet', 'tlp', 'dsb', 'kali', 'sekecewa', 'telkomsel', 'pengguna', 'paket', 'combo', 'sakti', 'combo', 'sakti', 'unlimited', 'singkat', 'cerita', 'kemarin', 'habis', 'paket', 'combo', 'sakti', 'beli', 'paketan', 'apl', 'telkomsel', 'udah', 'senyaman', 'pakai', 'paket', 'internet', 'combo', 'sakti', 'combo', 'sakti', 'udah', 'langganan', 'kecewa', '']</t>
  </si>
  <si>
    <t>['sinyalnya', 'buruk', 'kirain', 'mahal', 'sinyal', 'kartu', 'ngapa', 'ngapain', 'game', 'eror', 'yotube', 'eror', 'loading', 'loading', 'internet', 'bisanya', 'mohon', 'perbaiki', 'jaringan', 'udah', 'mahal', 'lemot']</t>
  </si>
  <si>
    <t>['ketentuan', 'combo', 'sakti', 'disayangkan', 'unlimited', 'batas', 'wajar', 'penggunaan', 'ditambahlagi', 'kuota', 'gamemaxnya', 'ndk', 'maksimal', 'bangat', 'buka', 'pubg', 'ping', 'ms', 'gimana', 'telkomsel', '']</t>
  </si>
  <si>
    <t>['login', 'game', 'free', 'fire', 'suka', 'kesalahan', 'sambungan', 'ngelag', 'apk', 'lancar', 'trus', 'kuota', 'mahal', 'jaringan', 'bagusan', 'kartu', 'kartu']</t>
  </si>
  <si>
    <t>['membuka', 'aplikasi', 'telkomsel', 'susah', 'banget', 'isi', 'pulsa', 'telkomsel', 'susah', 'banget', 'wifi', 'jaringan', 'ajuorr']</t>
  </si>
  <si>
    <t>['kasi', 'bintang', 'fitur', 'telkomsel', 'beli', 'pulsa', 'data', 'crypto', 'jarang', 'pegang', 'duit', 'bentuk', 'fisik', 'udah', 'mengikuti', 'dunia', 'sekedar', 'saran', 'min', '']</t>
  </si>
  <si>
    <t>['kak', 'jaringannya', 'susah', 'banget', 'lancar', 'kendala', 'tpi', 'buka', 'susahnya', 'ampun', 'tolong', 'diperbaiki', 'jaringanya', 'sebanding', 'harga', 'paketnya']</t>
  </si>
  <si>
    <t>['kuota', 'unlimited', 'gb', 'parah', 'kayak', 'sebelumya', 'berasa', 'tipu', 'dipake', 'gb', 'udh', 'abis', 'nge', 'seminggu', 'taunya', 'gb', 'kuota', 'aplikasi', 'abis', 'unlimited', 'lemot', 'pending', 'segitu', 'negara', 'internet', 'udh', 'unlimited', 'indo', 'gimmick', 'unlimited', '']</t>
  </si>
  <si>
    <t>['', 'metode', 'pembayaran', 'sejalan', 'aplikasi', 'lamban', 'menanggapi', 'keluhan', 'pelanggan', 'veronika', 'membantu', 'penyelesaian', 'transaksi', 'paket', 'ditawarkan', 'dibeli', 'login', 'berulang', 'ulang', '']</t>
  </si>
  <si>
    <t>['', 'daerah', 'jawa', 'barat', 'salah', 'daerah', 'prioritas', 'telkomsel', 'saran', 'tolong', 'daerah', 'terpencil', 'pelosok', 'tingkatkan', 'terkait', 'stabilitas', 'signal', 'regular', 'signal', 'internet', 'kerja', 'lapangan', 'karna', 'terkadang', 'tugas', 'daerah', 'terpencil', 'susah', 'data', 'realtime', 'pusat', 'contoh', 'daerahnya', 'kab', 'bdg', 'brt', '']</t>
  </si>
  <si>
    <t>['harga', 'paket', 'unlimitedmax', 'dri', 'menjafi', 'paket', 'unlimitednya', 'batesin', 'kecepatannya', 'kuota', 'habis', 'mrnding', 'telkomsel', 'rubah', 'mending', 'kaya', 'paket', 'trus', 'unlimitednya', 'batasi', 'kecepatan', 'kecewa', 'pindah', 'kartu']</t>
  </si>
  <si>
    <t>['tolong', 'jaringan', 'telkomsel', 'diperbaiki', 'seeing', 'hilang', 'koneksi', 'jaringan', 'setabil', 'kekuranganya', 'tolong', 'diperbaiki', 'jaringan', '']</t>
  </si>
  <si>
    <t>['berubah', 'telkomsel', 'kemarin', 'paketan', 'unlimitednya', 'nggak', 'batas', 'wajar', 'kecewa', 'nonton', 'udah', 'susah', 'tolong', 'unlimitednya', 'nggak', 'batas', 'wajar', 'nonton', 'sampe', 'batas', 'tanggalnya', '']</t>
  </si>
  <si>
    <t>['telkomsel', 'beda', 'pelanggan', 'setia', 'telkomsel', 'knp', 'harga', 'paket', 'dilebih', 'in', 'seribu', 'kadang', 'paket', 'midnight', 'hilang', 'beli', 'pelanggan', 'telkomsel', 'sim', 'card', 'adik', 'beli', 'paket', 'murah', 'pas', 'gaming', 'ngelag']</t>
  </si>
  <si>
    <t>['mytelkomsel', 'aplikasi', 'terbaik', 'indonesia', 'masyarakat', 'indonesia', 'menggunakannya', 'informasi', 'informasi', 'bangga', 'aplikasi', 'mytelkomsel', '']</t>
  </si>
  <si>
    <t>['hai', 'kak', 'aktif', 'tinggal', 'beli', 'pulsa', 'paketan', 'aktif', 'nambah', 'solusi', 'gimana', 'yak', '']</t>
  </si>
  <si>
    <t>['lucu', 'beli', 'paketan', 'gb', 'dipake', 'blm', 'seminggu', 'itupun', 'makenya', 'jarang', 'chat', 'kuota', 'abis', 'lucu', 'lucu', 'kartu', 'tollll']</t>
  </si>
  <si>
    <t>['welcome', 'back', 'name', 'rdht', 'gaming', 'chennel', 'vidio', 'gaming', 'vlog', 'dll', 'fokus', 'gaming', 'lupa', 'tinggalin', 'like', 'komentar', 'lupa', 'shere', 'subscribe', 'gratis', 'karna', 'update', 'vidio', 'ketinggalan', 'makannya', 'subscribe', 'rdht', 'gaming', '']</t>
  </si>
  <si>
    <t>['paketin', 'paket', 'kouta', 'ulnimited', 'tanggal', 'tanggal', 'buka', 'tiktok', 'tiktok', 'masuknya', 'ulnimited', 'loding', 'trs', 'posting', 'status', 'susah', 'gajelas', 'semimggu', 'buka', 'inter', 'rugi', 'gua', 'gua', 'beli', 'paket', 'kartu', 'gajelas', '']</t>
  </si>
  <si>
    <t>['jaringan', 'bagus', 'banget', 'region', 'jawa', 'tolonglahhh', 'ngeluh', 'min', 'temenku', 'ngeluh', 'enak', 'banget', 'telkomsel', 'jaringan', 'jelek', 'banget', 'hostpot', 'laptop', 'berat', 'banget', 'kaya', 'zoom', 'dll', 'enak', 'nggak', 'enak', 'banget', 'tolong', 'sesuaikan', 'harga', 'kualitas', 'min', 'ngga', 'kalah', 'saing']</t>
  </si>
  <si>
    <t>['min', 'beli', 'paketan', 'ceria', 'rb', 'gb', 'masuk', 'masuk', 'min', 'seminggu', 'pas', 'coba', 'tanggal', 'mei', 'udh', 'kli', 'isi', 'pulsa', 'gara', 'gara', 'pulsa', 'kepotong', 'trs', 'tolong', 'perbaiki', 'bug', 'membeli', 'paketan', 'kesalahan', 'teknis', 'membeli', 'paketan']</t>
  </si>
  <si>
    <t>['apk', 'telkomsel', 'bukak', 'koneksi', 'setabil', 'lancar', 'jaringannya', 'lawak', 'gimana', 'telkom', 'eror', 'telong', 'perbaiki', '']</t>
  </si>
  <si>
    <t>['apk', 'membantu', 'memudahkan', 'pelanggan', 'mengecek', 'sisa', 'pulsa', 'kuota', 'pengisian', 'ulang', 'pulsa', 'kuota', 'promo', 'menarik', 'seru', 'hadiah', 'penukaran', 'poin', 'undi', 'minggu', 'undi', 'tunggu', 'download', 'apk', 'mytelkomsel', 'playstore']</t>
  </si>
  <si>
    <t>['terimakasih', 'telkomsel', 'pelanggan', 'setiamu', 'terimakasih', 'dilancarkan', 'urusan', 'komunikasi', 'telkomsel', 'semangat', 'sukses', 'semoga', 'jaya', 'selamat', 'menyongsong', 'idulfitri', 'mohon', 'maaf', 'lahir', 'batin', '']</t>
  </si>
  <si>
    <t>['telkomsel', 'kuota', 'buka', 'giliran', 'beli', 'kuota', 'paket', 'kuota', 'kemarin', 'tolong', 'perbaiki', 'udah', 'beli', 'mahal', 'mahal', 'kualitasnya', 'gili', 'udah', 'jaringanya', 'susah']</t>
  </si>
  <si>
    <t>['apk', 'berhenti', 'jaringan', 'telkomsel', 'kacau', 'balau', 'diperbaiki', 'tinggal', 'kota', 'serasa', 'pedalaman', '']</t>
  </si>
  <si>
    <t>['terimakasih', 'telkomsel', 'sungguh', 'mengecewakan', 'jaringan', 'ampas', 'paket', 'game', 'apanya', 'coba', 'paket', 'lokalnya', 'abis', 'maen', 'kasih', 'paket', 'game', 'gb', 'gb', 'gb', 'lokalnya', 'habis', 'dipake', 'maen', 'mlbb', 'beranda', 'find', 'match', 'gagal', 'mantab', 'boss', 'kartu', 'perdana', 'kek', 'gini', 'tinggal', 'buang', 'laut', '']</t>
  </si>
  <si>
    <t>['gue', 'kasih', 'bintang', 'karna', 'paket', 'internet', 'khusus', 'game', 'dipake', 'kuota', 'utama', 'kuota', 'game', 'dipake', 'tolong', 'perbaiki', 'secepatnya', 'pelanggan', 'pindah', 'operator', 'sebelah']</t>
  </si>
  <si>
    <t>['', 'telkomsel', 'bersyukur', 'jaringan', 'telkomsel', 'pelosok', 'kualitas', 'jaringan', 'internet', 'sesuai', 'harga', 'bayar', 'tinggal', 'pelosok', 'susah', 'nyari', 'duit', '']</t>
  </si>
  <si>
    <t>['parah', 'jaringan', 'telkomsel', 'cuman', 'buka', 'google', 'search', 'instagram', 'lemotnya', 'udah', 'berkualitas', 'jaringan', 'udah', 'keluhkan', 'jaringan', 'perubahan', 'tunggu', 'keluhan', 'tindak', 'kerja', 'keluhan', '']</t>
  </si>
  <si>
    <t>['telkomsel', 'payah', 'pulsa', 'habis', 'kuota', 'full', 'kuota', 'telfon', 'sms', 'internet', 'lengkap', 'sisa', 'pulsa', 'kepotong', 'telkomsel', 'kekurangan', 'permasuk', 'sampe', '']</t>
  </si>
  <si>
    <t>['pindah', 'kartu', 'hallo', 'kawan', 'paham', 'nyesel', 'pemberitahuan', 'kuota', 'dikurangi', 'nagih', 'bayaran', 'ngingetin', 'trrus', 'bilangnya', 'bonus', 'kuota', 'batasan', 'payah', 'telkomsel', 'rekomendasi', 'nyesel', 'pindah', 'kartu', 'hallo', 'tolong', 'maketingnya', 'sekolahin', 'pinter', 'dikit', 'ngomongnya', '']</t>
  </si>
  <si>
    <t>['pelanggan', 'setia', 'tlkomsel', 'telkomsel', 'tolong', 'jaringan', 'diperbaiki', 'oprator', 'sekolah', 'membutuhkan', 'jaringan', 'karna', 'jaringan', 'ditempat', 'layak', 'trimakasih']</t>
  </si>
  <si>
    <t>['hallo', 'telkomsel', 'loading', 'update', 'update', 'muter', 'muter', 'jaringan', 'jelek', 'wifi', 'mbps', 'youtube', 'lancar', 'salah', 'dimana', 'salah', '']</t>
  </si>
  <si>
    <t>['beli', 'paket', 'one', 'time', 'berhasil', 'pastikan', 'penambahan', 'kuota', 'mytelkomsel', 'muncul', 'pakai', 'sebentar', 'youtube', 'muncul', 'notif', 'sms', 'pembelian', 'gagal', 'pulsa', 'hilang', 'kuota', 'promonya', 'didelete', 'otomatis', 'sistem', 'broken', 'lalai', 'update', 'promonya', '']</t>
  </si>
  <si>
    <t>['puasa', 'apk', 'telkomsel', 'error', 'parah', 'pilihan', 'paket', 'data', 'kebanyakan', 'pas', 'combo', 'sakti', 'udah', 'ilang', 'cui', 'ditelen', 'bumi', 'ayo', 'diperbarui', 'please', 'balas', 'chat', 'tunggu', '']</t>
  </si>
  <si>
    <t>['speednya', 'parah', 'lemot', 'banvet', 'edit', 'sekelas', 'game', 'ringan', 'slot', 'nge', 'lag', 'parah', 'anjirrr', '']</t>
  </si>
  <si>
    <t>['beli', 'kouta', 'unlimited', 'kouta', 'multimedia', 'habis', 'kouta', 'lelet', 'banget', 'buka', 'facebook', 'whatsapp', 'ngirim', 'vedio', 'hadeh', 'kayak', 'maaf', 'gini', 'ganti', 'kartu', 'lelet', 'banget', 'unlimited', 'tolong', 'diperbaiki', 'jaringan', 'kouta', 'multimedia', 'udah', 'kasih', 'bintang', '']</t>
  </si>
  <si>
    <t>['', 'gimana', 'paket', 'murah', 'nambah', 'jaringan', 'enak', 'paket', 'naikin', 'uang', 'habis', 'gegara', 'kuota', 'mulu', 'jaringan', 'udah', 'lag', 'nyesel', 'gue', 'telkomsel']</t>
  </si>
  <si>
    <t>['internet', 'stuck', 'lelet', 'pemakai', 'antisipasi', 'penambahan', 'kapasitas', 'beli', 'ratusan', 'ribu', 'dimengerti', 'pegawai', 'telkomsel', 'udah', 'gaji', 'gede', 'cek', 'mbak', 'inbok', 'bosan', 'mnding', 'ganti', 'provider', 'internet', 'telkomsel', 'nomer', 'dipake', 'hangus', 'capeeee']</t>
  </si>
  <si>
    <t>['pengguna', 'telkomsel', 'setia', 'paketan', 'sampe', 'sllu', 'berubah', 'kepastian', 'parah', 'kertu', 'telkomsel', 'beda', 'tarif', 'pengguna', 'murah', 'mahal', 'kartu', 'relatif', 'murah', '']</t>
  </si>
  <si>
    <t>['tolong', 'banget', 'aplikasi', 'perbaiki', 'pengguna', 'telkomsel', 'lambat', 'laun', 'aplikasinya', 'bagus', 'sampe', 'perubahan', 'kesulitan', 'masuk', 'aplikasi', 'butuh', 'durasi', 'masuk', 'aplikasi', 'berhenti', 'disayangkan']</t>
  </si>
  <si>
    <t>['puas', 'tersedia', 'check', 'ambil', 'hadiah', 'update', 'poin', 'dikumpulkan', 'pas', 'check', 'tolong', 'terima', 'kasih', '']</t>
  </si>
  <si>
    <t>['saran', 'isi', 'kuota', 'aplikasi', 'lngsng', 'bkn', 'telepon', 'krna', 'telepon', 'eror', 'pas', 'ngisi', 'kuota', 'mlh', 'gagal', 'tulisan', 'maaf', 'sistem', 'sibuk', 'mohon', 'tunggu', 'pas', 'ditunggu', 'banget', 'smpe', 'skrng', 'blm', 'isi', 'kuota', 'gmna', '']</t>
  </si>
  <si>
    <t>['cerita', 'beli', 'paket', 'unlimited', 'gb', 'habis', 'gb', 'unlimited', 'unlimited', 'youtube', 'nge', 'lag', 'nge', 'game', 'doang', 'kecewa']</t>
  </si>
  <si>
    <t>['telkomsel', 'bobrok', 'kemarin', 'kuota', 'unlimited', 'nyata', 'skrg', 'beli', 'mahal', 'unlimited', 'gb', 'doang', 'nyesel', 'beli', 'mahal', '']</t>
  </si>
  <si>
    <t>['apaa', 'sihhh', 'beli', 'kuota', 'unlimited', 'minggu', 'unlinitednya', 'niat', 'ngga', 'kecewa', 'telkonsel', 'udah', 'mahal', 'cari', 'untungnya', 'kebangetan', 'males', 'ganti', 'kartu']</t>
  </si>
  <si>
    <t>['', 'keluarga', 'pakai', 'kartu', 'sarankan', 'pakai', 'kartu', 'telkomsel', 'beli', 'pulsa', 'nambah', 'aktifnya', 'jangkauannya', 'indonesia', 'bagus', 'promo', 'promo', 'quota', 'bulannya', 'ayoo', 'ketinggalan', 'install', 'telkomsel', 'promo', 'promo', 'share', 'telkomsel', 'dapatkan', 'sukses', 'telkomsel', 'jaya', 'amin']</t>
  </si>
  <si>
    <t>['min', 'promo', 'keluarga', 'bnyk', 'promo', 'mahal', 'harganya', 'quota', 'kartu', 'udh', 'platinum', 'keluarga', 'gold', 'quota', 'disediakan', 'mahal', 'sebanding', 'orng', 'pengaadan', 'promo', 'trimakasih']</t>
  </si>
  <si>
    <t>['unlimitednya', 'lemot', 'kek', 'min', 'lokal', 'habis', 'tinggal', 'unlimited', 'lelet', 'kek', 'gini', 'knapa', 'lelet', 'bukak', 'youtube', 'boro', 'youtube', 'buka', 'snap']</t>
  </si>
  <si>
    <t>['beli', 'paket', 'data', 'telkomsel', 'pembayaran', 'shopee', 'paket', 'datanya', 'mohon', 'diperhatikan', 'trims']</t>
  </si>
  <si>
    <t>['kota', 'beli', 'paket', 'internet', 'giga', 'paket', 'kuota', 'giga', 'paket', 'lokal', 'pakai', 'kota', 'giga', 'pakai', 'daerah', 'beli', 'paket', 'mahal', 'pakai', 'payah', 'sebelumnnya', 'pilih', 'paket', 'internet', 'jaringan', 'indonesia', 'maksain', 'pelanggan', 'beli', 'paket', 'terpakai', '']</t>
  </si>
  <si>
    <t>['susah', 'ambil', 'beli', 'paket', 'promo', 'cek', 'aplikasi', 'karna', 'kuota', 'tipis', 'pulsanya', 'kemakan', 'ribu', 'asyuw', 'kejadian', 'kali', 'sebulan']</t>
  </si>
  <si>
    <t>['kecewa', 'banget', 'beli', 'unlimited', 'batas', 'wajar', 'pemakaian', 'kuota', 'utama', 'habis', 'udah', 'batas', 'wajar', 'ngirim', 'whatsapp', 'nunggu', 'kekirim', '']</t>
  </si>
  <si>
    <t>['isi', 'kuota', 'lancar', 'veronica', 'telkomsel', 'center', 'lambat', 'membantu', 'pdahal', 'pelanggan', 'telkomsel', 'persulit', 'cuman', 'isi', 'voucher', 'tolong', 'perbaiki', 'sistem']</t>
  </si>
  <si>
    <t>['telkomsel', 'kesini', 'sinyal', 'lelet', 'kecewa', 'sumpah', 'ganti', 'provider', 'ajalah', 'kartu', 'murah', 'sinyal', 'stabil', 'kartu', 'telkomsel']</t>
  </si>
  <si>
    <t>['gua', 'penguna', 'telkomsel', 'tolonglah', 'jariannya', 'perbaiki', 'gua', 'maen', 'gem', 'sampe', 'terkena', 'periatan', 'afk', 'gua', 'beli', 'paket', 'duit', 'daun', 'min', 'harga', 'sebanding', 'kualitas', 'kenapaya', 'pas', 'gua', 'maen', 'game', 'pas', 'gua', 'liat', 'vidio', 'bokep', 'kartu', 'macama', 'gua', 'udah', 'chat', 'instagram', 'telkomsel', 'respon', 'tolong', 'perbaiki', 'jaringan', 'uda', 'gitu', 'kartu', 'haram', '']</t>
  </si>
  <si>
    <t>['telkomsel', 'buruk', 'pelayannnya', 'smartfren', 'langsung', 'live', 'chat', 'gratis', 'simple', 'cepat', 'selesaikan', 'telkomsel', 'berbelit', 'belit', 'buang', 'buang', 'langsung', 'live', 'chat', 'sjgnal', 'parah', 'kalah', 'ssma', 'smartfren', 'harga', 'mahal', 'signal', 'buruk', 'kecewa', 'live', 'chat', 'langsung', 'terhubung', '']</t>
  </si>
  <si>
    <t>['kecewa', 'telkomsel', 'tenggang', 'aktifkan', 'paskabayar', 'aktif', 'review', 'youtube', 'aktifkan', 'udah', 'grapari']</t>
  </si>
  <si>
    <t>['telkomsel', 'kecewa', 'kuota', 'mahal', 'jaringan', 'lelet', 'provider', 'laen', 'gtu', 'perasaan', 'mati', 'lampu', 'jaringan', 'padam', 'telkomsel', 'provider', 'pembuat', 'kecewa', 'pelanggan', '']</t>
  </si>
  <si>
    <t>['signal', 'jaringan', 'telkomsel', 'jelek', 'banget', 'kwalitas', 'skrg', 'dibawah', 'celluler', 'berharap', 'telkomsel', 'cepat', 'selesai', 'dlm', 'perbaikan', 'jaringan', 'shg', 'terbaik', 'teratas', 'maaf', 'pas', 'komen', 'abaikan', 'mksh', '']</t>
  </si>
  <si>
    <t>['halo', 'kuota', 'game', 'max', 'dipakai', 'main', 'free', 'fire', 'udah', 'disitu', 'ditulis', 'free', 'fire', 'mending', 'tulis', 'free', 'fire', 'perjelas', 'kuota', 'flash', 'pancingan', 'terbuka', 'udah', 'pancing', 'tetep', 'kepake', 'kuota', 'flash', 'beda', 'udah', 'pancing', 'cuman', 'mobile', 'legens', 'doang', 'flash', 'tolong', 'perbaiki', 'gua', 'kasi', 'ranting', 'buruk']</t>
  </si>
  <si>
    <t>['kecewa', 'berat', 'app', 'mytelkomsel', 'kali', 'install', 'beli', 'paket', 'internet', 'pembayaran', 'shoppepay', 'transaksi', 'berhasil', 'layanan', 'internet', 'ngga', 'udah', 'mengajukan', 'bantuan', 'balasan', 'mohon', 'menunggu', 'kerja', 'pas', 'udah', 'nunggu', 'kuota', 'internet', 'ngga', 'saldo', 'udah', 'kepotong', 'transaksi', 'hilang', 'sia', 'sia', 'ngga', 'kejelasan', '']</t>
  </si>
  <si>
    <t>['gblk', 'nak', 'beli', 'paket', 'emak', 'nggak', 'ditawarin', 'internet', 'max', 'unlimited', 'anak', 'bingsul', 'pilih', 'kasih', 'plis', 'tulung', 'nak', 'beli', 'paket', 'unlimited', 'laa', '']</t>
  </si>
  <si>
    <t>['telkomsel', 'payah', 'paketan', 'mahal', 'jaringan', 'payah', 'lemot', 'gangguan', 'perbaiki', 'bnyak', 'beralih']</t>
  </si>
  <si>
    <t>['mohon', 'maap', 'yaaa', 'aplikasi', 'susah', 'dibuka', 'mslh', 'koneksi', 'sinyal', 'lancar', 'bagus', 'susah', 'cek', 'kuota', 'beli', 'paket', 'data', 'plisss', 'mohon', 'diperbaiki', 'gpp', 'emang', 'mslh', 'sinyal', 'mah', 'beda', 'nonton', 'youtube', 'lancar', 'oas', 'buka', 'aplikasi', 'susah', 'banget', 'udh', 'instal', 'ulang', 'aplikasi', 'ttp', 'lemot']</t>
  </si>
  <si>
    <t>['pindah', 'telkomsel', 'deh', 'saran', 'jaringan', 'buruk', 'harga', 'kuota', 'mahal', 'pulsa', 'kesedot', 'ngapa', 'ngapain', 'maksa', 'yasudah', 'siapin', 'mental', '']</t>
  </si>
  <si>
    <t>['suka', 'banget', 'telkomsel', 'promonya', 'bonus', 'daily', 'check', 'beli', 'paket', 'combo', 'sakti', 'telkomsel', 'langsung', 'berlangganan', 'disney', 'plus', 'hotstar', '']</t>
  </si>
  <si>
    <t>['tolong', 'aplikasi', 'telkomsel', 'perbaiki', 'susah', 'ngecek', 'data', 'beli', 'data', 'internet', 'ganguan', 'kecewa', 'jaringan', 'ganguan', 'beli', 'data', 'mahal', 'mahal']</t>
  </si>
  <si>
    <t>['sinyal', 'mah', 'full', 'buka', 'sosmed', 'youtube', 'beh', 'kebuka', 'video', 'kesini', 'parah', 'jaringannya', 'kaya', 'kesini', 'ngebut', '']</t>
  </si>
  <si>
    <t>['tolong', 'telkomsel', 'potong', 'pulsa', 'donk', 'detik', 'udah', 'kepotong', 'puluhan', 'ribu', 'coba', 'hidupin', 'data', 'doang', 'rp', 'rp', 'potong', 'pulsa', 'tpi', 'kebanyakan', 'gitu', 'donk', 'makan', 'pulsa', '']</t>
  </si>
  <si>
    <t>['telkontol', 'beli', 'pulsa', 'udah', 'dipotong', 'aktifin', 'paket', 'darurat', 'nggak', 'aktifin', 'udah', 'paketin', 'data', 'telfon', 'sms', 'motong', 'pulsa', 'pindah', 'provider', 'nggak', 'telkomsel', 'rugi']</t>
  </si>
  <si>
    <t>['telkomsel', 'yahud', 'dech', 'salah', 'paket', 'cepat', 'abisnya', 'kasih', 'keringanan', 'dikit', 'tuk', 'pelanggan', 'trm', 'ksh']</t>
  </si>
  <si>
    <t>['serius', 'gb', 'wadoo', 'banget', 'kak', 'btw', 'cari', 'doi', 'cewe', 'kerja', 'telkomsel', 'mayan', 'push', 'mikirin', 'kuota']</t>
  </si>
  <si>
    <t>['protes', 'beli', 'kuota', 'gamesmax', 'pakai', 'beli', 'paket', 'gamesmax', 'kepakai', 'internet', 'kuota', 'games', 'khusus', 'game', 'masuk', 'gamenya', 'internet', 'habis', 'kuota', 'game', 'nggak', 'masuk', '']</t>
  </si>
  <si>
    <t>['fitur', 'login', 'perbaiki', 'buka', 'logout', 'login', 'udah', 'login', 'muncul', 'sms', 'magic', 'link', 'ribet', 'ngecek', 'pulsa', 'paketan', 'butuh', 'login', 'develop', 'apps', 'pakai', 'webview', 'pakai', 'framework', 'basis', 'web', 'native', 'loading', 'berat', 'nyaman']</t>
  </si>
  <si>
    <t>['membantu', 'pembelian', 'data', 'sesuai', 'pilihan', 'signal', 'kecepatannya', 'mohon', 'sesuaikan', 'kecepatan', 'tks', '']</t>
  </si>
  <si>
    <t>['migrasi', 'pakai', 'halo', 'unlimited', 'rb', 'bayar', 'kuota', 'gb', 'habis', 'total', 'super', 'hebat', 'stlh', 'kuota', 'gb', 'habis', 'entertainment', 'unlimited', 'maxstream', 'super', 'lelet', 'telp', 'operator', 'dibuatkan', 'laporan', 'prnh', 'respons', 'helooo', 'bertahun', 'pkai', 'super', 'combo', 'sakti', 'rb', 'pakai', 'sepuasnya', 'sebulan', 'bln', 'kuota', 'gb', 'minggu', 'sop', 'solusi', 'nyesel', 'pakai', 'halo', 'kejebak', 'telp', '']</t>
  </si>
  <si>
    <t>['telkomsel', 'kemaren', 'sinyal', 'error', 'mulu', 'percaya', 'ngirim', 'kirim', 'knpa', 'byk', 'bnget', 'ganguan', 'tolong', 'perbaiki', 'terusan', 'mending', 'kartu', 'telkomsel', 'jaringan', 'kaya', 'babi', '']</t>
  </si>
  <si>
    <t>['suka', 'aplikasi', 'memudahkan', 'beli', 'paket', 'internet', 'harganya', 'beda', 'nomer', 'sebelah', 'akunnya', 'update', 'harga', 'mahal', '']</t>
  </si>
  <si>
    <t>['tolong', 'pengguna', 'telkomsel', 'paketan', 'mahal', 'mahal', 'pengguna', 'doang', 'paketan', 'murah', 'murah', 'pengen', '']</t>
  </si>
  <si>
    <t>['jujur', 'puasa', 'bohong', 'mytelkomsel', 'lemot', 'blum', 'berjalan', 'maksimal', 'rilis', 'update', 'bintang', 'turunin', 'telkomsel', 'semangat']</t>
  </si>
  <si>
    <t>['jaringan', 'jelek', 'maen', 'game', 'ngeprem', 'jaringan', 'harga', 'mahal', 'jaringan', 'stabil', 'ngga', 'kaya', 'gini', 'jaringan', 'gimana', 'nii', 'boy', 'bli', 'paket', 'rb', 'perbulan', 'jaringan', 'kaya', 'gini', 'gangguan', 'knapa', 'niii', '']</t>
  </si>
  <si>
    <t>['maaf', 'min', 'gini', 'pas', 'beli', 'telkom', 'harga', 'unlimited', 'cuman', 'ribu', 'sampe', 'sebulan', 'harga', 'mahal', 'sampe', 'ribu', 'pengen', 'pas', 'udah', 'puasa', 'harga', 'normalin', 'minimal', 'ribu', 'tolong', 'min', 'udah', 'turun', 'harga', 'kasih', 'bintang', 'mah', 'bintang', '']</t>
  </si>
  <si>
    <t>['aplikaai', 'telkomsel', 'payah', 'beli', 'paket', 'combo', 'sakti', 'telkomsel', 'metode', 'pembayaran', 'shoopepay', 'transaksi', 'berhasil', 'saldo', 'shoopepay', 'terpotong', 'paket', 'combo', 'kunjung', 'aktif', 'giliran', 'chat', 'veronika', 'tunggu', 'tanggal', 'mei', 'pas', 'tanggal', 'sabar', 'aplikasi', 'mushola', 'orang', 'udah', 'duit', 'suruh', 'sabar', 'sistem', 'aplikasi', 'telkomsel', 'amburadul']</t>
  </si>
  <si>
    <t>['pas', 'beli', 'paket', 'telkomsel', 'buka', 'menu', 'belanja', 'klik', 'internet', 'paket', 'kaya', 'gini', 'paket', 'hot', 'offer', '']</t>
  </si>
  <si>
    <t>['lumayan', 'semoga', 'selamat', 'bismillah', 'terima', 'kasih', 'kemajuan', 'kebaikan', 'solusi', 'salam', '']</t>
  </si>
  <si>
    <t>['pulsa', 'masuk', 'isi', 'shopepay', 'saldo', 'berkurang', 'pulsanya', 'masuk', 'operator', 'servis', 'makan', 'gaji', 'buta', 'bertele', 'tele', 'ribet', 'ujungya', 'masuk', 'pulsa', 'ikhlas', 'aplikasi', 'ambil', 'aplikasi', 'sampah', 'hati', 'hati', 'orang', 'terdzolimi']</t>
  </si>
  <si>
    <t>['asli', 'kecewa', 'telkomsel', 'skarang', 'semenjak', 'wifi', 'sinyal', 'telkomsel', 'kaya', 'gua', 'maen', 'games', 'apapun', 'jam', 'brapa', 'aman', 'aman', 'skarang', 'nunggu', 'jam', 'malem', 'sampe', 'asli', 'kecewa', 'gua', 'ampe', 'banting', 'gara', 'gara', 'sinyal', 'skiranya', 'ngasih', 'memuaskan', 'mending', 'bangkrut', 'udh', 'kuota', 'mahalin']</t>
  </si>
  <si>
    <t>['kecewa', 'telkomsel', 'beli', 'paket', 'unlimitedmax', 'sinyal', 'stabil', 'kuota', 'habis', 'udh', 'mah', 'harganya', 'kuota', 'unlimitednya', 'batesin', 'lemot', 'tolong', 'telkomsel', 'mending', 'paket', 'unlimitednya', 'batesin', 'kecepatannya', 'udh', 'harga', 'batasi', 'kecepatan', 'kecewa', 'telkomsel']</t>
  </si>
  <si>
    <t>['kasih', 'bintang', 'gara', 'gara', 'udah', 'minggu', 'sinyal', 'hilang', 'vivo', 'ganti', 'kartu', 'kartu', 'telkomsel', '']</t>
  </si>
  <si>
    <t>['bertahan', 'thun', 'kartu', 'putuskan', 'berhenti', 'karna', 'jaringan', 'kunjung', 'membaik', 'mohon', 'pengertian', '']</t>
  </si>
  <si>
    <t>['app', 'membantu', 'udah', 'diklik', 'paket', 'aktivasi', 'harga', 'paketnya', 'mahal', 'recommended', 'bangett', 'app']</t>
  </si>
  <si>
    <t>['kartu', 'mendaftar', 'paket', 'sms', 'berkerja', 'susah', 'jaringan', 'internet', 'tolong', 'admin', 'memproses', 'permintaan', 'mendaftar', 'paket', 'sms', '']</t>
  </si>
  <si>
    <t>['muak', 'sms', 'promo', 'trus', 'telkomsel', 'promo', 'murah', 'pas', 'klik', 'paket', 'tersedia', 'muaaaaak', 'sms', 'operator', 'telkomsel', '']</t>
  </si>
  <si>
    <t>['berhenti', 'berlangganan', 'versi', 'dipersulit', 'hapus', 'kouta', 'unlimited', 'game', 'sosmed', 'udah', 'susah', 'banget', 'sinyalnya', 'dihapus', 'tolong', 'hapus', 'paketnya']</t>
  </si>
  <si>
    <t>['kasih', 'bintang', 'puas', 'speed', 'pakai', 'paket', 'sakti', 'lelet', 'ampun', 'speed', 'udah', 'bagus', 'bintang', 'mohon', 'solusinya', '']</t>
  </si>
  <si>
    <t>['beli', 'paket', 'data', 'kuota', 'chat', 'music', 'games', 'sosmed', 'youtube', 'unlimated', 'chat', '']</t>
  </si>
  <si>
    <t>['', 'telkomsel', 'suka', 'puas', 'telkomsel', 'minusnya', 'ksh', 'usulan', 'saran', 'masukan', 'minusnya', 'pembelian', 'paketan', 'telkomsel', 'data', 'offline', 'hrs', 'ttp', 'beli', 'paket', 'data', 'telkomsel', 'org', 'abisan', 'kuota', 'data', 'offline', 'bru', 'isi', 'pls', 'isi', 'paketan', 'data', 'kga', 'offline', 'pls', 'kesedot', 'duluan']</t>
  </si>
  <si>
    <t>['astaga', 'koneksi', 'internetnya', 'buruk', 'harganya', 'mahal', 'cuaca', 'provider', 'tmpt', 'pilih', 'provider']</t>
  </si>
  <si>
    <t>['update', 'mohon', 'disediakan', 'fitur', 'mengunci', 'pulsa', 'fitur', 'lock', 'button', 'provider', 'sebelah', 'provider', 'ungu', 'provider', 'segede', 'telkomsel', 'fitur', 'mohon', 'diperhatikan', '']</t>
  </si>
  <si>
    <t>['udah', 'harga', 'paket', 'internet', 'mahal', 'isi', 'datanya', 'jujur', 'jaringan', 'taik', 'buatmain', 'game', 'mobile', 'legend', 'parah', 'kali', 'pokoknya', 'habis', 'kredit', 'skor', 'gegara', 'signal', 'buruknya', 'ampun', 'harga', 'beradu', 'mahal', 'kualitas', 'jaringan', 'game', 'parah', 'kali', 'lag', 'sialan', 'bener', '']</t>
  </si>
  <si>
    <t>['telkomsel', 'mahal', 'paket', 'mahal', 'bedah', 'harga', 'keluhan', 'suruh', 'lapor', 'lapor', 'males', 'nggk', 'tanggapan', 'poin', 'coba', 'nggk', 'tukar', 'pulsa', 'gini', 'trus', 'mending', 'pindah', 'kartu']</t>
  </si>
  <si>
    <t>['kemaren', 'kemaren', 'enak', 'unlimited', 'udah', 'fup', 'kecewa', 'minggu', 'udah', 'kena', 'fup', 'aktif', 'youtube', 'fup', 'pelanggan', 'terima', 'kasih']</t>
  </si>
  <si>
    <t>['seringin', 'promo', 'internet', 'maxstream', 'rb', 'skrg', 'udh', 'kek', 'rugi', 'beli', 'data', 'ujung', 'ujungnya', 'kesisa', 'trus', 'gara', 'gara', 'udh', 'nyampe', 'batas', 'makenya', 'rugi', 'beli', 'ujung', 'ujungnya', 'gua', 'cmn', 'gb', 'gb', 'rugi', 'beli', 'rb', 'gb', 'udh', 'rugi', 'gua', 'make', 'wifi', 'gua', 'beli', 'kuota', 'cmn', 'main', 'mangkanya', 'beli', 'rb', 'tolong', 'dibanyakin', 'promo', 'rb', '']</t>
  </si>
  <si>
    <t>['knapa', 'ahir', 'telkomsel', 'sinyalnya', 'jelek', 'pdhal', 'pengguna', 'telkomsel', 'jaringan', 'seburuk', 'jlek', 'kuota', 'susah', 'putar', 'video', 'centang', 'lelet', 'tolong', 'diperbaiki', 'wilayah', 'cianjur', 'jawa', 'barat', '']</t>
  </si>
  <si>
    <t>['jelek', 'banget', 'player', 'pakai', 'telkomsel', 'jaringannya', 'lumayan', 'pembayaran', 'telkomsel', 'mengambil', 'keuntungan', 'wajar', 'membeli', 'membership', 'mingguan', 'free', 'fire', 'harganya', 'cuman', 'ribu', 'rupiah', 'telkomsel', 'ambil', 'keuntungan', 'banget', 'telkomsel', 'ambil', 'ribu', 'rupiah', 'tambahan', 'membayar', 'ribu', 'rupiah', 'cuman', 'ribu', 'rupiah', 'telkomsel', 'titik', '']</t>
  </si>
  <si>
    <t>['paketan', 'buriq', 'sinyal', 'paketan', 'ngeleag', 'cobain', 'telkomsel', 'ehhh', 'kecewa', 'udah', 'paket', 'mahal', 'jaringan', 'ngeleag', 'sungguh', 'mengecewakan', 'main', 'game', 'sinyal', 'hilang', 'buriq']</t>
  </si>
  <si>
    <t>['kembalikan', 'paket', 'combo', 'unlimited', 'harga', 'ribu', 'harga', 'paket', 'ribu', 'kuota', 'unlimited', 'gb', 'batas', 'pemakaian', 'wajar', 'aplikasi', 'diterapkan', 'tolong', 'telkomsel', 'berbaik', 'hati', '']</t>
  </si>
  <si>
    <t>['parah', 'siih', 'pengguna', 'telkomsel', 'pemakaian', 'kartu', 'udah', 'beli', 'paketan', 'nabung', 'paket', 'combo', 'sakti', 'unlimited', 'youtube', 'sosmed', 'game', 'dll', 'udah', 'ngrasa', 'bersyukur', 'eeh', 'ganti', 'ganti', 'batasin', 'unlimited', 'gb', 'kecewa', 'siih', 'customer', '']</t>
  </si>
  <si>
    <t>['tolong', 'perbaikin', 'buka', 'aplikasi', 'mytelkomsel', 'akses', 'jaringan', 'bagus', 'buka', 'aplikasi', 'lancar', 'lancar', 'beli', 'paket', 'mytelkomsel']</t>
  </si>
  <si>
    <t>['beli', 'unlimited', 'setalah', 'kuota', 'habis', 'besok', 'sms', 'maaf', 'batas', 'kuota', 'aplikasi', 'mencapai', 'maksimum', 'gua', 'buka', 'youtube', 'susah', '']</t>
  </si>
  <si>
    <t>['jaringannya', 'lambat', 'sekian', 'kagak', 'isi', 'paket', 'data', 'bagusan', 'byu', 'bagusan', 'byu', 'jaringan', 'telkomsel', '']</t>
  </si>
  <si>
    <t>['pelanggan', 'telkomsel', 'kecewa', 'karna', 'jaringannya', 'sekencang', 'trouble', 'ampun', 'sumpah', 'lelet', 'bet', 'telkomsel', 'tolong', 'perbaiki', 'jaringannya', 'terima', 'kasih']</t>
  </si>
  <si>
    <t>['saran', 'mending', 'tutup', 'jaringan', 'telkomsel', 'mahal', 'lelet', 'ampun', 'kalah', 'jaringan', 'swasta', '']</t>
  </si>
  <si>
    <t>['aneh', 'telkom', 'kuota', 'msh', 'pulsa', 'potong', 'pakek', 'nanya', 'jam', 'tgl', 'tkp', 'nmr', 'prnah', 'hub', 'aktif', 'tenggang', 'data', 'kyak', 'gituan', 'udh', 'tinggal', 'lihat', 'nmr', 'teregistrasi', 'udh', 'kliatan', 'sistem', 'data', 'pelanggan', 'telkom', 'klw', 'nanya', 'org', 'support', 'bpk', 'bgmn', 'sistem', 'berjalan', 'tnya', 'balikin', 'pulsa', '']</t>
  </si>
  <si>
    <t>['beli', 'pulsa', 'mytelkomsel', 'pembayaran', 'shopepay', 'sukses', 'saldo', 'masuk', 'suruh', 'pelaporan', 'ribet', 'aplikasi', 'kerjasama', 'aplikasi', 'mending', 'kerjasama', 'deh', '']</t>
  </si>
  <si>
    <t>['masuk', 'aplikasinya', 'nunggu', 'konfirmasi', 'nomor', 'otomatis', 'masuk', 'jaringan', 'telkomsel', 'jelek', 'parah', 'internetan', '']</t>
  </si>
  <si>
    <t>['sya', 'beli', 'paket', 'telkomsel', 'smpai', 'paket', 'sya', 'masuk', 'saldo', 'gopay', 'berkurang', 'senilai', 'mohon', 'tindak', 'lanjuti', 'telkomsel', '']</t>
  </si>
  <si>
    <t>['kesini', 'kesal', 'kuota', 'unlimited', 'batas', 'pemakaian', 'wajar', 'puas', 'menjengkelkan', 'klw', 'gitu', 'tolong', 'konsisten', 'berubah', 'org', 'jengkel', 'konsisten', 'komplein', 'susahnya', 'ampun', 'stelah', 'terhubung', 'dibalas', 'solusisnya', 'disambungin', 'aneh', 'emang', '']</t>
  </si>
  <si>
    <t>['aplikasi', 'kaya', 'bebas', 'akses', 'gimana', 'beli', 'quota', 'aplikasi', 'trus', 'beli', 'quota', 'kepake', 'pulsa', 'quota', 'kepake', 'pulsa', 'gue', 'habis', 'dasar', 'pikir', 'beli', 'quota', 'daun', 'pikir', 'gue', 'beli', 'pulsa', 'duit', 'buyut', '']</t>
  </si>
  <si>
    <t>['woy', 'telkomsel', 'gue', 'beli', 'kouta', 'games', 'max', 'voucher', 'dunia', 'games', 'muncul', 'dipesan', 'woyy', 'korupsi', '']</t>
  </si>
  <si>
    <t>['sampah', 'aplikasi', 'perasaan', 'buka', 'reload', 'mulu', 'ampe', 'udah', 'mati', 'idup', 'mode', 'terbang', 'ttp', 'ngaruh', 'buka', 'youtube', 'maen', 'beh', 'lancar', 'mohon', 'tsel', 'perbaiki', 'fasilitas', 'pelanggan', '']</t>
  </si>
  <si>
    <t>['baguss', 'bett', 'sumpah', 'jaringan', 'udah', 'bedebesss', 'dunia', 'sangking', 'bagusnya', 'foto', 'gua', 'edit', 'susah', 'payah', 'ilang', 'gara', 'jaringan', 'bagus', 'banget', 'terima', 'kasih', 'bangettt', 'udah', 'berusaha', 'batalin', 'puasa', 'gua', 'mancing', 'emosiiiiiii', 'gua', 'emang', 'bedebesssss', 'pokoknya', 'ehh', 'telkom', 'loa', 'ama', 'gua', 'kemarin', 'gua', 'kesel', 'ama', 'marah', 'kau', 'semalam', 'kuota', 'beli', 'kau', 'kemana', 'bisanya', 'kuota', 'beli', 'tanggal', 'habis', 'tanggal', 'assssuee']</t>
  </si>
  <si>
    <t>['paketnya', 'murah', 'murah', 'paketnya', 'murah', 'murah', 'mahaltu', 'paketnya', 'gb', 'harganya', 'pasaya', 'beli', 'tmpat', 'harganya', 'veda', 'beda', 'dikurangin', 'gb', 'harganya', 'gimana', 'bingung', 'gua', '']</t>
  </si>
  <si>
    <t>['desa', 'jambon', 'dusun', 'krajan', 'kec', 'pulokulon', 'kab', 'grobogan', 'jateng', 'samping', 'rumah', 'tower', 'telkomsel', 'sinyal', 'internet', 'lemot', 'parah', 'jaringan', 'tulisan', '']</t>
  </si>
  <si>
    <t>['', 'beli', 'paket', 'gb', 'nomor', 'make', 'apk', 'beli', 'paket', 'harganya', 'rb', 'coba', 'apknya', 'pas', 'temen', 'coba', 'cariin', 'akun', 'paketnya', '']</t>
  </si>
  <si>
    <t>['', 'beli', 'paket', 'data', 'telkomsel', 'metode', 'pembayaran', 'shoppe', 'pay', 'shoppe', 'saldo', 'otomatis', 'berkurang', 'seharga', 'paket', 'beli', 'notip', 'telkomsel', 'transaksi', 'gagal', 'paket', 'data', 'nyampe', 'uang', 'huh', 'kecewa']</t>
  </si>
  <si>
    <t>['mengecewakan', 'transaksi', 'saldo', 'kepotong', 'paket', 'data', 'terima', 'laporan', 'nihil', 'menguntungkan', 'merugikan', 'nominal', 'diambil', 'pelanggan', 'dirugikan', '']</t>
  </si>
  <si>
    <t>['telkomsel', 'harga', 'paket', 'datanya', 'mahal', 'sinyal', 'lemot', 'terang', 'gua', 'kecewa', 'kenaikan', 'harga', 'paket', 'data', 'internet', 'omg', 'ribu', 'ribu', 'parah', 'perbedaan', 'harga', 'penguna', 'nomor', 'telkomsel', 'berbeda', 'paket', 'datanya', 'ayolah', 'telkomsel', 'adil', 'dikit', 'gua', 'beli', 'paket', 'data', 'hargaya', 'gua', 'mengsedih']</t>
  </si>
  <si>
    <t>['beli', 'pulsa', 'masuk', 'bayar', 'shopee', 'uangnya', 'berkurang', 'aplikasi', 'mytelkomsel', 'pembayaran', 'berhasil', 'nyesel', 'beli', 'pulsa', 'aplikasi']</t>
  </si>
  <si>
    <t>['aplikasi', 'perbarui', 'loading', 'buka', 'aplikasi', 'telkomsel', 'payah', 'pelanggan', 'setia', 'telkomsel', '']</t>
  </si>
  <si>
    <t>['pulsa', 'tersedot', 'habis', 'disitu', 'paket', 'data', 'terkejut', 'kecewa', 'telkomsel', '']</t>
  </si>
  <si>
    <t>['tolong', 'diperbaiki', 'aplikasinya', 'lambat', 'banget', 'nampilkan', 'menu', 'kadang', 'muncul', 'koneksi', 'internet', 'pakai', 'wifi', 'kenceng', 'rumah', 'buru', 'isi', 'pulsa', 'tampil', 'menunya', 'lambat', 'banget', '']</t>
  </si>
  <si>
    <t>['pesan', 'kartu', 'halo', 'online', 'situs', 'resmi', 'telkomsel', 'paket', 'ribu', 'pembayaran', 'pakai', 'link', 'disayangkan', 'kartu', 'dikirim', 'kirim', 'minggu', 'keterangan', 'penipu', 'telkomsel']</t>
  </si>
  <si>
    <t>['saran', 'telkomsel', 'tolong', 'perbaiki', 'pengaksesan', 'internet', 'pulsa', 'sedikir', 'risih', 'penggunaan', 'data', 'internet', 'habis', 'otomatis', 'termakan', 'pulsa', 'tolong', 'bedakan', 'penggunaan', 'pulsa', 'paket', 'paket', 'internet', 'habis', 'pulsanya', 'termakan', 'harapan', '']</t>
  </si>
  <si>
    <t>['permisi', 'maafin', 'temen', 'temen', 'kasar', 'berkomentar', 'min', 'keluhan', 'aplikasi', 'telkomsel', 'sign', 'bertuliskan', 'unstable', 'connection', 'situasi', 'jaringan', 'dirumah', 'aman', 'aman', 'mohon', 'bantuannya', 'min', 'terimakasih', '']</t>
  </si>
  <si>
    <t>['balikin', 'combo', 'sakti', 'unlimited', 'unlimited', 'apps', 'fupnya', 'batasi', 'kuota', 'utama', 'habis', 'kmaren', 'maksimal', 'kbps', 'kbps', 'kecewa', 'udah', 'kali', 'beli', 'didowngrade', 'maaf', 'bintang', 'ubah', 'balikin', 'thanks', '']</t>
  </si>
  <si>
    <t>['gunanya', 'aplikasi', 'servernya', 'lambat', 'disconect', 'point', 'bnyk', 'redeem', 'alasan', 'sistem', 'sibuk', 'telkomsel', 'buruk', 'mgkin', 'tukar', 'telco', '']</t>
  </si>
  <si>
    <t>['lumayan', 'sinyal', 'bagus', 'nilai', 'semoga', 'bagus', 'kedepannya', 'kalah', 'provider', 'bermunculan', '']</t>
  </si>
  <si>
    <t>['beli', 'paket', 'combo', 'sakti', 'gb', 'unlimited', 'udah', 'kuota', 'utama', 'habis', 'unlimited', 'beli', 'burukk', 'banget', '']</t>
  </si>
  <si>
    <t>['pemberitahuan', 'via', 'sms', 'kadang', 'menakutkan', 'konsumen', 'kuota', 'abis', 'pas', 'check', 'nakutin', 'konsumen', 'bayar', 'bulanan', 'pemakaian', 'bayar']</t>
  </si>
  <si>
    <t>['min', 'knpa', 'telkomsel', 'min', 'jaringan', 'ilang', 'timbul', 'kadang', 'sebentar', 'enak', 'main', 'hilang', 'tolong', 'jelasin', 'min', 'gini', 'kecewa', 'ama', 'telkomsel']</t>
  </si>
  <si>
    <t>['assalamualaikum', 'login', 'apk', 'telkom', 'bacaannya', 'koneksi', 'stabil', 'makai', 'wifi', 'trs', 'coba', 'pakai', 'paket', 'tolong', 'beli', 'pakettttttttttt', '']</t>
  </si>
  <si>
    <t>['splikasi', 'telkomsel', 'gabisa', 'buka', 'hapus', 'instal', 'tetep', 'gabisa', 'buka', 'sinyal', 'penuh', 'mohon', 'pencerahan', '']</t>
  </si>
  <si>
    <t>['puluhan', 'thn', 'pakai', 'telkomsel', 'sampa', 'detik', 'prodak', 'menawarkan', 'siknal', 'bagus', 'lelet', 'eeehhhh', 'lampau', 'oooooccc', 'pokoke', 'lang', 'terkataken', 'telkomsel', 'one', 'hadt', '']</t>
  </si>
  <si>
    <t>['kecewa', 'pelanggan', 'paket', 'swadaya', 'slama', 'udah', 'ilanginn', 'paketnya', 'trakhir', 'memakai', 'paket', 'data', 'simpati', 'mahal', 'karna', 'terpaksa', 'beli', 'pulsa', 'terimakasih']</t>
  </si>
  <si>
    <t>['kecewa', 'sulit', 'mengakses', 'telkomsel', 'alasan', 'connection', 'membuka', 'data', 'informasi', 'jaringan', 'bermasalah', '']</t>
  </si>
  <si>
    <t>['tertipu', 'paket', 'gamemax', 'kuota', 'utama', 'terpakai', 'kuota', 'gamemaxnya', 'pulsa', 'abis', 'kesedot', 'paket', 'unlimited', 'fup', 'unlimited', 'namanya', '']</t>
  </si>
  <si>
    <t>['mohon', 'maaf', 'telkomsel', 'kenap', 'pulsa', 'ambil', 'pulsa', 'say', 'ribu', 'tolong', 'kakak', 'telkom', 'emang', 'kouta', 'udah', 'abis', 'kasih', 'langsung', 'ambil', 'pulsa', 'balikin', 'pulsa', 'kakak', 'susah', 'cari', 'duit', 'beli', 'pulsa', 'teru', 'rugi', 'kak', 'kakak', 'awas', 'gitu']</t>
  </si>
  <si>
    <t>['beli', 'pulsa', 'telkomsel', 'pembayaran', 'via', 'shopepay', 'saldo', 'kepotong', 'pulsa', 'gam', 'masuk', 'jaringan', 'jelek', 'beli', 'kuota', 'unlimited', 'batesi', 'auto', 'ganti', 'kartu', 'gini']</t>
  </si>
  <si>
    <t>['buka', 'aplikasi', 'telkomsel', 'crash', 'system', 'muncul', 'google', 'play', 'berhenti', 'perawatan', 'perangkat', 'berhenti', 'sysdefault', 'berhenti', 'dll', 'restart', 'hpnya', '']</t>
  </si>
  <si>
    <t>['sensitif', 'jaringan', 'dikit', 'disconecting', 'operator', 'telkomsel', 'aplikasi', 'ngeblank', 'aplikasi', 'amatiran', 'bintang', 'dri', 'nilai', 'ketidak', 'puasan', 'trimakasih']</t>
  </si>
  <si>
    <t>['gajelas', 'babget', 'kuota', 'tulisan', 'mengakses', 'internet', 'tarif', 'non', 'paket', 'hilang', 'pulsa', '']</t>
  </si>
  <si>
    <t>['paket', 'gamemax', 'genshin', 'impact', 'dlam', 'pemakain', 'data', 'bermain', 'genshin', 'mnggunakan', 'sdikit', 'kuota', 'drpda', 'game', 'lainya', 'tpi', 'update', 'game', 'genshin', 'jdi', 'bsa', 'pikirkan', 'ulang', 'memasukan', 'game', 'genshin', 'impact', 'kuota', 'gamemax', 'pleaseee']</t>
  </si>
  <si>
    <t>['selamat', 'paket', 'nelpon', 'sepuasnya', 'tsel', 'mnt', 'allopr', 'aktif', 'berlaku', 'tgl', 'pkl', 'wib', 'cek', 'status', 'berhenti', 'berlangganan', 'telkomsel', 'apps', 'hub', 'info', 'pailit', 'telkomsel', '']</t>
  </si>
  <si>
    <t>['kenaikan', 'harga', 'kuota', 'signifikan', 'berani', 'ambil', 'harga', 'fantastis', 'pusing', 'pengguna', 'kelonggaran', 'harga', 'menjelang', 'raya', 'gini', 'udah', 'kaya', 'harga', 'sembako', 'dahhh']</t>
  </si>
  <si>
    <t>['argghh', 'kali', 'login', 'kali', 'verifikasi', 'reload', 'teruss', 'bagussnya', 'connection', 'unstable', 'browse', 'lancar', 'jaya', 'giliran', 'buka', 'apk', 'super', 'lelet']</t>
  </si>
  <si>
    <t>['rekomendadi', 'karti', 'perdana', 'signyalnya', 'enak', 'telkomsel', 'signyalmu', 'udah', 'andelin', 'paket', 'mahal', 'singnyal', 'lemahin', 'namanya', 'sebanding', 'harga', 'perbaiki', 'buang', 'ganti', 'murah', 'signyal', 'kuat', 'byee', 'telkomsel', 'selamat', 'perdana', '']</t>
  </si>
  <si>
    <t>['tolong', 'penjelasannya', 'telkomsel', 'quota', 'multimedia', 'gb', 'combo', 'unlimited', 'chat', 'music', 'games', 'sosmed', 'youtube', 'terpakai', 'pakai', 'quota', 'internet', 'rugi', 'beli', 'rb', 'combo', 'daet', 'unlimited', 'multimedia', 'gb', 'terpakai', '']</t>
  </si>
  <si>
    <t>['kualitas', 'naikan', 'naikan', 'harga', 'paket', 'unlimited', 'batas', 'wajar', 'atur', 'unlimited', 'namanya', 'unlimited', 'embel', 'unlimited', '']</t>
  </si>
  <si>
    <t>['tolong', 'hapus', 'unlimated', 'nipu', 'unlimated', 'batesin', 'coba', 'belajar', 'kamus', 'bahasa', 'enggreees', 'arti', 'unlimated', '']</t>
  </si>
  <si>
    <t>['telkomsel', 'siyal', 'jelek', 'banget', 'main', 'online', 'leg', 'parah', 'banget', 'nggak', 'kaya', 'siyal', 'bagus', 'jelek', 'banget', 'harga', 'kuota', 'combo', 'sakit', 'dulunya', 'aduh', 'parahhhhh', '']</t>
  </si>
  <si>
    <t>['gimana', 'beli', 'kuota', 'telkomsel', 'via', 'shopeepay', 'shopee', 'udah', 'berhasil', 'kuota', 'ampe', 'detik', 'masuk', 'masuk', 'biasanaya', 'gini', 'jaringan', 'telkomsel', 'simpati', 'telkomsel', 'kartu', 'haloo', 'jaringannya', 'stabil', 'kota', 'ngak', 'plngkampung', 'gimana', 'solusinya', 'coba', 'matiin', 'udah', 'restart', 'udah', 'updet', 'apk', 'udah', '']</t>
  </si>
  <si>
    <t>['harga', 'mahal', 'siknal', 'ancur', 'beres', 'telkomsel', 'langganan', 'mahal', 'harganya', 'im', 'murah', 'separoh', 'harganya', 'makek', 'mending', 'mikir']</t>
  </si>
  <si>
    <t>['paket', 'internet', 'habis', 'jam', 'malam', 'takut', 'pulsa', 'utama', 'kepakai', 'paket', 'internet', 'habis', 'daftar', 'paket', 'internet', 'ditelkomsel', 'pemberitahuan', 'aktif', 'internet', 'habis', 'malam', 'salah', 'membaca', 'teliti', 'kecewa', 'program', 'internet', 'telkomsel']</t>
  </si>
  <si>
    <t>['paketan', 'unlimited', 'gb', 'batasi', 'cma', 'gada', 'pemberitahuan', 'kaya', 'gini', 'mending', 'pindah', 'operator', 'udah', 'enak', 'kaya', 'kemaren', 'ganti', 'paketan', 'pemberitahuan', 'parah', '']</t>
  </si>
  <si>
    <t>['kecewa', 'jaringan', 'telkomsel', 'paket', 'lelet', 'astaghfirullah', 'kecewa', 'tolong', 'diperbaiki', 'harga', 'mahal', 'jaringan', 'bermasalah', '']</t>
  </si>
  <si>
    <t>['parah', 'aplikasi', 'bagus', 'diperbaharui', 'eror', 'dibukaaaaaa', 'cek', 'pulsa', 'cek', 'beli', 'kuota', 'menu', 'jadul', '']</t>
  </si>
  <si>
    <t>['jaringannya', 'rusak', 'kaya', 'main', 'game', 'koneksi', 'sinyalnya', 'turun', 'kecewa', 'jaringan', 'burik', '']</t>
  </si>
  <si>
    <t>['hancur', 'parah', 'sinyal', 'telkomsel', 'ampun', 'pakai', 'and', 'jaringan', 'uda', 'puluhan', 'pakai', 'telkomsel', 'kali', 'kecewa', 'tolong', 'perbaikin', 'jaringan', '']</t>
  </si>
  <si>
    <t>['bisanya', 'maaf', 'ngk', 'dibenerin', 'ngk', 'butuh', 'maaf', 'butuh', 'bukti', 'rugi', 'beli', 'paket', 'mahal', 'kualitas', 'rendah', 'kalok', 'sukses', 'kayak', 'orang', 'korupsi', 'ngambil', 'keuntungn', 'ngk', 'bukti', 'apapun']</t>
  </si>
  <si>
    <t>['kek', 'sinyalnya', 'pelanggan', 'koneksi', 'enak', 'jdi', 'karuan', 'chatingan', 'susah', 'mohon', 'developer', 'perbaiki', '']</t>
  </si>
  <si>
    <t>['mohon', 'maaf', 'bintang', 'karna', 'kemarin', 'pulsa', 'hilang', 'dipakai', 'pelayanan', 'bagus', 'hilang', 'pulsa', 'paketan', 'pakai', 'telfon', 'pakai', 'pulsa', 'karna', 'pakai', 'internet', 'dahlah', 'gakpapa', 'pulsa', 'hilang', 'rejeki', 'semoga', 'perbaikan', 'hilang', 'pulsa', 'terimakasih']</t>
  </si>
  <si>
    <t>['paket', 'data', 'unlimited', 'akses', 'internetnya', 'dibatasi', 'gratis', 'chat', 'sosial', 'media', 'udah', 'dipakek', 'kalok', 'kyk', 'gini', 'ganti', 'kartu', 'udah', 'sinyalnya', 'jelek', 'banget', 'kecewa', 'telkomsel']</t>
  </si>
  <si>
    <t>['beli', 'paket', 'unlimited', 'games', 'youtube', 'sosmed', 'kuota', 'utama', 'habis', 'akses', 'karna', 'kecepatan', 'internet', 'kb', '']</t>
  </si>
  <si>
    <t>['promo', 'ditampilkan', 'telkomsel', 'dibeli', 'sms', 'broadcast', 'ditampilkan', 'telkomsel', 'pikir', 'pantes', 'beralih', 'telkomsel']</t>
  </si>
  <si>
    <t>['maaf', 'komplain', 'telkomsel', 'lite', 'klu', 'telkomsel', 'sulit', 'masuknya', 'verifikasi', 'nomornya', 'klik', 'link', 'dikirim', 'admin', '']</t>
  </si>
  <si>
    <t>['coment', 'baruu', 'keselllllllll', 'pokoke', 'udh', 'update', 'tetep', 'link', 'masuknya', 'invalid', 'bintang', 'merah', 'sihh', 'coment', 'abis', 'beli', 'pulsa', 'niatnya', 'beli', 'paket', 'ehh', 'tb', 'pulsa', 'berkurang', 'keluhan', 'bpk', 'mohon', 'perbaiki', 'lalod', 'apknya', 'hmm', 'serasa', 'ganti', 'kartu']</t>
  </si>
  <si>
    <t>['aplikasi', 'bagus', 'banget', 'tuhan', 'kasih', 'promo', 'besaran', 'intinya', 'makasih', 'lopyu', 'mytelkomsel', 'apk', 'bagus', 'jodoh', 'apk', 'buktinya', 'kecewa', 'nyimpan', 'apk', '']</t>
  </si>
  <si>
    <t>['sinyal', 'internet', 'telkomsel', 'daerah', 'jelek', 'simpati', 'bagus', 'sinyal', 'jelek', 'tolong', 'perbaiki', 'sinyal', 'internet', 'daerah', 'kartu', 'perdana', 'sinyal', 'kadang', 'bagus', 'sinyal', 'alamat', 'kel', 'keturen', 'deket', 'kantor', 'kelurahan', 'keturen', 'kec', 'tegal', 'selatan', 'kota', 'tegal', 'jateng', 'kartu', 'perdana', 'signal', 'sinyal', 'normal', 'normal']</t>
  </si>
  <si>
    <t>['aplikasi', 'muter', 'ajj', 'jaringan', 'mnyebalkan', 'susah', 'pokok', 'udah', 'asik', 'kaya', 'pdhl', 'telkomsel', 'terkenal', 'kartu', 'pling', 'mahal', 'lho', 'mahal', 'beli', 'lancar', 'jaya', 'skrg', 'ndeh', 'boro', 'ngeluh', 'mulu', '']</t>
  </si>
  <si>
    <t>['selamat', 'paket', 'aktif', 'berlaku', 'tgl', 'pkl', 'wib', 'cek', 'status', 'berhenti', 'berlangganan', 'telkomsel', 'apps', 'hub', 'info', 'beli', 'perbaikin']</t>
  </si>
  <si>
    <t>['telkomsel', 'khan', 'pelangan', 'setia', 'kasih', 'rejeki', 'nyambung', 'hidup', 'anaku', 'doakan', 'pengurus', 'ambil', 'telkomsel', 'tambahkan', 'rejeki', 'kesehatan', 'sll', 'lindungan', 'tuhan', 'gbu', 'always']</t>
  </si>
  <si>
    <t>['aplikasi', 'bagus', 'mahasiswa', 'membutuhkan', 'kuota', 'internet', 'menerus', 'membantu', 'banget', 'biaya', 'pembelian', 'paket', 'kuota', 'murah']</t>
  </si>
  <si>
    <t>['saran', 'tambahin', 'fitur', 'kunci', 'pulsa', 'pulsa', 'ilang', 'kali', 'pulsa', 'ilang', 'tolong', 'pertimbangakan', 'rugi', 'kali', 'pengurangan', 'pulsa', 'engak', 'pakek', 'langsung', 'ilang', 'langsung', 'puluhan', 'ribu']</t>
  </si>
  <si>
    <t>['kartu', 'kek', 'gini', 'ngeleg', 'kali', 'ajg', 'main', 'game', 'kalah', 'muli', 'gara', 'kartu', 'wkwkw', 'tobat', 'telkomsel', 'next', 'deh', 'always', 'ngelag', 'browsing', 'game', 'gada', 'bagus', 'nyaa', 'bobrok', 'otw', 'ganti', 'kartu']</t>
  </si>
  <si>
    <t>['dlu', 'telkomsel', 'top', 'lancar', 'pokoknya', 'skrg', 'jelek', 'sinyal', 'gada', 'samsek', 'ngegame', 'ping', 'merah', 'diatas', 'kalah', 'provider', 'pintarteman', '']</t>
  </si>
  <si>
    <t>['jaringan', 'stabil', 'lokasi', 'dipertengahan', 'kota', 'jaringan', 'koneksi', 'kejadian', 'merugikan', 'pelanggan', '']</t>
  </si>
  <si>
    <t>['', 'becus', 'appsnya', 'berat', 'speknya', 'high', 'tokped', 'fiturnya', 'macem', 'enteng', 'transaksi', 'pulsa', 'doank', 'berat', 'banget', 'kayaknya', 'harga', 'udah', 'mahal', 'lari', 'kemana', '']</t>
  </si>
  <si>
    <t>['mencengangkan', 'iphone', 'telkomsel', 'rmh', 'tingkat', 'download', 'salah', 'jenis', 'norma', 'berlaku', 'indonesia', 'rmh', 'tingkat', 'start', 'this', 'rental', 'motor', 'guru', 'kak', 'paket', 'jalan', 'guru', 'kak', 'seto', 'mulyadi', 'penggeledahan', 'penyitaan', 'mobil', 'kak', 'dewi', 'persik', 'nyimak', 'nyimak', 'zdi', 'kirim', 'via', 'jne', 'rmh', 'nenek']</t>
  </si>
  <si>
    <t>['hai', 'udah', 'kartu', 'emang', 'telkomsel', 'sii', 'bagus', 'kendala', 'coba', 'komunikasikan', 'telkomsel', 'diselesaikan', 'terima', 'kasih', '']</t>
  </si>
  <si>
    <t>['mohon', 'telkomsel', 'isi', 'pulsa', 'bonus', 'kuota', 'karna', 'kartu', 'im', 'gratisan', 'kartu', 'telkomsel', 'gratisan', 'kecewa', 'perlakuan', 'telkomsel', '']</t>
  </si>
  <si>
    <t>['minggu', 'kebelakang', 'jaringan', 'telkomsel', 'jelek', 'banget', 'temen', 'tetangga', 'jelek', 'jelek', 'orang', 'mengeluh', 'kuota', 'mahal', 'walupun', 'ultimated', 'jaringannya', 'jelek', 'rusakdan', 'menjengkelkan', 'harga', 'mahal', 'dukung', 'jaringan', 'bagus', 'daerah', 'jaringan', 'telkomsel', 'bagus', 'semenjak', 'ultimated', 'jaringan', 'jeeeelek', 'bangeeeeeet', 'pusing', 'jengkel', 'banget', 'kuaota', 'awet', 'duluan', 'habis']</t>
  </si>
  <si>
    <t>['gimana', 'telkomsel', 'ngawur', 'paket', 'dibeli', 'mahal', 'sinyal', 'dikampung', 'jelek', 'jaringan', 'nntn', 'vidio', 'vid', 'call', 'menghubungkan', 'pdhal', 'susah', 'produk', 'mahal', 'sinyal', 'jelek', 'pdhal', 'sinyal', 'dikampung', 'telkomsel', 'lancar', 'gini']</t>
  </si>
  <si>
    <t>['aplikasi', 'mytelkomsel', 'bobrok', 'mengecewakan', 'promo', 'urus', 'aplikasinya', 'becus', '']</t>
  </si>
  <si>
    <t>['pengguna', 'telkomsel', 'setia', 'tolonglah', 'min', 'jaringannya', 'diperbaiki', 'main', 'game', 'sampe', 'terkena', 'peringatan', 'afk', 'beli', 'kuota', 'duit', 'min', 'harga', 'sesuai', 'kualitas', 'cba', 'chat', 'instagram', 'telkomsel', 'pengeluhan', 'respon', 'mohon', 'perbaiki', 'jaringannya', 'min', 'mohon', 'harga', 'kualitas', 'jaringan', 'jga', '']</t>
  </si>
  <si>
    <t>['trimakasih', 'menemani', 'atnya', 'gmati', 'oprator', 'udah', 'enak', 'ehhh', 'kecewain', 'sakit', 'hati', 'sehh', 'unlimited', 'max', 'fup', 'maksdnya', 'padahl', 'orng', 'laku', 'jga', 'ehhh', 'tsel', 'banget', 'kecewa', 'kecewa', '']</t>
  </si>
  <si>
    <t>['masuk', 'daftar', 'ulang', 'udah', 'daftar', 'ulang', 'koneksi', 'buruk', 'masuk', 'daftar', 'ulang', 'nomor', 'aktif', 'pulsa', 'isi', 'kartu', 'nggak', 'kendala', 'sms', 'pemberitahuan', 'eror', 'aplikasinya', 'bodoh']</t>
  </si>
  <si>
    <t>['ribet', 'bayar', 'tagihan', 'virtual', 'account', 'trus', 'skr', 'pakai', 'ovo', 'linkaja', 'shopeepay', 'kredit', 'card', 'debit', 'nggak', 'bisnis', 'yaaa', 'bisnis', 'kali', 'laaah', 'maksain', 'hrs', 'partner', 'payment', 'telkomsel', 'nggak', 'berubah', 'masyarakat', 'percaya', 'dul', 'bayar', 'susah', 'dpt', 'keuntungan', 'bohong', 'percaya', 'pret', 'telkomsel']</t>
  </si>
  <si>
    <t>['jaringan', 'telkomsel', 'jelassss', 'menyarankan', 'ganti', 'kartu', 'keluhan', 'tekomsel', 'tanggapi', 'jancccooooookk', 'telkomsel']</t>
  </si>
  <si>
    <t>['pengalaman', 'pakai', 'telkom', 'knapa', 'kuota', 'cepat', 'banget', 'ketarik', 'wktu', 'jam', 'udah', 'ngabisin', 'cek', 'pengaturan', 'data', 'seluler', 'pengeluaran', 'kuota', 'gini', 'kuota', 'blh', 'udah', 'nonton', 'yutub', 'tolong', 'perbaiki', 'yaa', 'udh', 'bnyak', 'uang', 'keluarin', 'pembelian', 'kuota', 'udah', 'diperbaiki', 'bintangnya', 'terima', 'kasih', '']</t>
  </si>
  <si>
    <t>['beli', 'kartu', 'unlimited', 'aplikasi', 'youtube', 'instragram', 'habis', 'kouta', 'utama', 'sebentar', 'unlimited', 'aktif', 'dasar', 'penipu', 'kau', 'telkomsel', 'cari', 'provider', 'dasar', 'penipu']</t>
  </si>
  <si>
    <t>['aplikasi', 'njengjelin', 'cek', 'pulsa', 'beli', 'paket', 'payahnya', 'ampun', 'kirim', 'link', 'via', 'sms', 'browsing', 'taik', 'coba', 'utama', 'kenyamanan', 'pelanggan', 'pakai', 'provider', 'bayar', 'beli', 'paket', 'serius', 'sinyal', 'main', 'main', '']</t>
  </si>
  <si>
    <t>['min', 'kenpa', 'skrang', 'telkomsel', 'gangguan', 'sistem', 'kadg', 'jam', 'menghbiskan', 'transaksi', 'paket', 'ok', 'skarang', 'lemot', 'padhal', 'beberpa', 'kali', 'sya', 'hpus', 'cache', 'data', 'mohon', 'perbaiki', 'min', 'thx']</t>
  </si>
  <si>
    <t>['harga', 'sesuai', 'kualitas', 'kualitas', 'jaringan', 'sampah', 'provider', 'bagus', 'indonesia', 'provider', 'tersampah', 'indonesia', 'iya', 'pungkiri', 'emng', 'telkomsel', 'mahal', 'doang', 'kualitas', '']</t>
  </si>
  <si>
    <t>['pulsa', 'habis', 'fitur', 'axis', 'lock', 'pulsanya', 'paket', 'internet', 'mahal', 'oklah', 'mahal', 'sinyal', 'dibenerin', 'paket', 'mahal', 'mahal', 'sinyal', 'jelek', '']</t>
  </si>
  <si>
    <t>['terimakasih', 'telkomsel', 'menang', 'dibandingkan', 'provider', 'segi', 'manapun', 'kemudahan', 'telkomsel', 'harga', 'kualitas', 'jam', 'susah', 'sinyal', 'ditingkatkan', 'terkait', 'permasalahan']</t>
  </si>
  <si>
    <t>['jaringan', 'jelek', 'mahal', 'janji', 'manis', 'promo', 'siluman', 'serba', 'hoax', 'jaringan', 'internet', 'lelet', 'lelet', 'jaringan', 'bekicot', 'bekicot', 'cepat', 'tolonglah', 'kasih', 'promo', 'cuman', 'promosi', 'doang', 'realisasi', 'pelanggan', 'kecewa', 'provider', 'bintang', 'bintang']</t>
  </si>
  <si>
    <t>['membeli', 'ketengan', 'youtube', 'pakai', 'kecewa', 'mending', 'ganti', 'ajalah', 'pulsa', 'melayang', 'kuota', 'pakai', 'ngk', 'pengembalian', 'dana', 'mending', 'ganti', 'ajalah']</t>
  </si>
  <si>
    <t>['kecewa', 'telkomsel', 'beli', 'paket', 'combo', 'sakti', 'max', 'pas', 'dipake', 'nge', 'game', 'ngelag', 'parah', 'dahlah', 'beli', 'paket', 'telkomsel', 'terimakasih', 'ketidak', 'nyamanan', '']</t>
  </si>
  <si>
    <t>['perbaikan', 'jaringan', 'sinyal', 'memperbaiki', 'tutup', 'telkomsel', 'langganan', 'telkomsel', 'langganan', 'rugi', 'sinyalnya']</t>
  </si>
  <si>
    <t>['pakai', 'mengisi', 'cover', 'kuota', 'isi', 'timbul', 'tulisan', 'maaf', 'sistem', 'sibuk', 'silakan', 'coba', 'sibuk', 'mulu', 'terimakasih']</t>
  </si>
  <si>
    <t>['kuota', 'unlimited', 'kena', 'batas', 'wajar', 'kuota', 'unlimited', 'batas', 'wajar', 'haduh', 'udah', 'beli', 'mahal', 'mahal', 'ehh', 'gataunya', 'batasi', 'uhh', 'gatau', 'deh', 'telkomsel']</t>
  </si>
  <si>
    <t>['tolong', 'yaa', 'kemaren', 'bagus', 'apl', 'koq', 'aneh', 'jaringan', 'bagus', 'koneksi', 'cek', 'bli', 'kuota', 'susah', 'mesti', 'refres', 'berkali', 'kadang', 'instal', 'ulang', 'sbentar', 'hapus', 'cache']</t>
  </si>
  <si>
    <t>['support', 'kek', 'kambing', 'gua', 'udh', 'coba', 'hubungi', 'lwt', 'twitter', 'gmail', 'gada', 'respon', 'kemarin', 'beli', 'perdana', 'paketin', 'unlimax', 'beli', 'grapari', 'kokas', 'gua', 'byr', 'kartu', 'perdana', 'tsb', 'kuota', 'utamanya', 'gb', 'udh', 'paket', 'unlimax', 'sesampainya', 'dirumah', 'ngecek', 'ehh', 'gada', 'paket', 'unlimaxnya', 'konfirmasi', '']</t>
  </si>
  <si>
    <t>['kuota', 'unlimited', 'berlaku', 'fup', 'pembatasan', 'tolong', 'telkomsel', 'jadikan', 'unlimited', 'telkomsel', 'kayak', 'dibatasi', 'males', 'telkomsel', 'gini', 'tolong', 'jadikan', 'fup']</t>
  </si>
  <si>
    <t>['paket', 'combo', 'sakti', 'best', 'deal', 'koq', 'min', 'perbulan', 'cuman', 'sms', 'muncul', 'pas', 'diklik', 'linknya', '']</t>
  </si>
  <si>
    <t>['update', 'ngebleng', 'putih', 'susah', 'buka', 'coba', 'hidupkan', 'ulang', 'tetep', 'bleng', 'putih', 'gimana', 'telkomsel', 'susah', 'gini', 'masuk']</t>
  </si>
  <si>
    <t>['update', 'keseringan', 'aplikasi', 'ngk', 'kemajuan', 'lelet', 'ampun', 'jaringan', 'pelanggan', 'setia', 'telkomsel', 'udah', 'smp', 'pakai', 'telkomsel', 'kecewa']</t>
  </si>
  <si>
    <t>['hadeh', 'paket', 'unlimitedmax', 'pemakaian', 'batas', 'wajar', 'telkomsel', 'ngubah', 'paketnya', 'pemberitahuan', 'ngotak', 'kom']</t>
  </si>
  <si>
    <t>['senang', 'layanan', 'paket', 'data', 'telkomsel', 'kali', 'harga', 'paket', 'mahal', 'unlimited', 'batasi', 'kecewa', 'pindah', 'kartu', 'operator', 'jaringan', 'kesini', 'jelek', 'nambah', 'bagus', 'harga', 'paket', 'mahal', 'nanya', 'puas', 'rugi', '']</t>
  </si>
  <si>
    <t>['aplikasi', 'telkomsel', 'membantu', 'mempermudah', 'cek', 'sisa', 'pulsa', 'data', 'telkomsel', 'telkomsel', 'wifi', 'seandainya', 'warga', 'negeri', 'mengganti', 'kartu', 'beli', 'voucer', 'wifi', 'diseluruh', 'pelosok', 'jaringan', 'provider', 'telkomsel', '']</t>
  </si>
  <si>
    <t>['tolonglah', 'telkomsel', 'menghapus', 'sistem', 'fup', 'kuota', 'menyusahkan', 'pemakai', 'iming', 'iming', 'unlimited', 'sinyal', 'diperlambat', 'ulasan', 'terimakasih']</t>
  </si>
  <si>
    <t>['nomornya', 'pakai', 'udah', 'pindah', 'operator', 'aplikasi', 'pesen', 'paketan', 'nyedot', 'paketan', 'coba', 'cek', 'pas', 'buka', 'app', 'ntar', 'keliatan', 'kecepatan', 'aneh', 'emang', 'pengen', 'paketan', 'pelanggannya', 'habis', 'gimana', '']</t>
  </si>
  <si>
    <t>['kecewa', 'banget', 'upgrade', 'susah', 'banget', 'make', 'aplikasinya', 'klaim', 'hadiah', 'daily', 'check', 'veronika', 'veronikanya', 'ngasih', 'pengguna', 'tmbah', 'bingung', 'tolong', 'diperbaiki', '']</t>
  </si>
  <si>
    <t>['developer', 'mending', 'unlimited', 'kaya', 'duluin', 'batas', 'wajar', 'kecewa', 'konsep', 'kaya', 'operator', 'sebelah', 'kecewa', 'banget', 'diubah', 'udah', 'gede', 'keluarin', 'uang', 'unlimitted', 'namanya', 'batasan', 'konsep', 'poin', 'voucher', 'hadiah', 'gmn', '']</t>
  </si>
  <si>
    <t>['jaringanya', 'mantap', 'sayang', 'paket', 'unlimited', 'max', 'berisi', 'batas', 'pemakaian', 'wajar', 'fup', 'sedih', 'kecewa', 'pindah', 'jaringan', 'unlimited', 'turbo', 'terimakasih', 'telkomsel', 'menemani', '']</t>
  </si>
  <si>
    <t>['paketan', 'mahal', 'pulsa', 'kesedot', 'sinyal', 'buruk', 'off', 'mode', 'pesawat', 'tetep', 'jelek', 'telkomsel', 'kali', 'keluhan', 'parah', 'banget', 'kecewa', 'tolong', 'perbaiki', '']</t>
  </si>
  <si>
    <t>['jaringan', 'beli', 'paket', 'mahal', 'telkomsel', 'karna', 'butuh', 'unlimited', 'perbulan', 'ngambil', 'paket', 'lancar', 'lancar', 'sampe', 'sebulan', 'full', 'gada', 'gangguan', 'jaringan', 'ehh', 'telkomselnya', 'ketagihan', 'nyari', 'tambahan', 'thr', 'jaringan', 'full', 'koneksinya', 'jalan', 'disuruh', 'daftar', 'internet', 'nyaman', 'banget', '']</t>
  </si>
  <si>
    <t>['pengguna', 'kartu', 'halo', 'tolong', 'diperbaiki', 'sinyal', 'aplikasinya', 'buruk', 'muak', 'provider', 'lantas', 'mendengarkan', 'keluhan', 'pelanggan', 'terima', 'kasih']</t>
  </si>
  <si>
    <t>['maaf', 'telkomsel', 'kartu', 'paket', 'combo', 'sakti', 'gb', 'butuh', 'banget', 'kuota', 'kuota', 'daftar', 'keranjang', 'mahal', '']</t>
  </si>
  <si>
    <t>['error', 'chat', 'veronika', 'terhubung', 'chat', 'dibalas', 'dibaca', 'pilih', 'paket', 'unlimited', 'jam', 'malam', 'berlaku', 'jam', 'ganti', 'hangus', '']</t>
  </si>
  <si>
    <t>['sumpah', 'internet', 'mahal', 'harga', 'doang', 'lemot', 'ngotak', 'mending', 'kartu', 'tolong', 'jaringan', 'depok', 'optimalkan', 'iya', 'kartu', 'dapet', 'pesan', 'info', 'berlangganan', 'gue', 'kartu', '']</t>
  </si>
  <si>
    <t>['knapa', 'bayar', 'shopeepay', 'bank', 'pdahal', 'mempermudah', 'pembayaran', 'kemarin', 'bayar', 'spay', 'udah', 'mohon', 'diupgrade']</t>
  </si>
  <si>
    <t>['jaringan', 'bagus', 'maen', 'game', 'online', 'perburuk', 'suasana', 'knp', 'jaringan', 'terbaik', 'sungguh', 'kecewa', 'skali', 'perbaikilah', '']</t>
  </si>
  <si>
    <t>['pulsa', 'hilang', 'korupsi', 'ribu', 'ilangnya', 'minggu', 'lumayan', 'dinomor', 'belom', 'diorang', 'keuntungan', 'ambil', 'udah', 'susah', 'dibikin', 'susah', '']</t>
  </si>
  <si>
    <t>['aplikasi', 'telkomselnya', 'masuk', 'login', 'kode', 'kode', 'dikirim', 'sms', 'koneksinya', 'beres', 'uninstal', 'akses', 'telkomsel', 'cepat', 'aplikasi', 'satunya', 'alasan', 'pakai', 'aplikasi', 'tujuannya', 'akses', 'telkomsel', 'cepat', 'lelet', 'mending', 'gaknusah', 'aplikasi', 'kode', 'manual', 'menu', 'telpon', 'ribet', 'buang', 'buang', 'kuota', 'buka', 'aplikasi', '']</t>
  </si>
  <si>
    <t>['', 'connect', 'knp', 'nelfon', 'menit', 'mati', 'ktnya', 'jaringan', 'sibuk', 'mahal', 'ketulungan', 'ckckck']</t>
  </si>
  <si>
    <t>['kartu', 'telkomsel', 'taii', 'masak', 'pulsa', 'kesedot', 'abis', 'berlangganan', 'buka', 'link', 'kagak', 'pagi', 'ngga', 'trus', 'muncul', 'aktifkn', 'paket', 'darurat', 'pulsa', 'paket', 'msh', 'tolong', 'kartu', 'telkomsel', 'balikan', 'pulsa', 'orang', 'kesedot', 'kasihan', 'orang', 'capek', 'beli', 'pulsa', 'kesedot', 'pulsa', 'kesedot', 'tolng', 'blikn', 'plsa', '']</t>
  </si>
  <si>
    <t>['hay', 'telkomsel', 'malu', 'prividee', 'termahal', 'indonesia', 'kualitas', 'jaringan', 'palingan', 'bales', 'ulasan', 'hay', 'kak', 'maaf', 'nyaman', 'mode', 'pesawat', 'woooy', 'mode', 'pesawat', 'jaringan', 'perbaiki', 'enak', 'maf', '']</t>
  </si>
  <si>
    <t>['apalah', 'telkomsel', 'nii', 'bentar', 'bentar', 'jaringan', 'busuk', 'bentar', 'bentar', 'jaringan', 'busuk', 'kayak', 'gini', 'pelanggan', 'berpaling', 'operator', '']</t>
  </si>
  <si>
    <t>['buruk', 'telkomsel', 'unlimited', 'uda', 'batasin', 'uda', 'harga', 'mahal', 'koneksi', 'buruk', 'puas', 'make', 'telkomsel', 'skarang', 'bagus', 'beralih', 'tri', '']</t>
  </si>
  <si>
    <t>['cek', 'pulsa', 'nelp', 'bayar', 'system', 'komputer', 'ngaco', 'isi', 'pulsa', 'habis', 'sedot', 'telkomsel', 'parah', 'parah']</t>
  </si>
  <si>
    <t>['aplikasinya', 'udah', 'bukak', 'sinyal', 'bagus', 'paket', 'ful', 'koneksi', 'gagal', 'periksa', 'jaringan', 'mendwonload', 'cepat', 'walafiay', 'pas', 'buka', 'aplikasi', 'ngak', 'paket', 'aplikasi', 'jelek', 'asli', 'unistal', 'pinda', 'bimatree']</t>
  </si>
  <si>
    <t>['telkomsel', 'udah', 'lelet', 'bertambah', 'parah', 'kualitas', 'parah', 'lemot', 'nama', 'lina', '']</t>
  </si>
  <si>
    <t>['beli', 'pulsa', 'memakai', 'transaksi', 'pembayaran', 'uang', 'saldo', 'aplikasi', 'pembayaran', 'mudah', 'isi', 'pulsa', 'langsung', 'menukar', 'poin', 'repot', '']</t>
  </si>
  <si>
    <t>['paket', 'telpon', 'ribu', 'knpa', 'tutup', 'kecewa', 'jaringan', 'tolong', 'kembalikan', 'paket', 'ribu', 'swadaya', 'kembalikan', 'telkomsel']</t>
  </si>
  <si>
    <t>['udah', 'paket', 'unlimted', 'sosmed', 'jaringan', 'lemot', 'aplikasinya', 'bug', 'udh', 'lemot', 'main', 'game', 'lag', 'mulu', 'tolong', 'lang', 'perbaiki', 'min', '']</t>
  </si>
  <si>
    <t>['terah', 'jaringan', 'tempek', 'enakan', 'kartu', 'bilangny', 'rbu', 'unlimited', 'tpi', 'lelet', 'beli', 'paket', 'game', 'mahal', 'paket', 'utamanya', 'udah', 'habis', 'cuman', 'muter', 'doang', 'dancok', '']</t>
  </si>
  <si>
    <t>['udah', 'langanan', 'paket', 'malam', 'ribu', 'beli', 'download', 'film', 'film', 'harganya', 'kedepannya', 'jarang', 'beli', 'beli', 'operator', 'murah']</t>
  </si>
  <si>
    <t>['tolong', 'tsel', 'paket', 'kuota', 'internet', 'pelanggan', 'habis', 'langsung', 'main', 'sedot', 'pulsa', 'utama', 'internet', 'pulsa', 'utama', 'habis', 'paket', 'internet', 'habis', 'pelanggan', 'beli', 'paket', 'pulsa', 'langsung', 'sedot', 'gimana', 'beli', 'pemakaian', 'pulsa', 'boros', 'nyaman', 'telkomsel', 'bangk', '']</t>
  </si>
  <si>
    <t>['bener', 'lemot', 'main', 'game', 'losetreak', 'nyaman', 'udah', 'belain', 'beli', 'mahal', 'lancar', 'knowlah', 'sinyalnya', 'daerah', 'kedung', 'jepara', 'tolong', 'perbaiki', 'btw', 'youtube', 'nyaman']</t>
  </si>
  <si>
    <t>['kecewa', 'telkomsel', 'pesan', 'tenggang', 'kartu', 'langsung', 'mati', 'penambahan', 'aktif', 'kartu', 'bertambah', 'isi', 'pulsa', '']</t>
  </si>
  <si>
    <t>['jaringan', 'kencangnya', 'lelet', 'bagus', 'provider', 'telkomsel', 'gua', 'main', 'game', 'online', 'login', 'ngk', 'coba', 'ngk', 'mohon', 'diperbaiki', 'jaringannya', 'pelosok', 'cuman', 'kota', 'doang']</t>
  </si>
  <si>
    <t>['dounload', 'login', 'boss', 'gimana', 'solusinya', 'seneng', 'banget', 'pakai', 'aplikasi', '']</t>
  </si>
  <si>
    <t>['penyedia', 'provide', 'jaringan', 'terburuk', 'indonesia', 'penanganan', 'sungguh', 'rugi', 'kartu', 'telkomsel', 'paket', 'mahal', 'kartu', 'sultan', 'jaringan', 'terburuk', 'kb', 'sec', 'sungguh', 'lemot', 'terburuk', 'rugi']</t>
  </si>
  <si>
    <t>['koneksi', 'susah', 'bangat', 'masuk', 'apknya', 'susahnya', 'ampun', 'main', 'geme', 'lag', 'parah', 'patah', 'kesal', 'ngapain', 'ngehubungun', 'vilrtual', 'asisten', 'buang', 'mendingan', 'ganti', 'kartu', 'pilihan', 'opratator', 'telkomsel', 'maju', 'nunggu', 'castemer', 'complain', 'perbagus', 'koneksinya', 'prodok', 'utamakan', 'kenyamanan', 'castemer', 'utamakan', 'bodoh', '']</t>
  </si>
  <si>
    <t>['poin', 'ditukar', 'pulsa', 'poin', 'ditukar', 'pulsa', 'gitu', 'kelipatannya', 'poin', 'hangus', 'gitu', 'trimz']</t>
  </si>
  <si>
    <t>['zaman', 'canggih', 'telkomsel', 'lelet', 'halo', 'aplikasi', 'telkomsel', 'tolong', 'keluhan', 'operator', 'telkomsel', 'dilancarkan', 'jaringannya', 'beli', 'paketnya', 'lancar', 'internetnya', 'merampok', 'beli', 'paket', 'internet', 'stabil', 'melayani', 'bagus', 'tutup', 'aplikasi', 'tolong', 'tolong', 'tolong']</t>
  </si>
  <si>
    <t>['woy', 'developer', 'telkomsel', 'perusahaan', 'tutup', 'cma', 'nyari', 'untung', 'kerugian', 'org', 'pengguna', 'bli', 'kartu', 'kuota', 'mahal', 'kasih', 'sinyal', 'jelek', 'adil', 'main', 'game', 'susah', 'bermasalah', 'pdhl', 'harga', 'juta', 'msih', 'pke', 'telkomsel', 'sinyal', 'tetep', 'jelek', 'udh', 'restart', 'msih', 'jlek', 'jaringannya', 'gaje', '']</t>
  </si>
  <si>
    <t>['isi', 'pulsa', 'cek', 'pulsa', 'terpotong', 'sms', 'telkomsel', 'trimakasih', 'membayar', 'paket', 'darurat', 'bingung', 'aktif', 'nama', 'paket', 'darurat', 'haarus', 'bayar', 'paket', 'darurat', 'telkomsel', 'sengaja', 'membodohi', 'pengguna', 'sedekah', 'terang', 'iklas', '']</t>
  </si>
  <si>
    <t>['hilang', 'kartu', 'sakti', 'mlah', 'kuota', 'omg', 'apalah', 'mksd', 'lma', 'gni', 'telkomsel', '']</t>
  </si>
  <si>
    <t>['kecewa', 'unlimited', 'sistemnya', 'penggunaan', 'wajar', 'kemarin', 'kemarin', 'gitu', 'puas', 'banget', 'telkomsel', 'dahlah', 'tolong', 'telkomsel', 'kembalikan', 'unlimited', 'kemarin', 'udh', 'nyaman', 'paket', 'internet', 'kasih', 'bintang', 'terimakasih', '']</t>
  </si>
  <si>
    <t>['mohon', 'maaf', 'sinyal', 'berasa', 'gprs', 'diperparah', 'kartu', 'pagi', 'nyalain', 'jaringan', 'tersedia', 'chip', 'kartu', 'terpasang', 'situasi', 'dunia', 'gawat', 'covid', 'jaga', 'jarak', 'diterapkan', 'jaringan', 'ikutan', 'jaga', 'jarak', 'kadang', 'hilang', 'sinyal', '']</t>
  </si>
  <si>
    <t>['harga', 'paket', 'internetnya', 'mahal', 'mahal', 'banget', 'kebanyakan', 'entertainment', 'hadeuh', 'kecewa', 'nglirik', 'tetangga', '']</t>
  </si>
  <si>
    <t>['sekedar', 'masukan', 'efisien', 'apk', 'coba', 'publikasikan', 'pengamanan', 'terkait', 'pulsa', 'internetnya', 'saran', 'pengguna', 'masuk', 'apk', 'data', 'pakai', 'tersedot', 'terkait', 'pulsa', 'pengguna', 'mengaktifkan', 'data', 'tolong', 'pulsanya', 'sedot', 'pengguna', 'lupa', 'matikan', 'data', 'istirahat', 'abisin', 'duit', 'sebentar', 'sebentar', 'beli', 'pulsa', 'suueee']</t>
  </si>
  <si>
    <t>['paket', 'unlimitedmax', 'dibalesin', 'coba', 'emang', 'fup', 'minimal', 'mbps', 'mah', 'kbps', 'unlimited', 'dll', 'ujung', 'ngk', 'dibuka', 'tolong', 'paketnya', 'dipertimbangkan', 'aturan', 'merugikan', 'konsumen', 'plat', 'merah', 'kalah', 'swasta']</t>
  </si>
  <si>
    <t>['sya', 'beli', 'unlmtd', 'max', 'stlah', 'hbis', 'btas', 'pemakainan', 'unlmted', 'max', 'msih', 'brjalan', 'normal', 'tpi', 'unlmted', 'max', 'btas', 'pmakainan', 'speed', 'internet', 'lemot', 'berbeda', '']</t>
  </si>
  <si>
    <t>['sumpah', 'buruk', 'masuk', 'aplikasi', 'eror', 'jaringan', 'jaringan', 'stabil', 'harga', 'kuota', 'bertambah', 'berlanganan', 'minggunya', 'diskon', 'dinaikan', 'harganya', 'emang', 'pelit', 'rakus', 'telkomsel']</t>
  </si>
  <si>
    <t>['telkomsel', 'kabupaten', 'padang', 'lawas', 'kecamatan', 'hutaraja', 'desa', 'ujung', 'batu', 'mengalami', 'koneksi', 'buruk', 'minggu', 'jaringan', 'sepala', 'jaringan', 'paket', 'data', 'tolong', 'profesionalitas', 'telkomsel', 'memperbaiki', 'sistem', 'eror']</t>
  </si>
  <si>
    <t>['siang', 'transaksi', 'shoopee', 'pulsa', 'tudak', 'masuk', 'sayacek', 'pembayaran', 'shoopee', 'trus', '']</t>
  </si>
  <si>
    <t>['lebaran', 'mengecewakan', 'pemilihat', 'paket', 'harga', 'buruk', 'kau', 'betapa', 'sulitnya', 'mencari', 'uang', '']</t>
  </si>
  <si>
    <t>['telkomsel', 'semangat', 'pengembangan', 'jaringannya', 'mohon', 'persiapkan', 'raya', 'idul', 'fitri', 'keluhan', 'signal', 'full', 'jaringan', 'berulang', 'kali', 'down', 'mendadak', 'pelanggan', 'setia', 'rugikan', 'bos', 'rank', 'menurun', '']</t>
  </si>
  <si>
    <t>['bangga', 'puas', 'layanan', 'telkomsel', 'beli', 'paket', 'data', 'internet', 'akses', 'aplikasi', 'telkomsel', 'mudah', 'pelayanan', 'jam', 'nonstop', 'hemat', 'tinggal', 'klik', 'sesuai', 'butuhkan', 'dlm', 'hitungan', 'detik', 'pembelian', 'langsung', 'beres', 'gpl', 'harga', 'murah', 'banding', 'toko', '']</t>
  </si>
  <si>
    <t>['telkomsel', 'top', 'terimakasih', 'telkomsel', 'puas', 'jaringan', 'telkomsel', 'maju', 'sukses', 'telkomsel']</t>
  </si>
  <si>
    <t>['mengecewakan', 'jaringan', 'buruk', 'main', 'game', 'lag', 'udah', 'bosen', 'nelpon', 'perbaikan', 'mutasi', 'kartu', 'halo', 'buruk', 'jaringannya', 'unreg', 'males', 'pakai']</t>
  </si>
  <si>
    <t>['wilayah', 'rumah', 'kota', 'sinyal', 'ancur', 'parah', 'ngk', 'malu', 'ama', 'provider', 'udah', 'paket', 'mahal', 'janji', 'simpati', 'report', 'udah', 'sinyal', 'receh', 'butu', 'bukti', 'janji', 'busuk']</t>
  </si>
  <si>
    <t>['kerena', 'koneksi', 'buruk', 'aplikasi', 'buruk', 'aplikasi', 'tulisan', 'muat', 'ulang', 'sinyal', 'full', '']</t>
  </si>
  <si>
    <t>['kemaren', 'beli', 'pulsa', 'telkomsell', 'pulsanya', 'masuk', 'tapii', 'dananya', 'hilang', 'mauu', 'isi', 'lagii', 'pembayaran', 'dishopepay', 'lagii', 'adaa', 'ituu', 'gimana', 'sihh', 'min', 'tolong', 'kebijakannya', 'main', 'hilang', 'metode', 'pembayarannya', 'kecewa', 'udahh', 'dananya', 'bpulsanya', 'masuk', 'metode', 'pembayaranpun', 'hilang', '']</t>
  </si>
  <si>
    <t>['mntp', 'sungguh', 'biasakknnbbvccccccccccccccccccjhh', '']</t>
  </si>
  <si>
    <t>['kanapa', 'signyalnya', 'lelet', 'banget', 'udah', 'ksih', 'mode', 'pesawat', 'trus', 'hidupin', 'tolong', 'kerusakan', 'apalah', 'perbaili', 'kasian', 'pengen', 'akses', 'interner', 'kerja', 'jaringannya', 'jelek']</t>
  </si>
  <si>
    <t>['menguntungkan', 'pilih', 'kuota', 'hemat', 'tinggal', 'check', 'apps', 'ribet', 'loginnya', 'lancar', '']</t>
  </si>
  <si>
    <t>['bagus', 'jaringan', 'telkomsel', 'suram', 'jaringan', 'make', 'prusahaan', 'kartu', 'update', 'telkom', 'down', '']</t>
  </si>
  <si>
    <t>['doyan', 'error', 'koneksi', 'aman', 'jaya', 'aplikasi', 'telkomsel', 'refresh', 'mulu', 'muter', 'berhari', 'check', 'pulsa', 'sisa', 'kuota', 'terpaksa', 'mode', 'jadul', 'pilihan', 'sms', 'efesien', '']</t>
  </si>
  <si>
    <t>['jaringan', 'telkomsel', 'mah', 'parah', 'banget', 'kayak', 'perhatiin', 'idul', 'fitri', 'natal', 'jaringannya', 'ampun', 'lemah', 'lemot', 'letoy', 'banget', 'garis', 'barnya', 'penuh', 'pas', 'kirim', 'via', 'akses', 'tiktok', 'ampunnn', 'lemot', 'parah', 'parah', 'emang', '']</t>
  </si>
  <si>
    <t>['beli', 'mahal', 'mahal', 'pakai', 'unlimited', 'kasih', 'gb', 'gb', 'reguler', 'boongin', 'ngasih', 'fup', 'telkomnyet', 'kbps', 'yutup', 'jalan', 'beli', 'whatsapp', 'doang', 'fix', 'baca', 'telkom', 'nyesel', '']</t>
  </si>
  <si>
    <t>['terimakasih', 'telkomsel', 'puas', 'pelayanannya', 'tersedia', 'terjangkau', 'sarankan', 'tolong', 'donk', 'memperbaiki', 'sinyal', 'terima', 'kasih']</t>
  </si>
  <si>
    <t>['pengembalian', 'pls', 'darurat', 'hrusnya', 'rb', 'sisa', 'pls', 'dimakan', 'tsel', 'tepatnya', 'pls', 'sisa', 'rupiah', 'bbrpa', 'kali', 'pls', 'dipotong', 'genap', 'rb', 'pls', 'hrus', 'dikembalikan', 'dipotongnya', 'tlg', 'diperhatikan']</t>
  </si>
  <si>
    <t>['tolong', 'developer', 'apalah', 'gitu', 'tolong', 'telkomselnya', 'offline', 'masuk', 'aplikasi', 'jaringan', 'stabil', 'ribet', 'gitu', 'tolong', 'offline', 'udah', 'aktiflan', 'data', 'mode', 'pesawat', 'off', 'bodoh', 'gamau', '']</t>
  </si>
  <si>
    <t>['min', 'gimana', 'kampung', 'silat', 'kalimantan', 'barat', 'sinyal', 'suka', 'hilang', 'deket', 'rumah', 'tower', 'jaringan', 'telkomsel', 'iya', 'gangguan', 'jaringan', 'hilang', 'malam', 'minggu', 'mati', '']</t>
  </si>
  <si>
    <t>['hujan', 'sinyal', 'bagus', 'area', 'basement', 'gedung', 'bagus', 'mahal', 'doang', 'paketnya', '']</t>
  </si>
  <si>
    <t>['kecewa', 'kecepatan', 'akses', 'internet', 'telkomsel', 'lelet', 'parah', 'tertinggal', 'provider', 'menawarkan', 'harga', 'paket', 'murah', 'kecepatan', 'akses', 'murahan', 'tolong', 'diperbaiki']</t>
  </si>
  <si>
    <t>['gimana', 'beli', 'kouta', 'unlimted', 'giliran', 'youtub', 'hbs', 'kouta', 'internet', 'hbs', 'kouta', 'internet', 'hbs', 'kouta', 'unlimited', 'aktif', 'aktif', 'paket', 'unlimitednya', 'bener', 'kartu']</t>
  </si>
  <si>
    <t>['', 'kasih', 'bintang', 'aplikasi', 'error', 'mulu', 'jaringan', 'stabil', 'dibilang', 'jaringan', 'kualitas', 'telkomsel', 'meningkat', 'bobrok', 'cek', 'pulsa', 'susah', 'dial', 'aplikasi', 'bug', 'mulu', 'jaringan', 'internet', 'ancur', 'mahal', 'doang', 'kualitas', 'komplen', 'aplikasi', 'solusi', 'hapus', 'cache', 'error']</t>
  </si>
  <si>
    <t>['bagus', 'pulsa', 'kuota', 'gratis', 'berguna', 'akang', 'membagikan', 'aplikasi', 'orang', 'suka', 'memakai', 'aplikasi']</t>
  </si>
  <si>
    <t>['knp', 'jaringan', 'bagus', 'buka', 'apk', 'mytelkomsel', 'coba', 'liat', 'youtube', 'main', 'game', 'online', 'enak', 'jaringannya', 'coba', 'tolong', 'diperbaiki', 'min', 'kasih', 'bintang']</t>
  </si>
  <si>
    <t>['pelayanan', 'hubungi', 'via', 'apk', 'tsel', 'email', 'messenger', 'pembelian', 'bayarkan', 'pembayaran', 'gagal', 'shoppe', 'transaksi', 'selesai', 'gimana', 'ceritanya', 'udah', 'otang', 'kena', '']</t>
  </si>
  <si>
    <t>['aplikasi', 'bagus', 'mantap', 'lihat', 'lengkp', 'sisa', 'kuota', 'pulsa', 'nomor', 'telpon', 'lupa', 'nomor', 'telpon', '']</t>
  </si>
  <si>
    <t>['terimakasih', 'pelanggan', 'jaringan', 'gsm', 'layanan', 'sebatas', 'sms', 'rilis', 'layar', 'warna', 'monochrome', 'layanan', 'mms', 'penawaran', 'paket', 'hemat', 'telepon', 'internet', 'paket', 'unlimited', 'unlimited', 'telpon', 'kali', 'rasakan', 'habis', 'isi', 'saldo', 'keluarga', 'pakai', 'telkomsel', 'semoga', 'reward', 'muncul', 'thanks']</t>
  </si>
  <si>
    <t>['kecewa', 'banget', 'jaringan', 'telkomsel', 'cek', 'aplikasi', 'speed', 'test', 'jaringannya', 'cuman', 'maksimal', 'mbps', 'tolong', 'jaringannya', 'maksimal', 'main', 'game', 'nyaman', 'kouta', 'pakai', 'gb', 'unlimited', 'max', '']</t>
  </si>
  <si>
    <t>['seminggu', 'aplikasi', 'berguna', 'ngecek', 'kuota', 'pulsa', 'kinta', 'refresh', 'refresh', 'udah', 'update', 'gitu', '']</t>
  </si>
  <si>
    <t>['parah', 'jringannya', 'ramadhan', 'hancur', 'dru', 'dlu', 'ndk', 'perbaikan', 'hancur', 'kasian', 'telkomsek', 'terbelakang']</t>
  </si>
  <si>
    <t>['perdana', 'blas', 'maen', 'game', 'kartu', 'hram', 'pakai', 'kota', 'jaringan', 'jelek', 'pink', 'merah', 'kartu', 'pengen', 'gunain', 'benerin', 'jaringan', 'udah', 'mah', 'beli', 'mahal', 'jaringan', 'jelek', 'pengen', 'nyoba', 'kirain', 'mah', 'kartu', 'jaringan', 'bagus', 'burik']</t>
  </si>
  <si>
    <t>['', 'gua', 'beli', 'paket', 'unlimited', 'knp', 'mb', 'abis', 'rugi', 'ribu', 'gua', 'saranin', 'telkomsel', 'deh', 'jelek', 'kartu']</t>
  </si>
  <si>
    <t>['perbedaan', 'harga', 'paket', 'data', 'nomor', 'telkomsel', 'rb', 'unlimited', 'gb', 'rb', 'rb', 'perbedaan', 'dibikin', 'aneh', 'pakai', 'nmr', 'kak', 'trs', 'nmr', 'semudah', 'gonta', 'ganti', 'nomor', 'pelanggan', 'telkomsel', 'off', 'pakai', 'paket', 'tsel', 'nomor', 'isi', 'sebatas', 'aktif', '']</t>
  </si>
  <si>
    <t>['maaf', 'gimana', 'admin', 'beli', 'paket', 'internet', 'bulanan', 'seharga', 'apk', 'mytelkomsel', 'byarny', 'pke', 'shoppepay', 'tpi', 'masuk', 'saldo', 'shopepay', 'udah', 'berkurang', 'ttp', 'masuk', 'kemana', 'duitnya', 'admin', '']</t>
  </si>
  <si>
    <t>['terkadang', 'memproses', 'transaksi', 'kendala', 'tarif', 'paket', 'promo', 'muncul', '']</t>
  </si>
  <si>
    <t>['mohon', 'maaf', 'mebelu', 'internet', 'max', 'beli', 'internet', 'max', 'lgi', 'knp', 'tolong', 'telkomsel']</t>
  </si>
  <si>
    <t>['isi', 'pulsa', 'data', 'aplikasi', 'pembayaran', 'pulsa', 'masuk', 'saldo', 'terpotong', 'disuruh', 'nunggu', 'kerja', 'menyelesaikan', 'coba', 'dipikir', 'orang', 'isi', 'pulsa', 'butuh', 'pulsa', 'disuruh', 'nunggu', 'kerja', 'kepastian', 'pembelajaran', 'baca', 'comment', 'udah', 'share', 'sosmed', 'belajar', 'alami', 'menimpa', 'kejadian', 'alami', '']</t>
  </si>
  <si>
    <t>['aplikasi', 'lumayan', 'lemot', 'beli', 'paket', 'data', 'nggak', 'masuk', 'masuk', 'chat', 'veronika', 'sampek', 'kali', 'feeback', 'bagus', 'ditanyain']</t>
  </si>
  <si>
    <t>['apk', 'telkomsel', 'membantu', 'pembelian', 'pulsa', 'data', 'internet', 'senang', 'terimakasih', 'kedepannya', 'bagus', 'yaaa']</t>
  </si>
  <si>
    <t>['aplikasinya', 'nyedot', 'quota', 'khawatir', 'quota', 'tinggal', 'sekarat', 'buka', 'aplikasi', 'pilih', 'beli', 'paket', 'menutup', 'nyedot', 'quota', 'aplikasi', 'nonaktifkan', 'setting', 'aplikasi', 'intinya', 'aplikasinya', 'nyaman', '']</t>
  </si>
  <si>
    <t>['krtu', 'kembalikan', 'prabayar', 'tawarin', 'pindah', 'kartu', 'hallo', 'prabayar', 'bisaa', 'skrng', '']</t>
  </si>
  <si>
    <t>['internet', 'bagus', 'itupun', 'kartu', 'telkomsel', 'tolong', 'browsing', 'google', 'annya', 'unlimited', 'trus', 'paket', 'unlimited', 'batas', 'ampe', 'bohong', 'unlimited', 'limited', 'lucu', 'lahhhh', '']</t>
  </si>
  <si>
    <t>['aplikasi', 'gunaya', 'penawaran', 'harga', 'paket', 'harganya', 'mahal', 'trus', 'sekarng', 'telkomsel', 'waras']</t>
  </si>
  <si>
    <t>['duku', 'telkomsel', 'jaringan', 'enak', 'truss', 'sekarangg', 'susah', 'banget', 'yaa', 'nonton', 'yutube']</t>
  </si>
  <si>
    <t>['bertahun', 'pakai', 'telkomsel', 'kuota', 'harga', 'murah', 'sekalinya', 'murah', 'pas', 'habis', 'beli', 'langsung', 'harganya', '']</t>
  </si>
  <si>
    <t>['mohon', 'maaf', 'kurangi', 'bintangnya', 'mendownload', 'aplikasi', 'mempermudah', 'pulsa', 'membeli', 'kuota', 'dll', 'dibuka', 'loading', 'lamaaaaaaa', 'sinyal', 'bagus', 'sungguh', 'menyebalkan', '']</t>
  </si>
  <si>
    <t>['beli', 'paket', 'ceria', 'gagal', 'sgt', 'kesal', 'pembelian', 'paket', 'tolong', 'telkomsel', 'perbaiki', 'kesalahan', 'kali', 'mencoba', 'respon', '']</t>
  </si>
  <si>
    <t>['loadingnya', 'banget', 'nunggu', 'cek', 'pulsa', 'kuota', 'download', 'app', 'telkomsel', 'cek', 'pulsa', 'kuota', 'tolong', 'perbaiki', 'koneksi', 'internet', 'cepat', 'kayak']</t>
  </si>
  <si>
    <t>['maap', 'kasih', 'knapa', 'paket', 'internet', 'jalan', 'paket', 'multimedia', 'distop', 'paket', 'internet', 'jalan', 'maap', 'cuman', 'keluhan']</t>
  </si>
  <si>
    <t>['aplikasi', 'sampah', 'udah', 'lelet', 'dibanyakin', 'iklan', 'gajelas', 'pas', 'buka', 'aplikasi', 'percaya', 'promo', 'ceria', 'promo', 'spesial', 'udah', 'isi', 'pulsa', 'berkali', 'daftarkan', 'paket', 'nomor', 'berbeda', 'hasilnya', 'nol', 'pulsa', 'kesedot', 'provider', 'penipu', 'sejagad', 'raya', '']</t>
  </si>
  <si>
    <t>['', 'daerah', 'setu', 'burangkeng', 'perumahan', 'bekasi', 'timur', 'regency', 'simpati', 'sinyal', 'jelek', 'error', 'trs', 'mohon', 'sinyal', 'daerah', 'diperbaiki', 'sinyalnya', 'bagus', 'terima', 'kasih']</t>
  </si>
  <si>
    <t>['pengguna', 'setia', 'telkomsel', 'kuwalitas', 'menurun', 'harga', 'pulsa', 'paket', 'internet', 'mahal', 'pakai', 'gb', 'combo', 'sakti', 'harga', 'rb', 'sebulan', 'paksa', 'suruh', 'beli', 'paket', 'gb', 'harga', 'rb', 'kebanyakan', 'doang', '']</t>
  </si>
  <si>
    <t>['berpendapat', 'keluhan', 'yha', 'promo', 'menarik', 'telkomsel', 'harga', 'diatas', 'murah', 'rb', 'bertahan', 'promonya', 'hilang', 'keluarga', 'teman', 'makai', 'telkomsel', 'kebanyakn', 'nomor', 'beli', 'perdana', 'gini', 'udah', 'make', 'kartu']</t>
  </si>
  <si>
    <t>['aplikasi', 'membantu', 'dlm', 'memilih', 'paket', 'nelpon', 'data', 'telkomsel', 'tolong', 'bantu', 'kualitas', 'jaringan', 'wilayah', 'hamparan', 'perak', 'dusun', 'kecamatan', 'hamparan', 'perak', 'kabupaten', 'deli', 'serdang', 'jaringannya', 'susah', 'browsing', 'dri', 'rumah', 'tower', 'jaringan', 'perhatiannya', 'ucapkan', 'terimakasih', '']</t>
  </si>
  <si>
    <t>['kecewa', 'telkomsel', 'bbrapa', 'kemarin', 'paket', 'unlimited', 'batas', 'kuota', 'sinyal', 'langsung', 'melempem', 'banget', 'buka', 'app', '']</t>
  </si>
  <si>
    <t>['kecewa', 'kesalahan', 'jaringan', 'buka', 'apk', 'telkomsel', 'jaringan', 'bagus', 'buka', 'apk', 'lancar', 'lancar', 'mohon', 'diperbaiki']</t>
  </si>
  <si>
    <t>['telkomsel', 'hancur', 'udah', 'mahal', 'customer', 'keuntungan', 'pulsa', 'dipakai', 'hilang', 'kesedot', 'parahnya', 'habis', 'ngisi', 'pulsa', 'rb', 'aktif', 'nambah', 'udah', 'malam', 'sampah', 'telkomsel', 'auto', 'unreg', 'telkomsel', '']</t>
  </si>
  <si>
    <t>['paket', 'unlimited', 'batas', 'kesalahan', 'gimana', 'yak', 'pas', 'beli', 'paket', 'kaya', 'gitu', 'pas', 'udah', 'abis', 'paket', 'utama', 'akses', 'paket', 'unlimited', 'tolong', 'kejelasannya', 'kaya', 'gini', 'rugi', 'udah', 'beli', 'kena', 'tipu', 'kasih', 'bintang', 'telkomsel', 'udah', 'mah', 'sinyal', 'lelet']</t>
  </si>
  <si>
    <t>['telkomsel', 'paket', 'unlimitedmax', 'batas', 'pemakaian', 'wajarnya', 'unlimitedmax', 'batas', 'pemakaian', 'wajarnya', 'udah', 'lemot', 'buka', '']</t>
  </si>
  <si>
    <t>['tolong', 'paket', 'unlimited', 'lelet', 'lancar', 'buka', 'sosmed', 'youtube', 'lelet', 'jaringan', 'bagus', 'tolong', 'perbaiki', 'udah', 'paket', 'lancar', '']</t>
  </si>
  <si>
    <t>['bagus', 'gampang', 'pembelian', 'pengecekan', 'paket', 'pulsa', 'harga', 'nny', 'pelanggan', 'setia', 'kaya', 'udh', 'bertahun', 'pakai', 'telkom', 'harga', 'diskon', 'bli', 'slalu', 'harga', 'normal', '']</t>
  </si>
  <si>
    <t>['maaf', 'app', 'gunanya', 'pelanggan', 'setia', 'tsel', 'nyari', 'paket', 'udah', 'worth', 'buy', 'intinya', 'terbebani', 'untung', 'buntung', 'bonus', 'daily', 'check', 'sedewa', 'dapet', 'kuota', 'bertahan', 'seminggu', 'ngisi', 'pulsa', 'klaim', 'bonus', 'dimintanya', 'rupiah', 'ngisi', 'pulsa', 'nominal', 'langsung', 'kesedot', 'habis', 'pulsa', 'menyalakan', 'data', 'seluler', 'rumah', 'udah', 'home']</t>
  </si>
  <si>
    <t>['aplikasi', 'membantu', 'bertransaksi', 'telkomsel', 'memudahkan', 'pembelian', 'paket', 'mohon', 'tingkatkan', 'kekurangan', 'lambat', 'loading', 'sekian', 'terimakasih', 'semoga', 'ulasan', 'bermanfaat', 'penggunanya', '']</t>
  </si>
  <si>
    <t>['kecewa', 'berlangganan', 'disney', 'hotstar', 'plus', 'hapus', 'capek', 'capek', 'beli', 'nomor', 'registrasi', 'beli', 'pulsa', 'kecewa', 'banget']</t>
  </si>
  <si>
    <t>['kecewa', 'telkomsel', 'internet', 'jaringan', 'jelek', 'udah', 'isi', 'paket', 'internet', 'kali', 'jelek', 'dikartu', 'satunnya', 'dikartu', 'april', 'jaringannya', 'udah', 'chat', 'jaringan', 'bagus', 'pakai', 'kart', 'bermasalh', 'dijaringan', 'udah', 'habis', 'ribu', 'akses', 'sesuai']</t>
  </si>
  <si>
    <t>['lemot', 'paraaaaaaaahhhh', 'pusat', 'kota', 'bandung', 'mohon', 'diperbaiki', 'seandainya', 'ngga', 'terhubung', 'sms', 'banking', 'beralih', 'provider', 'tuk', 'internet', '']</t>
  </si>
  <si>
    <t>['bukanya', 'mudah', 'beli', 'paket', 'data', 'susah', 'buka', 'telkomsel', 'peringatan', 'sinyal', 'setabil', 'tolong', 'perbaikin']</t>
  </si>
  <si>
    <t>['bagussss', 'aplikasinya', 'min', 'tambahin', 'bonus', 'kuota', 'mingguan', 'gitu', 'min', 'betah', 'pakai', 'kartu', 'telkomselnya', 'mooohon', 'banget', 'min', 'kasih', 'bintang', 'update', 'min', 'apknya', 'udh', 'bagus', '']</t>
  </si>
  <si>
    <t>['beli', 'paket', 'beli', 'pakai', 'saldo', 'shopee', 'pay', 'paketnya', 'error', 'kebeli', 'saldo', 'shopee', 'pay', 'hilang', 'tolong', 'penjelasannya', 'paket', 'mahal', 'diimbangi', 'kualitas', 'pelayanan', '']</t>
  </si>
  <si>
    <t>['aplikasi', 'membantu', 'pembelian', 'paket', 'murah', 'peminat', 'hancur', 'jaringan', 'telkomsel', 'pengguna', 'nyaman', '']</t>
  </si>
  <si>
    <t>['', 'aplikasi', 'lelet', 'bener', 'liat', 'pulsa', 'beli', 'paket', 'loadingnya', 'berak', 'sampe', 'kelar', 'cebok', 'kelar', 'sinyal', 'pedesaan', 'ngebut', 'tolong', 'diupdate', 'device', 'samsung', 'galaxy', 'android', 'terima', 'kasih', '']</t>
  </si>
  <si>
    <t>['paket', 'unlimited', 'unlimited', 'emang', 'unlimited', 'youtube', 'game', 'dll', 'nama', 'unlimited', 'kayak', 'kuota', 'abis', 'kuota', 'cuman', 'buka', 'mnding', 'unlimited', 'nama']</t>
  </si>
  <si>
    <t>['system', 'error', 'hilang', 'kartu', 'sakti', 'paketnya', 'paket', 'kartu', 'sakti', 'hilang', 'seumur', 'hidup']</t>
  </si>
  <si>
    <t>['guys', 'serius', 'gua', 'lokasi', 'citayam', 'bogor', 'sinyal', 'telkom', 'emang', 'bagus', 'kaya', 'ampas', 'gua', 'udh', 'nnya', 'nnya', 'emang', 'ampas', 'gua', 'doang', 'gua', 'saranin', 'mikir', 'mikir', 'kartu', 'udh', 'mahal', 'sinyal', 'ampas', 'beda', 'kaya', 'kenceng', 'gua', 'udh', 'nelpon', 'kali', 'jawabannya', 'peningkatan', 'jaringan', 'sampe', 'sebulan', 'beres', 'beres', '']</t>
  </si>
  <si>
    <t>['aplikasinya', 'bagus', 'banget', 'sayang', 'buka', 'aplikasi', 'ditempatku', 'sinyal', 'telkomsel', 'kecepatanya', 'kb', 'detik', 'selamat', 'tinggal', 'kartu', 'telkomselku', 'tercinta', 'males', 'ngisi', 'pulsanya', 'dipake', 'internetan', 'lokasi', 'gesing', 'jatipuro', 'trucuk', 'kab', 'klaten', 'jawa']</t>
  </si>
  <si>
    <t>['lahir', 'gua', 'langganan', 'telkomsel', 'tolong', 'maksimal', 'jaringannya', 'ilang', 'khusus', 'daerah', 'perkotaan', 'udah', 'harga', 'kualitas', '']</t>
  </si>
  <si>
    <t>['tolong', 'telkomsel', 'daerah', 'jawa', 'perbatasan', 'jawa', 'barat', 'perbaiki', 'sumpah', 'lelet', 'banget', 'udah', 'pesen', 'unlimited', 'kepake', 'gara', 'gara', 'lemot', 'banget', 'kartu', 'sultan', 'gimna', 'tolong', 'perbaiki']</t>
  </si>
  <si>
    <t>['cuman', 'doang', 'kampung', 'ngerasain', 'jaringan', 'telkomsel', 'jelek', 'bangett', 'mohon', 'telkomsel', 'tolong', 'benerin', 'jaringannya', 'kasian', 'org', 'udah', 'capek', 'nabung', 'beli', 'kartu', 'telkom', 'pas', 'udah', 'pasang', 'jaringannya', 'semoga', 'ulasan', 'baca', 'telkom', '']</t>
  </si>
  <si>
    <t>['unlimited', 'max', 'nggak', 'batasan', 'kuota', 'aplikasi', 'taunya', 'fup', 'dahlah', 'ganti', 'provider', 'telkomsel', 'asik', '']</t>
  </si>
  <si>
    <t>['tolong', 'perbaiki', 'system', 'kehilangan', 'isi', 'pulsa', 'telkomsel', 'pakai', 'metode', 'pembayaran', 'shopeepay', 'kecewa', 'telkomsel']</t>
  </si>
  <si>
    <t>['unlimited', 'chat', 'youtube', 'music', 'game', 'youtube', 'kepake', 'buffering', 'chat', 'ngeleg', 'game']</t>
  </si>
  <si>
    <t>['performa', 'telkomsel', 'menurun', 'lampu', 'mati', 'sinyal', 'langsung', 'hilang', 'paket', 'mahal', 'kalah', 'provider', 'parah', '']</t>
  </si>
  <si>
    <t>['jujur', 'kecewa', 'jaringan', 'eror', 'eror', 'mahal', 'mahal', 'kualitas', 'kek', 'gitu', 'jarang', 'merasakan', 'telkomsel', 'lancar', 'bertahan', 'lag', 'eror', 'coneksi', 'tolong', 'kurangin', 'eror', 'pas', 'hujan', 'hujan', 'lag', 'nambah', 'parah', '']</t>
  </si>
  <si>
    <t>['telkomsel', 'sinyalnya', 'parah', 'ngedrop', 'internet', 'disconnect', 'loading', 'telkomsel', 'tukang', 'rampok', 'pulsa', 'kuota', 'internet', 'habis', 'pulsa', 'ambil', 'internet', 'terhenti', 'kuota', 'habis', '']</t>
  </si>
  <si>
    <t>['asiik', 'asiknya', 'sms', 'postingan', 'gambar', 'himbauan', 'ajakan', 'kritisan', 'pulsa', 'menguap', 'monggo', 'pengelola', 'nderekaken', 'tawaran', 'pulsa', 'harga', 'menarik', 'duwitnya', 'ndak', 'udah', 'matilah', 'karenandak', 'beli', 'paket', 'pulsa', 'nyerahlah', 'salam']</t>
  </si>
  <si>
    <t>['jaringan', 'telkomsel', 'jelek', 'kota', 'padang', 'wilayah', 'polresta', 'padang', 'mohon', 'telkomsel', 'koneksi', 'jaringan', 'tingkatkan', 'wilayah', 'polresta', 'padang', 'karna', 'jaringannya', 'jelek', 'pelanggan', 'nyaman', 'nyaman', 'pelanggannya', 'berali', 'provider', 'tolong', 'tingkatkan', 'koneksinya', 'banget', 'jaringan', 'polresta', 'padang', 'kecepatan', 'internetnya', 'tolong', 'tingkatkan', 'terima', 'kasih']</t>
  </si>
  <si>
    <t>['udh', 'isi', 'paket', 'gb', 'jaringan', 'koneksi', 'buruk', 'mengecewakan', 'sperti', 'jaringan', 'simpati', 'stabil', '']</t>
  </si>
  <si>
    <t>['laris', 'pelanggan', 'nangis', 'paket', 'unlimited', 'dibatasi', 'sosmed', 'lemot', 'game', 'stabil', 'mahal', 'berkualitas', 'tolonglah', 'pelit', '']</t>
  </si>
  <si>
    <t>['tolong', 'paket', 'unlimited', 'gabisa', 'dipake', 'pdhl', 'seminggu', 'beli', 'data', 'lokalnya', 'habis', 'unlimited', 'pdhl', 'sinyal', 'enak']</t>
  </si>
  <si>
    <t>['telkomsel', 'jaringan', 'bangsatnya', 'gue', 'kuota', 'jaringan', 'kek', 'benerin', 'jaringan', 'harga', 'mahal', 'jaringan', 'kintil', 'gue', 'telkomsel', 'maunya', 'lancar', 'internet', 'mending', 'gtu', 'murah', 'telkomsel', 'udah', 'mahal', 'jaringan', 'kek', '']</t>
  </si>
  <si>
    <t>['sumpah', 'signal', 'internetan', 'lemot', 'parah', 'sampe', 'sampe', 'chat', 'whatsapp', 'buka', 'telkomsel', 'kaga', 'kali', 'keluhan', 'perubahan', '']</t>
  </si>
  <si>
    <t>['sinyal', 'penuh', 'buka', 'aplikasi', 'lemot', 'nunggu', 'udah', 'berulang', 'kali', 'uninstall', 'install', 'ulang', 'tetep', 'gabisa', 'tingkatkan', 'malu', 'maluin', 'provider', 'mahal', 'aplikasinya', 'murahan', '']</t>
  </si>
  <si>
    <t>['coment', 'tanggapin', 'keluhan', 'pelanggan', 'sinyal', 'bagus', 'iklan', 'beranda', 'sesuai', 'iklan', 'iklan', 'klik', 'pas', 'masuk', 'rekomendasi', 'iklan', 'tolong', 'tanggapin', 'coba', 'liat', 'comment', 'keluhan', 'tanggapi', '']</t>
  </si>
  <si>
    <t>['tolonglah', 'pulsa', 'kesedot', 'buka', 'aplikasi', 'mytelkomsel', 'kayak', 'provider', 'nyedot', 'pulsa', 'kuota', 'buka', 'aplikasi', 'provider', 'tolong', 'telkomsel', 'beli', 'paket', 'kaga', 'gara', 'pulsa', 'kesedot']</t>
  </si>
  <si>
    <t>['beli', 'paketan', 'mytelkomsel', 'seharga', 'rb', 'pembayaran', 'shopeepay', 'saldo', 'shopeepaynya', 'berkurang', 'paketannya', 'masuk', 'tulisan', 'pembayaran', 'gagal', 'silahkan', 'coba', 'uangku', 'rb', 'kemana', '']</t>
  </si>
  <si>
    <t>['tolong', 'telkomsel', 'skrg', 'paket', 'combo', 'unlimitednya', 'dibatasi', 'kecepatan', 'kbps', 'lihat', 'video', 'jam', 'pengguna', 'tsel', 'kebiasaan', 'telkomsel', 'phpin', 'pelanggan', 'disaat', 'pelanggan', 'udh', 'nyaman', 'paket', 'internet', 'ditawarkan', 'kebijakan', 'ngerugiin', 'konsumen', 'konsisten', 'banget', 'memperbaiki', 'layanan', 'buruk', '']</t>
  </si>
  <si>
    <t>['', 'otomatis', 'hai', 'selamat', 'nama', 'mita', 'ramadani', 'kak', 'maaf', 'keterlambatannya', 'membalas', 'chat', 'pemilik', 'akun', 'malas', 'ngetik']</t>
  </si>
  <si>
    <t>['halah', 'unlimited', 'tahiiiii', 'udah', 'beli', 'mahal', 'batas', 'pemakaian', 'unlimited', 'perasaan', 'mah', 'enak', 'sinyal', 'lancar', 'paketan', 'unlimited', 'youtube', 'kuota', 'utamanya', 'abis', 'batas', 'pemakaian', 'bales', 'woi', 'user', 'telkomsel', 'dapetnya', 'kek', 'gini', 'usaha', 'kembangkan', 'kesini', 'menyusahkan', 'konsumen', 'langsung', 'menyarankan', 'telkomsel', 'teman', 'maap', 'njinggg']</t>
  </si>
  <si>
    <t>['puas', 'banget', 'telkomsel', 'kuota', 'sya', 'ehh', 'pas', 'buka', 'whatsapp', 'ngga', 'kirim', 'kirim', 'pesannya', 'trus', 'coba', 'buka', 'tiktok', 'koneksi', 'internet', 'stabil', 'sampe', 'sampe', 'sya', 'beli', 'kuota', 'ehh', 'parah', 'yaudah', 'sya', 'ganti', 'kartu']</t>
  </si>
  <si>
    <t>['koneksinya', 'mutu', 'pakai', 'bagus', 'payah', 'main', 'game', 'online', 'sinyal', 'dibawa', 'kemana', 'koneksi', 'mutu', 'tutup', 'operator', 'negeri', 'masuk', 'indonesia', '']</t>
  </si>
  <si>
    <t>['mohon', 'admin', 'memperbaiki', 'aplikasinya', 'kehilangan', 'pulsa', 'menyetok', 'pulsa', 'pulsa', 'membeli', 'paket', 'belajar', 'dikemudian', 'pulsa', 'hilang', 'mohonn', 'dengann', 'sangatt', 'ibuu', 'memperbaiki', 'aplikasinya', 'korupsi']</t>
  </si>
  <si>
    <t>['tolong', 'diperhatikan', 'aplikasinya', 'kesalahan', 'secepatnya', 'diperbaiki', 'kasian', 'pengguna', 'masak', 'pas', 'dibuka', 'kesalahan', 'internet', 'jaringan', 'bagus', 'berkali', 'kali', 'dimuat', 'ulang', 'muncul', 'tampilan', 'menu', 'kek', 'tolong', 'bijak', 'sikit', 'developer', 'makan', 'duit', 'hasil', 'download', '']</t>
  </si>
  <si>
    <t>['masuk', 'keaplikasi', 'kadang', 'suka', 'login', 'ulang', 'bug', 'proses', 'apalah', 'pengembanganya', 'simple', 'cepat', 'mengikuti', 'era', 'customer']</t>
  </si>
  <si>
    <t>['kecewa', 'telkomsel', 'paket', 'mahal', 'sebanding', 'jaringan', 'merasakan', 'kali', 'kecawa', 'lokasi', 'kota', 'jaringan', 'buruk', 'sosmed', 'game', 'youtube', 'dll', '']</t>
  </si>
  <si>
    <t>['jaringan', 'lelet', 'susah', 'akses', 'aplikasi', 'kembalikan', 'paket', 'unlimited', 'telkomsel', 'fup', 'unlimited', 'fup', 'bohong', 'namanya', '']</t>
  </si>
  <si>
    <t>['pertahankan', 'tingkatkan', 'kualitas', 'signal', 'sediakan', 'harga', 'pulsa', 'kuota', 'murah', 'pensiunan', 'lansia', 'terima', 'kasih']</t>
  </si>
  <si>
    <t>['applikasinya', 'lambat', 'fitur', 'browse', 'paket', 'tampilkan', 'paket', 'internet', 'pengguna', 'telkomsel', 'wajib', 'install', 'enakan', 'orang', 'telkomsel', 'gajinya', 'gede', 'tpi', 'pelayanan', 'produknya', 'sampah', 'ditambah', 'jaringannya', 'dikota', 'lemot', 'telkomsel', 'kelebihannya', '']</t>
  </si>
  <si>
    <t>['telkomsel', 'jaringan', 'lelet', 'bener', 'terkenal', 'jaringan', 'terbaik', 'harga', 'mahal', 'sepandan', 'jaringan', 'kecewa', 'jaringan']</t>
  </si>
  <si>
    <t>['kemarin', 'tanggal', 'jam', 'beli', 'paket', 'combo', 'sakti', 'unlimited', 'gb', 'harganya', 'pembayaran', 'shopeepay', 'saldo', 'shopeepay', 'berkurang', 'sesuai', 'harga', 'pemberitahuan', 'shopee', 'berhasil', 'paket', 'combo', 'sakti', 'unlimited', 'beli', 'belom', 'masuk', 'komplain', 'shopee', 'telkomsel', 'belom', 'tindakan', 'telkomsel', 'veronika', 'peningkatan', 'sistem', 'layanan', 'upayakan', 'secepatnya', '']</t>
  </si>
  <si>
    <t>['gajelas', 'cok', 'telkomsel', 'udah', 'beli', 'pulsa', 'giliran', 'paket', 'gabisa', 'taunya', 'cek', 'pulsa', 'udah', 'potong', 'tolong', 'benerin', 'operator', 'ngecewain', 'pengguna', 'telkomsel', 'bosen', 'gini', 'mulu']</t>
  </si>
  <si>
    <t>['koneksi', 'internetnya', 'lelet', 'banget', 'tolong', 'beneri', 'sinyal', 'layanan', 'tolong', 'perbaiki', 'cepat', 'udah', 'genteng']</t>
  </si>
  <si>
    <t>['sinyal', 'telkomsel', 'sulit', 'didapatkan', 'vidio', 'call', 'putus', 'buka', 'mensos', 'putar', 'emang', 'enak', 'langsung', 'log', 'tpi', 'pening', 'keperluan', 'mendadak', 'mengecewakan', 'semoga', 'cepat', 'pening', '']</t>
  </si>
  <si>
    <t>['telkomsel', 'satunya', 'profaider', 'terbaik', 'sarana', 'prasarana', 'internet', 'komunikasi', 'masyarakat', 'indonesia', 'pribadi', 'semoga', 'telkomsel', 'sukses', 'kedepannya']</t>
  </si>
  <si>
    <t>['please', 'patung', 'harga', 'ribu', 'rupiah', 'beli', 'paket', 'data', 'low', 'end', 'orang', 'orang', 'kesulitan', 'ngisi', 'pulsa', 'cuman', 'ribu', '']</t>
  </si>
  <si>
    <t>['binggung', 'mengisi', 'pulsa', 'mengisi', 'kuota', 'paket', 'data', 'paket', 'internet', 'gb', 'jam', 'wib', 'pemberitauan', 'via', 'sms', 'promo', 'apalah', '']</t>
  </si>
  <si>
    <t>['beli', 'paket', 'unlimited', 'kecepatan', 'stabil', 'fitur', 'unlimited', 'lemot', 'parah', 'tolong', 'perbaikin', '']</t>
  </si>
  <si>
    <t>['paket', 'unlimited', 'sekrang', 'udah', 'batesannya', 'nyesel', 'sekrang', 'udah', 'lemot', 'banget', 'tolong', 'digonta', 'ganti', 'pengen', 'pindah', 'kartu']</t>
  </si>
  <si>
    <t>['harga', 'paket', 'malam', 'seminggu', 'pulsa', 'dinaikkan', 'harganya', 'pengguna', 'telkomsel', 'nyaman', 'harga', 'paket', 'malam', 'seminggu', 'harga', 'tolong', 'telkomsel', 'pengguna', 'kartu', 'telkomsel', 'peras', 'maaf', 'kelancaran', 'nyaman', 'komentar', '']</t>
  </si>
  <si>
    <t>['isi', 'pulsa', 'kededot', 'sengaja', 'hidup', 'data', 'detik', 'pulsa', 'langsung', 'berkurang', 'isi', 'pulsa', 'besoknya', 'berkurang', 'ngga', 'hidup', 'data', 'operator', 'nomor', 'sampah', 'banget', 'telkomnyet', '']</t>
  </si>
  <si>
    <t>['udah', 'beli', 'kuota', 'malam', 'dipake', 'pas', 'jam', 'nyedot', 'pulsa', 'gimana', 'telkomsel', 'parah', '']</t>
  </si>
  <si>
    <t>['semoga', 'simpati', 'harga', 'bersahabat', 'kantong', 'layanan', 'menurun', 'dipertahankan', 'kualitas', 'layanan', 'jaringannya', '']</t>
  </si>
  <si>
    <t>['tolong', 'buka', 'aplikasi', 'kemarin', 'internet', 'stabil', 'jaringan', 'aman', '']</t>
  </si>
  <si>
    <t>['paket', 'combo', 'sakti', 'berbeda', 'combo', 'sakti', 'anak', 'paket', 'rp', 'anak', 'says', 'combo', 'saktinya', 'member', 'gold', '']</t>
  </si>
  <si>
    <t>['aplikasi', 'bagus', 'paketnya', 'murah', 'sseperti', 'pelanggan', 'pakai', 'nomer', 'murah', 'paket', 'udah', 'mahal', 'naikin', 'harganya', 'salut', '']</t>
  </si>
  <si>
    <t>['', 'bintang', 'masuk', 'aplikasi', 'verifikasi', 'nomor', 'verifikasi', 'koplak', '']</t>
  </si>
  <si>
    <t>['paket', 'unlimited', 'gb', 'teman', 'make', 'gbnya', 'udah', 'habis', 'kali', 'beli', 'paket', 'unlimited', 'telkomsel', '']</t>
  </si>
  <si>
    <t>['semoga', 'hadiah', 'menukarkan', 'poin', 'telkomsel', 'apapun', 'hadiah', 'trima', 'makasih', 'telkomsel', 'kartu', 'hebat', '']</t>
  </si>
  <si>
    <t>['', 'telkomsel', 'ngasih', 'promo', 'bener', 'promo', 'gb', 'sms', 'dll', 'kode', 'udah', 'isi', 'pulsa', 'sesuai', 'nominal', 'pas', 'dibeli', 'pulsa', 'mencukupi', 'tambahan', 'keterangan', 'ppn', 'pas', 'cek', 'mnit', 'kmudian', 'diapps', 'pulsa', 'ilang', 'bgsd', 'history', 'keterangan', 'paket', 'masuk', 'pulsa', 'berkurang', 'bener', 'dikit', 'kerja', 'pelanggan', 'kecewa', '']</t>
  </si>
  <si>
    <t>['aplikasi', 'gagal', 'memuat', 'kesalahan', 'jaringan', 'jaringan', 'bagus', 'pulsa', 'banget', 'kepotong', 'banget', 'isi', 'pulsa', 'ribu', 'pas', 'cek', 'ribuan', 'doang', 'pulsa', 'parah', 'emang', 'telkomsel', '']</t>
  </si>
  <si>
    <t>['kecewa', 'promo', 'unlimited', 'telkomsel', 'kirain', 'bermanfaat', 'tulisan', 'unlimited', 'melewati', 'fup', 'kecepatan', 'melewati', 'fup', 'kecepatan', 'kerja', 'niat', 'jualan', 'unlimited', 'sok', 'unlimited', 'jual', 'volume', 'based', '']</t>
  </si>
  <si>
    <t>['iya', 'uda', 'coba', 'kali', 'beli', 'paket', 'gb', 'kagak', 'masuk', 'paket', 'sampek', 'kali', 'beli', 'pulsa', 'berkurang', 'gimana', 'tolong', 'emang', 'nunggu', 'promo', 'gini', 'uda', 'kali', 'beli', 'kagak', 'masuk', 'paket']</t>
  </si>
  <si>
    <t>['buruk', 'jaringan', 'bermasalah', 'kualitas', 'menurun', 'perubahan', 'arah', 'bagus', 'kualitas', 'pelayanan', 'provider', 'mahal', 'pengguna', 'pelanggan', 'setia', 'kecewa', 'jaringan', 'koneksi', 'sediakan', 'tsel', 'mohon', 'maaf', 'mempercayakan', 'kenyamanan', 'penggunaan', 'provider', '']</t>
  </si>
  <si>
    <t>['semenjak', 'koneksi', 'stress', 'pusing', 'penyakit', 'disarankan', 'membelinya', 'main', 'game', 'nyaman', 'sinyal', 'trafic', 'light', 'otak', 'alias', 'konslet', 'koneksi', 'telkomsel', 'membawa', 'sial', 'terimakasih', 'telkomsel', 'menemani', 'ku', 'kesialan']</t>
  </si>
  <si>
    <t>['bos', 'paket', 'gb', 'harga', 'kenpa', 'paket', 'bebas', 'sosmed', 'sepuas', 'dll', 'digantikan', 'gb', 'tolong', 'kembalikan', 'peminatnya', 'karna', 'bertahan', 'pakai', 'telkomsel', 'teman', 'beralih', '']</t>
  </si>
  <si>
    <t>['tolong', 'perbaiki', 'sinyalnya', 'kuliah', 'online', 'sinyal', 'terputus', 'harga', 'kuota', 'internet', 'sinyal', 'memburuk', 'ngeselin']</t>
  </si>
  <si>
    <t>['mengaktifkan', 'kouta', 'pinjaman', 'malam', 'transaksi', 'gagal', 'aktif', 'besok', 'mengisi', 'pulsa', 'bener', 'bener', 'mengecewakan', 'telkomsel', 'gangerti', 'wajar', 'perdana', 'terlibat']</t>
  </si>
  <si>
    <t>['tolonglaaah', 'iya', 'beli', 'paket', 'combo', 'rb', 'uda', 'klik', 'bayar', 'nungguin', 'eror', 'teroosss', 'gada', 'masuk', 'paketan', 'saldo', 'ilang', 'gimana']</t>
  </si>
  <si>
    <t>['', 'buka', 'aplikasi', 'sinyal', 'stabil', 'pdhl', 'sinyal', 'lancar', 'trus', 'beli', 'paket', 'ceria', 'hr', 'msuk', 'veronika', 'bot', 'dasar', 'kecewa', 'parah', 'pokoknya', '']</t>
  </si>
  <si>
    <t>['koneksi', 'stabil', 'dibuka', 'kecepatan', 'mbps', 'permasalahan', 'memuat', 'ulang', 'pengguna', 'gini']</t>
  </si>
  <si>
    <t>['developer', 'mohon', 'dihilangkan', 'paket', 'darurat', 'hargnya', 'mendaftarkan', 'paket', 'aktif', 'alhasil', 'isi', 'pulsa', 'langsung', 'kepotong', '']</t>
  </si>
  <si>
    <t>['mantap', 'saran', 'dipercepat', 'perbaikan', 'paket', 'beli', 'aktif', 'gangguan', 'system', 'ngecewain', 'konsumen', '']</t>
  </si>
  <si>
    <t>['telkomsel', 'sinyalnya', 'buruk', 'main', 'game', 'membuka', 'aplikasi', 'apapun', 'daerah', 'tanjung', 'sakti', 'pumi', 'kota', 'pagar', 'alam', 'kabupaten', 'lahat', 'provinsi', 'sumatra', 'selatan', 'telkomsel', 'tolong', 'diperbaiki', 'secepatnya', 'sekian', 'terimah', 'kasih']</t>
  </si>
  <si>
    <t>['sinyalku', 'buruk', 'berbuat', 'pdahal', 'lancar', 'tpi', 'punyaku', 'sinyal', 'kya', 'lgi', 'dalem', 'tanah', 'susah', 'bnget']</t>
  </si>
  <si>
    <t>['sumpah', 'nyaman', 'aplikasi', 'berat', 'patah', 'patah', 'lag', 'berkepanjangan', 'apl', 'nyakeberatan', 'wei', 'apl', 'mikir', 'gmna', 'spaya', 'betah']</t>
  </si>
  <si>
    <t>['bintang', 'karna', 'pulsa', 'hisap', 'beli', 'paket', 'tulisan', 'maaf', 'pulsa', 'pulsa', 'kemana', 'tolong', 'perbaiki']</t>
  </si>
  <si>
    <t>['insha', 'allah', 'herbal', 'toothpaste', 'cocok', 'keluhan', 'kaka', 'sebutkan', 'barusan', 'manfaat', 'utama', 'herbal', 'toothpaste', 'pasta', 'gigi', 'persen', 'herbal', 'alami', 'terbuat', 'ekstrak', 'tea', 'tree', 'oil', 'ekstrak', 'melaleuva', 'altemifolia', 'antiseptik', 'anti', 'infeksi', 'anti', 'inflamasi', 'mencegah', 'infeksi', 'gigi', 'peradangan', 'gusi', 'gusi', 'berdarah', 'ekstrak', 'tanaman', 'chrysanthemum', 'morifolium', 'bahan', 'alami', 'pemutih', 'gigi', 'bahan', 'utama', 'red', 'algae', 'berfungsi', 'nafas', 'segar', '']</t>
  </si>
  <si>
    <t>['beli', 'paket', 'pulsa', 'pulsa', 'sesuai', 'harga', 'paket', 'tentukan', 'ulang', 'kali', 'alasannya', 'koneksi', 'stabil', 'layanan', 'bermasalah', 'php', 'min', 'doi', 'php', '']</t>
  </si>
  <si>
    <t>['serasa', 'peras', 'harga', 'harga', 'sediakan', 'telkom', 'banding', 'kartu', 'tolong', 'telkom', 'org', 'indo', 'engak', 'org', 'org', 'kaya', 'tolong', 'permurah', 'harga', 'tolong', '']</t>
  </si>
  <si>
    <t>['layanan', 'telkomsel', 'paketannya', 'jelass', 'pelanggan', 'pelayanan', 'memuaskan', 'paketan', 'combo', 'sakti', 'diakses', 'jarang', 'weekend', 'deal', 'kubuang', 'jugalah', 'bagus', '']</t>
  </si>
  <si>
    <t>['kali', 'beli', 'unlimitedmax', 'youtubean', 'sepuasnya', 'beli', 'kali', 'speednya', 'throttle', 'batesi', 'kbps', 'terima', 'kbps', 'mohon', 'maaf', 'pindah', 'provider', '']</t>
  </si>
  <si>
    <t>['tolong', 'diperbaiki', 'pembelian', 'paket', 'promo', 'murah', 'otomatis', 'langsung', 'senang', 'langsung', 'isi', 'pulsa', 'pas', 'dibeli', 'dibeli', 'promo', 'rugi', 'diperbaiki', 'buka', 'bentar', 'kuota', 'langsung', 'habis', 'kadang', 'error', 'dll', '']</t>
  </si>
  <si>
    <t>['kecewa', 'pelanggan', 'setia', 'telkomsel', 'udah', 'telkomsel', 'tapiiii', 'jaringan', 'telkomsel', 'hancur', 'lelet', 'parah', 'jaringannya', 'darah', 'kecewa', 'telkomsel', 'bintang', 'coba', 'tes', 'indosat', 'ehhh', 'jaringan', 'bagus', '']</t>
  </si>
  <si>
    <t>['perdana', 'telkomsel', 'recomended', 'karna', 'lemah', 'daya', 'internet', 'nyaa', 'gangguan', 'sinyal', 'hilang', 'program', 'unlimited', 'lambat', 'beralih', 'reguler', 'lambat', 'boros', 'motong', 'pulsa', 'gsm', 'berharap', 'telkomsel', 'memiliki', 'kualitas', '']</t>
  </si>
  <si>
    <t>['layanan', 'telkomsel', 'mantap', 'setia', 'menggunakannya', 'smp', 'skrg', 'susah', 'pindah', 'hati']</t>
  </si>
  <si>
    <t>['telkomsel', 'kuotanya', 'habis', 'nyedot', 'pulsa', 'sampe', 'pulsanya', 'habis', 'pulsanya', 'habis', 'ganti', 'kuotanya', 'sungguh', 'mengenaskan', 'telkomsel', 'kaya', 'gini', 'bangkrut', 'mending', 'telkomsel', 'niru', 'dagang', 'rasulullah', 'saw', 'kaya', 'kartu', 'sebelah', 'sinyalnya', 'jos', 'murah', 'nyedot', 'pulsa', 'sampah', 'banget', 'udah', 'mahal', 'sinyal', 'susah', 'maunya', 'raup', 'untung', 'besarnya', 'kaya', 'gitu', 'semakinlah', 'merosot', 'pelanggan', '']</t>
  </si>
  <si>
    <t>['bertahun', 'telkomsel', 'mahal', 'sebanding', 'kualitasnya', 'rindu', 'telkomsel', 'sepuluh', 'sampe', '']</t>
  </si>
  <si>
    <t>['maaf', 'kasih', 'saran', 'promonya', 'ditawarkan', 'masyarakat', 'bingung', 'kecewa', 'pelanggan', 'terima', 'kasih']</t>
  </si>
  <si>
    <t>['informasi', 'sinkron', 'deskripsi', 'gb', 'judulnya', 'gb', 'harga', 'paket', 'mahal', 'jaringan', 'jelek', 'pelayanan', 'gitu', 'peningkatan', 'layanan', 'lambatnya', '']</t>
  </si>
  <si>
    <t>['membeli', 'promo', 'ceria', 'pembayaran', 'diproses', 'promo', 'kebeli', 'tolong', 'ngasih', 'promo', 'serius', 'niat', 'ngasih', 'promo', 'kasih', 'promo', 'anjeng', '']</t>
  </si>
  <si>
    <t>['maaf', 'malam', 'jam', 'sisa', 'pulsa', 'bangun', 'tidur', 'pagi', 'tinggal', 'aneh', 'berkurang', 'pakai', 'mode', 'pesawat', 'nyambung', 'wifi', 'jam', 'pagi', 'paket', 'internet', 'rb', 'saldo', 'teenyata', 'pembelian', 'paket', 'gagal', 'pulsa', 'tersisa', 'berkurang', 'pemakaian', 'provider', 'maling', '']</t>
  </si>
  <si>
    <t>['emng', 'bener', 'bnyak', 'pengguna', 'kecewa', 'teramat', 'buruk', 'jaringannya', 'seindah', 'diandalkan', 'menyusahkan']</t>
  </si>
  <si>
    <t>['jaringan', 'telkomsel', 'pengguna', 'resahh', 'tolong', 'jawabb', 'solusi', 'terima', 'kasih', '']</t>
  </si>
  <si>
    <t>['buruk', 'ngasih', 'promo', 'paketan', 'aktifkan', 'udah', 'aplikasi', 'bahkanewat', 'dial', 'kadang', 'beli', 'notif', 'pulsa', 'pulsa', 'sinyal', 'buruk', 'customer', 'servis', 'buruk', 'aplikasi', 'buruk', 'menejemen', 'buruk']</t>
  </si>
  <si>
    <t>['membantu', 'pembelian', 'paket', 'detailnya', 'fitur', 'info', 'menarik', 'check', 'tukar', 'point', 'hadiah', 'menarik', 'terimakasih', 'telkomsel']</t>
  </si>
  <si>
    <t>['', 'telkomsel', 'memakai', 'kartu', 'simpati', 'wajib', 'kali', 'download', 'telkomsel', 'menang', 'beruntung', '']</t>
  </si>
  <si>
    <t>['jaringan', 'bagus', 'masuk', 'aplikasinya', 'koneksi', 'stabil', 'klik', 'coba', 'muat', 'ulang', 'mohon', 'diperbaiki', 'developer', 'terima', 'kasih']</t>
  </si>
  <si>
    <t>['telkomsel', 'kali', 'ilang', 'tetep', 'telkomsel', 'kadang', 'paket', 'internet', 'suka', 'bablas', 'info', 'perpanjangan', 'ngga', 'alhasil', 'pulsa', 'reguler', 'abis', 'tolong', 'perbaiki', 'pelanggan', 'telkomsel', 'sinyal', 'oke', 'bangeet', 'dimana', '']</t>
  </si>
  <si>
    <t>['skrg', 'skrg', 'telkomsel', 'trims', 'sayah', 'kecewa', 'pelanggan', 'good', 'luck', 'telkomsel']</t>
  </si>
  <si>
    <t>['halo', 'telkomsel', 'mohon', 'maaf', 'harap', 'dimengerti', 'puas', 'akses', 'internet', 'signal', 'jaringan', 'kecewa', 'marah', 'akses', 'internet', 'sediakan', 'area', 'orang', 'desa', 'menikmati', 'jaringan', 'internet', 'maksimal', 'beli', 'paket', 'uang', 'rela', 'beli', 'paket', 'ribu', 'menikmati', 'mbps', 'memuaskan', '']</t>
  </si>
  <si>
    <t>['aplikasi', 'suka', 'nge', 'bug', 'parah', 'aplikasi', 'dibuka', 'tampilan', 'kecepatan', 'jaringan', 'mendownload', 'file', 'data', 'dicek', 'penggunaan', 'datanya', 'didownload', 'aplikasi', 'ditutup', 'barulah', 'tampilan', 'kecepatan', 'jaringan', 'normal', 'berlama', 'aplikasi', 'mytelkomsel', 'data', 'seluler', 'error', 'internetan', 'internetan', 'smartphone', 'restart', 'tolonglah', 'diperbaiki', 'bug']</t>
  </si>
  <si>
    <t>['sinyal', 'jelek', 'bobrok', 'kecewa', 'telkomsel', 'udah', 'tahunan', 'udah', 'beli', 'kuota', 'mahal', 'eehhh', 'kadang', 'jaringan', 'error', 'bobroookkk', 'bobrooookkkk', 'emang', 'bobrooookkkkk', '']</t>
  </si>
  <si>
    <t>['paket', 'mahal', 'layanan', 'becus', 'layanan', 'costomer', 'service', 'berguna', 'respon', 'membeli', 'paket', 'swadaya', 'driver', '']</t>
  </si>
  <si>
    <t>['kecewa', 'telkomsel', 'jaringannya', 'buruk', 'masuk', 'aplikasi', 'ajah', 'maen', 'game', 'jaringan', 'buruk', 'puas', 'pelayanan', 'jaringan', 'telkomsel', 'mohon', 'diperbaiki', 'jaringan', 'pengguna', 'kecewa', 'karna', 'jaringan', 'stabil', 'buruk']</t>
  </si>
  <si>
    <t>['paket', 'internet', 'mahal', 'provider', 'koneksi', 'internet', 'lelet', 'andai', 'indosat', 'dapet', 'project', 'indonesia', 'udah', 'tam', 'kau', 'telkomsel', 'bi', 'anak', 'usaha', 'bumn', 'kaya', 'bi', 'kau', 'bangs', '']</t>
  </si>
  <si>
    <t>['aplikasinya', 'muantep', 'klok', 'beli', 'paket', 'beli', 'telkomsel', 'harganya', 'terjangkau', 'check', 'dapet', 'kouta', 'grtis', 'ayok', 'download', 'aplikasinya', 'skrg', 'telkomsel', 'okeeeee', 'muantep', 'buanget', '']</t>
  </si>
  <si>
    <t>['slalu', 'setia', 'telkomsel', 'kehilangan', 'kartunya', 'tetep', 'slalu', 'telkomsel', 'jaringannya', 'kuat', 'terima', 'kasih', 'telkomsel', 'sahabat', 'komunikasi', 'setiaku', '']</t>
  </si>
  <si>
    <t>['jujur', 'kecewa', 'dangan', 'telkomsel', 'paket', 'unlimited', 'max', 'batasi', 'paket', 'namanya', 'paket', 'unlimited', 'batas', 'kali', 'lihat', 'paket', 'unlimited', 'batasi', 'beli', 'mahal', 'batasi', 'mengadakan', 'paket', 'unlimited', 'dibatasi', 'ping', 'sinyal', 'buruk', 'mengganggu', 'bermain', 'game', 'online', '']</t>
  </si>
  <si>
    <t>['senang', 'aplikasih', 'membatu', 'membeli', 'paket', 'sisah', 'kuota', 'pulsa', 'paket', 'promo', 'bingung', 'darurat', 'kadang', 'aktif', 'daftar', 'paket', 'semoga', 'perbaiki', 'berharap', 'terulang', 'smangat', 'telkomsel', 'semoga', 'bermanfaat', 'orang']</t>
  </si>
  <si>
    <t>['main', 'game', 'online', 'sinyal', 'hilang', 'kendala', 'sinyal', 'buruk', 'asli', 'udah', 'beli', 'paketan', 'mahal', 'gada', 'responya', 'kartu', 'domisili', 'sleman', 'yogyakarta']</t>
  </si>
  <si>
    <t>['kali', 'beli', 'paket', 'data', 'masuknya', 'operator', 'sekalinya', 'pencet', 'buy', 'butuh', 'menit', 'mytelkomsel', 'nunggunya', 'bener', 'apk', 'nge', 'leg', 'males', 'pengguna', 'setia', 'telkomsel']</t>
  </si>
  <si>
    <t>['parah', 'tsel', 'skrng', 'kek', 'gini', 'balikin', 'paket', 'paket', 'combo', 'skrng', 'ceept', 'bet', 'habis', 'haduhh', 'beli', 'pulsa', 'kepotong', 'enak', 'kepotong', 'sampe', 'haduhh', '']</t>
  </si>
  <si>
    <t>['telkomnyet', 'nelpon', 'telkomsel', 'pulsa', 'habis', 'paket', 'nelpon', 'laporin', 'kabar', 'cari', 'aplikasi', 'laporan', 'ditutup', 'pemberitahuan', 'njing', 'emang', '']</t>
  </si>
  <si>
    <t>['pembayaran', 'aplikasi', 'berbayar', 'pakai', 'pulsa', 'telkomsel', 'tolong', 'seandainya', 'membayar', 'aplikasi', 'dsb', 'kasih', 'pemberitahuan', 'donk', 'aplikasi', 'berbayar', 'off', 'pulsa', 'siapkan', 'payment', '']</t>
  </si>
  <si>
    <t>['parah', 'berlangganan', 'perdana', 'halo', 'langsung', 'aplikasinya', 'buruk', 'mohon', 'perbaikan', 'android', 'samsung', '']</t>
  </si>
  <si>
    <t>['harga', 'unlimited', 'paket', 'unlimited', 'beda', 'gb', 'allnet', 'gb', 'lokal', 'bebas', 'akses', 'batas', 'skarang', 'batas', 'gb', 'unlimited', 'kecewa', 'telkomsel', 'harap', 'sprti', 'mksh']</t>
  </si>
  <si>
    <t>['tolong', 'paket', 'beli', 'paket', 'gb', 'dinyatakan', 'gagal', 'pembayaran', 'aplikasi', 'linkaja', 'berhasil', 'email', 'tolong', 'proses', 'email', '']</t>
  </si>
  <si>
    <t>['telkomsel', 'pencuri', 'pulsa', 'data', 'internetan', 'pulsa', 'kepotong', 'emg', 'udh', 'curiga', 'buktikan', 'tulis', 'riview', 'pulsa', 'curi', 'ribu', 'brengsek', 'paket', 'data', 'nlp', 'msh', 'menit', 'sms', 'msh', 'pulsa', 'curi', '']</t>
  </si>
  <si>
    <t>['maaf', 'aplikasi', 'jelek', 'banget', 'sayangnya', 'kasih', 'bintang', 'mah', 'udah', 'kasih', 'bintang', 'gaakan', 'bintang', 'kecewa', 'banget', 'aplikasinya', 'pulsa', 'kesedot', 'beli', 'paketnya', 'wifi', 'error', 'sekalinya', 'data', 'internet', 'pulsanya', 'kesedot', 'tolong', 'perbaiki', 'layanannya', 'gini', 'ganti', 'kartu', 'kartu', 'telkomsel', 'kesel', 'banget', 'sumpah', 'tolong', 'yaa', 'cuman', 'baca', 'terimakasih']</t>
  </si>
  <si>
    <t>['tolong', 'bantuannya', 'pulsa', 'kesedot', 'ngga', 'telpon', 'pulsa', 'abis', 'rugi', 'telkomsel', 'untung', 'pelanggan', 'buntung', 'cari', 'untung', 'skrg', 'sinyalnya', 'bagus', 'didalam', 'ruangan', '']</t>
  </si>
  <si>
    <t>['tolong', 'telkomsel', 'giliaran', 'ngembaliin', 'pulsa', 'gercep', 'udah', 'isi', 'pulsa', 'trus', 'beli', 'paket', 'banget', 'prosesnya', 'tolong', 'orang', 'kesibukan', '']</t>
  </si>
  <si>
    <t>['parah', 'operator', 'membeli', 'paket', 'youtube', 'paket', 'maxtream', 'pulsa', 'kesedot', 'habis', 'sisa', 'penipuan', 'kecurangan', 'keuntungan', 'raup', 'telkomsel', 'pelanggannya', 'tolong', 'kecewakan', '']</t>
  </si>
  <si>
    <t>['telkomsel', 'ngeleg', 'bener', 'jaringannya', 'udah', 'mahal', 'jaringannya', 'ancur', 'gini', 'pengguna', 'telkomsel', 'nyaman']</t>
  </si>
  <si>
    <t>['tolong', 'harga', 'paket', 'sesuaikan', 'untung', 'sesuai', 'ajaran', 'agama', 'apapun', 'unsur', 'membebani', 'pejabat', 'korupsi', '']</t>
  </si>
  <si>
    <t>['telkomsel', 'parah', 'jaringannya', 'stabil', 'lemot', 'udah', 'cepatlah', 'betulin', 'gangguan', 'pelanggan', 'pindah', 'provider', '']</t>
  </si>
  <si>
    <t>['maap', 'min', 'paket', 'unlimited', 'dipakai', 'udah', 'unlimited', 'chat', 'vidio', 'socialmedia', 'tiktok', 'youtube', 'kepake', 'kuota', 'utama', 'mohon', 'cepat', 'diperbaiki', '']</t>
  </si>
  <si>
    <t>['pengguna', 'loop', 'paketannya', 'mahal', 'sakti', 'beli', 'jaringannya', 'buruk', 'andaikan', 'opsi', 'pusing', 'kerja', 'terkendala', 'jaringan', '']</t>
  </si>
  <si>
    <t>['provider', 'telkomsel', 'tolong', 'diperbaiki', 'jringanny', 'khusus', 'sulawesi', 'utara', 'daerah', 'minahasa', 'beli', 'pulsa', 'mahal', 'jringanny', 'ngga', 'sebanding', 'parah', 'abis', 'telkomsel', 'iklan', 'jringan', 'nmr', 'ngga', 'sesuai', 'ohia', 'daerah', 'cepat', 'dri', 'ngga', 'stabil', 'tolong', 'baca', 'respon', 'pelanggan', 'adlh', 'nmr', '']</t>
  </si>
  <si>
    <t>['memakai', 'telkomsel', 'puas', 'perubahan', 'telkomsel', 'signal', 'lancar', 'lemot', 'asyik', 'bermain', 'game', 'alasan', 'signal', 'berubah', 'terbaik', 'telkomsel', 'ayo', 'buruan', 'pindah', 'provider']</t>
  </si>
  <si>
    <t>['kayaknya', 'jaringan', 'sulit', 'kali', 'pakai', 'jaringan', 'telkomsel', 'susah', 'sya', 'telkomsel', 'karna', 'jaringan', 'buruk', 'parah', 'jaringan', 'telkomsel', 'udh', 'mahal', 'sush', 'sesuai', 'hargany', 'males', 'jga', 'telkomsel', 'jaringan', 'buruk', '']</t>
  </si>
  <si>
    <t>['parah', 'telkomsel', 'paket', 'combo', 'sakti', 'gb', 'harga', 'kemarin', 'rb', 'rb', 'naiknya', 'ramadhan', 'pulak', 'harga', 'uda', 'mahal', 'ujung', 'pindah', 'provider', 'telkomsel', 'telkomsel', 'isinya', 'orang', 'yahudi', 'mahal', 'parah', '']</t>
  </si>
  <si>
    <t>['beli', 'paket', 'internet', 'sinyal', 'bagus', 'youtube', 'lancar', 'pas', 'beli', 'paket', 'kesalahan', 'koneksi', 'tolong', 'perbaiki']</t>
  </si>
  <si>
    <t>['apk', 'knpa', 'bgsd', 'eror', 'mulu', 'jaringan', 'main', 'high', 'domino', 'bagus', 'pas', 'buka', 'apk', 'blang', 'jaringan', 'stabil', 'mohon', 'coba', 'asoh', 'asoh', 'gini', 'ganti', 'propaider']</t>
  </si>
  <si>
    <t>['mahal', 'murah', 'rb', 'pindah', 'proveder', 'pulsa', 'kesedot', 'telkomsel', 'menegement', 'be', 'okk', 'ayok', 'kasih', 'bintang', 'telkomsel', 'mikir', 'bahan', 'evaluasi', '']</t>
  </si>
  <si>
    <t>['jaringan', 'bagus', 'kebijakannya', 'merugikan', 'daftar', 'paket', 'internet', 'kebanyakan', 'pilihan', 'jenis', 'kartu', 'hitungannya', 'jelek', 'kuota', 'internet', 'habis', 'lupa', 'daftar', 'pulsa', 'disedot', 'pemberitahuan', 'pas', 'pulsa', 'kepotong', 'separo', 'contoh', 'pulsa', 'ribu', 'lupa', 'daftar', 'paket', 'internet', 'biarin', 'buka', 'internet', 'apapun', 'pas', 'kepotong', 'ribu', 'sms', 'pemberitahuan']</t>
  </si>
  <si>
    <t>['puas', 'internet', 'kenceng', 'udah', 'paket', 'internet', 'data', 'seluler', 'udah', 'hidupin', 'tolong', 'perbaiki', '']</t>
  </si>
  <si>
    <t>['aplikasi', 'dibuka', 'lengkap', 'praktis', 'uraian', 'paket', 'terinci', 'memudahkan', 'memilih', 'tingkatkan', 'paket', 'paket', 'hadiahnya', 'promo', 'membantu', 'masyarakat', 'terima', 'kasih', 'telkomsel']</t>
  </si>
  <si>
    <t>['sinyal', 'tanjungrasa', 'kab', 'bogor', 'sdn', 'cibungur', 'jelek', 'gimana', 'belajar', 'online', 'lemot', 'tolong', 'diperbaiki', 'maju', 'sinyal', 'wilayah', 'lemot', 'kek', 'gini', 'kuota', 'udah', 'iya', 'pasang', 'wifi']</t>
  </si>
  <si>
    <t>['konsumen', 'setia', 'telkomsel', 'biasaa', 'kecewa', 'pulsa', 'tersedot', 'biaya', 'apapun', 'tlsel', 'mahal', 'udah', 'kecurangan', 'paket', 'belii', 'syaa', 'bisaa', 'tuliss', 'kekurangan', 'alami', 'telkomsel', 'godbye', 'telkomsel', 'panggil', 'utuk', 'telkomsel', '']</t>
  </si>
  <si>
    <t>['koneksi', 'bagus', 'jaringan', 'data', 'bagus', 'jaringan', 'wifi', 'bagus', 'membuka', 'aplikasi', 'refres', 'tampilannya', 'gek', 'bener', 'kadang']</t>
  </si>
  <si>
    <t>['sbgai', 'pelanggan', 'telkomsel', 'kali', 'sngat', 'kecewa', 'paket', 'unlimitedmax', 'lelet', 'abis', 'paket', 'lokal', 'kayak', 'skrang', 'abis', 'batasannya', 'udah', 'lelet', 'akses', 'youtube', 'dll', '']</t>
  </si>
  <si>
    <t>['telkomsel', 'praktis', 'mudah', 'hadiah', 'mingguan', 'telkomsel', 'poin', 'oke', 'banget', 'semoga', 'beruntung', 'hadiah', 'memanfaatkan', 'aplikasi', 'telkomsel', '']</t>
  </si>
  <si>
    <t>['dapet', 'promo', 'paket', 'ceria', 'gb', 'coba', 'beli', 'pulsa', 'beli', 'pulsanya', 'pas', 'coba', 'cek', 'pulsa', 'utuh', 'tsel', 'pelit', 'pelit', 'kek', 'gitu', 'ngasih', 'promo']</t>
  </si>
  <si>
    <t>['suka', 'tsel', 'jangkauan', 'sinyal', 'enak', 'sampe', 'pelosok', 'pelosok', 'harganya', 'lumayan', 'operator', 'emang', 'make', 'tsel', 'lancar', 'gada', 'gangguan', 'buffering', 'tugas', '']</t>
  </si>
  <si>
    <t>['beli', 'paket', 'kuota', 'internet', 'aktif', 'paket', 'masi', 'paket', 'internetnya', 'pakai', 'paket', 'internet', 'dibeli', 'pulsa', 'dimakan', 'habis']</t>
  </si>
  <si>
    <t>['combo', 'sakti', 'unlimited', 'unlimited', 'batas', 'kuota', 'app', 'costumer', 'service', 'twitter', 'slow', 'respon', 'mengirim', 'direspon']</t>
  </si>
  <si>
    <t>['keluhan', 'smua', 'pulsa', 'tersedot', 'dilaporkan', 'internet', 'gprs', 'aktif', 'net', 'data', 'telkomsel', 'matikan', 'inet', 'provider', 'buang', 'kartu', 'langganan', 'telkomsel', 'kecewa', 'pelanggan', 'donk', '']</t>
  </si>
  <si>
    <t>['aplikasi', 'telkomsel', 'teman', 'membandingkan', 'aplikasi', 'telkomsel', 'berbeda', 'tawaran', 'penjualan', 'kuota', 'mahal', 'aplikasi', 'sistem', 'telkomsel', 'memperlakukan', 'pelanggan', 'pelanggan', '']</t>
  </si>
  <si>
    <t>['terima', 'kasih', 'mytelkomsel', 'sahabatan', 'pengguna', 'setia', 'udah', 'keluhan', 'masukan', 'tolong', 'pertimbangkan', '']</t>
  </si>
  <si>
    <t>['sial', 'telkomsel', 'jariangan', 'udah', 'tpi', 'lemot', 'gangguan', 'cuaca', 'bayak', 'keluhan', 'perbaiki', 'jarak', 'pemancar', 'telkom', 'salah', 'sya', 'pengguna', 'dri', 'telkom', 'dri', 'thn', 'didaerah', 'sya', 'bayak', 'kesal', 'jaringan', 'lemot', 'udah', 'tolong', 'perbaiki', '']</t>
  </si>
  <si>
    <t>['tolong', 'perbaiki', 'jaringan', 'paketan', 'banyk', 'tpi', 'jaringan', 'lag', 'sudh', 'kemarin', 'jaringan', 'lag', 'kirim', 'pesan', 'sja', 'tnda', 'jam', 'buka', 'sma', 'lag', 'tolong', 'perbaiki', 'pdahal', 'beli', 'paket', 'lgi', 'paketan', 'masuk', 'seharga', 'disitu', 'tulis', 'berlangganan', 'pdhal', 'sya', 'pernh', 'berlangganan', 'tolong', 'perbaiki', '']</t>
  </si>
  <si>
    <t>['', 'kasih', 'bintang', 'apps', 'kasih', 'bintang', 'deh', 'semoga', 'bahan', 'perbaikan', 'programernya', 'isinya', 'beli', 'kuota', 'beratnya', 'ampun', 'deh', 'ngelebihin', 'aplikasi', 'marketplace', 'aplikasi', 'medsos']</t>
  </si>
  <si>
    <t>['layanan', 'mytelkomsel', 'memudahkan', 'memilih', 'paket', 'tersedia', 'poin', 'terkumpul', 'menukarkan', 'poin', 'mudah', 'selamat', 'mencoba']</t>
  </si>
  <si>
    <t>['telkomsel', 'hancur', 'perbaikilah', 'jaringannya', 'rusak', 'pelanggan', 'setia', 'mari', 'ganti', 'parah', 'sumpah', 'jarongan', 'telkomsel']</t>
  </si>
  <si>
    <t>['pulsa', 'beli', 'beli', 'paket', 'udh', 'tarik', 'coba', 'belajar', 'app', 'axis', 'pulsa', 'kunci', 'ngga', 'sedot', 'ngga', 'kedepan', 'konsumen', 'povider', 'ngga', 'rugikan', '']</t>
  </si>
  <si>
    <t>['paket', 'kouta', 'daptar', 'paket', 'buka', 'paket', 'kouta', 'habis', 'alias', 'kesedot', 'operator', 'siall', 'telkomsel', 'kouta', 'sedot', 'gini', 'auto', 'ganti', 'kartu', 'terimakasih', 'telkomsel', '']</t>
  </si>
  <si>
    <t>['paket', 'unlimited', 'dri', 'turunin', 'tolong', 'kembalikan', 'paket', 'jaringan', 'suka', 'leg', 'dikurangin', 'mohon', 'telkomsel', '']</t>
  </si>
  <si>
    <t>['parah', 'telkomsel', 'paket', 'ketengan', 'membebani', 'pelanggan', 'pulsanya', 'pas', 'pasan', 'konsisten', 'meringanjan', 'pelanggan', 'operator', 'murah', 'semoga', 'acuan', 'pelanggan', 'mengecewakan', '']</t>
  </si>
  <si>
    <t>['ngapa', 'bisah', 'kunci', 'pulsa', 'bececeran', 'kemana', 'tolong', 'pengaturan', 'utuk', 'kunci', 'pulsa', 'axis', 'pengaturan', 'kunci', 'pulsa', 'ehhh', 'telkom', 'kecewa', 'isi', 'pulsa', 'abis', 'truss', 'keceran', 'tooolooonggg', 'teelllkkkkooommmsssseeelll', 'pengaturan', 'kunci', 'pulsa', 'kayak', 'axiss', 'telkom', 'benerin', 'atu', 'voceryah', 'kolo', 'isi', 'baca', 'cak', 'jaringan', 'sibuk', 'tunggu', 'sedi', '']</t>
  </si>
  <si>
    <t>['', 'tulisannya', 'mah', 'kuota', 'utama', 'gb', 'gb', 'sosmed', 'chatting', 'kenyataannya', 'kuota', 'utama', 'kuota', 'utama', 'habis', 'kuota', 'sosmed', 'bintang', 'bagus', 'telkomsel', 'kecewa', '']</t>
  </si>
  <si>
    <t>['telkomsel', 'jaringan', 'indonesia', 'aplikasi', 'memudahkan', 'pembelian', 'paket', 'internet', 'tukar', 'point', 'terimakasi', 'telkomsel']</t>
  </si>
  <si>
    <t>['telkomsel', 'setia', 'memakai', 'kartu', 'simpati', 'memakai', 'nomor', 'angka', 'pemakaian', 'permintaan', 'pemakai', 'setia', 'kartu', 'disamakan', 'suka', 'gonta', 'ganti', 'kartu', 'kuota', 'internet', 'murah', 'dibanding', 'hargailah', 'pengguna', 'kartu', 'terima', 'kasih', '']</t>
  </si>
  <si>
    <t>['aneh', 'banget', 'isi', 'pulsa', 'ribu', 'pemberitahuan', 'link', 'masuk', 'kaga', 'masuk', 'rekomendasi', 'aplikasi', 'mending', 'rework']</t>
  </si>
  <si>
    <t>['aplikasi', 'lelet', 'koneksi', 'buka', 'aplikasi', 'sanggup', 'download', 'cepat', 'aplikasi', 'telkomsel', 'lemot', 'ampun', '']</t>
  </si>
  <si>
    <t>['tetep', 'njir', 'enak', 'salah', 'gua', 'njir', 'sinyal', 'enak', 'kesel', 'njir', 'pas', 'nge', 'game', 'kesel', 'mementingkan', 'kota', 'desa', 'dasar']</t>
  </si>
  <si>
    <t>['yukk', 'rame', 'uninstal', 'aplikasi', 'beritahukan', 'kpd', 'tmn', 'dipake', 'aplikasi', 'siknyal', 'msh', 'bgs', 'skrg', 'maen', 'leletnya', 'kesal', 'bwt', 'tmn', 'instal', 'aplikasi', 'nnt', 'menyesal', 'udah', 'gtu', 'sisa', 'pulsa', 'diambil', 'menyesal', 'bget', 'instal', 'aplikasi']</t>
  </si>
  <si>
    <t>['telkomsel', 'sinyal', 'hilang', 'tlp', 'suka', 'enak', 'lawan', 'bicara', 'kejadian', 'tolong', 'telk', 'kenyamanan', 'pengguna', 'perhatikan']</t>
  </si>
  <si>
    <t>['suka', 'tsel', 'suka', 'nyedot', 'pulsa', 'plis', 'beli', 'pulsa', 'beli', 'paket', 'ludes', 'pulsa', 'kaya', 'operator', 'sebelah', 'kuota', 'abis', 'nyedot', 'pulsa']</t>
  </si>
  <si>
    <t>['jaringan', 'bagus', 'main', 'game', 'mobile', 'legend', 'leg', 'mulu', 'kuwalitas', 'kayak', 'gini', 'kecewa', 'mending', 'ganti', 'kartu', 'game', 'jaringan', 'orang', 'banting', 'mulu', 'kartunya', 'udah']</t>
  </si>
  <si>
    <t>['perubahan', 'tetep', 'mahal', 'paketnya', 'plus', 'maksimal', 'penggunaan', 'kuotanya', 'jaringan', 'down', 'ngirim', 'email', 'tetep', 'berubah', 'kecewa', 'kecewaaa', 'ajig', 'ahh', 'cape', 'hate', 'pindah', 'haluan', 'tuman']</t>
  </si>
  <si>
    <t>['telkomsel', 'kebangetan', 'masak', 'payah', 'buka', 'aplikasinya', 'jaringannya', 'kadang', 'hilang', 'harga', 'paketnya', 'tolong', 'kasih', 'terbaiklah', 'pengguna', 'telkomsel', 'setia', '']</t>
  </si>
  <si>
    <t>['pembayaran', 'paket', 'data', 'sisa', 'pulsa', 'hilang', 'dlm', 'jam', 'semoga', 'sukses', 'telkomsel', 'pandemi', 'moga', 'berkah', 'barokah', 'amin', '']</t>
  </si>
  <si>
    <t>['beli', 'paket', 'unlimited', 'max', 'pas', 'beli', 'tulisannya', 'bebas', 'akses', 'pas', 'dibatas', 'gb', 'well', 'beli', 'paket', 'kemarin', 'pas', 'beli', 'batas', 'gb', 'pas', 'beli', 'tulisan', 'bebas', 'akses', 'kesalah', 'tolong', 'kesalahan', 'tolong', 'ubah', 'paketnya', 'pas', 'udh', 'beli', 'ngersa', 'dirugiin']</t>
  </si>
  <si>
    <t>['kasih', 'bintang', 'skalian', 'dislike', 'skalian', 'lebaran', 'naikya', 'kali', 'lipat', 'gaada', 'pemberitahuan', 'msih', 'mnding', 'jaringan', 'stabil', 'udh', 'jelek', 'mahal', 'nyesel', 'gua', 'nyoba', 'telkomsel', 'tdinya', 'pngen', 'muji', 'tpi', 'gajadi', '']</t>
  </si>
  <si>
    <t>['sinyal', 'jelek', 'semenjak', 'kelas', 'online', 'tolong', 'diperhatikan', 'pengguna', 'produk', '']</t>
  </si>
  <si>
    <t>['ampas', 'apk', 'telkomsel', 'jam', 'malam', 'keatas', 'dibuka', 'hedehhhhh', 'paket', 'dinaikkin', 'kualitas', 'turun', 'operator', 'buruk', 'indonesia']</t>
  </si>
  <si>
    <t>['telkomsel', 'ganti', 'operator', 'sakit', 'hati', 'promo', 'paket', 'kelas', 'pulsa', 'hilang', '']</t>
  </si>
  <si>
    <t>['sedih', 'banget', 'pelanggan', 'setia', 'telkomsel', 'karna', 'paket', 'unlimitedmax', 'skrg', 'udh', 'unlimited', 'batesin', 'sampe', 'gb', 'kecewa', 'banget', 'telkomsel', 'pdhl', 'udah', 'keren', 'banget', 'kebijakan', 'unlimited', 'sebulan', 'dibatesin', 'orang', 'orang', 'beralih', 'telkomsel', 'sayang', 'banget', 'telkomsel', 'gabisa', 'konsisten', '']</t>
  </si>
  <si>
    <t>['jelek', 'buka', 'aplikasinya', 'lelet', 'pakai', 'jaringan', 'telkomsel', 'mending', 'gaj', 'update', 'jelek', 'contoh', 'aplikasi', 'exis', 'bagus', '']</t>
  </si>
  <si>
    <t>['tolong', 'diperbaiki', 'transaksi', 'pengecekan', 'sisa', 'kouta', 'alasannya', 'sinyal', 'jelek', 'bukak', 'sosmed', 'aplikasi', 'lancar', 'hadeh', 'parah', 'permbaruan', 'kecewain', 'konsumen']</t>
  </si>
  <si>
    <t>['kecewa', 'berat', 'paket', 'paketnya', 'berubah', 'mahal', 'unlimited', 'ilang', 'pembodohan', 'bahasa', 'unlimited', 'karna', 'nomor', 'udah', 'tersebar', 'bersabar', '']</t>
  </si>
  <si>
    <t>['beli', 'kuota', 'unlimited', 'kuota', 'doang', 'paket', 'unlimited', 'telkomsel', 'udah', 'gimana', 'belinya', 'apk', 'telkomsel', 'ngecewain', 'banget']</t>
  </si>
  <si>
    <t>['sial', 'bener', 'pengen', 'beli', 'paket', 'data', 'rb', 'persulit', 'kacau', 'telkomsel', 'mending', 'ganti', 'provider', '']</t>
  </si>
  <si>
    <t>['telkomsel', 'maumu', 'udah', 'daftar', 'paket', 'ketengan', 'unlimitied', 'sesuai', 'telkomsel', 'menit', 'udah', 'sisa', 'pulsa', 'embat', 'kuota', 'sisa', 'dasar', 'penipu', 'banget', 'kayak', 'gini']</t>
  </si>
  <si>
    <t>['gilak', 'paketan', 'nonton', 'youtube', 'vidio', 'udah', 'habis', 'telkomsel', 'menguras', 'paket', 'data', 'sebanding', 'kualitas', 'sinyal', 'hasilkan', '']</t>
  </si>
  <si>
    <t>['jaringan', 'sangan', 'jelek', 'pelanggan', 'jengkel', 'pakai', 'nyuruh', 'hidup', 'mati', 'data', 'mode', 'pesawat', 'suruh', 'udah', 'lakukan', 'coba', 'pikirkan', 'bagain', 'membuang', 'karna', 'jaringan', 'jelek', 'kah', 'mengganti']</t>
  </si>
  <si>
    <t>['koneksi', 'busuk', 'daerah', 'kota', 'yogyakarta', 'kota', 'busuk', 'ping', 'stabil', 'tembus', 'sampah', 'koneksinya', 'pemberitahuan', '']</t>
  </si>
  <si>
    <t>['paket', 'internat', 'mahal', 'beda', 'nomor', 'beda', 'harga', 'nggak', 'trus', 'aplikasi', 'uda', 'koran', 'aplikasi', 'telkomsel', 'metro', '']</t>
  </si>
  <si>
    <t>['maaf', 'telkomsel', 'bintang', 'keluhan', 'masuk', 'memuat', 'ulang', 'jaringan', 'bagus', 'udh', 'coba', 'buka', 'youtube', 'bagus', 'uninstall', 'hapus', 'data', 'restart', 'tolong', 'secepatnya', 'diperbaiki']</t>
  </si>
  <si>
    <t>['memyampaikam', 'keluhan', 'alami', 'perihal', 'aktif', 'kartu', 'bertambah', 'sekalai', 'lapor', 'grapari', 'telkomsel', 'tlp', 'telkomsel', 'bikinkan', 'laporan', 'smpe', 'skrng', 'belom', 'hub', 'telkomsel', 'isi', 'pulsa', 'isi', 'kuota', 'tlp', 'sms', 'hasilnya', 'aktif', 'kartu', 'utuh', 'bertambah', 'prosedur', 'laporan', '']</t>
  </si>
  <si>
    <t>['beli', 'paket', 'omg', 'harga', 'ribu', 'pakai', 'saldo', 'shopee', 'uda', 'kepotong', 'saldonya', 'paketnya', 'trouble', 'notifikasi', 'kirain', 'sebentr', 'doank', 'skrg', 'info', 'uda', 'kirim', 'email', 'terpaksa', 'deh', 'beli', 'emank', 'butuh', 'banget', 'asli', 'kecewa', 'banget', 'telkomsel', 'email', 'ngak', 'dbls', '']</t>
  </si>
  <si>
    <t>['kuota', 'mahal', 'sinyal', 'kek', 'babi', 'sadar', 'babi']</t>
  </si>
  <si>
    <t>['telkomsel', 'knpa', 'slalu', 'kehilangan', 'pulsa', 'isi', 'ulang', 'pulsa', 'hilang', 'kmna', 'hbis', 'tda', 'trsisa', 'beli', 'paket', 'internet', 'sdah', 'blikan', 'paket', 'ttp', 'pulsa', 'makan', 'trus', 'kmna', 'perginya', 'kuato', 'kmi', 'bli', 'kcwa', 'dngn', 'telkomsel', 'bnyaj', 'pnipuan', 'jlaaass', 'pencurian', 'pulsa', 'tba', 'tba', 'hilang', 'tolong', 'perbaiki', 'telkomsel', 'mngecwakan', 'plnggan']</t>
  </si>
  <si>
    <t>['paket', 'swadaya', 'gojek', 'udah', 'gaada', 'sampe', 'jasa', 'layak', 'sbg', 'jasa', 'situ', 'ajak', 'kenalan', 'saudara', 'tinggalkan', 'uninstall', 'aplikasinya', 'pindah', 'provider', '']</t>
  </si>
  <si>
    <t>['tolong', 'min', 'kesini', 'jaringan', 'jelek', 'jaringan', 'full', 'ping', 'kuning', 'ping', 'merah', 'bagus', 'ping', 'hijau', 'paket', 'mahal', 'kualitas', 'mengecewakan', 'kalah', 'ama', 'kuning', 'jaringan', 'bar', 'hijau', 'mohon', 'tingkatkan', 'pelanggan', 'pascabayar', 'kecewa', 'kualitas', 'jaringan', 'terimakasih', '']</t>
  </si>
  <si>
    <t>['jualan', 'komitmen', 'unlimited', 'unlimited', 'iming', 'kuota', 'ditambahin', 'unlimited', 'dihilangin', 'dikurangi', 'paket', 'combo', 'unlimited', 'gitu', 'cari', 'duit', 'sesuai', 'pelanggan', 'udah', 'bayar', 'mahal']</t>
  </si>
  <si>
    <t>['pengguna', 'setia', 'tesel', 'pembelian', 'kuota', 'unsur', 'kecurangan', 'menggunkan', 'app', 'semalam', 'mengambil', 'kuota', 'ketengan', 'youtube', 'iya', 'liat', 'hilang', 'pulsa', 'hilang', 'kuota', 'masuk', 'beli', 'habis', 'unlimitit', 'jangka']</t>
  </si>
  <si>
    <t>['mengorbankan', 'pulsa', 'wooyyyy', 'gatel', 'rugi', 'nihhh', 'tolong', 'ulasan', 'diperhatikan', 'ambil', 'untung', 'memakan', 'pulsa', 'pelanggan', 'woy', '']</t>
  </si>
  <si>
    <t>['harap', 'daftar', 'transaksi', 'masuk', 'saldo', 'pulsa', 'link', 'harap', 'membatalkan', 'proses', 'pengisian', 'pulsa', 'bank', 'nomor', 'diisi', 'lengkap', '']</t>
  </si>
  <si>
    <t>['dibales', 'balikin', 'sinyalnya', 'kaya', 'gini', 'rugi', 'udah', 'sinyal', 'lag', 'kena', 'hpnya', 'dibanting', 'tolong', 'benerin', 'sinyal', 'dibales', 'suruh', 'menghubungi', 'udah', 'menghubingi', 'jaringan', '']</t>
  </si>
  <si>
    <t>['udah', 'didawnload', 'kawan', 'sya', 'hapus', 'mending', 'pindah', 'jaringan', 'kwan', 'ngambil', 'pulsa', 'udah', 'sya', 'paketin', 'sya', 'tunggu', 'notivikasinya', 'udh', 'knpa', 'pulsa', 'sya', 'diambil', 'tolong', 'balikin', 'pulsa', 'ambil', 'brmanpaat', 'sya', '']</t>
  </si>
  <si>
    <t>['maaksudnya', 'coba', 'telkomsel', 'beli', 'kuota', 'kendala', 'heran', 'gapernah', 'mulus', 'kasihan', 'udah', 'beli', 'mahal', 'mahal', 'layanan', 'maksimal', 'voucher', 'trik', 'marketing', 'eluu', 'semoga', 'bisnis', 'diberkahi']</t>
  </si>
  <si>
    <t>['parah', 'beli', 'paket', 'dipakai', 'kuota', 'lokanya', 'didaerah', 'aktifasi', 'paket', 'menghubungin', 'admin', 'telkomsel', 'aktifasi', 'sesuai', 'aslinya', 'kuota', 'dasar', 'telkomsel', 'penipuan', 'doakan', 'semoga', 'bangkrut', 'telkomsel', 'menipu', 'pelanggan']</t>
  </si>
  <si>
    <t>['mohon', 'maaf', 'knapa', 'jaringan', 'telkomsel', 'ngk', 'stabil', 'gitu', 'trus', 'nonton', 'ato', 'main', 'game', 'rmh', 'lancar', 'skarang', 'ngk', 'stabil', 'gitu', 'ping']</t>
  </si>
  <si>
    <t>['unlimited', 'telkomsel', 'sinyalnya', 'lemot', 'kaya', 'isi', 'batasan', 'pakai', 'unlimited', 'telkomsel', 'sinyalnya', 'lemot', 'banget', 'mohon', 'dikembalikan', '']</t>
  </si>
  <si>
    <t>['hemm', 'telkomsel', 'jaringan', 'lohh', 'terbaliklah', 'paket', 'habis', 'nyedot', 'pulsa', 'sistem', 'pulsa', 'safe', 'yaa', 'mengambil', 'untung', 'dibalik', 'kelalain', 'orang', 'cerdas']</t>
  </si>
  <si>
    <t>['bintang', 'tambahin', 'tolong', 'jaringan', 'maksimalkan', 'perbaiki', 'lgi', 'sprti', 'dlu', 'pengguna', 'setia', 'telkomsel', 'hmpir', 'memakai', 'telkomsel', 'kali', 'kecewa', 'jaringan', 'lelet', 'lemot', 'sekian', 'trimksih']</t>
  </si>
  <si>
    <t>['aplikasi', 'berguna', 'promo', 'dibeli', 'mahal', 'daily', 'kuota', 'bertambah', 'terima', 'kasih', 'telkomsel']</t>
  </si>
  <si>
    <t>['telkomsel', 'bangkrut', 'unlimited', 'iya', 'namanya', 'unlimited', 'fup', 'fup', 'kecepatan', 'kb', 'kb', 'yng', 'jalan', 'bener', '']</t>
  </si>
  <si>
    <t>['parah', 'kartu', 'pakai', 'pulsa', 'darurat', 'pas', 'isi', 'pulsa', 'dipotong', 'pulsa', 'darurat', 'lemotnya', 'ampun', 'sial', 'kartu']</t>
  </si>
  <si>
    <t>['parah', 'login', 'via', 'email', 'ribet', 'akun', 'nomer', 'telkomsel', 'mohon', 'perbaikin', 'mahal', 'kwalitas', 'low', 'pulsa', 'abis']</t>
  </si>
  <si>
    <t>['puas', 'kualitas', 'jaringan', 'internet', 'telkomsel', 'setuju', 'migrasi', 'produk', 'pra', 'pasca', 'bayar', 'offline', 'grapari', 'disertai', 'bukti', 'ktp', 'sehubungan', 'mengantisipasi', 'tindakan', 'hacker', 'mengambil', 'alih', 'data', 'pengguna', 'rekening', 'bank', 'terkait', 'nomor', 'hapenya', 'dpt', 'perbanyak', 'kuota', 'murah', 'planggan', 'setia', 'shingga', 'pelanggan', 'dpt', 'setia', 'provider', 'telkomsel', '']</t>
  </si>
  <si>
    <t>['woi', 'telkomsel', 'paket', 'datanya', 'mahalnya', 'ampunnn', 'udah', 'mahal', 'dapetnya', 'dikit', 'tolong', 'kembalikan', 'kode', 'dial', 'harganya', 'dimurahin', 'solanya', 'pandemi', 'cari', 'uang', 'susah']</t>
  </si>
  <si>
    <t>['jaman', 'baheula', 'sllu', 'pakai', 'telkomsel', 'nomor', 'ganti', 'semoga', 'sinyalnya', 'gangguan', 'lebaran', 'sinyalnya', 'mati', 'suri', 'tolong', 'tingkatkan', 'sukses', 'telkomsel']</t>
  </si>
  <si>
    <t>['sumpah', 'parah', 'bet', 'bukak', 'apk', 'dibilang', 'koneksi', 'stabil', 'padahl', 'koneksi', 'stabil', 'tolong', 'diperbaiki', 'parah', 'bat', 'apk', 'dibukak', 'gabisa', 'udah', 'hapus', 'apk', 'rugi', 'instal', '']</t>
  </si>
  <si>
    <t>['harganya', 'berubah', 'ubah', 'kouta', 'masi', 'bnyk', 'harga', 'murah', 'giliran', 'transaksi', 'harga', 'beda', 'istri', 'pakai', 'telkomsel', 'pilihan', 'paket', 'tersediah', 'telkomsel', 'istri', 'beda', '']</t>
  </si>
  <si>
    <t>['mohon', 'diperbaiki', 'minggu', 'buka', 'apknya', 'masuk', 'alasannya', 'koneksi', 'eror', 'jaringan', 'bagus', 'mohon', 'diperbaiki']</t>
  </si>
  <si>
    <t>['telkomsel', 'gini', 'paket', 'internet', 'masi', 'byak', 'pulsa', 'berkurang', 'aneh', 'klw', 'gini', 'malas', 'deh', 'isi', 'pulsa', 'mending', 'beli', 'paket', 'langsung', 'tolong', 'telkomsel', 'telkomsel', 'sengaja', 'mengambil', 'paket', 'mengalami', 'bnyak']</t>
  </si>
  <si>
    <t>['membantu', 'pelanggan', 'setia', 'telkomsel', 'smga', 'maju', 'smga', 'salah', 'brntung', 'mndapatkan', 'hadiah', 'telkomsel', 'point', 'aamiin', 'yra', 'terimakasih']</t>
  </si>
  <si>
    <t>['bagus', 'bnyak', 'promo', 'bnyak', 'paket', 'murah', 'bintang', 'kasih', 'pelanggan', 'telkomsel', 'muda', 'mudahan', 'memuaskan']</t>
  </si>
  <si>
    <t>['telkomsel', 'masuk', 'aplikasi', 'koneksi', 'stabil', 'uda', 'gitu', 'pas', 'belik', 'paket', 'data', 'aplikasi', 'terpotong', 'deluan', 'pulsa', 'beli', 'pulsa', 'pulsanya', 'terserap', 'kamana', 'nelpon', 'sms', 'orang', 'tolongya', 'telkomsel', 'kecewa', 'pelayanannya']</t>
  </si>
  <si>
    <t>['aplikasi', 'sempurna', 'membeli', 'paket', 'cek', 'pulsa', 'dibagian', 'quota', 'detail', 'coba', 'kuota', 'habis', 'langsung', 'menghilang', 'tabel', 'notifikasi', 'muncul', 'berisik', '']</t>
  </si>
  <si>
    <t>['maaf', 'maaf', 'gini', 'beett', 'sebenernya', 'msalah', 'sel', 'telkomsel', 'ngapa', 'susah', 'bet', 'sinyalnya', 'luamayan', 'paketan', 'kuotanya', 'kartu', 'telkomsel', 'iya', 'mahal', 'dapet', 'kyak', 'gini', 'susah', 'conect']</t>
  </si>
  <si>
    <t>['dasar', 'penipu', 'pulsanya', 'pakai', 'mohon', 'mendownload', 'afk', 'penipu', 'sms', 'sadar']</t>
  </si>
  <si>
    <t>['', 'telkomsel', 'membantu', 'memperpanjang', 'paket', 'bingung', 'menentukan', 'pilihan', 'paket', 'combo', 'maxtrim', 'dll', 'orang', 'paham', '']</t>
  </si>
  <si>
    <t>['min', 'saldo', 'pulsa', 'reguler', 'berkurang', 'nelpon', 'sms', 'berkurang', 'sisa', 'pulsanya', 'paket', 'data', 'kartu', 'min', 'kejadian', 'pulsa', 'reguler', 'berkurang', 'malam', 'pulsa', 'pagi', 'nelp', 'sms', 'internetan', 'notifikasi', 'pemberi', 'tahuan', 'apapun', 'telkomselnya', 'kecewa', 'aplikasi', 'telkomsel', '']</t>
  </si>
  <si>
    <t>['', 'gua', 'kasih', 'bintang', 'benerin', 'sinyal', 'tower', 'desa', 'purwarahayu', 'jawa', 'barat', 'betulin', 'tapu', 'tetep', 'jelek', 'gua', 'pindah', 'ngapain', 'netep', 'kartu', 'neraka', '']</t>
  </si>
  <si>
    <t>['memudahkan', 'pembelian', 'pulsa', 'mengecek', 'pulsa', 'fitur', 'sayangnya', 'aplikasi', 'tergantung', 'kuota', 'kuota', 'cek', 'pulsa', 'membeli', 'pulsa', 'aplikasi', '']</t>
  </si>
  <si>
    <t>['kuota', 'beli', 'paket', 'kuota', 'paket', 'dipake', 'heran', 'aneh', 'bedanya', 'nanya', 'diaplikasi', 'diliat', 'telkomselnya', 'perbaikilah', 'telkomsel', 'udah', 'ketiga', 'kalinya', 'memiliki', 'keluhan', 'telkomsel', 'mohon', 'perbaikannya', '']</t>
  </si>
  <si>
    <t>['jaringan', 'combo', 'sakti', 'promo', 'lemot', 'ampun', 'gimana', 'ceritanya', 'mending', 'pindah', 'smartfren', 'telkomsel', 'lemot', 'lemot', 'lemot', 'banget']</t>
  </si>
  <si>
    <t>['telkomsel', 'nama', 'besarnya', 'indonesia', 'sinyalnya', 'bagus', 'tpi', 'rusak', 'sinyalnya', 'harga', 'kuota', 'mahal', 'jaringan', 'stabil', 'pindah', 'jaringan', '']</t>
  </si>
  <si>
    <t>['telkomsel', 'ngeprank', 'mulu', 'males', 'beli', 'kouta', 'unlimited', 'apps', 'emang', 'bener', 'unlimited', 'apps', 'batas', 'gb', 'kouta', 'utama', 'gb', 'kouta', 'unlimited', 'gb', 'kaya', 'gitu', 'unlimited', 'kouta', 'utama', 'gimana', 'nyaman', 'pelanggan', 'tolong', 'bener', 'sedia', 'paket', 'data', '']</t>
  </si>
  <si>
    <t>['beli', 'paket', 'unlimited', 'semenjak', 'rb', 'batas', 'pemakiyan', 'unlimited', 'work', 'depam', 'gua', 'ogah', 'beli', 'paket', 'telkomsel', 'mna', 'udah', 'mahal', 'boros', 'beda', 'banget', 'ama', 'bukain', 'yuotube', 'kgk', 'boros', '']</t>
  </si>
  <si>
    <t>['ngeselin', 'untung', 'ramadhan', 'beli', 'paket', 'data', 'ceria', 'trus', 'pengaturan', 'dipengaturan', 'pulsa', 'dimakan', 'jaringan', 'telkomsel', 'jangkauan', 'terluas', 'pelanggan', 'indonesia', 'makan', 'untung', 'pelayanan', 'mohon', 'penjelasannya', '']</t>
  </si>
  <si>
    <t>['telkomasel', 'merakyat', 'mahal', 'sayapun', 'berpindah', 'kartu', 'paket', 'ternet', 'kmarin', 'enak', 'ehh', 'mlah', 'tarifnya', 'kapok', 'kartu', 'mahal', 'loop', 'mahal', 'terimakasih', 'telkomsel', 'pelanggan', 'kapok', 'tolong', 'berintropeksi', 'pelangganmu', 'kabur', 'terimakasih', '']</t>
  </si>
  <si>
    <t>['download', 'streaming', 'sinyal', 'jelek', 'banget', 'bet', 'telkomsel', 'main', 'game', 'mobile', 'legend', 'youtube', 'sinyalnya', 'taik', 'tolong', 'telkomsel', 'jaringan', 'stabil', 'sinyal', 'lemotnya', 'diperbaiki', 'terimakasih']</t>
  </si>
  <si>
    <t>['sinyal', 'bagus', 'jelek', 'kuota', 'mahal', 'dipertahanin', 'mengecewakan', 'jaringan', 'sinyal', 'bar', 'dikunci', 'mlaah', 'silang', 'bangke', 'provider', 'sebelah', 'sinyal', 'nebeng', 'tsel', 'jelek', 'jelek', 'jelek', 'sinyal']</t>
  </si>
  <si>
    <t>['pembenahan', 'promo', 'surprise', 'deal', 'mahal', 'mengacu', 'customer', 'isi', 'pulsa', 'sinyal', 'bermain', 'game', 'dibenahi', 'promo', 'bener', 'bermanfaat', 'kuota', 'membingungkan']</t>
  </si>
  <si>
    <t>['sinyal', 'telkomsel', 'buruk', 'main', 'game', 'mobile', 'legend', 'sinyal', 'ganti', 'axis', 'telkomsel', 'buruk', 'beli', 'kartu', 'harga', 'mahal', 'hasil', 'sinyal', 'buruk', '']</t>
  </si>
  <si>
    <t>['permisi', 'min', 'daerah', 'riau', 'jaringan', 'internet', 'telkomsel', 'lemot', 'karna', 'insiden', 'kebakaran', 'dipekan', 'penyebab', 'kecepatan', 'internetnya', 'sebanding', 'harga', 'rugi', '']</t>
  </si>
  <si>
    <t>['saran', 'hadiah', 'daily', 'check', 'dikasih', 'pilihan', 'terima', 'kasih', 'klaim', 'hadiah', 'daily', 'check', 'ditambah', 'pilihannya', 'pulsa', 'kuota', 'internet', 'maaf', 'klaim', 'hadiah', 'daily', 'check', 'klaim', 'hadiah', 'kuota', 'internetnya', 'terima', 'kasih', '']</t>
  </si>
  <si>
    <t>['harga', 'paket', 'data', 'mahal', 'buka', 'telkomsel', 'sinyal', 'full', 'stabil', 'perbaiki', 'kualiatas', 'naikin', 'harga', '']</t>
  </si>
  <si>
    <t>['kualitas', 'jaringan', 'jelek', 'jelek', 'promo', 'gaya', 'omong', 'kosong', 'kualitas', 'jaringan', 'beruntung', 'telkomsel', 'menjangkau', 'indonesia', 'andaikan', 'jaringan', 'komunikasi', 'telkomsel', 'telkomsel']</t>
  </si>
  <si>
    <t>['senang', 'aplikasi', 'mytelkomsel', 'mempermudah', 'transaksi', 'pulsa', 'membeli', 'paket', 'kuota', 'internet', 'promo', 'promo', 'menarik']</t>
  </si>
  <si>
    <t>['tolong', 'perbaiki', 'jaringan', 'daerah', 'pengguna', 'telkomsel', 'jaringannya', 'memuaskan', 'parah', 'lagnya', 'tolong', 'perbaiki', '']</t>
  </si>
  <si>
    <t>['beli', 'combo', 'sakti', 'unlimited', 'gb', 'unlimited', 'isi', 'ulang', 'unlimited', 'dibatasi', 'gb', 'tolonglah', 'harga', 'ramah', 'dikit', 'mending', 'jaringannya', 'bagus', 'banget', 'kecewa', 'pelayanan', 'telkomsel', '']</t>
  </si>
  <si>
    <t>['unlimited', 'udh', 'sinyal', 'jaringan', 'lelet', 'kuota', 'gua', 'kasih', 'rating', 'star', 'males', 'banget', 'gua', 'wejek', 'nie', 'kartu', 'simpati']</t>
  </si>
  <si>
    <t>['sinyal', 'jelek', 'putus', 'sambungan', 'percakapan', 'menjangkau', 'sinyal', 'kecepatan', 'akses', 'data', 'lamban', 'menjangkau', 'daerah', 'kecamatan', 'harga', 'mahal', 'disesuaikan', 'kualitas', '']</t>
  </si>
  <si>
    <t>['berlangganan', 'combo', 'sakti', 'unlimited', 'kemarin', 'lancar', 'paket', 'unlimitednya', 'kuota', 'utamanya', 'udah', 'habis', 'ngelag', 'parah', 'kuota', 'utamanya', 'habis', 'buka', 'snap', 'buka', 'ngelag', 'tolong', 'perbaiki', '']</t>
  </si>
  <si>
    <t>['sulit', 'dibuka', 'koneksi', 'stabil', 'buka', 'lancar', 'lancar', '']</t>
  </si>
  <si>
    <t>['kesini', 'sinyalnya', 'kadang', 'ilang', 'ilangan', 'kadang', 'trouble', 'browsing', 'not', 'bad', 'kadang', 'kadang', 'ngak', 'enak', 'jadine', 'tolong', 'tim', 'provider', 'ditingkatkan', 'trims', '']</t>
  </si>
  <si>
    <t>['pulsa', 'utama', 'ilang', 'kuota', 'lho', 'beres', 'complain', 'kmana', 'gini', 'pagi', 'isi', 'sore', 'lenyap', 'pulsa', 'perpanjanagan', 'beli', 'kuota', 'gini', 'repot', 'kali', 'banget', 'telkomsel', 'merugikan', 'sinyal', 'ilang', 'telkomsel', 'sebagus', '']</t>
  </si>
  <si>
    <t>['pencuri', 'pulsa', 'cek', 'diambil', 'pulsa', 'susah', 'daftar', 'paket', 'murah', 'berhari', 'daftar', 'paket', 'ceria', 'niat', 'kasih', 'paket', 'murah', 'dimunculkan', '']</t>
  </si>
  <si>
    <t>['woi', 'cok', 'fup', 'njir', 'unlimited', 'dibatasi', 'dancok', 'pelanggan', 'hilang', 'kyak', 'gini', 'nyaman', 'sampah', '']</t>
  </si>
  <si>
    <t>['', 'jelek', 'skali', 'sudaah', 'isi', 'pulsa', 'aktifkan', 'paket', 'ceria', 'tdaak', 'masuk', 'notifikasix', 'pulsa', 'utama', 'jih', 'terambil', 'duluan', 'sisa', 'kuota', 'sngat', 'kecewa', 'skali', '']</t>
  </si>
  <si>
    <t>['mengesankan', 'aman', 'nyaman', 'qouta', 'hadiah', 'check', 'terima', 'kasih', 'telkomsel', 'roly', 'lupa', 'putar', 'gratis', 'qouta', 'internet', 'berharap', 'kedepannya', 'dimudahkan', 'harga', 'paket', 'internetnya', 'murahkan', 'pelanggan', 'setia', 'telkomsel', 'kecewa', 'bangga', 'memakai', 'kartu', 'telkomsel']</t>
  </si>
  <si>
    <t>['bagus', 'suka', 'telkomsel', 'kadang', 'pemberitahuan', 'kuotanya', 'habis', 'telat', 'langsung', 'nyedot', 'pulsa', 'pemberitahuan', 'telat', 'harga', 'kuotanya', 'terwakilkan', 'emoticon', 'nomer', 'bonus', 'promo', 'telkom', 'klao', 'promonya', 'merata', 'menambah', 'pengguna', 'telkom', 'mohon', 'perbaiki', 'kenyamanan', '']</t>
  </si>
  <si>
    <t>['sorry', 'kasih', 'bintang', 'semenjak', 'update', 'buruk', 'aplikasinya', 'dibuka', 'memuat', 'jaringan', 'normal', 'naikin', 'rating', 'terimakasih']</t>
  </si>
  <si>
    <t>['', 'beli', 'paket', 'ceria', 'klik', 'beli', 'tulisan', 'maaf', 'gangguan', 'system', 'silahkan', 'ulangi', 'transaksi', 'menit', 'ikuti', 'pesan', 'tsb', 'bbrp', 'kali', 'chat', 'veronica', 'terkait', 'kendala', 'tsb', 'diatas', 'pelayanan', 'veronica', 'lambat', 'kecewa']</t>
  </si>
  <si>
    <t>['memiliki', 'kartu', 'tekomsel', 'simpati', 'satunya', 'kartu', 'simpati', 'berlangganan', 'youtube', 'unlimited', 'dipakai', 'kartu', 'berlangganan', 'combo', 'sakti', 'unlimited', 'beli', 'unlimited', 'udah', 'kali', 'beli', 'beli', 'paket', 'data', 'dipakai', 'kesini', 'ditipu', 'chat', 'veronika', 'ditanggapi', '']</t>
  </si>
  <si>
    <t>['muncul', 'notifikasi', 'koneksi', 'stabil', 'klik', 'coba', 'jaringan', 'full', 'signal', '']</t>
  </si>
  <si>
    <t>['tolonglah', 'udh', 'download', 'jaringannya', 'stabil', 'tolong', 'perbarui', 'mengalami', 'mohon', 'bersabarlah', 'ujian', 'tolong', 'udh', 'download', 'masuk', 'aplikasi', 'telkomsel', 'silahkan', 'coba', 'yaelah', 'nyesel', 'buang', 'buang', 'kuota', 'mulu', 'udh', 'bli', 'mahal', 'mahal', 'kuota', 'buang', 'buang', 'sekian', 'tolong', 'perbaru', 'kasihan', 'orang', 'orang', 'mengalami', 'permasalahan', 'sekian', 'terima', 'kasih', '']</t>
  </si>
  <si>
    <t>['telkomsel', 'udh', 'puluhan', 'pakek', 'bonus', 'apapun', 'harga', 'paket', 'mahal', 'korupsinya', 'udh', 'telkomsel']</t>
  </si>
  <si>
    <t>['', 'daerah', 'kecepatan', 'jaringan', 'jelek', 'orang', 'operator', 'beralih', '']</t>
  </si>
  <si>
    <t>['telkomsel', 'ngecewain', 'ngecek', 'pulsa', 'gabisa', 'pulsa', 'masuk', 'sinyal', 'jelek', 'banget', 'suka', 'error', 'gajelas', 'harga', 'paket', 'dll', 'mahal', 'pelayanannya', 'dikorupsiin', 'telkomsel', 'sampe', 'bangkrut', 'hancur', 'smuanya', 'puing', 'berguna', 'bnyk', 'operator', 'menawarkan', 'pelayanan', 'fasilitas', 'harga', 'terjangkau', 'kecewa', 'telkomsel', '']</t>
  </si>
  <si>
    <t>['langganan', 'paket', 'unlimited', 'lancar', 'ajaa', 'kemarin', 'beli', 'lancar', 'lemott', 'banget', 'kemarin', 'lancar', 'tolong', 'dongg', 'benerin', 'pdhl', 'mahal', 'paket', 'nyaa', '']</t>
  </si>
  <si>
    <t>['kmrin', 'msih', 'enjoy', 'pemakaian', 'ampun', 'sinyalnya', 'kmrin', 'paket', 'utama', 'hbis', 'msih', 'buka', 'instagram', 'skrang', 'mlh', 'dibuka', 'truz', 'tulisan', 'unlimited', 'beli', 'paket', 'kecewa', 'penawaran', 'telkomsel']</t>
  </si>
  <si>
    <t>['lapor', 'login', 'app', 'telkomsel', 'susah', 'jaringan', 'stabil', 'baikin', 'nak', 'beli', 'paket', '']</t>
  </si>
  <si>
    <t>['males', 'telkomsel', 'joneksi', 'stabil', 'jaringannya', 'bagus', 'login', 'login', 'tolong', 'diperbaiki', '']</t>
  </si>
  <si>
    <t>['telkomsel', 'mahal', 'doang', 'sinyal', 'ilang', 'pakai', 'telkomsel', 'karna', 'sinyalnya', 'bagus', 'kecewa', 'performa', 'bener', 'menurun']</t>
  </si>
  <si>
    <t>['telkomsel', 'telkomsel', 'paketan', 'mahal', 'sinyalnya', 'suka', 'eror', 'perbaiki', 'mendingan', 'jdi', 'sya', 'sbagai', 'langganan', 'terkomsel', 'beralih', 'layanan', 'bagus', 'jaringannya', 'murah', '']</t>
  </si>
  <si>
    <t>['harga', 'mahal', 'sinyal', 'lemot', 'jelek', 'sejelek', 'kuota', 'cepat', 'habis', 'rugi', 'pilih', 'provider', 'pingin', 'perbarui', 'kasih', 'rating', 'pinginnya', 'kasih', 'rating', '']</t>
  </si>
  <si>
    <t>['tolong', 'kasih', 'fitur', 'paket', 'dipake', 'paketku', 'sehari', 'kepake', 'banget', 'edit', 'udah', 'chat', 'twitter', 'dibales', 'min']</t>
  </si>
  <si>
    <t>['jujur', 'enak', 'gaenak', 'telkomsel', 'kadang', 'jaringan', 'hilang', 'jam', 'down', 'server', 'sektor', 'banyaknya', 'pengguna', 'tinggali', 'tinggal', 'beda', 'daerah', 'jujur', 'nyaman', 'telkomsel', 'mbps', 'mempuni', 'lagging', 'download', 'aplikasi', 'bergiga', 'giga', 'cepet', 'jam', 'malam', 'dijam', 'jaringan', 'jaringan', 'mempuni', 'pakai', 'trik', 'jujur', 'stabil', 'ketimbang', '']</t>
  </si>
  <si>
    <t>['gimana', 'membeli', 'kuota', 'internet', 'youtube', 'unlimited', 'kuotanya', 'bsa', 'dipakai', 'apk', 'youtube', 'mohon', 'diperhatikan', '']</t>
  </si>
  <si>
    <t>['pulsa', 'kesedot', 'paket', 'internet', 'gb', 'terhubung', 'nyedot', 'tolong', 'kesedot', 'perbaiki', 'enaknya', 'nyedot', 'pulsa', 'orang', '']</t>
  </si>
  <si>
    <t>['kecewa', 'aplikasi', 'telkomsel', 'membeli', 'kuota', 'unlimited', 'youtube', 'harian', 'seharga', 'pulsa', 'habis', 'kesedot', 'kuota', 'youtubenya', 'berfungsi', 'mohon', 'admin', 'diperbaiki', 'pelayanannya', 'mengecewakan', 'pelanggan', 'download', 'aplikasinya', 'mending', 'dlu', 'perbaikan', 'ntar', 'nyesel', '']</t>
  </si>
  <si>
    <t>['semoga', 'pulsa', 'bayak', 'promo', 'murah', 'jangkao', 'masyarakat', 'kebawah', 'kasihan', 'pelosok', 'susah', 'cari', 'duit', 'malal', 'jual', 'pulsanya', 'lupa', 'ramah', 'sopan', 'konsumen', '']</t>
  </si>
  <si>
    <t>['jaringan', 'telkomsel', 'gangguan', 'pakai', 'zoom', 'ngadat', 'protes', 'kartu', 'paket', 'promo', 'unlimited', 'murah', 'suami', 'anak', 'kartu', 'pemakaiannya', 'banding', 'mohon', 'perhatiannya', 'terimakasih']</t>
  </si>
  <si>
    <t>['telkomsel', 'goblog', 'pas', 'kuota', 'abis', 'pulsa', 'disedot', 'ngakses', 'internet', 'pulsa', 'pulsa', 'sampe', 'menit', 'org', 'idupin', 'kuota', 'liat', 'telkomsel', 'idupin', 'data', 'dasar', 'gobloggggg']</t>
  </si>
  <si>
    <t>['maaf', 'beralngganan', 'problem', 'kuota', 'habis', 'telkomsel', 'dibuka', 'terisi', 'kuota', 'aplikasi', 'sulit', 'dibuka', 'alternatif', 'link', 'gagal', 'anehnya', 'kemaren', 'kuota', 'tersisa', 'aktif', 'telkomsel', 'eror', 'emng', 'lazim', 'telkomsel', 'enggan', 'berbenah', 'ulasan', 'ulasan', 'penggunanya']</t>
  </si>
  <si>
    <t>['telkomsel', 'ngadat', 'pakai', 'telkomsel', 'lancar', 'trs', 'ngadat', 'buka', 'apk', 'beli', 'paket', 'gabisa', 'udah', 'pakek', 'wifi', 'tolong', 'diperbaiki', 'masak', 'ganti', 'provider', '']</t>
  </si>
  <si>
    <t>['pelayanan', 'telkomsel', 'buruk', 'pelanggan', 'kartu', 'halo', 'rutin', 'membayar', 'tagihan', 'disepakati', 'bayar', 'paket', 'internet', 'kemendikbud', 'didapatkan', 'kualitas', 'kecepatannya', 'mohon', 'diperbaiki', 'pelayanannya', 'menipu', 'pelanggan', 'kartu', 'halo', 'pasca', 'bayar', 'mendaptakan', 'pelayanan', 'kartu', '']</t>
  </si>
  <si>
    <t>['ahahaha', 'parah', 'provider', 'mentang', 'angin', 'ngasih', 'harga', 'semau', 'paket', 'kombo', 'sakti', 'itupun', 'udah', 'kemahalan', 'jaman', 'pandemi', 'udh', 'dapetin', 'parah', 'paket', 'bulanan', 'udh', 'masuk', 'akal', 'suka', 'nyedot', 'pulsa', 'utama', 'aktifin', 'paket', 'kapok', 'kartu', 'emang', 'cocok', 'jadiin', 'kartu', 'utama', '']</t>
  </si>
  <si>
    <t>['aplikasi', 'lemot', 'kerjanya', 'lambat', 'isi', 'pulsa', 'pulsanya', 'terpotong', 'dipaksa', 'mengisi', 'knp', 'telkomsel', 'bocor', 'kek', 'gini', 'males', 'pakai', 'telkomsel', 'udh', 'jaringan', 'lemot', 'pulsa', 'bocor', 'nyala', 'data', 'selullar', 'indosat', 'cepat', 'aplikasinya', 'bagus', 'promo', 'menarik', 'pulsa', 'bocor']</t>
  </si>
  <si>
    <t>['pakai', 'mytelkomsel', 'kasih', 'bintang', 'udh', 'faham', 'kasih', 'banyk', 'fitur', 'penawaran', 'dri', 'mytelk', 'terimakasih', 'diskon', '']</t>
  </si>
  <si>
    <t>['kecewa', 'telkomsel', 'berlangganan', 'kasi', 'harga', 'paket', 'mahal', 'paksa', 'program', 'menu', 'paket', 'gb', 'gb', 'omg', 'menu', 'paket', 'gb', 'gb', 'namanya', 'pemaksaan', '']</t>
  </si>
  <si>
    <t>['hai', 'terkomsel', 'nanya', 'pemakaian', 'loyal', 'kartu', 'promo', 'murah', 'terkomsel', 'teman', 'memakai', 'kartu', 'terkomsel', 'promo', 'internet', 'ribu', 'mohon', 'balas', '']</t>
  </si>
  <si>
    <t>['aplikasi', 'membantu', 'beli', 'paketan', 'cek', 'kuota', 'cek', 'pulsa', 'bonus', 'sayang', 'ikutan', 'kuis', 'tukar', 'poin', 'ngak', 'hadiahnya', 'sebenernya', 'hadiahnya', 'beneran', 'diundi', 'rekayasa', '']</t>
  </si>
  <si>
    <t>['bagus', 'aplikasi', 'telkomsel', 'jdi', 'promo', 'isi', 'ulang', 'kuota', 'pulsa', 'semoga', 'sukses', 'trus', 'telkomsel', '']</t>
  </si>
  <si>
    <t>['main', 'aktifin', 'paket', 'seenak', 'konfirmasi', 'sedot', 'pulsa', 'nyari', 'duit', 'gitu', 'boss', 'tolong', 'non', 'aktifin', 'paket', 'petunjut', 'stop', 'sialll', '']</t>
  </si>
  <si>
    <t>['app', 'mempermudah', 'pengguna', 'telkomsel', 'memaksimalkan', 'fitur', 'sesuai', 'kemampuan', 'pengguna', 'terbantu', 'memilih', 'paket', 'data', 'paket', 'quota', 'keluarga', 'membantu', 'berbagi', 'quota', 'internet', 'keluarga', '']</t>
  </si>
  <si>
    <t>['telkomsel', 'jelek', 'paket', 'mahal', 'banget', 'unlimited', 'combo', 'sakti', 'dikasih', 'fup', 'gb', 'fupnya', 'unlimited', 'unlimited', 'udah', 'melebihi', 'fup', 'mending', 'ganti', 'kartu']</t>
  </si>
  <si>
    <t>['kecewa', 'paket', 'internet', 'double', 'berjauhan', 'mesti', 'pulsa', 'diambil', 'sehabis', 'buka', 'instagram', 'kaget', 'pulsa', 'ribu', 'tinggal', 'ribu', 'gimana', 'mba', 'mas', 'mohon', 'diperhatikan', 'rugi', 'sengaja', 'kumpul', 'pulsa', 'beli', 'kuota', 'diambil', 'duluan', 'pulsanya', 'mohon', 'gimana', '']</t>
  </si>
  <si>
    <t>['pulsa', 'sedott', 'tekomsel', 'isi', 'pulsa', 'sejuta', 'sejuta', 'habis', 'cukurrnya', 'kuota', 'internet', 'habis', 'membeli', 'paket', 'internet', 'disikatttnya', 'pulsa', 'dibeli', 'kuotanya', 'paket', 'combo']</t>
  </si>
  <si>
    <t>['update', 'kualitasnya', 'buruk', 'buka', 'aps', 'telkomsel', 'macet', 'koneksi', 'internet', 'stabil', 'nonton', 'youtube', 'koneksinya', 'lancar', 'jaya', 'kecewa', 'aps', '']</t>
  </si>
  <si>
    <t>['pulsa', 'terpotong', 'hilang', 'berkurang', 'chat', 'telpon', 'telkomsel', 'berbelit', 'belit', 'ujung', 'ujungnya', 'suruh', 'dateng', 'grapari', 'sel', 'selesai', 'alasan', 'pulsa', 'terpotong', 'penggunaan', 'gprs', 'kartu', 'sim', 'berbeda', 'data', 'wifi', 'kantor', 'rumah', 'melapor', 'kepolisi', 'pengadilan', 'pulsa', 'terpotong', 'sepengetahuan', 'pemilik', '']</t>
  </si>
  <si>
    <t>['tgl', 'april', 'kemarin', 'beli', 'paket', 'gb', 'alhamdulillah', 'jaringan', 'masi', 'lancar', 'sampe', 'paket', 'reguler', 'habis', 'tinggal', 'unlimited', 'saran', 'kurangi', 'dikit', 'harganya', 'mahal', 'gtu', 'oke', 'terima', 'kasih', 'telkomsel', '']</t>
  </si>
  <si>
    <t>['terimakasih', 'memperhatikan', 'nasib', 'batman', 'paket', 'internet', 'malamnya', 'menjaga', 'malam', 'senantiasa', 'aman', 'tentram', 'sentosa', 'jaya', 'abadi', '']</t>
  </si>
  <si>
    <t>['mesti', 'paket', 'nelponnya', 'kurangi', 'menit', 'menit', 'kurangi', 'paket', 'sms', 'karna', 'kebanyakan', 'pengguna', 'internet', 'apl', 'mengirim', 'pesan', 'paket', 'data', 'mewakili', 'pengguna', 'telkomsel', 'memohon', 'paket', 'nelpon', 'kurangi', 'terkadang', 'komunikasi', 'keluarga', 'tinggal', 'daerah', 'sinyal', 'internet', 'terimakasi', 'pengertiannya']</t>
  </si>
  <si>
    <t>['telkomsel', 'mohon', 'jaringannya', 'diperbaiki', 'udh', 'pelanggan', 'telkomsel', 'bru', 'kek', 'gini', 'jaringan', 'leg', 'main', 'game', 'leg', 'mohon', 'telkomsel', 'mohon', 'jaringannya', 'cepet', 'diperbaiki', '']</t>
  </si>
  <si>
    <t>['sinyal', 'telkomsel', 'lelet', 'uda', 'pakai', 'telkomsel', 'kencang', 'sinyal', 'lemah', 'tolong', 'perbaiki', 'sinyal', 'kouta', 'full', 'kecewa', 'telkomsel', 'lemot', 'sinyalnya', 'trima', 'kasih', '']</t>
  </si>
  <si>
    <t>['buruk', 'nyesel', 'udah', 'beli', 'kartu', 'paketan', 'mahal', 'eror', 'beli', 'unlimited', 'app', 'ribu', 'sampek', 'minggu', 'habis', 'kecewa', 'penipuan', '']</t>
  </si>
  <si>
    <t>['hai', 'telkomsel', 'keluhan', 'kouta', 'beli', 'kouta', 'unlimited', 'telkomsel', 'memakainya', 'kouta', 'utama', 'habis', 'tersisa', 'kouta', 'unlimited', 'kouta', 'unlimited', 'dipakai', '']</t>
  </si>
  <si>
    <t>['koneksi', 'stabil', 'mulu', 'jaringan', 'full', 'steaming', 'main', 'game', 'lancar', 'kesini', 'kecewa', 'bertahun', 'pakai', 'telkomsel', 'kali', 'kyk', 'ginu']</t>
  </si>
  <si>
    <t>['jaringan', 'luas', 'sinyal', 'kuat', 'prettt', 'pdhl', 'daerah', 'cileungsi', 'sinyalnya', 'hancur', 'buka', 'google', 'susah', 'mending', 'pindah', 'operator', 'paket', 'datanya', 'murah', 'sinyalnya', 'bagus', '']</t>
  </si>
  <si>
    <t>['ayo', 'pelanggan', 'telkomsel', 'signal', 'parah', 'banget', 'hidup', 'jakarta', 'hidup', 'negeri', 'terpencil', 'signal', 'ganti', 'provider', '']</t>
  </si>
  <si>
    <t>['kecewa', 'jaringan', 'telkomsel', 'karna', 'jaringan', 'setabil', 'telkomsel', 'terbaik', 'bukti', 'tolong', 'pengurus', 'telkomsel', 'mohon', 'atasi', 'kasihan', 'orang', 'pengguna', 'kartu', 'telkomsel', 'terganggu', 'situasi', 'terimakasih']</t>
  </si>
  <si>
    <t>['kesini', 'ancurr', 'sinyal', 'nyaa', 'uda', 'mahal', 'pdahal', 'pke', 'telkomsel', 'jaman', 'baheula', 'dlu', 'agung', 'krna', 'kualitas', 'skrg', 'ampunn', 'dehh', 'mahal', 'tingkatin', 'donk', 'kualitas', 'pelayanan', 'pengguna', 'berpindah', 'hati', 'ehh']</t>
  </si>
  <si>
    <t>['telkomsel', 'maaf', 'membeli', 'lagging', 'kecewa', 'telkomsel', 'kali', 'mengulas', 'ulasan', 'balas', 'tolong', 'diperbaiki', 'jaringan']</t>
  </si>
  <si>
    <t>['kecewa', 'telkomsel', 'paket', 'unlimited', 'dibatasi', 'pemakaiannya', 'batas', 'basic', 'aplikasi', 'habis', 'kecepatan', 'internet', 'disesuaikan', 'artian', 'dikurangi', 'berlangganan', 'pemakai', 'kartu', 'telkomsel', 'kecewa', 'berat', 'mohon', 'tolong', 'dikembalikan', 'paket', 'unlimited', 'kecepatan', 'internet', 'normal', 'kayak', '']</t>
  </si>
  <si>
    <t>['tingkatkan', 'kualitas', 'signal', 'telkomsel', 'memilih', 'lancar', 'beda', 'daerah', 'udah', 'beda', 'kualitas', 'signal', 'selebih', 'udah', 'oke']</t>
  </si>
  <si>
    <t>['telkomsel', 'jaringan', 'lelet', 'lemot', 'notif', 'koneksi', 'bermasalah', 'telkomsel', 'raja', 'sinyal', 'dimana', 'lemot', 'parah', 'nge', 'game', 'astagfirulloh', 'tolong', 'telkomsel', 'cepet', 'perbaiki', 'gamau', 'kehilangan', 'pelanggan']</t>
  </si>
  <si>
    <t>['parah', 'handphone', 'udh', 'pakai', 'telkomsel', 'isi', 'pulsa', 'kartu', 'sampe', 'tenggang', 'memperpanjang', 'aktif', 'susah', 'ampun', 'sampe', 'cape', 'udahlah', 'mending', 'ganti', 'provider', 'telkomsel', 'provider', 'dunia', '']</t>
  </si>
  <si>
    <t>['membeli', 'kouta', 'ketengan', 'youtube', 'nonton', 'youtube', 'terkena', 'kouta', 'utama', 'kouta', 'ketengan', 'youtube', 'berkurang', 'tolong', 'adil', 'kasih', 'kouta', 'utama', 'terkuras', '']</t>
  </si>
  <si>
    <t>['waduhh', 'mahal', 'mahal', 'bngt', 'koutanya', 'jaringannya', 'ngga', 'kaya', 'lancar', 'cepat', 'dilokasi', 'beda', 'skrng', 'nyari', 'lokasi', 'sinyal', 'stabil', '']</t>
  </si>
  <si>
    <t>['cocok', 'menambah', 'wawasan', 'tangan', 'membawahi', 'puluhan', 'reseller', 'kehidupan', 'sehari', 'ukuran', 'wanita', 'cantik', 'memiliki', 'sekadaran', 'batin', '']</t>
  </si>
  <si>
    <t>['make', 'udh', 'kartu', 'telkomsel', 'sampe', 'ganti', 'ganti', 'puas', 'telkomsel', 'semoga', 'telkomsel', 'kedepannya', 'mengutamakan', 'kepuasan', 'pelanggan', '']</t>
  </si>
  <si>
    <t>['masukan', 'tim', 'pengembang', 'aplikasi', 'mytelkomsel', 'memodifikasi', 'tampilan', 'aplikasi', 'support', 'dark', 'mode', 'mode', 'gelap', 'tampilan', 'aplikasi', 'pengaturan', 'ponselnya', 'mode', 'gelap', 'tampilan', 'aplikasinya', '']</t>
  </si>
  <si>
    <t>['operator', 'kenapah', 'paket', 'kuota', 'daerah', 'dki', 'jakarta', 'daerah', 'jawa', 'barat', 'bandung', 'sumedang', 'sekitarnyah', 'soalnyah', 'tolong', 'perluas', 'kasih', 'batasan', 'kasian', 'ngepaketin', 'kota', 'pas', 'bawa', 'pulang', 'rumah', 'paketnya', 'inti', 'permasalah', 'mohon', 'perluas', 'kasih', 'batasan', 'kota', 'kota', '']</t>
  </si>
  <si>
    <t>['tolong', 'optimalkan', 'lgi', 'sinyalnya', 'kali', 'main', 'game', 'sllu', 'turun', 'stabil', 'tolong', 'stabil', 'lgi', 'jujur', 'mending', 'pindah', 'sinyalnya', 'mkasih', 'tolong', 'perbaiki', '']</t>
  </si>
  <si>
    <t>['harga', 'mahal', 'tpi', 'jaringannya', 'jelek', 'mati', 'listrik', 'hilang', 'jaringan', 'dlu', 'kartu', 'telkom', 'kumat', 'perbaikin', 'donk', '']</t>
  </si>
  <si>
    <t>['ngeluh', 'jujur', 'kecewa', 'tlkomsel', 'jaringan', 'data', 'hilang', 'timbul', 'buka', 'kadang', 'lancar', 'kadang', 'telkomsel', 'semenjak', 'mengenal', 'kecewa', 'harap', 'ditindak', 'lanjuti', 'berpindah', 'tetangga', 'sebelah', 'riau', 'kec', 'kuansing']</t>
  </si>
  <si>
    <t>['paketan', 'pulsa', 'termakan', 'habis', 'gunanya', 'beli', 'paketan', 'kesalahan', 'sistem', 'ketulusan', 'disengaja', 'miliar', 'dihasilkan', 'kecurangan', 'telkomsel', '']</t>
  </si>
  <si>
    <t>['parah', 'pulsa', 'habis', 'paketan', 'pulsa', 'termakan', 'habis', 'gunanya', 'beli', 'paketan', 'kesalahan', 'sistem', 'ketulusan', 'disengaja', 'miliar', 'dihasilkan', 'kecurangan', 'telkomsel', '']</t>
  </si>
  <si>
    <t>['kecewa', 'telkomsel', 'sinyalnya', 'kemarin', 'lemot', 'harganya', 'mahal', 'kartu', 'kapasitas', 'contoh', 'kartu', 'combo', 'unlimited', 'gb', 'rb', 'isi', 'ulang', 'rb', 'kartu', 'bertahun', 'rb', 'selisih', 'lumayan', 'memprioritaskan', 'lgn', '']</t>
  </si>
  <si>
    <t>['jaringan', 'karuan', 'beli', 'paket', 'gede', 'mahal', 'lelet', 'kaya', 'keong', 'mending', 'dimanapun', 'lancar', 'telkomsel', 'udah', 'kalah', 'bersaing', 'emosi', 'main', 'game', 'buka', 'susah', '']</t>
  </si>
  <si>
    <t>['applikasi', 'bagus', 'jaringan', 'telkomselnya', 'jelek', 'daerah', 'sinyal', 'bagus', 'koneksinya', 'lambat', 'tlp', 'peningkatan', 'jaringan', 'alasannya', 'kabel', 'putus', 'tlp', 'jawabannya', 'laporan', 'seakan', 'diindahkan', 'terimakasih', 'telkomsel', 'jeleknya', 'layanan', '']</t>
  </si>
  <si>
    <t>['beli', 'paketan', 'gb', 'gb', 'internet', 'gb', 'internet', 'chat', 'sosmed', 'game', 'pas', 'kuota', 'utama', 'gb', 'habis', 'main', 'game', 'mantap', 'terimakasih', 'telkomsel', 'puasa', 'gini', 'nyenengin', 'hati', 'panas']</t>
  </si>
  <si>
    <t>['hai', 'kak', 'telkomsel', 'haraf', 'perbaikan', 'sinyal', 'setabil', 'daerah', 'majalengka', 'jawa', 'barat', 'bagus', 'pagi', 'sore', 'tunggu', 'sinyal', 'membuka', 'facebook', '']</t>
  </si>
  <si>
    <t>['sinyal', 'telkomsel', 'jelek', 'pengguna', 'telkomsel', 'kali', 'sinyal', 'lag', 'tolong', 'perbaiki', 'operator', 'telkomsel', 'kecewa']</t>
  </si>
  <si>
    <t>['telkomsel', 'rada', 'lemot', 'sinyalnya', 'rada', 'kesel', 'bisanya', 'kuota', 'abis', 'bilng', 'pulsa', 'ketarik', 'pemberitahuan', 'gada', 'sad']</t>
  </si>
  <si>
    <t>['komplen', 'paket', 'unlimited', 'telkomsel', 'ngeleg', 'bukak', 'cuman', 'bukak', 'game', 'chatingan', 'tolong', 'perbaikin', 'bukak', 'percum', '']</t>
  </si>
  <si>
    <t>['beli', 'pulsa', 'paket', 'ngisi', 'pulsa', 'udah', 'kesedot', 'beli', 'paketannya', 'rugi', 'beli', 'pulsa', 'kadang', 'vitur', 'virtual', 'accountnya', 'kadang', 'gimana', 'kayak', 'gini', 'kecewa', 'berat', '']</t>
  </si>
  <si>
    <t>['serasa', 'pakai', 'jaringan', 'buka', 'aplikasi', 'susah', 'kali', 'dibuka', 'loading', 'close', 'buka', 'gitu', 'tolong', 'diperbaiki', 'telkomsel', 'ginilah', 'udah', 'dipegang', 'negara', 'perusahaan', 'kebanyakan', 'korupsiian', 'anggaran', 'aplikasi', 'tsel', 'beres', 'salah', 'perusahaan', 'terbesar', 'indonesia', 'moga', 'cepat', 'mati', 'korupsi', '']</t>
  </si>
  <si>
    <t>['mengecewakan', 'beli', 'pulsa', 'langsung', 'kebeli', 'paket', 'telpon', 'all', 'operator', 'berlangganan', 'tolong', 'perbaiki', 'karna', 'mengalami', '']</t>
  </si>
  <si>
    <t>['sumpah', 'najis', 'banget', 'liat', 'telkomsel', 'sesuai', 'pelayanan', 'harga', 'kuotanya', 'sialan', 'kau', 'telkomsel', 'kuota', 'mahal', 'sinyal', 'murahan', 'kualitas', 'kartu', 'kartu', 'gada', 'gangguan', 'lancar', 'gara', 'sinyal', 'telkomsel', 'pekerjaan', 'daring', 'tertunda', 'kendala', 'sinyal']</t>
  </si>
  <si>
    <t>['telkomsel', 'buka', 'koneksi', 'stabil', 'internet', 'bagus', 'beli', 'cek', 'paket', 'susah', 'kesal', '']</t>
  </si>
  <si>
    <t>['sungguh', 'hebat', 'pelanggan', 'uda', 'banget', 'mahal', 'dulunya', 'paket', 'sakti', 'normal', 'rb', 'unlimited', 'batasan', 'wajar', 'pakai', 'bahasan', 'butuh', 'batasan', 'wajar', 'tolong', 'pengguna', 'telkomsel', 'beralih', 'kepuasan', 'pelanggan', 'utamakan', '']</t>
  </si>
  <si>
    <t>['aplikanya', 'bayar', 'pulsa', 'kali', 'klik', 'metode', 'pembayaran', 'muncul', 'diklik', 'error', 'udah', 'kali', 'dicoba', 'tetep', 'kayak', 'gini', 'mohon', 'diperbaiki', '']</t>
  </si>
  <si>
    <t>['pulsa', 'diambil', 'terpakai', 'transfer', 'pulsa', 'operator', 'butuh', 'banget', 'dirumah']</t>
  </si>
  <si>
    <t>['komplain', 'masi', 'kuota', 'gb', 'pulsa', 'terpotong', 'rugi', 'gimana', 'pertanggung', 'telkomsel', '']</t>
  </si>
  <si>
    <t>['telkomsel', 'ancur', 'lebur', 'mahalnya', 'doang', 'pelayanan', 'mengecewakan', 'kartu', 'hallo', 'berhenti', 'hangus', 'kartunya', 'jebakan', 'batman']</t>
  </si>
  <si>
    <t>['tolong', 'kpda', 'telkomsel', 'yth', 'aplikasi', 'telkomsel', 'knpa', 'lambat', 'loading', 'membuka', 'aplkiasinya', 'update', 'tolong', 'pengguna', 'telkomsel', 'keringanan', 'mengambil', 'paket', 'harga', 'murah', 'super', 'deal', 'pengguna', 'aplikasi', 'bosan', 'memenuhi', 'ketentuan', 'peraturan', 'telkomsel', 'terimah', 'kasih']</t>
  </si>
  <si>
    <t>['sebulan', 'mengisi', 'pulsa', 'total', 'nominal', 'ribu', 'aktif', 'bertambah', 'aktif', 'mengikuti', 'pembelian', 'paket', 'internet', 'beli', 'paket', 'internet', 'april', 'mengisi', 'pulsa', 'rutin', 'bertahap', 'ribu', 'akif', 'cuman', 'april', 'mei', '']</t>
  </si>
  <si>
    <t>['halo', 'telkomsel', 'knpa', 'harga', 'paket', 'aplikasi', 'digipos', 'mahal', 'banding', 'aplikasi', 'outlet', 'target', 'dealer', 'transaksi', 'combo', 'sakti', 'dll', 'harga', 'digipos', 'seimbang', 'aplikasi', 'konsumen', 'lari', 'beli', 'pulsa', 'beli', 'paket', 'aplikasi', 'telkomsel']</t>
  </si>
  <si>
    <t>['profider', 'bangsat', 'kafir', 'biadap', 'beli', 'pulsa', 'jam', 'masuk', 'jam', 'babi', 'telkomsel', 'aktif', 'setahun', 'isi', 'pulsa', 'tenggang', 'habis', 'telkomsel', 'provider', 'anjing', '']</t>
  </si>
  <si>
    <t>['gimana', 'internet', 'non', 'paket', 'pas', 'pulsanya', 'udah', 'habis', 'maksudnya', 'trs', 'gitu', 'digantinya', 'kuotanya', 'ganti', 'rugi', 'udah', 'kali', 'sabar', '']</t>
  </si>
  <si>
    <t>['halo', 'telkomsel', 'beli', 'kuota', 'dicek', 'sya', 'isi', 'pulsanya', 'kuota', 'beli', 'udah', 'tolong', 'telkomsel', 'udah', 'berkali', 'kali', 'ketipu', 'kayak', 'gini', 'mohon', 'kebijakan', '']</t>
  </si>
  <si>
    <t>['karna', 'nggak', 'pakai', 'nggak', 'pakai', 'provider', 'lontong', 'lemot', 'buka', 'aplikasi', 'mytelkomsel', 'parahnyainta', 'ampun', 'ehhh', 'lontong', 'loe', 'contoh', 'provider', 'aplikasinya', 'dibuka', 'langsung', 'makjleb', 'jaringan', 'normal', 'garis', 'sinyal', 'penuh', 'jaringan', 'gatot', 'gagal', 'total', '']</t>
  </si>
  <si>
    <t>['mudah', 'mudahan', 'ramadhan', 'penuh', 'berkah', 'hamba', 'ridho', 'alloh', 'hadiah', 'mobil', 'mytelkomsel', 'modal', 'usaha', 'aamiin', 'semoga', 'telkomsel', 'jaya', 'aamiin', '']</t>
  </si>
  <si>
    <t>['keluhan', 'kehabisan', 'paket', 'isi', 'paket', 'nyalakan', 'data', 'detik', 'pulsa', 'tersedot', 'buka', 'telkomsel', 'ajha', 'loading', 'pulsa', 'mahal', 'masukan', 'kurangi', 'biaya', 'kaya', 'ngalir', 'gitu', 'ajha', 'pulsa', 'pulsa', 'kayak', 'bobotnya', 'gitu', '']</t>
  </si>
  <si>
    <t>['simpati', 'the', 'best', 'sinyal', 'skarang', 'the', 'best', 'lemot', 'merugikan', 'pelanggan', 'setia', 'telkomsel', 'dri', 'suka', 'telkomsel', 'parah', 'main', 'the', 'best', 'kalah', 'ama', '']</t>
  </si>
  <si>
    <t>['mempermudah', 'pengunanya', 'udah', 'app', 'lemot', 'beli', 'paket', 'pulsa', 'mencukupi', 'pakai', 'buka', 'app', 'pulsa', 'berkurang', 'mohon', 'tingkatkan', 'aplikasinya', '']</t>
  </si>
  <si>
    <t>['unlimited', 'maksud', 'woi', 'aah', 'langanan', 'telkomsel', 'bertahun', 'langanan', 'keringanan', 'combo', 'sakti', 'limitid', 'sosmed', 'unlimited', 'lucu', 'kali']</t>
  </si>
  <si>
    <t>['kenaikan', 'untung', 'perbaikan', 'jaringan', 'jaringan', 'internet', 'dioptimalkan', 'bad', 'rating', '']</t>
  </si>
  <si>
    <t>['maaf', 'kak', 'paket', 'unlimited', 'lelet', 'jaringan', 'nggak', 'paket', 'reguler', 'tolong', 'kak', 'percepat', 'jaringan', 'kuota', 'regulernya', 'habis', 'peminat', '']</t>
  </si>
  <si>
    <t>['min', 'beli', 'paket', 'unlimited', 'udah', 'mahal', 'pembatasannya', 'paket', 'chat', 'sosmed', 'youtube', 'masuk', 'akal', 'pembatasannya', 'gb', 'perbulan', 'unlimited', 'kesel', 'aying', '']</t>
  </si>
  <si>
    <t>['murah', 'kekurangannya', 'beli', 'paket', 'gamemax', 'dikasih', 'harga', 'murah', 'jaringannya', 'lelet', 'niat', 'mabar', 'bareng', 'temen', 'tolonglah', 'emang', 'niat', 'berjualan', 'kasih', 'pelanggan', 'puas']</t>
  </si>
  <si>
    <t>['telkomsel', 'telkomsel', 'terbaik', 'update', 'aplikasi', 'harga', 'kuota', 'internet', 'mahal', 'tolong', 'deh', 'telkomsel', 'perbaiki', 'jaringan', 'bagus', 'harga', 'kuota', 'internet', 'mahal', 'pulsa', 'kuota', 'gb', 'kuota', 'gb', 'harga', '']</t>
  </si>
  <si>
    <t>['komplain', 'paket', 'internet', 'beli', 'udah', 'coba', 'berkali', 'tetep', 'pakai', 'paket', 'beli', 'april', 'udah', '']</t>
  </si>
  <si>
    <t>['pembelian', 'pulsa', 'susah', 'ribet', 'beli', 'pulsa', 'jt', 'gampang', 'pembayaran', 'via', 'akun', 'virtualnya', 'knp', 'skrg', 'hilang', 'alias', 'jelek', 'pelayanan', '']</t>
  </si>
  <si>
    <t>['kecewa', 'udah', 'sebulan', 'telkomsel', 'gangguan', 'daerah', 'banjarmasin', 'gangguan', 'jaringan', 'paket', 'telkomsel', 'stabil', 'jaringannya', 'memilih', 'operator', 'smentara', 'msih', 'gangguan', 'jdi', 'pindah', 'operator']</t>
  </si>
  <si>
    <t>['menagapa', 'kouta', 'gb', 'rb', 'beli', 'kecewa', 'telkomsel', 'tolong', 'kouta', 'gb', 'hri', 'harga', 'rb', 'beli', 'memakai', 'kartu', 'perdana', 'telkomsel', 'kecewa', 'teratasi', 'memakai', 'telkomsel', '']</t>
  </si>
  <si>
    <t>['pulsa', 'disedot', 'pemberitahuan', 'paket', 'kuota', 'habis', 'komplainpun', 'sampe', 'proses', 'payahhhhh', '']</t>
  </si>
  <si>
    <t>['maaf', 'arti', 'unlimited', 'batas', 'tolong', 'embel', 'embel', 'unlimited', 'carilah', 'relevan', 'terimakasih']</t>
  </si>
  <si>
    <t>['jaringan', 'lelet', 'stabilnya', 'paketan', 'dimahalin', 'kualitas', 'terbelakang', 'semoga', 'kaya', '']</t>
  </si>
  <si>
    <t>['mohon', 'maaf', 'knpa', 'update', 'aplikasi', 'error', 'gtu', 'yaa', 'masuk', 'aplikasi', 'telkomsel', 'cman', 'tulisan', 'realod', 'ganti', 'trus', 'jaringan', 'jga', 'knapa', 'skrg', 'kartu', 'jdi', 'itupun', 'jga', 'gnti', 'pas', 'data', 'hidupkan', 'gadak', 'connect', 'apapun', 'sperti', 'off', 'data', 'apanya', 'salah', 'yaa', 'mohon', 'respon', 'tindakan', 'telkomsel', 'trims', '']</t>
  </si>
  <si>
    <t>['liat', 'yak', 'harga', 'pket', 'trossss', 'smpe', 'mmposs', 'kuota', 'turunin', 'tpi', 'mahal', 'hrgnya', 'bercanda', '']</t>
  </si>
  <si>
    <t>['gini', 'aplikasi', 'telkomsel', 'beli', 'paket', 'refresh', 'login', 'ulang', 'tolong', 'perbaiki', 'bug', 'parahh', 'banget', 'harga', 'paket', 'mahal', 'kecewa', '']</t>
  </si>
  <si>
    <t>['memalukan', 'sekelas', 'anak', 'perusahaan', 'milik', 'negara', 'beli', 'paket', 'kouta', 'hbis', 'berlakunya', 'telkomsel', 'kecewa', 'sekian', 'telkomsel', 'merugikan', 'rakyat', '']</t>
  </si>
  <si>
    <t>['telkomsel', 'jaringan', 'parah', 'banget', 'kaya', 'kura', 'gini', 'beralih', 'ayo', 'pindah', 'kartu', 'telkomsel', 'perbaiki', 'jaringan', 'kaya', 'super', 'duper', 'ngebut', 'ayo', 'tolong', 'perbaiki', 'hub', 'twitter', 'apalah', 'perbaiki', 'kualitas', 'jaringan', 'indo', '']</t>
  </si>
  <si>
    <t>['jaringan', 'telkomsel', 'lelet', 'bangettttttttt', 'mahalnya', 'doang', 'dirugikan', 'perbaiki', 'jaringan', 'mahalnya', 'doang', 'yaaa', 'pelanggan', 'setia', 'telkomsel', 'pindah', 'provider', 'udh', 'mah', 'mahal', 'jaringan', 'lelet', 'adil', 'belinya', 'duit', 'telkomsel', 'nyedot', 'banget', 'paket', 'nyedot', 'bangett', 'udah', 'mahal', 'jaringan', 'lemot', 'emosi', 'emng', 'pikir', 'duit', 'beli', 'paket', 'doang', '']</t>
  </si>
  <si>
    <t>['menyesal', 'kartu', 'kesini', 'jaringan', 'jelek', 'mengalami', 'lemot', 'jaringan', 'telkomsel', 'buruk', '']</t>
  </si>
  <si>
    <t>['aplikasinya', 'jelek', 'bohong', 'aplikasinya', 'bagus', 'banget']</t>
  </si>
  <si>
    <t>['beli', 'paketan', 'paketannya', 'nggk', 'komplit', 'acara', 'promo', 'lihat', 'store', 'nggak', 'kecewa', 'beli', 'pulsa', 'produknya', 'nggk', 'ayo', 'telkomsel', 'perbaiki', 'rugi']</t>
  </si>
  <si>
    <t>['maaf', 'ralat', 'leleeeeet', 'masuk', 'home', 'telkomsel', 'ajh', 'beraat', 'update', 'paraaaaahhh', 'beli', 'paket', 'kali', 'aplikasi', 'skalian', 'drpda', '']</t>
  </si>
  <si>
    <t>['jaringan', 'bagus', 'putus', 'koneksi', 'jaringan', 'jelek', 'pakai', 'harganya', 'ahal', 'banget', 'dahlah', 'ganti', 'operator', 'kalok', 'udah', 'benerin', 'kabarin', '']</t>
  </si>
  <si>
    <t>['paket', 'sakti', 'unlimited', 'memakainya', 'layanan', 'telkomsel', 'ngaco', 'masak', 'pelanggan', 'kalah', 'samo', 'pelangan', 'telkomsel', 'jual', 'kartu', 'perdana', 'jual', 'layanan']</t>
  </si>
  <si>
    <t>['mintak', 'tolong', 'data', 'mahal', 'amet', 'daftar', 'data', 'mahal', 'banget', 'apalgi', 'data', 'omg', 'tolong', 'kasi', 'unlimited', 'kartu', 'telkomsel']</t>
  </si>
  <si>
    <t>['assalamu', 'alaikum', 'tolong', 'telkom', 'isi', 'pulsa', 'pulsa', 'keambil', 'pakai', 'kouta', 'darurat', 'pulsa', 'keambil', 'terimakasih', 'perhatiannya']</t>
  </si>
  <si>
    <t>['sebenernya', 'males', 'omong', 'paket', 'mahal', 'bos', 'cuman', 'jaringan', 'parah', 'tinggal', 'didesa', 'tnggal', 'dikota', 'bali', 'giliran', 'pakek', 'ngegame', 'lag', 'pointnya', 'mslh', 'harga', 'pajet', 'koneksi', 'diperbaikin', 'duh', 'capek', 'hems']</t>
  </si>
  <si>
    <t>['beli', 'paket', 'internet', 'unlimited', 'internetnya', 'udah', 'abis', 'batas', 'udah', 'pakai', 'sms', 'batas', 'wajar', 'kuota', 'aplikasi', 'habis', 'ngeselin', 'banget', '']</t>
  </si>
  <si>
    <t>['rugikan', 'telkomsel', 'paket', 'unlimited', 'terbatas', 'mahallll', 'tarif', 'rb', 'rb', 'rb', 'unlimited', 'berubah', 'rb', 'doang', 'pilihan', '']</t>
  </si>
  <si>
    <t>['pelayanan', 'bagus', 'harga', 'paket', 'menjangkau', 'rakyat', 'kalangan', 'jaringan', 'stabil', 'terima', 'kasih', 'telkomsel', 'teruslah', 'berkomitmen', '']</t>
  </si>
  <si>
    <t>['maaf', 'paket', 'internet', 'telkomsel', 'mahal', 'takut', 'rugi', 'beli', 'paket', 'irit', 'ntah', 'hapus', 'heran', 'cuman', 'provider', 'telkomsel', 'provider', 'udah', 'pindah', 'provider', 'tolong', 'telkomsel', 'pahami', 'terimakasih']</t>
  </si>
  <si>
    <t>['ketipu', 'ama', 'telkomsel', 'deksripsinya', 'gua', 'bolak', 'balikpaket', 'unlimited', 'apps', 'udh', 'beli', 'gua', 'cek', 'bolak', 'gtu', 'kayak', 'ngebug', 'ntah', 'serasa', 'ditipu', 'gua']</t>
  </si>
  <si>
    <t>['telkomselku', 'hebat', 'jaringannya', 'luas', 'terjangkau', 'keseluruh', 'pelosok', 'tanah', 'air', 'suaranya', 'internetnya', 'cepat', 'lemot', 'telkomselku', 'hebat']</t>
  </si>
  <si>
    <t>['telkomsel', 'tolong', 'gangguan', 'jelek', 'mulu', 'sinyalnya', 'bayar', 'mahal', 'mahal', 'kek', 'gini', 'tolong', 'perbaiki', 'paket', 'tpi', 'suka', 'aktif', 'data', 'nyala', 'kena', 'pulsa', 'error', 'kecewa']</t>
  </si>
  <si>
    <t>['telkomsel', 'gjls', 'mahal', 'paketan', 'beli', 'karna', 'sinyal', 'dimana', 'lancar', 'mikir', 'beli', 'paketan', 'sinyal', 'lelet', 'ganti', 'berlanggan', 'kartu', '']</t>
  </si>
  <si>
    <t>['memakai', 'jaringan', 'telkomsel', 'kartu', 'kartu', 'hilang', 'rusak', 'nomor', 'urus', 'gapri', 'kampung', 'sinyal', 'telkomsel', 'bagus', 'lelet', 'tingkatkan', 'jaringan', 'telkomsel', 'terima', 'kasih', '']</t>
  </si>
  <si>
    <t>['komplen', 'eror', 'mulu', 'liat', 'koneksi', 'stabil', 'kuotaku', 'pulsanya', '']</t>
  </si>
  <si>
    <t>['', 'saran', 'telkomsel', 'stabilkan', 'sinyal', 'streaming', 'nonton', 'bola', 'nonton', 'aplikasi', 'maxtream', 'trims', '']</t>
  </si>
  <si>
    <t>['cuman', 'kasih', 'saran', 'tolong', 'kuota', 'sudh', 'beli', 'jngan', 'makan', 'tgl', 'jatuh', 'tempo', 'pemakian', 'habis', 'dapt', 'membersihkan', 'kuota', 'dosa', 'kuota', 'bnyak', 'udh', 'jatuh', 'tempo', 'mesti', 'sisa', 'kuota', 'mkan', 'sisa', '']</t>
  </si>
  <si>
    <t>['kecewa', 'banget', 'kuota', 'unlimited', 'program', 'fup', 'mengganggu', 'prubahan', 'drimana', 'infonya', 'progam', 'fup', 'menggangu', 'kecewa', 'kebijakan', 'dirugikan', 'beli', 'kuota', 'kuota', 'utama', 'abis', 'unlimitednya', 'menjamin', 'unlimited', 'mohon', 'dikembalikan', 'kemarin', '']</t>
  </si>
  <si>
    <t>['perasaan', 'harga', 'maaf', 'takon', 'wae', 'kali', 'lupa', 'lupa', 'mohon', 'dimaafkan', 'lur', '']</t>
  </si>
  <si>
    <t>['aplikasinya', 'sedot', 'kuota', 'axis', 'dibuka', 'kuota', 'kualitas', 'orang', 'dibawah', 'axis', 'suka', 'sedot', 'pulsa', 'paket', 'data', '']</t>
  </si>
  <si>
    <t>['belajar', 'axis', 'aplikasinya', 'dibuka', 'menyedot', 'pulsa', 'kuota', 'pulsa', 'pelanggan', 'aman', 'kunci', 'main', 'sedot', 'kering', 'spt', 'telkomsel', '']</t>
  </si>
  <si>
    <t>['tolong', 'tambahkan', 'opsi', 'mudah', 'berhenti', 'langganan', 'paket', 'data', 'paket', 'data', 'kemendikbud', 'kuota', 'kemendikbud', 'kuota', 'utama', 'kuota', 'kemdikbud', 'lelet', 'internetnya', 'terimakasih', 'tolong', 'dibaca', 'telkom', 'indonesia']</t>
  </si>
  <si>
    <t>['daftar', 'unlimited', 'youtube', 'pulsa', 'udah', 'berkurang', 'sms', 'knp', 'pas', 'buka', 'youtube', 'muter', 'gitu', 'mah', 'rugi', '']</t>
  </si>
  <si>
    <t>['maaf', 'tolong', 'tingkatkan', 'kualitas', 'jaringan', 'jaringannya', 'kesal', 'main', 'game', 'online', 'sekelas', 'mobilelagen', 'jaringannya', 'suport', 'ngelag', 'udah', 'paket', 'quotanya', 'mahal', 'dri', 'masak', 'iya', 'jaringannya', 'telphone', 'doang', '']</t>
  </si>
  <si>
    <t>['beli', 'paket', 'unlimited', 'seharian', 'unlimited', 'gb', 'unlimited', 'terbatas', 'woeee', 'telkomsel', 'gini', 'kinerjanya', 'menurun', 'curang', 'woeee', '']</t>
  </si>
  <si>
    <t>['maaf', 'kecewa', 'rugi', 'kali', 'beli', 'paket', 'unlimited', 'youtube', 'harian', 'paketnya', 'dipakai', 'mohon', 'dibantu']</t>
  </si>
  <si>
    <t>['penawaran', 'muncul', 'via', 'sms', 'pas', 'ditengok', 'apk', 'tlekomsel', 'ngeprank', 'konten', 'youtube', 'prank', 'pelanggan', 'telkomsel', 'gitu', 'inget', 'min', 'puasa', 'dosanya', 'dikali', 'lipat']</t>
  </si>
  <si>
    <t>['lemotnya', 'modar', 'kerugiannya', 'ktimbang', 'manfaatnya', 'udh', 'sinyal', 'parah', 'koneksi', 'gajelas', 'harga', 'mahal', 'semoga', 'lekas', 'tamat', 'kebodohan', '']</t>
  </si>
  <si>
    <t>['kecewa', 'unlimitid', 'game', 'main', 'game', 'pubg', 'sia', 'sia', 'beli', 'kouta', 'kirim', 'email', 'direspon', 'telkomtod', '']</t>
  </si>
  <si>
    <t>['kecewa', 'jaringan', 'telkomasel', 'suka', 'down', 'disaat', 'trading', 'main', 'game', 'perbaikan', 'pindah', 'kartu']</t>
  </si>
  <si>
    <t>['paket', 'tawarkan', 'bermutu', 'paket', 'combo', 'daktinya', 'perna', 'kecewa', 'skli', 'telkomsel', 'jelek', 'klau', 'paket', 'omg', 'trlalu', 'mahal', 'pribadi', 'mohon', 'kpda', 'telkomsel', 'paket', 'combo', 'saktinya', 'diaktifkan', 'krna', 'sesuai', 'isi', 'dompet', '']</t>
  </si>
  <si>
    <t>['jaringan', 'ganggu', 'woy', 'buka', 'susah', 'banget', 'telkomsel', 'bagusnya', '']</t>
  </si>
  <si>
    <t>['makasih', 'pelayanannya', 'udah', 'jaringan', 'ngga', 'sengaja', 'kasih', 'dibaca', 'ama', 'dipahami', 'tindakan', 'ngeliat', 'ulasan', 'orang', 'berkerja', '']</t>
  </si>
  <si>
    <t>['dear', 'telkomsel', 'tolong', 'perbaiki', 'jaringan', 'didaerah', 'citalang', 'munjul', 'jaya', 'purwakarta', 'sekitarnnya', 'kadang', 'sinyal', 'hilang', 'cek', 'org', 'telkom', 'sinyal', 'stabil']</t>
  </si>
  <si>
    <t>['telkomsel', 'mohon', 'perbaiki', 'jaringan', 'kuliah', 'online', 'telkomsel', 'kenceng', 'jaringan', 'jaringan', 'jelek', 'parah', 'pdhl', 'daerah', 'perkotaan', 'terimakasih']</t>
  </si>
  <si>
    <t>['min', 'pembayaran', 'isi', 'pulsa', 'akun', 'virtualnya', 'hilang', 'mohon', 'diperbaiki', 'sistemnya', 'isi', 'pulsanya', 'mudan', 'opsi', 'pembayaran', '']</t>
  </si>
  <si>
    <t>['sesalkan', 'isi', 'pulsa', 'beli', 'paket', 'combo', 'sakti', 'mending', 'ganti', 'kartu', 'klau', 'kek', 'gini', 'uda', 'jaringan', 'lelet', 'paket', 'murah', 'hapuskan', 'hello', 'telkomsel', 'kabar', '']</t>
  </si>
  <si>
    <t>['pengguna', 'kartu', 'halo', 'apk', 'telkomsel', 'susah', 'kali', 'buka', 'mutar', 'mutar', 'turus', 'buka', 'tplama', 'kouta', 'bayak', 'uda', 'update', 'semoga', 'crpat', 'proses', 'lihat', 'tagihan', 'kerja', 'playan', 'bayak', '']</t>
  </si>
  <si>
    <t>['paketan', 'mahal', 'dpt', 'rb', 'skrg', 'udh', 'mahal', 'udah', 'signal', 'jelek', 'udah', 'berubah', 'telkomsel', 'skrg', '']</t>
  </si>
  <si>
    <t>['beli', 'paket', 'game', 'max', 'kuota', 'tertera', 'giga', 'main', 'menghubungkan', 'dilanjutkan', 'pertanyaannya', 'kuota', 'giga', 'jualan', 'jujur', 'donk', '']</t>
  </si>
  <si>
    <t>['woi', 'beli', 'voucher', 'tdi', 'malam', 'tertulis', 'sistem', 'sibuk', 'iya', 'dri', 'hbis', 'tarawih', 'sampek', 'sekerang', 'sibuk', 'gmna', 'nich', 'tanggung', '']</t>
  </si>
  <si>
    <t>['aplikasi', 'bisanya', 'nyedot', 'pulsa', 'nyedot', 'pulsanya', 'mengunci', 'pulsa', 'kesedot', 'gini', 'bagus', 'exisnet', 'aplikasi', 'udah', 'paketnya', 'mahal', 'disedot', 'pulsanya', 'mohon', 'perbaiki', '']</t>
  </si>
  <si>
    <t>['kali', 'buka', 'aplikasi', 'erorr', 'udah', 'bersihkan', 'ram', 'cache', 'aplikasi', 'loading', 'aplikasinya', 'dahlahh', 'hapus', 'lelet', 'makasih']</t>
  </si>
  <si>
    <t>['sinyal', 'nomor', 'indonesia', 'lawak', 'paket', 'unlimited', 'unlimited', 'wkwkwkwk', 'udah', 'bangkrut', 'provider', 'upgrade', 'kualitas', 'downgrade', 'wkwkwkwk', '']</t>
  </si>
  <si>
    <t>['knapa', 'kartu', 'beda', 'ngak', 'kasih', 'promo', 'skali', 'kasih', 'promo', 'paket', 'unlimited', 'harga', 'ngak', 'ngotak', 'sampe', 'mending', 'ganti', 'operator', 'murah', 'kartu', 'telkomsel']</t>
  </si>
  <si>
    <t>['paket', 'gb', 'unlimited', 'max', 'gb', 'pilihan', 'alias', 'hilangkang', 'kecepatan', 'brosingnya', 'lelet', 'gangguan', 'beli', 'paket', 'youtube', 'unlimited', 'berpungsi', 'paket', 'unlimited', 'berpungsi']</t>
  </si>
  <si>
    <t>['nukar', 'point', 'pulsa', 'emang', 'point', 'ditukar', 'mending', 'deh', 'jatuhnya', 'pembohongan', 'point', 'hilang', 'pergantian', 'mending', 'emang', '']</t>
  </si>
  <si>
    <t>['mempermudah', 'transaksi', 'kartu', 'telkomsel', 'perbanyak', 'adain', 'promo', 'paket', 'bicara', 'paket', 'data', '']</t>
  </si>
  <si>
    <t>['apl', 'telkomsel', 'bobrok', 'isi', 'pulsa', 'beli', 'paket', 'berhasil', 'paket', 'diaktifkan', 'sms', 'penawaran', 'beli', 'paket', 'penawaran', 'sms', 'takut', 'isi', 'pulsa', 'beli', 'combo', 'sakti', 'max', 'takut', 'ditipu', 'buruk']</t>
  </si>
  <si>
    <t>['telkomsel', 'kikir', 'telegram', 'ngak', 'pakai', 'download', 'dokumen', 'teman', 'temanku', 'gitu', 'rugi', 'beli', 'kuota', 'mahal', 'mahal', 'ngak', 'pakai']</t>
  </si>
  <si>
    <t>['', 'kasih', 'deh', 'download', 'apps', 'promo', 'dapet', 'pulsa', 'rb', 'notif', 'sms', 'telkomsel', 'pas', 'klik', 'link', 'beli', 'paketan']</t>
  </si>
  <si>
    <t>['kecewa', 'banget', 'udah', 'unlimited', 'max', 'gaada', 'apapun', 'batas', 'pemakaian', 'wajar', 'ngelag', 'parah', 'buka', 'kadang', 'gabisa', 'mending', 'pindah', 'kesmartfren', 'ajg']</t>
  </si>
  <si>
    <t>['halo', 'min', 'udah', 'seminggu', 'apk', 'telkomsel', 'dibuka', 'kendala', 'jaringan', 'udah', 'uninstall', 'trus', 'instal', 'tetep', 'mohon', 'solusinya']</t>
  </si>
  <si>
    <t>['paket', 'muncul', 'kayak', 'internet', 'harian', 'mingguan', 'bulanan', 'masak', 'nampilin', 'paket', 'diatas', 'ribu', '']</t>
  </si>
  <si>
    <t>['mohon', 'diperbaiki', 'meng', 'claim', 'daily', 'check', 'ngalamin', 'kali', 'udah', 'claim', 'rewardnya', 'notif', 'berhasil', 'kuotanya', 'masuk', 'notif', 'gangguan', 'gitu', 'mohon', 'tolong', 'diperbaikin', 'makasih']</t>
  </si>
  <si>
    <t>['telkomsel', 'kayak', 'pembajak', 'kuota', 'mahal', 'sinyalnya', 'jelek', 'promo', 'ramadhan', 'paket', 'kuota', 'spesial', 'murah', 'meriah', 'cuman', 'paket', 'telponan', 'tolong', 'seenggak', 'kasih', 'kuota', 'ceria', 'seenggaknya', 'harga', 'paket', 'kuota', 'turunkan', 'beli', 'kuota', 'unlimited', 'kuota', 'unlimited', 'cuman', 'bagus', 'whatsapp', 'buka', 'sosmed', 'sinyalnya', 'jelek', 'tolong', 'admin', 'dengarkan', 'keluhan', 'pengguna', '']</t>
  </si>
  <si>
    <t>['kali', 'buka', 'aplikasi', 'telkomsel', 'koneksi', 'stabil', 'alami', 'berbulan', 'update', 'bohong', 'kecewa', 'telkomsel', 'buruk', '']</t>
  </si>
  <si>
    <t>['nge', 'lag', 'main', 'game', 'online', 'kuota', 'sinyal', 'garis', 'tpi', 'tetep', 'nge', 'lag', 'niat', 'ajg']</t>
  </si>
  <si>
    <t>['bagus', 'gess', 'harga', 'kuota', 'kuotanya', 'berkurang', 'sehat', 'tel', 'makan', 'sakit', 'dokter', 'hotel', 'puasa', 'libur', 'duls']</t>
  </si>
  <si>
    <t>['pelanggan', 'setia', 'telkomsel', 'telkomsel', 'menawarkan', 'migrasi', 'kartu', 'hallo', 'pasca', 'bayar', 'merubah', 'kartu', 'hallo', 'pasca', 'bayar', 'karna', 'tagihannya', 'berjalan', 'bulannya', 'memakai', 'pelayanan', 'internet', 'telpon', 'sms', 'kartu', 'hallo', 'prabayar', 'salah', 'korbannya', 'tagihanku', 'membengkak', 'kartu', 'hallo', 'prabayar', 'sungguh', 'buruk', 'dirubah', 'pra', 'bayar', 'menonaktvkn', 'kartu', '']</t>
  </si>
  <si>
    <t>['menyesal', 'bermigrasi', 'kartu', 'telkomsel', 'prabayar', 'kartu', 'hallo', 'pascabayar', 'tagihan', 'bulanan', 'membengkak', 'bulannya', 'memakai', 'pelayanan', 'kartu', 'hallo', 'pasca', 'bayarnya', 'tagihannya', 'sesuai', 'pemakaian', 'pelayananya', 'hadeeh', 'gima', 'sich', '']</t>
  </si>
  <si>
    <t>['maaf', 'bintang', 'diupdate', 'pembayaran', 'kuota', 'langsung', 'diarahkan', 'pembayaran', 'pakai', 'saldo', 'pulsa', 'kemarin', 'update', 'enak', 'diarahkan', 'pembayaran']</t>
  </si>
  <si>
    <t>['pulsa', 'beli', 'kouta', 'buka', 'pengen', 'paket', 'combo', 'sakti', 'pulsa', 'berkuran', 'ngak', 'beli', 'deh', 'paket', 'mesti', 'beli', 'pulsa', 'mah', 'uang', 'beli', 'pulsa', '']</t>
  </si>
  <si>
    <t>['jaringan', 'ponsel', 'data', 'lemah', 'perbaikan', 'butuh', 'mengecewakan', 'harga', 'data', 'sesuai', 'layanan', '']</t>
  </si>
  <si>
    <t>['tambahan', 'kuota', 'kartu', 'halo', 'kuota', 'utama', 'gb', 'masuk', 'kebijakan', 'mengecewakan', 'member', '']</t>
  </si>
  <si>
    <t>['gimana', 'loginnya', 'udah', 'berkali', 'kali', 'dicoba', 'disuruh', 'daftar', 'menu', 'daftar', 'dimana', 'coba', 'hnya', 'langsung', 'menu', 'login', 'bingung', 'jelasin', '']</t>
  </si>
  <si>
    <t>['beli', 'paket', 'data', 'lelet', 'cok', 'wifi', 'mbps', 'mentang', 'wifinya', 'atap', 'kah', 'gannguan', 'trus', 'ncuk']</t>
  </si>
  <si>
    <t>['sinyal', 'buruk', 'jam', 'malam', 'sinyal', 'hilang', 'hujan', 'petir', 'tinggal', 'daerah', 'kesambi', 'sinyal', 'stabil', '']</t>
  </si>
  <si>
    <t>['kartu', 'telkomsel', 'udah', 'dapet', 'paket', 'internet', 'murah', 'mahal', 'parah', 'udah', 'sinyalnya', 'sendat', 'harga', 'sebanding', 'kualitasnya']</t>
  </si>
  <si>
    <t>['senang', 'telkomsel', 'keuntungan', 'harga', 'paket', 'internet', 'diatas', 'provider', 'semoga', 'melayani', 'menjangkau', 'kalangan', '']</t>
  </si>
  <si>
    <t>['aplikasinya', 'bagus', 'dapet', 'email', 'komen', 'performa', 'kartu', 'telkomsel', 'membalas', 'keluhan', 'email', 'karna', 'sinyal', 'jelek', 'sinyal', 'mahal', 'kualitas', 'tolong', 'amankan', 'love', 'telkomsel', 'always']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</si>
</sst>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31.43"/>
    <col customWidth="1" min="4" max="27" width="8.71"/>
  </cols>
  <sheetData>
    <row r="1">
      <c r="B1" s="1" t="s">
        <v>0</v>
      </c>
      <c r="C1" s="2" t="s">
        <v>1</v>
      </c>
      <c r="D1" s="1" t="s">
        <v>2</v>
      </c>
    </row>
    <row r="2">
      <c r="A2" s="1">
        <v>0.0</v>
      </c>
      <c r="B2" s="3" t="s">
        <v>3</v>
      </c>
      <c r="C2" s="3" t="str">
        <f>IFERROR(__xludf.DUMMYFUNCTION("GOOGLETRANSLATE(B2,""id"",""en"")"),"['Memudh', 'Segal', 'Caskek', 'Information', 'Telkomsel', 'Deficiency', 'Easy', 'Hopefully', 'Telkomsel', 'Read', 'Please', 'Make', ' menu ',' lock ',' pulse ',' package ',' internet ',' life ',' data ',' cellular ',' life ',' easy ',' see ',' veranda ','"&amp;" forgetfulness' , 'Turn off', 'data', 'sleep', 'package', 'run out', 'pulses',' sumps', 'please', 'Telkomsel', 'thank you', 'user', 'loyal', ' Telkomsel ']")</f>
        <v>['Memudh', 'Segal', 'Caskek', 'Information', 'Telkomsel', 'Deficiency', 'Easy', 'Hopefully', 'Telkomsel', 'Read', 'Please', 'Make', ' menu ',' lock ',' pulse ',' package ',' internet ',' life ',' data ',' cellular ',' life ',' easy ',' see ',' veranda ',' forgetfulness' , 'Turn off', 'data', 'sleep', 'package', 'run out', 'pulses',' sumps', 'please', 'Telkomsel', 'thank you', 'user', 'loyal', ' Telkomsel ']</v>
      </c>
      <c r="D2" s="3">
        <v>5.0</v>
      </c>
    </row>
    <row r="3">
      <c r="A3" s="1">
        <v>1.0</v>
      </c>
      <c r="B3" s="3" t="s">
        <v>4</v>
      </c>
      <c r="C3" s="3" t="str">
        <f>IFERROR(__xludf.DUMMYFUNCTION("GOOGLETRANSLATE(B3,""id"",""en"")"),"['okehh', 'Say', 'Congratulations',' Device ',' Support ',' Limited ',' Tok ',' Mentok ',' Device ',' Forced ',' Wuusshhh ',' Kenceng ',' BGTTT ',' Abis', 'Btre', 'Device', 'Pansy', 'Krna', 'Look', 'Signal', 'Difficult', 'As a result', 'Dampuran', 'As a r"&amp;"esult', 'appears' , 'Network', 'Edge', 'Device', 'Flagship', 'Tingual', 'City', 'Dlm', 'City', 'TPI', 'ASTAGAAAAA', 'OHH', 'Telkomsel', ' Open ',' application ',' MyTelkomsel ',' complaints', 'mgg', 'chronic', 'chess', ""]")</f>
        <v>['okehh', 'Say', 'Congratulations',' Device ',' Support ',' Limited ',' Tok ',' Mentok ',' Device ',' Forced ',' Wuusshhh ',' Kenceng ',' BGTTT ',' Abis', 'Btre', 'Device', 'Pansy', 'Krna', 'Look', 'Signal', 'Difficult', 'As a result', 'Dampuran', 'As a result', 'appears' , 'Network', 'Edge', 'Device', 'Flagship', 'Tingual', 'City', 'Dlm', 'City', 'TPI', 'ASTAGAAAAA', 'OHH', 'Telkomsel', ' Open ',' application ',' MyTelkomsel ',' complaints', 'mgg', 'chronic', 'chess', "]</v>
      </c>
      <c r="D3" s="3">
        <v>1.0</v>
      </c>
    </row>
    <row r="4">
      <c r="A4" s="1">
        <v>2.0</v>
      </c>
      <c r="B4" s="3" t="s">
        <v>5</v>
      </c>
      <c r="C4" s="3" t="str">
        <f>IFERROR(__xludf.DUMMYFUNCTION("GOOGLETRANSLATE(B4,""id"",""en"")"),"['package', 'data', 'games', 'etc.', 'right', 'open', 'game', 'open', 'game', 'entered', 'uda', '' years ',' Telkomsel ',' Mala ',' know ',' name ',' cellphone ',' Uda ',' Telkomsel ',' gini ', ""]")</f>
        <v>['package', 'data', 'games', 'etc.', 'right', 'open', 'game', 'open', 'game', 'entered', 'uda', '' years ',' Telkomsel ',' Mala ',' know ',' name ',' cellphone ',' Uda ',' Telkomsel ',' gini ', "]</v>
      </c>
      <c r="D4" s="3">
        <v>1.0</v>
      </c>
    </row>
    <row r="5">
      <c r="A5" s="1">
        <v>3.0</v>
      </c>
      <c r="B5" s="3" t="s">
        <v>6</v>
      </c>
      <c r="C5" s="3" t="str">
        <f>IFERROR(__xludf.DUMMYFUNCTION("GOOGLETRANSLATE(B5,""id"",""en"")"),"['Please', 'Increase', 'Network', 'Internet', 'Seputaran', 'Region', 'Kalimantan', 'Activities',' Unload ',' Load ',' Stone ',' Bara ',' Region ',' Port ',' Bay ',' Lima ',' Port ',' Paring ',' Lawung ',' Experiencing ',' Guide ',' Experience ',' Job ',' "&amp;"Looking ',' Location ' , 'Kampung', 'Signal', 'Reach', 'HandPhone', 'Modem', 'WiFi', ""]")</f>
        <v>['Please', 'Increase', 'Network', 'Internet', 'Seputaran', 'Region', 'Kalimantan', 'Activities',' Unload ',' Load ',' Stone ',' Bara ',' Region ',' Port ',' Bay ',' Lima ',' Port ',' Paring ',' Lawung ',' Experiencing ',' Guide ',' Experience ',' Job ',' Looking ',' Location ' , 'Kampung', 'Signal', 'Reach', 'HandPhone', 'Modem', 'WiFi', "]</v>
      </c>
      <c r="D5" s="3">
        <v>4.0</v>
      </c>
    </row>
    <row r="6">
      <c r="A6" s="1">
        <v>4.0</v>
      </c>
      <c r="B6" s="3" t="s">
        <v>7</v>
      </c>
      <c r="C6" s="3" t="str">
        <f>IFERROR(__xludf.DUMMYFUNCTION("GOOGLETRANSLATE(B6,""id"",""en"")"),"['mission', 'package', 'serebu', 'please', 'back', 'serebu', 'buy', 'package', 'unlimited', 'serebu', 'fill', 'goceng', ' Gabisin ',' Money ',' Please ',' User ',' here ',' Price ',' Change ',' Card ']")</f>
        <v>['mission', 'package', 'serebu', 'please', 'back', 'serebu', 'buy', 'package', 'unlimited', 'serebu', 'fill', 'goceng', ' Gabisin ',' Money ',' Please ',' User ',' here ',' Price ',' Change ',' Card ']</v>
      </c>
      <c r="D6" s="3">
        <v>2.0</v>
      </c>
    </row>
    <row r="7">
      <c r="A7" s="1">
        <v>5.0</v>
      </c>
      <c r="B7" s="3" t="s">
        <v>8</v>
      </c>
      <c r="C7" s="3" t="str">
        <f>IFERROR(__xludf.DUMMYFUNCTION("GOOGLETRANSLATE(B7,""id"",""en"")"),"['buy', 'data', 'network', 'slow', 'hammpir', 'network', 'slow', 'center', 'city', 'bni', 'entry', 'application', ' download ',' application ',' playstore ',' difficult ',' network ',' mulu ',' no ',' fix ',' bgtu ',' pulse ',' pull out ',' ']")</f>
        <v>['buy', 'data', 'network', 'slow', 'hammpir', 'network', 'slow', 'center', 'city', 'bni', 'entry', 'application', ' download ',' application ',' playstore ',' difficult ',' network ',' mulu ',' no ',' fix ',' bgtu ',' pulse ',' pull out ',' ']</v>
      </c>
      <c r="D7" s="3">
        <v>2.0</v>
      </c>
    </row>
    <row r="8">
      <c r="A8" s="1">
        <v>6.0</v>
      </c>
      <c r="B8" s="3" t="s">
        <v>9</v>
      </c>
      <c r="C8" s="3" t="str">
        <f>IFERROR(__xludf.DUMMYFUNCTION("GOOGLETRANSLATE(B8,""id"",""en"")"),"['accountability', 'Telkomsel', 'regarding', 'package', 'unlimited', 'network', 'slow', 'package', 'flash', 'first', 'out', 'unlimited', ' Youtube ',' pulse ',' sucked ',' package ',' failed ',' transaction ',' pulse ',' etc. ',' complaints', 'vitur', 'Wh"&amp;"ats',' Veronika ',' Vitur ' , 'kah', 'response', 'fix', 'Telkomsel', 'ride', 'price', 'package', 'data', 'package', 'night', '']")</f>
        <v>['accountability', 'Telkomsel', 'regarding', 'package', 'unlimited', 'network', 'slow', 'package', 'flash', 'first', 'out', 'unlimited', ' Youtube ',' pulse ',' sucked ',' package ',' failed ',' transaction ',' pulse ',' etc. ',' complaints', 'vitur', 'Whats',' Veronika ',' Vitur ' , 'kah', 'response', 'fix', 'Telkomsel', 'ride', 'price', 'package', 'data', 'package', 'night', '']</v>
      </c>
      <c r="D8" s="3">
        <v>1.0</v>
      </c>
    </row>
    <row r="9">
      <c r="A9" s="1">
        <v>7.0</v>
      </c>
      <c r="B9" s="3" t="s">
        <v>10</v>
      </c>
      <c r="C9" s="3" t="str">
        <f>IFERROR(__xludf.DUMMYFUNCTION("GOOGLETRANSLATE(B9,""id"",""en"")"),"['Maen', 'game', 'lag', 'then', 'prime', 'combo', 'Sakti', 'yesterday', 'told', 'move', 'registered', 'package', ' Hello ',' Combo ',' Sakti ',' UDH ',' Deleted ',' Think ',' force ',' Then ',' Approve ',' Register ',' Hello ',' Package ',' Combo ' , 'Sak"&amp;"ti', 'just', 'list', 'package', 'child', 'blk', 'preracious',' please ',' back ',' combo ',' sakti ',' value ',' Stars', 'empty', 'empty', '']")</f>
        <v>['Maen', 'game', 'lag', 'then', 'prime', 'combo', 'Sakti', 'yesterday', 'told', 'move', 'registered', 'package', ' Hello ',' Combo ',' Sakti ',' UDH ',' Deleted ',' Think ',' force ',' Then ',' Approve ',' Register ',' Hello ',' Package ',' Combo ' , 'Sakti', 'just', 'list', 'package', 'child', 'blk', 'preracious',' please ',' back ',' combo ',' sakti ',' value ',' Stars', 'empty', 'empty', '']</v>
      </c>
      <c r="D9" s="3">
        <v>1.0</v>
      </c>
    </row>
    <row r="10">
      <c r="A10" s="1">
        <v>8.0</v>
      </c>
      <c r="B10" s="3" t="s">
        <v>11</v>
      </c>
      <c r="C10" s="3" t="str">
        <f>IFERROR(__xludf.DUMMYFUNCTION("GOOGLETRANSLATE(B10,""id"",""en"")"),"['Disappointed', 'APK', 'buy', 'quota', 'plus',' quota ',' free ',' Kemdikbud ',' wear it ',' task ',' school ',' play ',' Game ',' pulse ',' sucked ',' pulse ',' please ',' repaired ',' quota ',' pulses', 'sucked', 'disappointed']")</f>
        <v>['Disappointed', 'APK', 'buy', 'quota', 'plus',' quota ',' free ',' Kemdikbud ',' wear it ',' task ',' school ',' play ',' Game ',' pulse ',' sucked ',' pulse ',' please ',' repaired ',' quota ',' pulses', 'sucked', 'disappointed']</v>
      </c>
      <c r="D10" s="3">
        <v>1.0</v>
      </c>
    </row>
    <row r="11">
      <c r="A11" s="1">
        <v>9.0</v>
      </c>
      <c r="B11" s="3" t="s">
        <v>12</v>
      </c>
      <c r="C11" s="3" t="str">
        <f>IFERROR(__xludf.DUMMYFUNCTION("GOOGLETRANSLATE(B11,""id"",""en"")"),"['Wonder', 'menu', 'program', 'Daily', 'Check', 'Where', 'Check', 'Coupon', 'Collected', 'May', 'Collect', 'Coupon', ' exchanged ',' choice ',' quota ',' internet ',' failed ',' total ',' program ',' daily ',' check ',' missing ',' porch ',' tired ',' per"&amp;"son ' , 'morning', 'check', 'result', 'zero', '']")</f>
        <v>['Wonder', 'menu', 'program', 'Daily', 'Check', 'Where', 'Check', 'Coupon', 'Collected', 'May', 'Collect', 'Coupon', ' exchanged ',' choice ',' quota ',' internet ',' failed ',' total ',' program ',' daily ',' check ',' missing ',' porch ',' tired ',' person ' , 'morning', 'check', 'result', 'zero', '']</v>
      </c>
      <c r="D11" s="3">
        <v>1.0</v>
      </c>
    </row>
    <row r="12">
      <c r="A12" s="1">
        <v>10.0</v>
      </c>
      <c r="B12" s="3" t="s">
        <v>13</v>
      </c>
      <c r="C12" s="3" t="str">
        <f>IFERROR(__xludf.DUMMYFUNCTION("GOOGLETRANSLATE(B12,""id"",""en"")"),"['signal', 'enter', 'APK', 'COK', 'Signal', 'fix', 'use', 'wifi', 'tlg', 'reduced', 'point', 'whatsapp', ' Open ',' apk ',' I ',' hope ',' signal ',' good ',' used to ',' even ',' smooth ',' ']")</f>
        <v>['signal', 'enter', 'APK', 'COK', 'Signal', 'fix', 'use', 'wifi', 'tlg', 'reduced', 'point', 'whatsapp', ' Open ',' apk ',' I ',' hope ',' signal ',' good ',' used to ',' even ',' smooth ',' ']</v>
      </c>
      <c r="D12" s="3">
        <v>2.0</v>
      </c>
    </row>
    <row r="13">
      <c r="A13" s="1">
        <v>11.0</v>
      </c>
      <c r="B13" s="3" t="s">
        <v>14</v>
      </c>
      <c r="C13" s="3" t="str">
        <f>IFERROR(__xludf.DUMMYFUNCTION("GOOGLETRANSLATE(B13,""id"",""en"")"),"['quota', 'UNLI', 'Telkom', 'UDH', 'Yesterday', 'UNLI', 'TELKOM', 'open', 'sosmed', 'skrng', 'Udh', 'Udh', ' Buy ',' UNLI ',' TPI ',' MLH ',' UNLI ',' ']")</f>
        <v>['quota', 'UNLI', 'Telkom', 'UDH', 'Yesterday', 'UNLI', 'TELKOM', 'open', 'sosmed', 'skrng', 'Udh', 'Udh', ' Buy ',' UNLI ',' TPI ',' MLH ',' UNLI ',' ']</v>
      </c>
      <c r="D13" s="3">
        <v>1.0</v>
      </c>
    </row>
    <row r="14">
      <c r="A14" s="1">
        <v>12.0</v>
      </c>
      <c r="B14" s="3" t="s">
        <v>15</v>
      </c>
      <c r="C14" s="3" t="str">
        <f>IFERROR(__xludf.DUMMYFUNCTION("GOOGLETRANSLATE(B14,""id"",""en"")"),"['check', 'daily', 'stay', 'times',' check ',' quota ',' GB ',' feature ',' check ',' nggk ',' already ',' umpteent ',' Your time ',' ']")</f>
        <v>['check', 'daily', 'stay', 'times',' check ',' quota ',' GB ',' feature ',' check ',' nggk ',' already ',' umpteent ',' Your time ',' ']</v>
      </c>
      <c r="D14" s="3">
        <v>1.0</v>
      </c>
    </row>
    <row r="15">
      <c r="A15" s="1">
        <v>13.0</v>
      </c>
      <c r="B15" s="3" t="s">
        <v>16</v>
      </c>
      <c r="C15" s="3" t="str">
        <f>IFERROR(__xludf.DUMMYFUNCTION("GOOGLETRANSLATE(B15,""id"",""en"")"),"['Telkomsel', 'GMNA', 'Rules',' Use ',' Quota ',' Written ',' Live ',' Chat ',' Sosmed ',' GB ',' GGB ',' Quota ',' Internet ',' INO ',' GB ',' Abis', 'Network', 'Severe', 'Very', 'GB', 'GB', 'Pakei', 'GB', 'Cuman', 'stimulants' , 'persista', 'here', 'acc"&amp;"ording to', 'Lonsuense', 'Telkomsel', ""]")</f>
        <v>['Telkomsel', 'GMNA', 'Rules',' Use ',' Quota ',' Written ',' Live ',' Chat ',' Sosmed ',' GB ',' GGB ',' Quota ',' Internet ',' INO ',' GB ',' Abis', 'Network', 'Severe', 'Very', 'GB', 'GB', 'Pakei', 'GB', 'Cuman', 'stimulants' , 'persista', 'here', 'according to', 'Lonsuense', 'Telkomsel', "]</v>
      </c>
      <c r="D15" s="3">
        <v>1.0</v>
      </c>
    </row>
    <row r="16">
      <c r="A16" s="1">
        <v>14.0</v>
      </c>
      <c r="B16" s="3" t="s">
        <v>17</v>
      </c>
      <c r="C16" s="3" t="str">
        <f>IFERROR(__xludf.DUMMYFUNCTION("GOOGLETRANSLATE(B16,""id"",""en"")"),"['Telkomsel', 'Ascludes',' Naikan ',' Rates', 'Package', 'Internet', 'Extend', 'Package', 'Price', 'Expensive', 'Marketing', 'Marketing', ' TPI ',' Litu ',' ']")</f>
        <v>['Telkomsel', 'Ascludes',' Naikan ',' Rates', 'Package', 'Internet', 'Extend', 'Package', 'Price', 'Expensive', 'Marketing', 'Marketing', ' TPI ',' Litu ',' ']</v>
      </c>
      <c r="D16" s="3">
        <v>2.0</v>
      </c>
    </row>
    <row r="17">
      <c r="A17" s="1">
        <v>15.0</v>
      </c>
      <c r="B17" s="3" t="s">
        <v>18</v>
      </c>
      <c r="C17" s="3" t="str">
        <f>IFERROR(__xludf.DUMMYFUNCTION("GOOGLETRANSLATE(B17,""id"",""en"")"),"['Oromo', 'package', 'cheerful', 'buy', 'just', 'process',' doang ',' just ',' trick ',' interesting ',' customer ',' fraud ',' Employees', 'BECUS', 'Telkomsel', 'run out', 'sense', 'compete', 'card', 'AXIS', 'IM', 'smartfren', 'fraud', 'that's',' play ' "&amp;", 'dirty', 'search', 'money', 'halal']")</f>
        <v>['Oromo', 'package', 'cheerful', 'buy', 'just', 'process',' doang ',' just ',' trick ',' interesting ',' customer ',' fraud ',' Employees', 'BECUS', 'Telkomsel', 'run out', 'sense', 'compete', 'card', 'AXIS', 'IM', 'smartfren', 'fraud', 'that's',' play ' , 'dirty', 'search', 'money', 'halal']</v>
      </c>
      <c r="D17" s="3">
        <v>1.0</v>
      </c>
    </row>
    <row r="18">
      <c r="A18" s="1">
        <v>16.0</v>
      </c>
      <c r="B18" s="3" t="s">
        <v>19</v>
      </c>
      <c r="C18" s="3" t="str">
        <f>IFERROR(__xludf.DUMMYFUNCTION("GOOGLETRANSLATE(B18,""id"",""en"")"),"['signal', 'bad', 'slow', 'jerkannya', 'already', 'that's',' package ',' expensive ',' expensive ',' network ',' good ',' gpp ',' mah ',' expensive ',' slow ',' really ']")</f>
        <v>['signal', 'bad', 'slow', 'jerkannya', 'already', 'that's',' package ',' expensive ',' expensive ',' network ',' good ',' gpp ',' mah ',' expensive ',' slow ',' really ']</v>
      </c>
      <c r="D18" s="3">
        <v>1.0</v>
      </c>
    </row>
    <row r="19">
      <c r="A19" s="1">
        <v>17.0</v>
      </c>
      <c r="B19" s="3" t="s">
        <v>20</v>
      </c>
      <c r="C19" s="3" t="str">
        <f>IFERROR(__xludf.DUMMYFUNCTION("GOOGLETRANSLATE(B19,""id"",""en"")"),"['Change', 'card', 'PKE', 'Telkomsel', 'people', 'expensive', 'TPI', 'Satisfied', 'Make', 'Loading', 'TPI', 'Disappointed', ' Very ',' Network ',' send ',' Loading ',' Padhl ',' quota ',' gini ',' customer ',' switch ',' Please ',' Lined ',' The network '"&amp;", ""]")</f>
        <v>['Change', 'card', 'PKE', 'Telkomsel', 'people', 'expensive', 'TPI', 'Satisfied', 'Make', 'Loading', 'TPI', 'Disappointed', ' Very ',' Network ',' send ',' Loading ',' Padhl ',' quota ',' gini ',' customer ',' switch ',' Please ',' Lined ',' The network ', "]</v>
      </c>
      <c r="D19" s="3">
        <v>1.0</v>
      </c>
    </row>
    <row r="20">
      <c r="A20" s="1">
        <v>18.0</v>
      </c>
      <c r="B20" s="3" t="s">
        <v>21</v>
      </c>
      <c r="C20" s="3" t="str">
        <f>IFERROR(__xludf.DUMMYFUNCTION("GOOGLETRANSLATE(B20,""id"",""en"")"),"['Telkomsel', 'luck', 'doang', 'kah', 'network', 'you', 'quality', 'network', 'play', 'game', 'ngeta', 'ugly' Just ',' right ',' Ngeyutub ',' Network ',' Good ',' strange ',' Telkomsel ',' work ',' Yutub ', ""]")</f>
        <v>['Telkomsel', 'luck', 'doang', 'kah', 'network', 'you', 'quality', 'network', 'play', 'game', 'ngeta', 'ugly' Just ',' right ',' Ngeyutub ',' Network ',' Good ',' strange ',' Telkomsel ',' work ',' Yutub ', "]</v>
      </c>
      <c r="D20" s="3">
        <v>1.0</v>
      </c>
    </row>
    <row r="21" ht="15.75" customHeight="1">
      <c r="A21" s="1">
        <v>19.0</v>
      </c>
      <c r="B21" s="3" t="s">
        <v>22</v>
      </c>
      <c r="C21" s="3" t="str">
        <f>IFERROR(__xludf.DUMMYFUNCTION("GOOGLETRANSLATE(B21,""id"",""en"")"),"['Bye', 'bye', 'The', 'Real', 'quota', 'unlimited', 'use', 'name', 'unlimited', 'limit', 'quota', 'cunning', ' side ',' Rada ',' Males', 'read', 'quota', 'unlimited', 'jdi', 'batsannya', 'right', 'use', 'mending', 'quota', 'apps' , 'Description', 'limit',"&amp;" 'read', 'unlimited', ""]")</f>
        <v>['Bye', 'bye', 'The', 'Real', 'quota', 'unlimited', 'use', 'name', 'unlimited', 'limit', 'quota', 'cunning', ' side ',' Rada ',' Males', 'read', 'quota', 'unlimited', 'jdi', 'batsannya', 'right', 'use', 'mending', 'quota', 'apps' , 'Description', 'limit', 'read', 'unlimited', "]</v>
      </c>
      <c r="D21" s="3">
        <v>1.0</v>
      </c>
    </row>
    <row r="22" ht="15.75" customHeight="1">
      <c r="A22" s="1">
        <v>20.0</v>
      </c>
      <c r="B22" s="3" t="s">
        <v>23</v>
      </c>
      <c r="C22" s="3" t="str">
        <f>IFERROR(__xludf.DUMMYFUNCTION("GOOGLETRANSLATE(B22,""id"",""en"")"),"['Ancuuuurrr', 'internet', 'difficult', 'error', 'open', 'application', 'online', 'etc.', 'nyeseell', 'buy', 'package', 'thousandu', ' kagak ',' porouse ',' quality ',' network ',' internet ',' speed ',' im ',' easy ',' buy ',' package ',' sangaaatt ',' d"&amp;"isappointing ',' ']")</f>
        <v>['Ancuuuurrr', 'internet', 'difficult', 'error', 'open', 'application', 'online', 'etc.', 'nyeseell', 'buy', 'package', 'thousandu', ' kagak ',' porouse ',' quality ',' network ',' internet ',' speed ',' im ',' easy ',' buy ',' package ',' sangaaatt ',' disappointing ',' ']</v>
      </c>
      <c r="D22" s="3">
        <v>1.0</v>
      </c>
    </row>
    <row r="23" ht="15.75" customHeight="1">
      <c r="A23" s="1">
        <v>21.0</v>
      </c>
      <c r="B23" s="3" t="s">
        <v>24</v>
      </c>
      <c r="C23" s="3" t="str">
        <f>IFERROR(__xludf.DUMMYFUNCTION("GOOGLETRANSLATE(B23,""id"",""en"")"),"['sorry', 'yaa', 'corruption', 'gini', 'contents',' pulse ',' rb ',' abis', 'gegara', 'sumps',' data ',' internet ',' Quota ',' GB ',' How ',' The story ',' MBA ',' Mas', 'Telkomsel']")</f>
        <v>['sorry', 'yaa', 'corruption', 'gini', 'contents',' pulse ',' rb ',' abis', 'gegara', 'sumps',' data ',' internet ',' Quota ',' GB ',' How ',' The story ',' MBA ',' Mas', 'Telkomsel']</v>
      </c>
      <c r="D23" s="3">
        <v>1.0</v>
      </c>
    </row>
    <row r="24" ht="15.75" customHeight="1">
      <c r="A24" s="1">
        <v>22.0</v>
      </c>
      <c r="B24" s="3" t="s">
        <v>25</v>
      </c>
      <c r="C24" s="3" t="str">
        <f>IFERROR(__xludf.DUMMYFUNCTION("GOOGLETRANSLATE(B24,""id"",""en"")"),"['buy', 'quota', 'lapse', 'learn', 'key', 'quota', 'internet', 'vain', 'vain', 'buy', 'quota', ' study', '']")</f>
        <v>['buy', 'quota', 'lapse', 'learn', 'key', 'quota', 'internet', 'vain', 'vain', 'buy', 'quota', ' study', '']</v>
      </c>
      <c r="D24" s="3">
        <v>2.0</v>
      </c>
    </row>
    <row r="25" ht="15.75" customHeight="1">
      <c r="A25" s="1">
        <v>23.0</v>
      </c>
      <c r="B25" s="3" t="s">
        <v>26</v>
      </c>
      <c r="C25" s="3" t="str">
        <f>IFERROR(__xludf.DUMMYFUNCTION("GOOGLETRANSLATE(B25,""id"",""en"")"),"['Buy', 'Package', 'YouTube', 'Enter', 'Enter', 'What', 'Response', 'Telkomsel', 'Uda', 'Corn "",' Balance ',' Funds ',' ']")</f>
        <v>['Buy', 'Package', 'YouTube', 'Enter', 'Enter', 'What', 'Response', 'Telkomsel', 'Uda', 'Corn ",' Balance ',' Funds ',' ']</v>
      </c>
      <c r="D25" s="3">
        <v>1.0</v>
      </c>
    </row>
    <row r="26" ht="15.75" customHeight="1">
      <c r="A26" s="1">
        <v>24.0</v>
      </c>
      <c r="B26" s="3" t="s">
        <v>27</v>
      </c>
      <c r="C26" s="3" t="str">
        <f>IFERROR(__xludf.DUMMYFUNCTION("GOOGLETRANSLATE(B26,""id"",""en"")"),"['Love', 'star', 'Stu', 'Telkomsel', 'complete', 'customer', 'quality', 'best', 'network', 'slow', 'suck', 'pulses',' Customers', 'thank', 'love', ""]")</f>
        <v>['Love', 'star', 'Stu', 'Telkomsel', 'complete', 'customer', 'quality', 'best', 'network', 'slow', 'suck', 'pulses',' Customers', 'thank', 'love', "]</v>
      </c>
      <c r="D26" s="3">
        <v>1.0</v>
      </c>
    </row>
    <row r="27" ht="15.75" customHeight="1">
      <c r="A27" s="1">
        <v>25.0</v>
      </c>
      <c r="B27" s="3" t="s">
        <v>28</v>
      </c>
      <c r="C27" s="3" t="str">
        <f>IFERROR(__xludf.DUMMYFUNCTION("GOOGLETRANSLATE(B27,""id"",""en"")"),"['network', 'Telkomsel', 'area', 'decreases',' alias', 'stable', 'slow', 'speed', 'the network', 'below', 'kbps',' sometimes', ' Under ',' Kbps', 'use', 'package', 'data', 'combo', 'omg', 'GB', 'GB', 'combo', 'unlimited', 'GB', 'and above' , 'TLG', 'The n"&amp;"etwork', 'repaired', 'enhanced', 'THX', '']")</f>
        <v>['network', 'Telkomsel', 'area', 'decreases',' alias', 'stable', 'slow', 'speed', 'the network', 'below', 'kbps',' sometimes', ' Under ',' Kbps', 'use', 'package', 'data', 'combo', 'omg', 'GB', 'GB', 'combo', 'unlimited', 'GB', 'and above' , 'TLG', 'The network', 'repaired', 'enhanced', 'THX', '']</v>
      </c>
      <c r="D27" s="3">
        <v>3.0</v>
      </c>
    </row>
    <row r="28" ht="15.75" customHeight="1">
      <c r="A28" s="1">
        <v>26.0</v>
      </c>
      <c r="B28" s="3" t="s">
        <v>29</v>
      </c>
      <c r="C28" s="3" t="str">
        <f>IFERROR(__xludf.DUMMYFUNCTION("GOOGLETRANSLATE(B28,""id"",""en"")"),"['Migration', 'get', 'quota', 'free', 'buy', 'quota', 'quota', 'right', 'ilang', 'arranged', 'prioritized', 'use', ' As a result ',' leftover ',' quota ',' GB ',' Hangus', 'Please', 'given', 'Features',' Settings', 'Priority', 'Use', 'Package', 'quota' , "&amp;"'used', '']")</f>
        <v>['Migration', 'get', 'quota', 'free', 'buy', 'quota', 'quota', 'right', 'ilang', 'arranged', 'prioritized', 'use', ' As a result ',' leftover ',' quota ',' GB ',' Hangus', 'Please', 'given', 'Features',' Settings', 'Priority', 'Use', 'Package', 'quota' , 'used', '']</v>
      </c>
      <c r="D28" s="3">
        <v>2.0</v>
      </c>
    </row>
    <row r="29" ht="15.75" customHeight="1">
      <c r="A29" s="1">
        <v>27.0</v>
      </c>
      <c r="B29" s="3" t="s">
        <v>30</v>
      </c>
      <c r="C29" s="3" t="str">
        <f>IFERROR(__xludf.DUMMYFUNCTION("GOOGLETRANSLATE(B29,""id"",""en"")"),"['Telkomsel', 'UDH', 'Satisfied', 'Service', 'Appeal', 'Provider', 'Telkom', 'Pling', 'Fast', 'Ngeluh', 'First', 'Gapaham', ' How ',' Condition ',' Please ',' Studentine ',' Complain ',' Package ',' Combo ',' Unlimeted ',' Telkom ',' Package ',' Main ',' "&amp;"Udh ',' Out ' , 'Safe', 'online', 'sosmed', 'because' unlimeted ',' limit ',' normal ',' GB ',' already ',' good ']")</f>
        <v>['Telkomsel', 'UDH', 'Satisfied', 'Service', 'Appeal', 'Provider', 'Telkom', 'Pling', 'Fast', 'Ngeluh', 'First', 'Gapaham', ' How ',' Condition ',' Please ',' Studentine ',' Complain ',' Package ',' Combo ',' Unlimeted ',' Telkom ',' Package ',' Main ',' Udh ',' Out ' , 'Safe', 'online', 'sosmed', 'because' unlimeted ',' limit ',' normal ',' GB ',' already ',' good ']</v>
      </c>
      <c r="D29" s="3">
        <v>1.0</v>
      </c>
    </row>
    <row r="30" ht="15.75" customHeight="1">
      <c r="A30" s="1">
        <v>28.0</v>
      </c>
      <c r="B30" s="3" t="s">
        <v>31</v>
      </c>
      <c r="C30" s="3" t="str">
        <f>IFERROR(__xludf.DUMMYFUNCTION("GOOGLETRANSLATE(B30,""id"",""en"")"),"['heavy', 'application', 'heavy', 'eat', 'quota', 'data', 'entered', 'category', 'game', 'application', 'need', 'info', ' card', '']")</f>
        <v>['heavy', 'application', 'heavy', 'eat', 'quota', 'data', 'entered', 'category', 'game', 'application', 'need', 'info', ' card', '']</v>
      </c>
      <c r="D30" s="3">
        <v>1.0</v>
      </c>
    </row>
    <row r="31" ht="15.75" customHeight="1">
      <c r="A31" s="1">
        <v>29.0</v>
      </c>
      <c r="B31" s="3" t="s">
        <v>32</v>
      </c>
      <c r="C31" s="3" t="str">
        <f>IFERROR(__xludf.DUMMYFUNCTION("GOOGLETRANSLATE(B31,""id"",""en"")"),"['', 'th', 'make', 'internet', 'Telkomsel', 'unlimited', 'rb', 'tasty', 'then', 'tried', 'buy', 'rb', 'Gb ',' unlimited ',' ugly ',' experience ',' ']")</f>
        <v>['', 'th', 'make', 'internet', 'Telkomsel', 'unlimited', 'rb', 'tasty', 'then', 'tried', 'buy', 'rb', 'Gb ',' unlimited ',' ugly ',' experience ',' ']</v>
      </c>
      <c r="D31" s="3">
        <v>1.0</v>
      </c>
    </row>
    <row r="32" ht="15.75" customHeight="1">
      <c r="A32" s="1">
        <v>30.0</v>
      </c>
      <c r="B32" s="3" t="s">
        <v>33</v>
      </c>
      <c r="C32" s="3" t="str">
        <f>IFERROR(__xludf.DUMMYFUNCTION("GOOGLETRANSLATE(B32,""id"",""en"")"),"['name', 'bgs',' keep ',' name ',' network ',' brp ',' a year ',' experience ',' network ',' Telkomsel ',' ugly ',' contents', ' pulsax ',' sometimes', 'ttp', 'slow', 'sales',' kouta ',' expensive ',' dibnding ',' TPI ',' what ',' ttp ',' buy ',' card ' ,"&amp;" 'Telkomsel', 'uses', 'attached', 'so "",' Sring ',' Network ',' slow ',' calculated ',' brp ',' user ',' Indonesia ',' org ',' Saturated ',' the impact ',' switch ',' brand ',' smg ',' in the future ',' Telkomsel ',' Jaya ', ""]")</f>
        <v>['name', 'bgs',' keep ',' name ',' network ',' brp ',' a year ',' experience ',' network ',' Telkomsel ',' ugly ',' contents', ' pulsax ',' sometimes', 'ttp', 'slow', 'sales',' kouta ',' expensive ',' dibnding ',' TPI ',' what ',' ttp ',' buy ',' card ' , 'Telkomsel', 'uses', 'attached', 'so ",' Sring ',' Network ',' slow ',' calculated ',' brp ',' user ',' Indonesia ',' org ',' Saturated ',' the impact ',' switch ',' brand ',' smg ',' in the future ',' Telkomsel ',' Jaya ', "]</v>
      </c>
      <c r="D32" s="3">
        <v>1.0</v>
      </c>
    </row>
    <row r="33" ht="15.75" customHeight="1">
      <c r="A33" s="1">
        <v>31.0</v>
      </c>
      <c r="B33" s="3" t="s">
        <v>34</v>
      </c>
      <c r="C33" s="3" t="str">
        <f>IFERROR(__xludf.DUMMYFUNCTION("GOOGLETRANSLATE(B33,""id"",""en"")"),"['quota', 'doang', 'expensive', 'network', 'kek', 'taik', 'regret', 'card', 'Telkomsel', 'Telkomsel', 'Please', 'Read', ' ',' Ngak ',' use ',' card ',' ngak ',' comfortable ',' disappointed ',' reduced ',' use ',' card ',' already ',' say ',' repair ' , '"&amp;"DRIALIN', 'TERVE', 'SIHHHH', 'SANDIN', 'CARD', 'EXIS', 'AJH', 'Good', 'Network', 'Card']")</f>
        <v>['quota', 'doang', 'expensive', 'network', 'kek', 'taik', 'regret', 'card', 'Telkomsel', 'Telkomsel', 'Please', 'Read', ' ',' Ngak ',' use ',' card ',' ngak ',' comfortable ',' disappointed ',' reduced ',' use ',' card ',' already ',' say ',' repair ' , 'DRIALIN', 'TERVE', 'SIHHHH', 'SANDIN', 'CARD', 'EXIS', 'AJH', 'Good', 'Network', 'Card']</v>
      </c>
      <c r="D33" s="3">
        <v>1.0</v>
      </c>
    </row>
    <row r="34" ht="15.75" customHeight="1">
      <c r="A34" s="1">
        <v>32.0</v>
      </c>
      <c r="B34" s="3" t="s">
        <v>35</v>
      </c>
      <c r="C34" s="3" t="str">
        <f>IFERROR(__xludf.DUMMYFUNCTION("GOOGLETRANSLATE(B34,""id"",""en"")"),"['Package', 'Phone', 'SMS', 'Sympathy', 'Help', 'Fluency', 'Activities',' Communication ',' Business', 'Family', 'Price', 'Economical', ' Use ',' Package ',' ']")</f>
        <v>['Package', 'Phone', 'SMS', 'Sympathy', 'Help', 'Fluency', 'Activities',' Communication ',' Business', 'Family', 'Price', 'Economical', ' Use ',' Package ',' ']</v>
      </c>
      <c r="D34" s="3">
        <v>5.0</v>
      </c>
    </row>
    <row r="35" ht="15.75" customHeight="1">
      <c r="A35" s="1">
        <v>33.0</v>
      </c>
      <c r="B35" s="3" t="s">
        <v>36</v>
      </c>
      <c r="C35" s="3" t="str">
        <f>IFERROR(__xludf.DUMMYFUNCTION("GOOGLETRANSLATE(B35,""id"",""en"")"),"['application', 'poor', 'update', 'disappointed', 'error', 'rich', 'application', 'boss', 'error', 'no', 'download', 'emotion']")</f>
        <v>['application', 'poor', 'update', 'disappointed', 'error', 'rich', 'application', 'boss', 'error', 'no', 'download', 'emotion']</v>
      </c>
      <c r="D35" s="3">
        <v>1.0</v>
      </c>
    </row>
    <row r="36" ht="15.75" customHeight="1">
      <c r="A36" s="1">
        <v>34.0</v>
      </c>
      <c r="B36" s="3" t="s">
        <v>37</v>
      </c>
      <c r="C36" s="3" t="str">
        <f>IFERROR(__xludf.DUMMYFUNCTION("GOOGLETRANSLATE(B36,""id"",""en"")"),"['application', 'tail', 'kocheng', 'cave', 'use', 'network', 'good', 'ngak', 'access',' application ',' kalok ',' application ',' intention ',' a little ',' ngeta ']")</f>
        <v>['application', 'tail', 'kocheng', 'cave', 'use', 'network', 'good', 'ngak', 'access',' application ',' kalok ',' application ',' intention ',' a little ',' ngeta ']</v>
      </c>
      <c r="D36" s="3">
        <v>1.0</v>
      </c>
    </row>
    <row r="37" ht="15.75" customHeight="1">
      <c r="A37" s="1">
        <v>35.0</v>
      </c>
      <c r="B37" s="3" t="s">
        <v>38</v>
      </c>
      <c r="C37" s="3" t="str">
        <f>IFERROR(__xludf.DUMMYFUNCTION("GOOGLETRANSLATE(B37,""id"",""en"")"),"['Help', 'products', 'country', 'users', 'loyal', 'Telkomsel', 'Please', 'lose', 'products', 'Mutikani', '']")</f>
        <v>['Help', 'products', 'country', 'users', 'loyal', 'Telkomsel', 'Please', 'lose', 'products', 'Mutikani', '']</v>
      </c>
      <c r="D37" s="3">
        <v>5.0</v>
      </c>
    </row>
    <row r="38" ht="15.75" customHeight="1">
      <c r="A38" s="1">
        <v>36.0</v>
      </c>
      <c r="B38" s="3" t="s">
        <v>39</v>
      </c>
      <c r="C38" s="3" t="str">
        <f>IFERROR(__xludf.DUMMYFUNCTION("GOOGLETRANSLATE(B38,""id"",""en"")"),"['Telkomsel', 'Network', 'ilang', 'Nilagan', 'slow', 'already', 'telephone', 'operator', 'mgkn', 'org', 'users',' Telkomsel ',' Nealin ',' Males', 'Telkomsel', 'Please', 'Repaired', 'The Network']")</f>
        <v>['Telkomsel', 'Network', 'ilang', 'Nilagan', 'slow', 'already', 'telephone', 'operator', 'mgkn', 'org', 'users',' Telkomsel ',' Nealin ',' Males', 'Telkomsel', 'Please', 'Repaired', 'The Network']</v>
      </c>
      <c r="D38" s="3">
        <v>1.0</v>
      </c>
    </row>
    <row r="39" ht="15.75" customHeight="1">
      <c r="A39" s="1">
        <v>37.0</v>
      </c>
      <c r="B39" s="3" t="s">
        <v>40</v>
      </c>
      <c r="C39" s="3" t="str">
        <f>IFERROR(__xludf.DUMMYFUNCTION("GOOGLETRANSLATE(B39,""id"",""en"")"),"['Persulit', 'Telkomsel', 'turn', 'promo', 'buy', 'pulse', 'cheap', 'buy', 'ckup', 'loading', 'setgah', 'clock', ' Fill ',' pulse ',' thousand ',' situ ',' for him ',' active ',' contents', 'credit', 'telkomsel', 'add', 'active', 'fill', 'reset' , 'Link',"&amp;" 'there', 'Cashback', 'right', 'pay', 'eat', 'Telkomsel', 'teach', 'Telkomsel', 'Mending', 'Change', 'card']")</f>
        <v>['Persulit', 'Telkomsel', 'turn', 'promo', 'buy', 'pulse', 'cheap', 'buy', 'ckup', 'loading', 'setgah', 'clock', ' Fill ',' pulse ',' thousand ',' situ ',' for him ',' active ',' contents', 'credit', 'telkomsel', 'add', 'active', 'fill', 'reset' , 'Link', 'there', 'Cashback', 'right', 'pay', 'eat', 'Telkomsel', 'teach', 'Telkomsel', 'Mending', 'Change', 'card']</v>
      </c>
      <c r="D39" s="3">
        <v>1.0</v>
      </c>
    </row>
    <row r="40" ht="15.75" customHeight="1">
      <c r="A40" s="1">
        <v>38.0</v>
      </c>
      <c r="B40" s="3" t="s">
        <v>41</v>
      </c>
      <c r="C40" s="3" t="str">
        <f>IFERROR(__xludf.DUMMYFUNCTION("GOOGLETRANSLATE(B40,""id"",""en"")"),"['easy', 'hopefully', 'easy', 'apply', 'needs',' customers', 'Telkomsel', 'One', 'Stop', 'One', 'click', 'application', ' Accept ',' Love ',' Telkomsel ',' ']")</f>
        <v>['easy', 'hopefully', 'easy', 'apply', 'needs',' customers', 'Telkomsel', 'One', 'Stop', 'One', 'click', 'application', ' Accept ',' Love ',' Telkomsel ',' ']</v>
      </c>
      <c r="D40" s="3">
        <v>3.0</v>
      </c>
    </row>
    <row r="41" ht="15.75" customHeight="1">
      <c r="A41" s="1">
        <v>39.0</v>
      </c>
      <c r="B41" s="3" t="s">
        <v>42</v>
      </c>
      <c r="C41" s="3" t="str">
        <f>IFERROR(__xludf.DUMMYFUNCTION("GOOGLETRANSLATE(B41,""id"",""en"")"),"['just', 'buy', 'Package', 'YouTube', 'ehh', 'pulse', 'main', 'used', 'first', 'Package', 'YouTube', 'Dipake', ' Liat ',' Video ',' YouTube ',' Regulation ',' Use ',' Quota ',' Strange ', ""]")</f>
        <v>['just', 'buy', 'Package', 'YouTube', 'ehh', 'pulse', 'main', 'used', 'first', 'Package', 'YouTube', 'Dipake', ' Liat ',' Video ',' YouTube ',' Regulation ',' Use ',' Quota ',' Strange ', "]</v>
      </c>
      <c r="D41" s="3">
        <v>1.0</v>
      </c>
    </row>
    <row r="42" ht="15.75" customHeight="1">
      <c r="A42" s="1">
        <v>40.0</v>
      </c>
      <c r="B42" s="3" t="s">
        <v>43</v>
      </c>
      <c r="C42" s="3" t="str">
        <f>IFERROR(__xludf.DUMMYFUNCTION("GOOGLETRANSLATE(B42,""id"",""en"")"),"['pulse', 'run out', 'open', 'apk', 'data', 'internet', 'open', 'apk', 'telkomsel', 'pulse', 'cut out', 'check', ' transactions', 'teantion', 'use', 'data', 'kb', 'oath', 'fooling', 'conscious',' pulse ',' run out ',' answer ',' Telkomsel ',' disappointin"&amp;"g ' , '']")</f>
        <v>['pulse', 'run out', 'open', 'apk', 'data', 'internet', 'open', 'apk', 'telkomsel', 'pulse', 'cut out', 'check', ' transactions', 'teantion', 'use', 'data', 'kb', 'oath', 'fooling', 'conscious',' pulse ',' run out ',' answer ',' Telkomsel ',' disappointing ' , '']</v>
      </c>
      <c r="D42" s="3">
        <v>1.0</v>
      </c>
    </row>
    <row r="43" ht="15.75" customHeight="1">
      <c r="A43" s="1">
        <v>41.0</v>
      </c>
      <c r="B43" s="3" t="s">
        <v>44</v>
      </c>
      <c r="C43" s="3" t="str">
        <f>IFERROR(__xludf.DUMMYFUNCTION("GOOGLETRANSLATE(B43,""id"",""en"")"),"['complaints', 'application', 'times', 'package', 'enter', 'pulses', 'reduced', 'contact', 'Costumer', 'service', 'response', ""]")</f>
        <v>['complaints', 'application', 'times', 'package', 'enter', 'pulses', 'reduced', 'contact', 'Costumer', 'service', 'response', "]</v>
      </c>
      <c r="D43" s="3">
        <v>2.0</v>
      </c>
    </row>
    <row r="44" ht="15.75" customHeight="1">
      <c r="A44" s="1">
        <v>42.0</v>
      </c>
      <c r="B44" s="3" t="s">
        <v>45</v>
      </c>
      <c r="C44" s="3" t="str">
        <f>IFERROR(__xludf.DUMMYFUNCTION("GOOGLETRANSLATE(B44,""id"",""en"")"),"['really good', '']")</f>
        <v>['really good', '']</v>
      </c>
      <c r="D44" s="3">
        <v>5.0</v>
      </c>
    </row>
    <row r="45" ht="15.75" customHeight="1">
      <c r="A45" s="1">
        <v>43.0</v>
      </c>
      <c r="B45" s="3" t="s">
        <v>46</v>
      </c>
      <c r="C45" s="3" t="str">
        <f>IFERROR(__xludf.DUMMYFUNCTION("GOOGLETRANSLATE(B45,""id"",""en"")"),"['Men', 'Check', 'leftover', 'quota', 'easy', 'buy', 'quota', 'internet', 'special', 'unlimited', 'easy', 'information', ' quota ',' internet ',' cheap ']")</f>
        <v>['Men', 'Check', 'leftover', 'quota', 'easy', 'buy', 'quota', 'internet', 'special', 'unlimited', 'easy', 'information', ' quota ',' internet ',' cheap ']</v>
      </c>
      <c r="D45" s="3">
        <v>5.0</v>
      </c>
    </row>
    <row r="46" ht="15.75" customHeight="1">
      <c r="A46" s="1">
        <v>44.0</v>
      </c>
      <c r="B46" s="3" t="s">
        <v>47</v>
      </c>
      <c r="C46" s="3" t="str">
        <f>IFERROR(__xludf.DUMMYFUNCTION("GOOGLETRANSLATE(B46,""id"",""en"")"),"['', 'Telkomsel', 'mean', 'network', 'full', 'blame', 'sya', 'ngelamin', 'rich', 'gini', 'pilling you', 'pinda', 'next door ',' ']")</f>
        <v>['', 'Telkomsel', 'mean', 'network', 'full', 'blame', 'sya', 'ngelamin', 'rich', 'gini', 'pilling you', 'pinda', 'next door ',' ']</v>
      </c>
      <c r="D46" s="3">
        <v>1.0</v>
      </c>
    </row>
    <row r="47" ht="15.75" customHeight="1">
      <c r="A47" s="1">
        <v>45.0</v>
      </c>
      <c r="B47" s="3" t="s">
        <v>48</v>
      </c>
      <c r="C47" s="3" t="str">
        <f>IFERROR(__xludf.DUMMYFUNCTION("GOOGLETRANSLATE(B47,""id"",""en"")"),"['unrecended', 'bngt', 'gamers',' package ',' combo ',' unlimited ',' name ',' doang ',' unlimited ',' restricted ',' users', 'GB', ' ping ',' Game ',' Stress', 'Please', 'Telkomsel', 'Consistent', 'Service', 'Package', 'Combo', 'Unlimited']")</f>
        <v>['unrecended', 'bngt', 'gamers',' package ',' combo ',' unlimited ',' name ',' doang ',' unlimited ',' restricted ',' users', 'GB', ' ping ',' Game ',' Stress', 'Please', 'Telkomsel', 'Consistent', 'Service', 'Package', 'Combo', 'Unlimited']</v>
      </c>
      <c r="D47" s="3">
        <v>1.0</v>
      </c>
    </row>
    <row r="48" ht="15.75" customHeight="1">
      <c r="A48" s="1">
        <v>46.0</v>
      </c>
      <c r="B48" s="3" t="s">
        <v>49</v>
      </c>
      <c r="C48" s="3" t="str">
        <f>IFERROR(__xludf.DUMMYFUNCTION("GOOGLETRANSLATE(B48,""id"",""en"")"),"['Telkom', 'topnotch', 'I', 'Please', 'Increase', 'Service', 'Switch', 'Card', 'Price', 'Package', 'Expensive', 'Priority', ' Customers', 'loyal', 'bonus',' thanks']")</f>
        <v>['Telkom', 'topnotch', 'I', 'Please', 'Increase', 'Service', 'Switch', 'Card', 'Price', 'Package', 'Expensive', 'Priority', ' Customers', 'loyal', 'bonus',' thanks']</v>
      </c>
      <c r="D48" s="3">
        <v>5.0</v>
      </c>
    </row>
    <row r="49" ht="15.75" customHeight="1">
      <c r="A49" s="1">
        <v>47.0</v>
      </c>
      <c r="B49" s="3" t="s">
        <v>50</v>
      </c>
      <c r="C49" s="3" t="str">
        <f>IFERROR(__xludf.DUMMYFUNCTION("GOOGLETRANSLATE(B49,""id"",""en"")"),"['SKA', 'Skkali', 'Telkomsel', 'DLU', 'Network', 'Good', 'TPI', 'Sekerng', 'Knp', 'Network', 'Gfull', 'TPI', ' slow ',' tlong ',' fix ',' package ',' monthly ',' deeh ']")</f>
        <v>['SKA', 'Skkali', 'Telkomsel', 'DLU', 'Network', 'Good', 'TPI', 'Sekerng', 'Knp', 'Network', 'Gfull', 'TPI', ' slow ',' tlong ',' fix ',' package ',' monthly ',' deeh ']</v>
      </c>
      <c r="D49" s="3">
        <v>5.0</v>
      </c>
    </row>
    <row r="50" ht="15.75" customHeight="1">
      <c r="A50" s="1">
        <v>48.0</v>
      </c>
      <c r="B50" s="3" t="s">
        <v>51</v>
      </c>
      <c r="C50" s="3" t="str">
        <f>IFERROR(__xludf.DUMMYFUNCTION("GOOGLETRANSLATE(B50,""id"",""en"")"),"['love', 'star', 'network', 'remote', 'feature', 'purchase', 'package', 'complete', 'package', 'daily', 'monthly', 'customer', ' Faithful ',' Telkomsel ',' loyal ',' Telkomsel ',' number ',' cellular ',' Telkomsel ',' thank ',' love ',' Telkomsel ']")</f>
        <v>['love', 'star', 'network', 'remote', 'feature', 'purchase', 'package', 'complete', 'package', 'daily', 'monthly', 'customer', ' Faithful ',' Telkomsel ',' loyal ',' Telkomsel ',' number ',' cellular ',' Telkomsel ',' thank ',' love ',' Telkomsel ']</v>
      </c>
      <c r="D50" s="3">
        <v>5.0</v>
      </c>
    </row>
    <row r="51" ht="15.75" customHeight="1">
      <c r="A51" s="1">
        <v>49.0</v>
      </c>
      <c r="B51" s="3" t="s">
        <v>52</v>
      </c>
      <c r="C51" s="3" t="str">
        <f>IFERROR(__xludf.DUMMYFUNCTION("GOOGLETRANSLATE(B51,""id"",""en"")"),"['Bener', 'Bener', 'like', 'Pakek', 'Telkomsel', 'use', 'Telkomsel', 'complicated', 'cheap', 'package', 'essence', 'like', ' Bangettttt ',' Telkomsel ',' Raying ',' Anyway ',' Thank "", 'Love', 'Telkomsel', 'Hopefully', 'Current', 'Telkomsel', 'Hopefully'"&amp;", 'Health', 'Age' , '']")</f>
        <v>['Bener', 'Bener', 'like', 'Pakek', 'Telkomsel', 'use', 'Telkomsel', 'complicated', 'cheap', 'package', 'essence', 'like', ' Bangettttt ',' Telkomsel ',' Raying ',' Anyway ',' Thank ", 'Love', 'Telkomsel', 'Hopefully', 'Current', 'Telkomsel', 'Hopefully', 'Health', 'Age' , '']</v>
      </c>
      <c r="D51" s="3">
        <v>5.0</v>
      </c>
    </row>
    <row r="52" ht="15.75" customHeight="1">
      <c r="A52" s="1">
        <v>50.0</v>
      </c>
      <c r="B52" s="3" t="s">
        <v>53</v>
      </c>
      <c r="C52" s="3" t="str">
        <f>IFERROR(__xludf.DUMMYFUNCTION("GOOGLETRANSLATE(B52,""id"",""en"")"),"['', 'Telkomsel', 'tissue', 'slow', 'slow', 'batare', 'wasteful', 'kayak', 'network', 'smooth', 'batare', 'economical', 'network ',' Internet ',' Telkomsel ',' zero ',' please ',' fix ',' ']")</f>
        <v>['', 'Telkomsel', 'tissue', 'slow', 'slow', 'batare', 'wasteful', 'kayak', 'network', 'smooth', 'batare', 'economical', 'network ',' Internet ',' Telkomsel ',' zero ',' please ',' fix ',' ']</v>
      </c>
      <c r="D52" s="3">
        <v>1.0</v>
      </c>
    </row>
    <row r="53" ht="15.75" customHeight="1">
      <c r="A53" s="1">
        <v>51.0</v>
      </c>
      <c r="B53" s="3" t="s">
        <v>54</v>
      </c>
      <c r="C53" s="3" t="str">
        <f>IFERROR(__xludf.DUMMYFUNCTION("GOOGLETRANSLATE(B53,""id"",""en"")"),"['WOI', 'Telkomsel', 'cheating', 'Take', 'take', 'package', 'Load', 'reset', 'cheat', 'Lord', 'Maha', 'power', ' yes', 'take', 'galanya', 'in a moment', 'eyes',' cheating ',' dead ',' accountable ',' cheating ',' cheating ',' uda ',' annoyed ',' because o"&amp;"f ' , 'Suda', 'changing', 'cheating', 'rest', '']")</f>
        <v>['WOI', 'Telkomsel', 'cheating', 'Take', 'take', 'package', 'Load', 'reset', 'cheat', 'Lord', 'Maha', 'power', ' yes', 'take', 'galanya', 'in a moment', 'eyes',' cheating ',' dead ',' accountable ',' cheating ',' cheating ',' uda ',' annoyed ',' because of ' , 'Suda', 'changing', 'cheating', 'rest', '']</v>
      </c>
      <c r="D53" s="3">
        <v>1.0</v>
      </c>
    </row>
    <row r="54" ht="15.75" customHeight="1">
      <c r="A54" s="1">
        <v>52.0</v>
      </c>
      <c r="B54" s="3" t="s">
        <v>55</v>
      </c>
      <c r="C54" s="3" t="str">
        <f>IFERROR(__xludf.DUMMYFUNCTION("GOOGLETRANSLATE(B54,""id"",""en"")"),"['times',' buy ',' unlimitedmax ',' network ',' smooth ',' Jaya ',' boundary ',' use ',' kouta ',' time ',' buy ',' limit ',' Naturally ',' Use ',' Kouta ',' The Network ',' Slow ',' Kayak ',' Buy ',' Disappointed ',' Unlimited ',' Max ',' Limit ',' Use '"&amp;",' Disappointed ' , 'php']")</f>
        <v>['times',' buy ',' unlimitedmax ',' network ',' smooth ',' Jaya ',' boundary ',' use ',' kouta ',' time ',' buy ',' limit ',' Naturally ',' Use ',' Kouta ',' The Network ',' Slow ',' Kayak ',' Buy ',' Disappointed ',' Unlimited ',' Max ',' Limit ',' Use ',' Disappointed ' , 'php']</v>
      </c>
      <c r="D54" s="3">
        <v>1.0</v>
      </c>
    </row>
    <row r="55" ht="15.75" customHeight="1">
      <c r="A55" s="1">
        <v>53.0</v>
      </c>
      <c r="B55" s="3" t="s">
        <v>56</v>
      </c>
      <c r="C55" s="3" t="str">
        <f>IFERROR(__xludf.DUMMYFUNCTION("GOOGLETRANSLATE(B55,""id"",""en"")"),"['Please', 'correction', 'wrong', 'meaning', 'unlimited', 'limited', 'restricted', 'subscribe', 'unlimited', 'unlimited', 'there', 'written', ' max ',' quota ',' accompanied ',' description ',' speed ',' dumped ',' restricted ',' max ',' quota ',' run out"&amp;" ',' used ',' package ',' tsb ' , 'unlimited', 'donk', 'essence', 'as',' customer ',' stupid ',' Telkomsel ',' fooling ',' millions', 'customer', 'suggestion', 'Telkomsel', ' Remove ',' Unlimited ',' Thank you ']")</f>
        <v>['Please', 'correction', 'wrong', 'meaning', 'unlimited', 'limited', 'restricted', 'subscribe', 'unlimited', 'unlimited', 'there', 'written', ' max ',' quota ',' accompanied ',' description ',' speed ',' dumped ',' restricted ',' max ',' quota ',' run out ',' used ',' package ',' tsb ' , 'unlimited', 'donk', 'essence', 'as',' customer ',' stupid ',' Telkomsel ',' fooling ',' millions', 'customer', 'suggestion', 'Telkomsel', ' Remove ',' Unlimited ',' Thank you ']</v>
      </c>
      <c r="D55" s="3">
        <v>3.0</v>
      </c>
    </row>
    <row r="56" ht="15.75" customHeight="1">
      <c r="A56" s="1">
        <v>54.0</v>
      </c>
      <c r="B56" s="3" t="s">
        <v>57</v>
      </c>
      <c r="C56" s="3" t="str">
        <f>IFERROR(__xludf.DUMMYFUNCTION("GOOGLETRANSLATE(B56,""id"",""en"")"),"['network', 'sympathy', 'jdi', 'slow', 'down', 'card', 'smooth', 'sympathy', 'doank', 'match', 'high school', 'sya', ' Please, 'customers', 'sympathy', 'years', 'Uyy', 'Help', 'package', 'expensive', 'really', 'network', 'rich', 'gini', 'yesterday' , 'Kao"&amp;"ta', 'Sia', 'buy', 'Sia', 'Network', 'SMA', 'Ajah', 'Elor', 'aka', 'Lemot', 'Hadeh', 'Sya', ' Disappointed ',' Ajah ',' Customers', 'Faithful', 'Rich', 'Gini', 'Change', 'Subscriptions',' Deh ']")</f>
        <v>['network', 'sympathy', 'jdi', 'slow', 'down', 'card', 'smooth', 'sympathy', 'doank', 'match', 'high school', 'sya', ' Please, 'customers', 'sympathy', 'years', 'Uyy', 'Help', 'package', 'expensive', 'really', 'network', 'rich', 'gini', 'yesterday' , 'Kaota', 'Sia', 'buy', 'Sia', 'Network', 'SMA', 'Ajah', 'Elor', 'aka', 'Lemot', 'Hadeh', 'Sya', ' Disappointed ',' Ajah ',' Customers', 'Faithful', 'Rich', 'Gini', 'Change', 'Subscriptions',' Deh ']</v>
      </c>
      <c r="D56" s="3">
        <v>1.0</v>
      </c>
    </row>
    <row r="57" ht="15.75" customHeight="1">
      <c r="A57" s="1">
        <v>55.0</v>
      </c>
      <c r="B57" s="3" t="s">
        <v>58</v>
      </c>
      <c r="C57" s="3" t="str">
        <f>IFERROR(__xludf.DUMMYFUNCTION("GOOGLETRANSLATE(B57,""id"",""en"")"),"['Unlimited', 'Chat', 'Sosmed', 'Games',' Kekepe ',' Quota ',' Main ',' Turn ',' Quota ',' Main ',' Out ',' Dipake ',' chat ',' sosmed ',' nge ',' games', 'slow', 'forgiveness',' mending ',' given ',' ukel ',' unlimited ',' clarified ',' application ',' q"&amp;"uota ' , 'Shame', 'Telkomsel', 'idiot']")</f>
        <v>['Unlimited', 'Chat', 'Sosmed', 'Games',' Kekepe ',' Quota ',' Main ',' Turn ',' Quota ',' Main ',' Out ',' Dipake ',' chat ',' sosmed ',' nge ',' games', 'slow', 'forgiveness',' mending ',' given ',' ukel ',' unlimited ',' clarified ',' application ',' quota ' , 'Shame', 'Telkomsel', 'idiot']</v>
      </c>
      <c r="D57" s="3">
        <v>1.0</v>
      </c>
    </row>
    <row r="58" ht="15.75" customHeight="1">
      <c r="A58" s="1">
        <v>56.0</v>
      </c>
      <c r="B58" s="3" t="s">
        <v>59</v>
      </c>
      <c r="C58" s="3" t="str">
        <f>IFERROR(__xludf.DUMMYFUNCTION("GOOGLETRANSLATE(B58,""id"",""en"")"),"['Paketan', 'pulse', 'cut', 'sms', 'it sounds', 'quota', 'internet', 'non', 'package', 'disappointed', 'Bangat', ""]")</f>
        <v>['Paketan', 'pulse', 'cut', 'sms', 'it sounds', 'quota', 'internet', 'non', 'package', 'disappointed', 'Bangat', "]</v>
      </c>
      <c r="D58" s="3">
        <v>1.0</v>
      </c>
    </row>
    <row r="59" ht="15.75" customHeight="1">
      <c r="A59" s="1">
        <v>57.0</v>
      </c>
      <c r="B59" s="3" t="s">
        <v>60</v>
      </c>
      <c r="C59" s="3" t="str">
        <f>IFERROR(__xludf.DUMMYFUNCTION("GOOGLETRANSLATE(B59,""id"",""en"")"),"['Assalamualaikum', 'Developer', 'Dear', 'Message', 'Please', 'Network', 'Tsel', 'Lined', 'already', 'expensive', 'expensive', 'buy', ' package ',' data ',' network ',' right ',' beg ',' sorry ',' big ',' wrong ',' wassalamualaikum ', ""]")</f>
        <v>['Assalamualaikum', 'Developer', 'Dear', 'Message', 'Please', 'Network', 'Tsel', 'Lined', 'already', 'expensive', 'expensive', 'buy', ' package ',' data ',' network ',' right ',' beg ',' sorry ',' big ',' wrong ',' wassalamualaikum ', "]</v>
      </c>
      <c r="D59" s="3">
        <v>1.0</v>
      </c>
    </row>
    <row r="60" ht="15.75" customHeight="1">
      <c r="A60" s="1">
        <v>58.0</v>
      </c>
      <c r="B60" s="3" t="s">
        <v>61</v>
      </c>
      <c r="C60" s="3" t="str">
        <f>IFERROR(__xludf.DUMMYFUNCTION("GOOGLETRANSLATE(B60,""id"",""en"")"),"['use', 'card', 'tri', 'switch', 'Telkomsel', 'hope', 'play', 'mobile', 'legend', 'lag', 'wrong', 'Telkomsel', ' Severe ',' play ',' network ',' lights', 'cross',' intersection ',' road ',' network ',' red ',' yellow ',' green ',' change ',' change ' , 'l"&amp;"ag', 'severe', 'play', 'game', 'chaotic', 'crushed', 'network', 'Telkomsel', '']")</f>
        <v>['use', 'card', 'tri', 'switch', 'Telkomsel', 'hope', 'play', 'mobile', 'legend', 'lag', 'wrong', 'Telkomsel', ' Severe ',' play ',' network ',' lights', 'cross',' intersection ',' road ',' network ',' red ',' yellow ',' green ',' change ',' change ' , 'lag', 'severe', 'play', 'game', 'chaotic', 'crushed', 'network', 'Telkomsel', '']</v>
      </c>
      <c r="D60" s="3">
        <v>1.0</v>
      </c>
    </row>
    <row r="61" ht="15.75" customHeight="1">
      <c r="A61" s="1">
        <v>59.0</v>
      </c>
      <c r="B61" s="3" t="s">
        <v>62</v>
      </c>
      <c r="C61" s="3" t="str">
        <f>IFERROR(__xludf.DUMMYFUNCTION("GOOGLETRANSLATE(B61,""id"",""en"")"),"['Please', 'Sorry', 'card', 'no', 'signal', 'yes',' his writing ',' SIM ',' SIM ',' his writing ',' call ',' emergency ',' supported ',' data ',' turned on ',' his writing ',' option ',' card ',' SIM ',' please ',' Helpinn ',' plisss', 'tomorrow', 'Pat', "&amp;"'Pat', 'the card' , 'buy', 'again', '']")</f>
        <v>['Please', 'Sorry', 'card', 'no', 'signal', 'yes',' his writing ',' SIM ',' SIM ',' his writing ',' call ',' emergency ',' supported ',' data ',' turned on ',' his writing ',' option ',' card ',' SIM ',' please ',' Helpinn ',' plisss', 'tomorrow', 'Pat', 'Pat', 'the card' , 'buy', 'again', '']</v>
      </c>
      <c r="D61" s="3">
        <v>1.0</v>
      </c>
    </row>
    <row r="62" ht="15.75" customHeight="1">
      <c r="A62" s="1">
        <v>60.0</v>
      </c>
      <c r="B62" s="3" t="s">
        <v>63</v>
      </c>
      <c r="C62" s="3" t="str">
        <f>IFERROR(__xludf.DUMMYFUNCTION("GOOGLETRANSLATE(B62,""id"",""en"")"),"['Abununung', 'urban', 'countryside', 'network', 'internet', 'Telkomsel', 'smooth', 'obstacles',' weather ',' rain ',' storm ',' hot ',' The network ',' keep ',' Increases', 'performance', 'users',' Telkomsel ',' Satisfied ',' Dlm ',' Network ',' Internet"&amp;" ',' Indonesia ', ""]")</f>
        <v>['Abununung', 'urban', 'countryside', 'network', 'internet', 'Telkomsel', 'smooth', 'obstacles',' weather ',' rain ',' storm ',' hot ',' The network ',' keep ',' Increases', 'performance', 'users',' Telkomsel ',' Satisfied ',' Dlm ',' Network ',' Internet ',' Indonesia ', "]</v>
      </c>
      <c r="D62" s="3">
        <v>5.0</v>
      </c>
    </row>
    <row r="63" ht="15.75" customHeight="1">
      <c r="A63" s="1">
        <v>61.0</v>
      </c>
      <c r="B63" s="3" t="s">
        <v>64</v>
      </c>
      <c r="C63" s="3" t="str">
        <f>IFERROR(__xludf.DUMMYFUNCTION("GOOGLETRANSLATE(B63,""id"",""en"")"),"['signal', 'down', 'down', 'really', 'minute', 'normal', 'down', 'all day', 'gini', 'mulu', 'week', 'feeling', ' Life ',' Inauguration ',' Tower ',' Telkomsel ',' Where ']")</f>
        <v>['signal', 'down', 'down', 'really', 'minute', 'normal', 'down', 'all day', 'gini', 'mulu', 'week', 'feeling', ' Life ',' Inauguration ',' Tower ',' Telkomsel ',' Where ']</v>
      </c>
      <c r="D63" s="3">
        <v>1.0</v>
      </c>
    </row>
    <row r="64" ht="15.75" customHeight="1">
      <c r="A64" s="1">
        <v>62.0</v>
      </c>
      <c r="B64" s="3" t="s">
        <v>65</v>
      </c>
      <c r="C64" s="3" t="str">
        <f>IFERROR(__xludf.DUMMYFUNCTION("GOOGLETRANSLATE(B64,""id"",""en"")"),"['Payment', 'Purchase', 'Package', 'Direct', 'Via', 'Linkaja', 'Contents',' Credit ',' Purchase ',' Credit ',' Via ',' Linkaja ',' Please ', the' solution ',' star ', ""]")</f>
        <v>['Payment', 'Purchase', 'Package', 'Direct', 'Via', 'Linkaja', 'Contents',' Credit ',' Purchase ',' Credit ',' Via ',' Linkaja ',' Please ', the' solution ',' star ', "]</v>
      </c>
      <c r="D64" s="3">
        <v>5.0</v>
      </c>
    </row>
    <row r="65" ht="15.75" customHeight="1">
      <c r="A65" s="1">
        <v>63.0</v>
      </c>
      <c r="B65" s="3" t="s">
        <v>66</v>
      </c>
      <c r="C65" s="3" t="str">
        <f>IFERROR(__xludf.DUMMYFUNCTION("GOOGLETRANSLATE(B65,""id"",""en"")"),"['NTT', 'kupang', 'sympathy', 'loop', 'expensive', 'really', 'sympathy', 'promo', 'cheap', 'kartuku', 'expensive', 'forgiveness',' people ',' NTT ',' Switch ',' operator ',' already ',' debt ',' pulse ',' sucks', ""]")</f>
        <v>['NTT', 'kupang', 'sympathy', 'loop', 'expensive', 'really', 'sympathy', 'promo', 'cheap', 'kartuku', 'expensive', 'forgiveness',' people ',' NTT ',' Switch ',' operator ',' already ',' debt ',' pulse ',' sucks', "]</v>
      </c>
      <c r="D65" s="3">
        <v>1.0</v>
      </c>
    </row>
    <row r="66" ht="15.75" customHeight="1">
      <c r="A66" s="1">
        <v>64.0</v>
      </c>
      <c r="B66" s="3" t="s">
        <v>67</v>
      </c>
      <c r="C66" s="3" t="str">
        <f>IFERROR(__xludf.DUMMYFUNCTION("GOOGLETRANSLATE(B66,""id"",""en"")"),"['Package', 'special', 'for', 'You', 'GB', 'Cuman', 'RB', 'Activate', 'Package', 'Enter', 'Uda', 'tired', ' "", 'GTU', 'Actually', 'intention', 'kagak',""]")</f>
        <v>['Package', 'special', 'for', 'You', 'GB', 'Cuman', 'RB', 'Activate', 'Package', 'Enter', 'Uda', 'tired', ' ", 'GTU', 'Actually', 'intention', 'kagak',"]</v>
      </c>
      <c r="D66" s="3">
        <v>1.0</v>
      </c>
    </row>
    <row r="67" ht="15.75" customHeight="1">
      <c r="A67" s="1">
        <v>65.0</v>
      </c>
      <c r="B67" s="3" t="s">
        <v>68</v>
      </c>
      <c r="C67" s="3" t="str">
        <f>IFERROR(__xludf.DUMMYFUNCTION("GOOGLETRANSLATE(B67,""id"",""en"")"),"['Card', 'loop', 'price', 'package', 'expensive', 'really', 'disappointed', 'season', 'season', 'Corona', 'money', 'snack', ' a month ',' just ',' thousand ',' please ',' ngasik ',' price ',' according to ']")</f>
        <v>['Card', 'loop', 'price', 'package', 'expensive', 'really', 'disappointed', 'season', 'season', 'Corona', 'money', 'snack', ' a month ',' just ',' thousand ',' please ',' ngasik ',' price ',' according to ']</v>
      </c>
      <c r="D67" s="3">
        <v>1.0</v>
      </c>
    </row>
    <row r="68" ht="15.75" customHeight="1">
      <c r="A68" s="1">
        <v>66.0</v>
      </c>
      <c r="B68" s="3" t="s">
        <v>69</v>
      </c>
      <c r="C68" s="3" t="str">
        <f>IFERROR(__xludf.DUMMYFUNCTION("GOOGLETRANSLATE(B68,""id"",""en"")"),"['', 'MyTelkomsel', 'Choice', 'Package', 'Inter', 'Is there', 'Choice', 'Package', 'Internet', 'Termura', 'Most expensive', 'Please']")</f>
        <v>['', 'MyTelkomsel', 'Choice', 'Package', 'Inter', 'Is there', 'Choice', 'Package', 'Internet', 'Termura', 'Most expensive', 'Please']</v>
      </c>
      <c r="D68" s="3">
        <v>3.0</v>
      </c>
    </row>
    <row r="69" ht="15.75" customHeight="1">
      <c r="A69" s="1">
        <v>67.0</v>
      </c>
      <c r="B69" s="3" t="s">
        <v>70</v>
      </c>
      <c r="C69" s="3" t="str">
        <f>IFERROR(__xludf.DUMMYFUNCTION("GOOGLETRANSLATE(B69,""id"",""en"")"),"['times',' buy ',' package ',' combo ',' Sakti ',' buy ',' ajj ',' buy ',' different ',' price ',' sometimes', 'combo', ' The sact ',' GMNA ',' ']")</f>
        <v>['times',' buy ',' package ',' combo ',' Sakti ',' buy ',' ajj ',' buy ',' different ',' price ',' sometimes', 'combo', ' The sact ',' GMNA ',' ']</v>
      </c>
      <c r="D69" s="3">
        <v>3.0</v>
      </c>
    </row>
    <row r="70" ht="15.75" customHeight="1">
      <c r="A70" s="1">
        <v>68.0</v>
      </c>
      <c r="B70" s="3" t="s">
        <v>71</v>
      </c>
      <c r="C70" s="3" t="str">
        <f>IFERROR(__xludf.DUMMYFUNCTION("GOOGLETRANSLATE(B70,""id"",""en"")"),"['buy', 'quota', 'GB', 'Unlimited', 'like', 'Kekeke', 'Sampe', 'quota', 'main', 'Doang', 'quota', 'extra', ' GB ',' slow ',' really ',' why ',' ']")</f>
        <v>['buy', 'quota', 'GB', 'Unlimited', 'like', 'Kekeke', 'Sampe', 'quota', 'main', 'Doang', 'quota', 'extra', ' GB ',' slow ',' really ',' why ',' ']</v>
      </c>
      <c r="D70" s="3">
        <v>1.0</v>
      </c>
    </row>
    <row r="71" ht="15.75" customHeight="1">
      <c r="A71" s="1">
        <v>69.0</v>
      </c>
      <c r="B71" s="3" t="s">
        <v>72</v>
      </c>
      <c r="C71" s="3" t="str">
        <f>IFERROR(__xludf.DUMMYFUNCTION("GOOGLETRANSLATE(B71,""id"",""en"")"),"['Impressive', 'Telkomsel', 'Network', 'Kayak', 'Pigii', 'Gara', 'Gara', 'Enter', 'Maintenance', 'Kayak', 'Bangke', 'Rotten', ' spend ',' money ',' buy ',' data ',' quality ',' network ',' exceed ',' card ',' cheap ',' cheap ',' smooth ',' really ']")</f>
        <v>['Impressive', 'Telkomsel', 'Network', 'Kayak', 'Pigii', 'Gara', 'Gara', 'Enter', 'Maintenance', 'Kayak', 'Bangke', 'Rotten', ' spend ',' money ',' buy ',' data ',' quality ',' network ',' exceed ',' card ',' cheap ',' cheap ',' smooth ',' really ']</v>
      </c>
      <c r="D71" s="3">
        <v>1.0</v>
      </c>
    </row>
    <row r="72" ht="15.75" customHeight="1">
      <c r="A72" s="1">
        <v>70.0</v>
      </c>
      <c r="B72" s="3" t="s">
        <v>73</v>
      </c>
      <c r="C72" s="3" t="str">
        <f>IFERROR(__xludf.DUMMYFUNCTION("GOOGLETRANSLATE(B72,""id"",""en"")"),"['Bug', 'Error', 'Application', 'Tetep', 'Blum', 'Repaired', 'Bug', 'Error', 'Mbuka', 'Access',' Display ',' Data ',' Internet ',' Road ',' Fast ',' Sdng ',' Download ',' WLW ',' Application ',' Stopped ',' Close ',' Delete It ',' Window ',' Register ',' "&amp;"Application ' , 'Walking', 'After "",' Internet ',' Telkomsel ',' Normal ',' aka ',' Error ',' On ',' Except ',' Turns ',' Turn on ',' Kmbali ',' Off ',' signal ',' ']")</f>
        <v>['Bug', 'Error', 'Application', 'Tetep', 'Blum', 'Repaired', 'Bug', 'Error', 'Mbuka', 'Access',' Display ',' Data ',' Internet ',' Road ',' Fast ',' Sdng ',' Download ',' WLW ',' Application ',' Stopped ',' Close ',' Delete It ',' Window ',' Register ',' Application ' , 'Walking', 'After ",' Internet ',' Telkomsel ',' Normal ',' aka ',' Error ',' On ',' Except ',' Turns ',' Turn on ',' Kmbali ',' Off ',' signal ',' ']</v>
      </c>
      <c r="D72" s="3">
        <v>1.0</v>
      </c>
    </row>
    <row r="73" ht="15.75" customHeight="1">
      <c r="A73" s="1">
        <v>71.0</v>
      </c>
      <c r="B73" s="3" t="s">
        <v>74</v>
      </c>
      <c r="C73" s="3" t="str">
        <f>IFERROR(__xludf.DUMMYFUNCTION("GOOGLETRANSLATE(B73,""id"",""en"")"),"['Service', 'Via', 'Apply', 'Terat', 'Disappointing', 'Contact', 'Afternoon', 'Clock', 'Night', 'Response', 'Application', ' Chat ',' Nyaa ',' ']")</f>
        <v>['Service', 'Via', 'Apply', 'Terat', 'Disappointing', 'Contact', 'Afternoon', 'Clock', 'Night', 'Response', 'Application', ' Chat ',' Nyaa ',' ']</v>
      </c>
      <c r="D73" s="3">
        <v>1.0</v>
      </c>
    </row>
    <row r="74" ht="15.75" customHeight="1">
      <c r="A74" s="1">
        <v>72.0</v>
      </c>
      <c r="B74" s="3" t="s">
        <v>75</v>
      </c>
      <c r="C74" s="3" t="str">
        <f>IFERROR(__xludf.DUMMYFUNCTION("GOOGLETRANSLATE(B74,""id"",""en"")"),"['application', 'menu', 'stop', 'subscribe', 'package', 'bijimana', 'where', 'menu', 'essence', 'most', 'nampil', 'shopping', ' Melee ',' code ',' USSD ',' omitted ',' updated ',' then ',' friendly ',' high school ',' customer ',' ']")</f>
        <v>['application', 'menu', 'stop', 'subscribe', 'package', 'bijimana', 'where', 'menu', 'essence', 'most', 'nampil', 'shopping', ' Melee ',' code ',' USSD ',' omitted ',' updated ',' then ',' friendly ',' high school ',' customer ',' ']</v>
      </c>
      <c r="D74" s="3">
        <v>2.0</v>
      </c>
    </row>
    <row r="75" ht="15.75" customHeight="1">
      <c r="A75" s="1">
        <v>73.0</v>
      </c>
      <c r="B75" s="3" t="s">
        <v>76</v>
      </c>
      <c r="C75" s="3" t="str">
        <f>IFERROR(__xludf.DUMMYFUNCTION("GOOGLETRANSLATE(B75,""id"",""en"")"),"['Please', 'Enchance', 'Activate', 'Package', 'Telkomsel', 'Description', 'Appear', 'Credit', 'Adequate', 'Credit', 'Reasons',' Credit ',' run out ',' Gegara ',' behavior ',' sell ',' apps', 'success',' Activate ',' Package ',' UMB ',' SMS ', ""]")</f>
        <v>['Please', 'Enchance', 'Activate', 'Package', 'Telkomsel', 'Description', 'Appear', 'Credit', 'Adequate', 'Credit', 'Reasons',' Credit ',' run out ',' Gegara ',' behavior ',' sell ',' apps', 'success',' Activate ',' Package ',' UMB ',' SMS ', "]</v>
      </c>
      <c r="D75" s="3">
        <v>1.0</v>
      </c>
    </row>
    <row r="76" ht="15.75" customHeight="1">
      <c r="A76" s="1">
        <v>74.0</v>
      </c>
      <c r="B76" s="3" t="s">
        <v>77</v>
      </c>
      <c r="C76" s="3" t="str">
        <f>IFERROR(__xludf.DUMMYFUNCTION("GOOGLETRANSLATE(B76,""id"",""en"")"),"['sinynyal', 'kagak', 'use', 'open', 'internet', 'slow', 'play', 'phone', 'connect', 'trs',' fix it ',' the network ',' Ride in ',' price ',' package ',' trs']")</f>
        <v>['sinynyal', 'kagak', 'use', 'open', 'internet', 'slow', 'play', 'phone', 'connect', 'trs',' fix it ',' the network ',' Ride in ',' price ',' package ',' trs']</v>
      </c>
      <c r="D76" s="3">
        <v>1.0</v>
      </c>
    </row>
    <row r="77" ht="15.75" customHeight="1">
      <c r="A77" s="1">
        <v>75.0</v>
      </c>
      <c r="B77" s="3" t="s">
        <v>78</v>
      </c>
      <c r="C77" s="3" t="str">
        <f>IFERROR(__xludf.DUMMYFUNCTION("GOOGLETRANSLATE(B77,""id"",""en"")"),"['good', 'SMS', 'enter', 'normal', 'love', 'input', 'pulse', 'run out', 'karna', 'internet', 'automatic', 'quota', ' After ',' credit ',' Lagsung ',' Ludes', 'Out', 'Karna', 'Proistle', 'Automatic', 'Mending', 'Automatic', 'take', 'Credit', 'Kagett' , 'Us"&amp;"er', 'pulse', 'run out']")</f>
        <v>['good', 'SMS', 'enter', 'normal', 'love', 'input', 'pulse', 'run out', 'karna', 'internet', 'automatic', 'quota', ' After ',' credit ',' Lagsung ',' Ludes', 'Out', 'Karna', 'Proistle', 'Automatic', 'Mending', 'Automatic', 'take', 'Credit', 'Kagett' , 'User', 'pulse', 'run out']</v>
      </c>
      <c r="D77" s="3">
        <v>5.0</v>
      </c>
    </row>
    <row r="78" ht="15.75" customHeight="1">
      <c r="A78" s="1">
        <v>76.0</v>
      </c>
      <c r="B78" s="3" t="s">
        <v>79</v>
      </c>
      <c r="C78" s="3" t="str">
        <f>IFERROR(__xludf.DUMMYFUNCTION("GOOGLETRANSLATE(B78,""id"",""en"")"),"['leftover', 'pulse', 'Telkomseltiba', 'Out', 'Kouta', 'Not bad', 'add', 'buy', 'package', '']")</f>
        <v>['leftover', 'pulse', 'Telkomseltiba', 'Out', 'Kouta', 'Not bad', 'add', 'buy', 'package', '']</v>
      </c>
      <c r="D78" s="3">
        <v>2.0</v>
      </c>
    </row>
    <row r="79" ht="15.75" customHeight="1">
      <c r="A79" s="1">
        <v>77.0</v>
      </c>
      <c r="B79" s="3" t="s">
        <v>80</v>
      </c>
      <c r="C79" s="3" t="str">
        <f>IFERROR(__xludf.DUMMYFUNCTION("GOOGLETRANSLATE(B79,""id"",""en"")"),"['network', 'Telkomsel', 'slow', 'comfortable', 'customers', 'customers', 'loyal', 'stay', 'Telkomsel', ""]")</f>
        <v>['network', 'Telkomsel', 'slow', 'comfortable', 'customers', 'customers', 'loyal', 'stay', 'Telkomsel', "]</v>
      </c>
      <c r="D79" s="3">
        <v>1.0</v>
      </c>
    </row>
    <row r="80" ht="15.75" customHeight="1">
      <c r="A80" s="1">
        <v>78.0</v>
      </c>
      <c r="B80" s="3" t="s">
        <v>81</v>
      </c>
      <c r="C80" s="3" t="str">
        <f>IFERROR(__xludf.DUMMYFUNCTION("GOOGLETRANSLATE(B80,""id"",""en"")"),"['MyTelkomsel', 'like', 'error', 'network', 'good', 'sometimes',' sometimes', 'usually', 'download', 'easy', 'contents',' pulses', ' Check ',' pulse ',' ama ',' quota ',' really ',' ']")</f>
        <v>['MyTelkomsel', 'like', 'error', 'network', 'good', 'sometimes',' sometimes', 'usually', 'download', 'easy', 'contents',' pulses', ' Check ',' pulse ',' ama ',' quota ',' really ',' ']</v>
      </c>
      <c r="D80" s="3">
        <v>1.0</v>
      </c>
    </row>
    <row r="81" ht="15.75" customHeight="1">
      <c r="A81" s="1">
        <v>79.0</v>
      </c>
      <c r="B81" s="3" t="s">
        <v>82</v>
      </c>
      <c r="C81" s="3" t="str">
        <f>IFERROR(__xludf.DUMMYFUNCTION("GOOGLETRANSLATE(B81,""id"",""en"")"),"['Knp', 'Login', 'Telkomsel', 'Sempet', 'Delete', 'TRS', 'Download', 'Song', 'Login', ""]")</f>
        <v>['Knp', 'Login', 'Telkomsel', 'Sempet', 'Delete', 'TRS', 'Download', 'Song', 'Login', "]</v>
      </c>
      <c r="D81" s="3">
        <v>1.0</v>
      </c>
    </row>
    <row r="82" ht="15.75" customHeight="1">
      <c r="A82" s="1">
        <v>80.0</v>
      </c>
      <c r="B82" s="3" t="s">
        <v>83</v>
      </c>
      <c r="C82" s="3" t="str">
        <f>IFERROR(__xludf.DUMMYFUNCTION("GOOGLETRANSLATE(B82,""id"",""en"")"),"['Disappointed', 'buy', 'quota', 'clock', 'night', 'my quota', 'leftover', 'signatn', 'road', 'my queue', 'Holank', 'that's',' I wear ',' Won't ',' Donk ',' The symbol ',' Red ',' Bold ',' Used ',' Like ',' Come ',' APK ',' No ',' Buy ',' No ' , 'buy', 'p"&amp;"romo', 'donk', 'keswl']")</f>
        <v>['Disappointed', 'buy', 'quota', 'clock', 'night', 'my quota', 'leftover', 'signatn', 'road', 'my queue', 'Holank', 'that's',' I wear ',' Won't ',' Donk ',' The symbol ',' Red ',' Bold ',' Used ',' Like ',' Come ',' APK ',' No ',' Buy ',' No ' , 'buy', 'promo', 'donk', 'keswl']</v>
      </c>
      <c r="D82" s="3">
        <v>2.0</v>
      </c>
    </row>
    <row r="83" ht="15.75" customHeight="1">
      <c r="A83" s="1">
        <v>81.0</v>
      </c>
      <c r="B83" s="3" t="s">
        <v>84</v>
      </c>
      <c r="C83" s="3" t="str">
        <f>IFERROR(__xludf.DUMMYFUNCTION("GOOGLETRANSLATE(B83,""id"",""en"")"),"['Purchase', 'Package', 'Internet', 'Package', 'Enter', 'Credit', 'Reduced', 'Network', 'Leet', 'Telkomsel', 'Wait', 'Good', ' disappointed', '']")</f>
        <v>['Purchase', 'Package', 'Internet', 'Package', 'Enter', 'Credit', 'Reduced', 'Network', 'Leet', 'Telkomsel', 'Wait', 'Good', ' disappointed', '']</v>
      </c>
      <c r="D83" s="3">
        <v>1.0</v>
      </c>
    </row>
    <row r="84" ht="15.75" customHeight="1">
      <c r="A84" s="1">
        <v>82.0</v>
      </c>
      <c r="B84" s="3" t="s">
        <v>85</v>
      </c>
      <c r="C84" s="3" t="str">
        <f>IFERROR(__xludf.DUMMYFUNCTION("GOOGLETRANSLATE(B84,""id"",""en"")"),"['min', 'beautiful', 'handsome', 'me', 'udh', 'buy', 'package', 'printed', 'posts',' unlimited ',' abis', 'unlimited', ' APK ',' I ',' already ',' run out ',' unlimited ',' use ',' APK ',' please ',' fix ',' min ',' ']")</f>
        <v>['min', 'beautiful', 'handsome', 'me', 'udh', 'buy', 'package', 'printed', 'posts',' unlimited ',' abis', 'unlimited', ' APK ',' I ',' already ',' run out ',' unlimited ',' use ',' APK ',' please ',' fix ',' min ',' ']</v>
      </c>
      <c r="D84" s="3">
        <v>1.0</v>
      </c>
    </row>
    <row r="85" ht="15.75" customHeight="1">
      <c r="A85" s="1">
        <v>83.0</v>
      </c>
      <c r="B85" s="3" t="s">
        <v>86</v>
      </c>
      <c r="C85" s="3" t="str">
        <f>IFERROR(__xludf.DUMMYFUNCTION("GOOGLETRANSLATE(B85,""id"",""en"")"),"['min', 'pulses',' lose ',' yesterday ',' buy ',' pulse ',' then ',' right ',' check ',' pulses', 'abis',' left ',' Used ',' internet ',' card ',' explained ',' geh ',' ']")</f>
        <v>['min', 'pulses',' lose ',' yesterday ',' buy ',' pulse ',' then ',' right ',' check ',' pulses', 'abis',' left ',' Used ',' internet ',' card ',' explained ',' geh ',' ']</v>
      </c>
      <c r="D85" s="3">
        <v>1.0</v>
      </c>
    </row>
    <row r="86" ht="15.75" customHeight="1">
      <c r="A86" s="1">
        <v>84.0</v>
      </c>
      <c r="B86" s="3" t="s">
        <v>87</v>
      </c>
      <c r="C86" s="3" t="str">
        <f>IFERROR(__xludf.DUMMYFUNCTION("GOOGLETRANSLATE(B86,""id"",""en"")"),"['Telkomsel', 'Nipu', 'community', 'ads',' melauai ',' sms', 'check', 'pulse', 'duty', 'package', 'maxtream', 'person', ' Ngerni ',' Maxtream ',' buy ',' package ',' given ',' Package ',' Make sure ',' Maxtream ',' GB ',' Select ',' active ',' Kty ' , 'wa"&amp;"tch', 'video', 'etc.', 'mlh', 'pulse', 'abi', 'coakes',' open ',' application ',' video ',' play ',' trans', ' Moto ',' Live ',' BYR ',' Crazy ',' Try ',' Open ',' SPRT ',' SCTV ',' Mutet ',' then ',' Road ',' Road ',' Fraudnnnnnn ' ]")</f>
        <v>['Telkomsel', 'Nipu', 'community', 'ads',' melauai ',' sms', 'check', 'pulse', 'duty', 'package', 'maxtream', 'person', ' Ngerni ',' Maxtream ',' buy ',' package ',' given ',' Package ',' Make sure ',' Maxtream ',' GB ',' Select ',' active ',' Kty ' , 'watch', 'video', 'etc.', 'mlh', 'pulse', 'abi', 'coakes',' open ',' application ',' video ',' play ',' trans', ' Moto ',' Live ',' BYR ',' Crazy ',' Try ',' Open ',' SPRT ',' SCTV ',' Mutet ',' then ',' Road ',' Road ',' Fraudnnnnnn ' ]</v>
      </c>
      <c r="D86" s="3">
        <v>1.0</v>
      </c>
    </row>
    <row r="87" ht="15.75" customHeight="1">
      <c r="A87" s="1">
        <v>85.0</v>
      </c>
      <c r="B87" s="3" t="s">
        <v>88</v>
      </c>
      <c r="C87" s="3" t="str">
        <f>IFERROR(__xludf.DUMMYFUNCTION("GOOGLETRANSLATE(B87,""id"",""en"")"),"['Package', 'unlimited', 'sosmed', 'game', 'limit', 'ngak', 'annoying', 'customer', 'no', 'intention', 'quota', 'unlimited', ' Customers', 'delete', 'offer', 'provide', 'application', 'code', 'digit', 'please', 'return', 'said', 'already', 'expensive', 'd"&amp;"isappointing' , '']")</f>
        <v>['Package', 'unlimited', 'sosmed', 'game', 'limit', 'ngak', 'annoying', 'customer', 'no', 'intention', 'quota', 'unlimited', ' Customers', 'delete', 'offer', 'provide', 'application', 'code', 'digit', 'please', 'return', 'said', 'already', 'expensive', 'disappointing' , '']</v>
      </c>
      <c r="D87" s="3">
        <v>3.0</v>
      </c>
    </row>
    <row r="88" ht="15.75" customHeight="1">
      <c r="A88" s="1">
        <v>86.0</v>
      </c>
      <c r="B88" s="3" t="s">
        <v>89</v>
      </c>
      <c r="C88" s="3" t="str">
        <f>IFERROR(__xludf.DUMMYFUNCTION("GOOGLETRANSLATE(B88,""id"",""en"")"),"['HHHH', 'provider', 'signal', 'slow', 'package', 'expensive', 'call', 'customer', 'service', 'answer', 'sorry', 'repair', ' network ',' region ',' repairs', 'network', 'joke', 'weve', 'improvement', 'problematic', 'network', 'week', 'network', 'damaged',"&amp;" 'slow' , 'Sunday', 'week', 'smooth', 'ntar', 'that's',' broken ',' original ',' provider ',' service ',' minimal ',' really ',' customer ',' Customer ',' sercice ',' accurate ',' kyak ',' bot ']")</f>
        <v>['HHHH', 'provider', 'signal', 'slow', 'package', 'expensive', 'call', 'customer', 'service', 'answer', 'sorry', 'repair', ' network ',' region ',' repairs', 'network', 'joke', 'weve', 'improvement', 'problematic', 'network', 'week', 'network', 'damaged', 'slow' , 'Sunday', 'week', 'smooth', 'ntar', 'that's',' broken ',' original ',' provider ',' service ',' minimal ',' really ',' customer ',' Customer ',' sercice ',' accurate ',' kyak ',' bot ']</v>
      </c>
      <c r="D88" s="3">
        <v>1.0</v>
      </c>
    </row>
    <row r="89" ht="15.75" customHeight="1">
      <c r="A89" s="1">
        <v>87.0</v>
      </c>
      <c r="B89" s="3" t="s">
        <v>90</v>
      </c>
      <c r="C89" s="3" t="str">
        <f>IFERROR(__xludf.DUMMYFUNCTION("GOOGLETRANSLATE(B89,""id"",""en"")"),"['Telkomsel', 'UDH', 'signal', 'ugly', 'slow', 'lag', 'udh', 'price', 'expensive', 'lined', 'right', 'satisfied', ' Comfortable ',' Telkomsel ',' Network ',' Leet ',' Gnti ',' Provider ',' Telkomsel ',' Disappointing ',' Beci ',' Telkomsel ', ""]")</f>
        <v>['Telkomsel', 'UDH', 'signal', 'ugly', 'slow', 'lag', 'udh', 'price', 'expensive', 'lined', 'right', 'satisfied', ' Comfortable ',' Telkomsel ',' Network ',' Leet ',' Gnti ',' Provider ',' Telkomsel ',' Disappointing ',' Beci ',' Telkomsel ', "]</v>
      </c>
      <c r="D89" s="3">
        <v>1.0</v>
      </c>
    </row>
    <row r="90" ht="15.75" customHeight="1">
      <c r="A90" s="1">
        <v>88.0</v>
      </c>
      <c r="B90" s="3" t="s">
        <v>91</v>
      </c>
      <c r="C90" s="3" t="str">
        <f>IFERROR(__xludf.DUMMYFUNCTION("GOOGLETRANSLATE(B90,""id"",""en"")"),"['Tlong', 'Promo', 'Pakek', 'Adin', 'Satisfied', 'Service', 'Klu', 'Changed', 'Please', 'Sorry', 'Kasik', 'Bintang', ' Because ',' Satisfied ',' LGI ',' ']")</f>
        <v>['Tlong', 'Promo', 'Pakek', 'Adin', 'Satisfied', 'Service', 'Klu', 'Changed', 'Please', 'Sorry', 'Kasik', 'Bintang', ' Because ',' Satisfied ',' LGI ',' ']</v>
      </c>
      <c r="D90" s="3">
        <v>5.0</v>
      </c>
    </row>
    <row r="91" ht="15.75" customHeight="1">
      <c r="A91" s="1">
        <v>89.0</v>
      </c>
      <c r="B91" s="3" t="s">
        <v>92</v>
      </c>
      <c r="C91" s="3" t="str">
        <f>IFERROR(__xludf.DUMMYFUNCTION("GOOGLETRANSLATE(B91,""id"",""en"")"),"['price', 'expensive', 'connection', 'bad', 'complaints',' quota ',' run out ',' eat ',' pulse ',' quota ',' run out ',' stop ',' internet ',' eat ',' pulse ']")</f>
        <v>['price', 'expensive', 'connection', 'bad', 'complaints',' quota ',' run out ',' eat ',' pulse ',' quota ',' run out ',' stop ',' internet ',' eat ',' pulse ']</v>
      </c>
      <c r="D91" s="3">
        <v>1.0</v>
      </c>
    </row>
    <row r="92" ht="15.75" customHeight="1">
      <c r="A92" s="1">
        <v>90.0</v>
      </c>
      <c r="B92" s="3" t="s">
        <v>93</v>
      </c>
      <c r="C92" s="3" t="str">
        <f>IFERROR(__xludf.DUMMYFUNCTION("GOOGLETRANSLATE(B92,""id"",""en"")"),"['', 'price', 'anything', 'expensive', 'price', 'network', 'stable', 'slow', 'severe', 'really', 'really', 'cheater', 'entered ',' loan ',' online ',' etc. ',' change ',' card ',' package ',' cheap ',' network ',' good ', ""]")</f>
        <v>['', 'price', 'anything', 'expensive', 'price', 'network', 'stable', 'slow', 'severe', 'really', 'really', 'cheater', 'entered ',' loan ',' online ',' etc. ',' change ',' card ',' package ',' cheap ',' network ',' good ', "]</v>
      </c>
      <c r="D92" s="3">
        <v>1.0</v>
      </c>
    </row>
    <row r="93" ht="15.75" customHeight="1">
      <c r="A93" s="1">
        <v>91.0</v>
      </c>
      <c r="B93" s="3" t="s">
        <v>94</v>
      </c>
      <c r="C93" s="3" t="str">
        <f>IFERROR(__xludf.DUMMYFUNCTION("GOOGLETRANSLATE(B93,""id"",""en"")"),"['Love', 'Bintang', 'The application', 'super', 'duper', 'slow', 'difficult', 'open', 'replace', 'star', 'hope', 'provider', ' Placeed ',' fast ',' Ninggalin ',' Telkomsel ',' Telkomsel ',' forced ',' ']")</f>
        <v>['Love', 'Bintang', 'The application', 'super', 'duper', 'slow', 'difficult', 'open', 'replace', 'star', 'hope', 'provider', ' Placeed ',' fast ',' Ninggalin ',' Telkomsel ',' Telkomsel ',' forced ',' ']</v>
      </c>
      <c r="D93" s="3">
        <v>1.0</v>
      </c>
    </row>
    <row r="94" ht="15.75" customHeight="1">
      <c r="A94" s="1">
        <v>92.0</v>
      </c>
      <c r="B94" s="3" t="s">
        <v>95</v>
      </c>
      <c r="C94" s="3" t="str">
        <f>IFERROR(__xludf.DUMMYFUNCTION("GOOGLETRANSLATE(B94,""id"",""en"")"),"['Tower', 'Telkomsel', 'km', 'distance', 'signal', 'a.m.', 'Batang', 'network', 'fix', 'Telkomsel', 'complain', 'TLP', ' Telkomsel ',' signal ',' powerful ',' signal ',' a signal ',' stem ', ""]")</f>
        <v>['Tower', 'Telkomsel', 'km', 'distance', 'signal', 'a.m.', 'Batang', 'network', 'fix', 'Telkomsel', 'complain', 'TLP', ' Telkomsel ',' signal ',' powerful ',' signal ',' a signal ',' stem ', "]</v>
      </c>
      <c r="D94" s="3">
        <v>1.0</v>
      </c>
    </row>
    <row r="95" ht="15.75" customHeight="1">
      <c r="A95" s="1">
        <v>93.0</v>
      </c>
      <c r="B95" s="3" t="s">
        <v>96</v>
      </c>
      <c r="C95" s="3" t="str">
        <f>IFERROR(__xludf.DUMMYFUNCTION("GOOGLETRANSLATE(B95,""id"",""en"")"),"['Please', 'SPALSH', 'Screen', 'Shared', 'Very', 'wait', 'PGN', 'Fast', 'Information', 'in it', 'leftover', 'quota', ' Nembah ',' quota ',' nah ',' assessment ',' application ',' taste ',' essence ',' suggestion ',' customer ',' developed ',' customer ','"&amp;" fast ',' get ' , 'Information', 'oiya', 'since' Hello ',' connection ',' taste ',' premium ',' thank you ',' spirit ', ""]")</f>
        <v>['Please', 'SPALSH', 'Screen', 'Shared', 'Very', 'wait', 'PGN', 'Fast', 'Information', 'in it', 'leftover', 'quota', ' Nembah ',' quota ',' nah ',' assessment ',' application ',' taste ',' essence ',' suggestion ',' customer ',' developed ',' customer ',' fast ',' get ' , 'Information', 'oiya', 'since' Hello ',' connection ',' taste ',' premium ',' thank you ',' spirit ', "]</v>
      </c>
      <c r="D95" s="3">
        <v>4.0</v>
      </c>
    </row>
    <row r="96" ht="15.75" customHeight="1">
      <c r="A96" s="1">
        <v>94.0</v>
      </c>
      <c r="B96" s="3" t="s">
        <v>97</v>
      </c>
      <c r="C96" s="3" t="str">
        <f>IFERROR(__xludf.DUMMYFUNCTION("GOOGLETRANSLATE(B96,""id"",""en"")"),"['ugly', 'buy', 'package', 'no', 'buy', 'difficult', 'bonus',' hadeh ',' terar ',' point ',' use ',' pulses', ' It's good, 'buy', 'Direct', 'Points', '']")</f>
        <v>['ugly', 'buy', 'package', 'no', 'buy', 'difficult', 'bonus',' hadeh ',' terar ',' point ',' use ',' pulses', ' It's good, 'buy', 'Direct', 'Points', '']</v>
      </c>
      <c r="D96" s="3">
        <v>1.0</v>
      </c>
    </row>
    <row r="97" ht="15.75" customHeight="1">
      <c r="A97" s="1">
        <v>95.0</v>
      </c>
      <c r="B97" s="3" t="s">
        <v>98</v>
      </c>
      <c r="C97" s="3" t="str">
        <f>IFERROR(__xludf.DUMMYFUNCTION("GOOGLETRANSLATE(B97,""id"",""en"")"),"['Hallo', 'mimin', 'bole', 'pulse', 'monetary', 'telkomsal', 'whispered', 'exchange', 'package', 'please', 'pulse', 'whispered', ' use', '']")</f>
        <v>['Hallo', 'mimin', 'bole', 'pulse', 'monetary', 'telkomsal', 'whispered', 'exchange', 'package', 'please', 'pulse', 'whispered', ' use', '']</v>
      </c>
      <c r="D97" s="3">
        <v>5.0</v>
      </c>
    </row>
    <row r="98" ht="15.75" customHeight="1">
      <c r="A98" s="1">
        <v>96.0</v>
      </c>
      <c r="B98" s="3" t="s">
        <v>99</v>
      </c>
      <c r="C98" s="3" t="str">
        <f>IFERROR(__xludf.DUMMYFUNCTION("GOOGLETRANSLATE(B98,""id"",""en"")"),"['Package', 'promo', 'enter', 'enter', 'quota', 'entered', 'disappointed', 'Telkomsel', 'filling', 'pulse', 'reduced', 'nganggin', ' Disappointed ',' Bangett ',' Telkomsel ',' Please ',' Fix ',' Telkomsel ',' Disappointed ',' Very ',' Credit ',' Reduced '"&amp;",' Disappointed ',' Really ',' Please ' , 'Assisted', 'Telkomsel', '']")</f>
        <v>['Package', 'promo', 'enter', 'enter', 'quota', 'entered', 'disappointed', 'Telkomsel', 'filling', 'pulse', 'reduced', 'nganggin', ' Disappointed ',' Bangett ',' Telkomsel ',' Please ',' Fix ',' Telkomsel ',' Disappointed ',' Very ',' Credit ',' Reduced ',' Disappointed ',' Really ',' Please ' , 'Assisted', 'Telkomsel', '']</v>
      </c>
      <c r="D98" s="3">
        <v>2.0</v>
      </c>
    </row>
    <row r="99" ht="15.75" customHeight="1">
      <c r="A99" s="1">
        <v>97.0</v>
      </c>
      <c r="B99" s="3" t="s">
        <v>100</v>
      </c>
      <c r="C99" s="3" t="str">
        <f>IFERROR(__xludf.DUMMYFUNCTION("GOOGLETRANSLATE(B99,""id"",""en"")"),"['Application', 'bad', 'open it', 'slow', 'forgiveness',' speed ',' signal ',' spec ',' okay ',' bangat ',' please ',' repair ',' version ',' disappointing ',' price ',' package ',' expensive ',' ']")</f>
        <v>['Application', 'bad', 'open it', 'slow', 'forgiveness',' speed ',' signal ',' spec ',' okay ',' bangat ',' please ',' repair ',' version ',' disappointing ',' price ',' package ',' expensive ',' ']</v>
      </c>
      <c r="D99" s="3">
        <v>1.0</v>
      </c>
    </row>
    <row r="100" ht="15.75" customHeight="1">
      <c r="A100" s="1">
        <v>98.0</v>
      </c>
      <c r="B100" s="3" t="s">
        <v>101</v>
      </c>
      <c r="C100" s="3" t="str">
        <f>IFERROR(__xludf.DUMMYFUNCTION("GOOGLETRANSLATE(B100,""id"",""en"")"),"['a month', 'thousand', 'money', 'run out', 'buy', 'package', 'internet', 'Telkomsel', 'quota', 'game', 'msh', 'giga', ' use ',' city ',' Telkomsel ',' its network ',' kayak ',' mountain ',' quota ',' expensive ',' disappointing ',' friend ',' card ',' re"&amp;"gular ',' internet ' , 'Change', 'use', 'Telkomsel']")</f>
        <v>['a month', 'thousand', 'money', 'run out', 'buy', 'package', 'internet', 'Telkomsel', 'quota', 'game', 'msh', 'giga', ' use ',' city ',' Telkomsel ',' its network ',' kayak ',' mountain ',' quota ',' expensive ',' disappointing ',' friend ',' card ',' regular ',' internet ' , 'Change', 'use', 'Telkomsel']</v>
      </c>
      <c r="D100" s="3">
        <v>1.0</v>
      </c>
    </row>
    <row r="101" ht="15.75" customHeight="1">
      <c r="A101" s="1">
        <v>99.0</v>
      </c>
      <c r="B101" s="3" t="s">
        <v>102</v>
      </c>
      <c r="C101" s="3" t="str">
        <f>IFERROR(__xludf.DUMMYFUNCTION("GOOGLETRANSLATE(B101,""id"",""en"")"),"['network', 'Telkomsel', 'slow', 'used', 'right', 'go home', 'house', 'Malang', 'connection', 'data', 'March', 'use', ' Taken ',' Sidoarjo ',' Sinyal ',' Down ',' Used ',' Video ',' Call ',' Disconnect ',' Please ',' Noted ',' Simpati ',' Price ',' Expens"&amp;"ive ' , 'Lho', 'service', '']")</f>
        <v>['network', 'Telkomsel', 'slow', 'used', 'right', 'go home', 'house', 'Malang', 'connection', 'data', 'March', 'use', ' Taken ',' Sidoarjo ',' Sinyal ',' Down ',' Used ',' Video ',' Call ',' Disconnect ',' Please ',' Noted ',' Simpati ',' Price ',' Expensive ' , 'Lho', 'service', '']</v>
      </c>
      <c r="D101" s="3">
        <v>3.0</v>
      </c>
    </row>
    <row r="102" ht="15.75" customHeight="1">
      <c r="A102" s="1">
        <v>100.0</v>
      </c>
      <c r="B102" s="3" t="s">
        <v>103</v>
      </c>
      <c r="C102" s="3" t="str">
        <f>IFERROR(__xludf.DUMMYFUNCTION("GOOGLETRANSLATE(B102,""id"",""en"")"),"['Features', 'Live', 'Chat', 'complaints', 'Direct', 'Asked', 'Features', 'Veronika', 'Kaga', 'Bot', 'Doang', 'Thank you']")</f>
        <v>['Features', 'Live', 'Chat', 'complaints', 'Direct', 'Asked', 'Features', 'Veronika', 'Kaga', 'Bot', 'Doang', 'Thank you']</v>
      </c>
      <c r="D102" s="3">
        <v>1.0</v>
      </c>
    </row>
    <row r="103" ht="15.75" customHeight="1">
      <c r="A103" s="1">
        <v>101.0</v>
      </c>
      <c r="B103" s="3" t="s">
        <v>104</v>
      </c>
      <c r="C103" s="3" t="str">
        <f>IFERROR(__xludf.DUMMYFUNCTION("GOOGLETRANSLATE(B103,""id"",""en"")"),"['operator', 'vacuum', 'credit', 'use', 'pulse', 'rich', 'dedemit', 'pulse', 'pulses',' already ',' zero ',' me ',' Simcard ',' deliberate ',' I ',' Simcard ',' next door ',' Internet ',' Telkomsel ',' I ',' Fill ',' plan ',' I ',' Package ',' internet ' "&amp;", 'quota', 'simcard', 'next door', 'already', 'abis',' ehhhh ',' right ',' check ',' pulse ',' telkomsel ',' me ',' already ',' Zooooonk ',' Techucing ',' ']")</f>
        <v>['operator', 'vacuum', 'credit', 'use', 'pulse', 'rich', 'dedemit', 'pulse', 'pulses',' already ',' zero ',' me ',' Simcard ',' deliberate ',' I ',' Simcard ',' next door ',' Internet ',' Telkomsel ',' I ',' Fill ',' plan ',' I ',' Package ',' internet ' , 'quota', 'simcard', 'next door', 'already', 'abis',' ehhhh ',' right ',' check ',' pulse ',' telkomsel ',' me ',' already ',' Zooooonk ',' Techucing ',' ']</v>
      </c>
      <c r="D103" s="3">
        <v>1.0</v>
      </c>
    </row>
    <row r="104" ht="15.75" customHeight="1">
      <c r="A104" s="1">
        <v>102.0</v>
      </c>
      <c r="B104" s="3" t="s">
        <v>105</v>
      </c>
      <c r="C104" s="3" t="str">
        <f>IFERROR(__xludf.DUMMYFUNCTION("GOOGLETRANSLATE(B104,""id"",""en"")"),"['registration', 'package', 'process',' dibamain ',' fit ',' internet ',' flame ',' pulse ',' direct ',' sucked ',' finished ',' friend ',' Please, 'thorough', 'heart', 'application', 'provider', 'Telkomsel', 'please', 'repaired', ""]")</f>
        <v>['registration', 'package', 'process',' dibamain ',' fit ',' internet ',' flame ',' pulse ',' direct ',' sucked ',' finished ',' friend ',' Please, 'thorough', 'heart', 'application', 'provider', 'Telkomsel', 'please', 'repaired', "]</v>
      </c>
      <c r="D104" s="3">
        <v>1.0</v>
      </c>
    </row>
    <row r="105" ht="15.75" customHeight="1">
      <c r="A105" s="1">
        <v>103.0</v>
      </c>
      <c r="B105" s="3" t="s">
        <v>106</v>
      </c>
      <c r="C105" s="3" t="str">
        <f>IFERROR(__xludf.DUMMYFUNCTION("GOOGLETRANSLATE(B105,""id"",""en"")"),"['Karna', 'Customer', 'Sya', 'ksih', 'star', 'wlaupun', 'card', 'sya', 'bonus',' promo ',' package ',' internet ',' "", 'RbU', 'GB', 'PDAVY', 'Card', 'Sya', 'Dri', 'card', 'friend', 'Sya', 'buy', 'Udh', 'proof' , 'Sya', 'pelpers', 'TPI', 'DPAT', 'bonus', "&amp;"'promo', 'trounce', '']")</f>
        <v>['Karna', 'Customer', 'Sya', 'ksih', 'star', 'wlaupun', 'card', 'sya', 'bonus',' promo ',' package ',' internet ',' ", 'RbU', 'GB', 'PDAVY', 'Card', 'Sya', 'Dri', 'card', 'friend', 'Sya', 'buy', 'Udh', 'proof' , 'Sya', 'pelpers', 'TPI', 'DPAT', 'bonus', 'promo', 'trounce', '']</v>
      </c>
      <c r="D105" s="3">
        <v>5.0</v>
      </c>
    </row>
    <row r="106" ht="15.75" customHeight="1">
      <c r="A106" s="1">
        <v>104.0</v>
      </c>
      <c r="B106" s="3" t="s">
        <v>107</v>
      </c>
      <c r="C106" s="3" t="str">
        <f>IFERROR(__xludf.DUMMYFUNCTION("GOOGLETRANSLATE(B106,""id"",""en"")"),"['Please', 'Rank', 'Telkomsel', 'already', 'Platinum', 'Doskon', 'good', 'interesting', 'friend', 'gold', 'discount', 'good', ' Good ',' GB ',' Package ',' Internet ',' Need ',' Package ',' Monthly ',' How ',' Bener ',' Bener ',' Disappointed ',' Telkomse"&amp;"l ',' satisfaction ' , 'User', 'Bener', 'Bener', 'Disappointed', 'Adil', '']")</f>
        <v>['Please', 'Rank', 'Telkomsel', 'already', 'Platinum', 'Doskon', 'good', 'interesting', 'friend', 'gold', 'discount', 'good', ' Good ',' GB ',' Package ',' Internet ',' Need ',' Package ',' Monthly ',' How ',' Bener ',' Bener ',' Disappointed ',' Telkomsel ',' satisfaction ' , 'User', 'Bener', 'Bener', 'Disappointed', 'Adil', '']</v>
      </c>
      <c r="D106" s="3">
        <v>1.0</v>
      </c>
    </row>
    <row r="107" ht="15.75" customHeight="1">
      <c r="A107" s="1">
        <v>105.0</v>
      </c>
      <c r="B107" s="3" t="s">
        <v>108</v>
      </c>
      <c r="C107" s="3" t="str">
        <f>IFERROR(__xludf.DUMMYFUNCTION("GOOGLETRANSLATE(B107,""id"",""en"")"),"['user', 'card', 'Hello', 'inj', 'network', 'Telkomsel', 'bad', 'provider', 'worst', 'appeal', 'provider', 'disappointed', ' Pay ',' bills', 'thousands',' network ',' signal ',' poor ',' bad ']")</f>
        <v>['user', 'card', 'Hello', 'inj', 'network', 'Telkomsel', 'bad', 'provider', 'worst', 'appeal', 'provider', 'disappointed', ' Pay ',' bills', 'thousands',' network ',' signal ',' poor ',' bad ']</v>
      </c>
      <c r="D107" s="3">
        <v>1.0</v>
      </c>
    </row>
    <row r="108" ht="15.75" customHeight="1">
      <c r="A108" s="1">
        <v>106.0</v>
      </c>
      <c r="B108" s="3" t="s">
        <v>109</v>
      </c>
      <c r="C108" s="3" t="str">
        <f>IFERROR(__xludf.DUMMYFUNCTION("GOOGLETRANSLATE(B108,""id"",""en"")"),"['please', 'telkom', 'fill in', 'kouta', 'enter', 'please', 'telkom', 'fast', 'finish', 'bug', 'bug', 'get', ' Until ',' people ',' get ']")</f>
        <v>['please', 'telkom', 'fill in', 'kouta', 'enter', 'please', 'telkom', 'fast', 'finish', 'bug', 'bug', 'get', ' Until ',' people ',' get ']</v>
      </c>
      <c r="D108" s="3">
        <v>1.0</v>
      </c>
    </row>
    <row r="109" ht="15.75" customHeight="1">
      <c r="A109" s="1">
        <v>107.0</v>
      </c>
      <c r="B109" s="3" t="s">
        <v>110</v>
      </c>
      <c r="C109" s="3" t="str">
        <f>IFERROR(__xludf.DUMMYFUNCTION("GOOGLETRANSLATE(B109,""id"",""en"")"),"['Signal', 'Sumatran', 'Special', 'Lampung', 'Malem', 'Sampe', 'Morning', 'Hour', 'Slow', 'Karna', 'Buy', 'Quota', ' Unlimtide ',' getting ',' disruption ',' quota ',' Telkomsel ',' signal ',' ']")</f>
        <v>['Signal', 'Sumatran', 'Special', 'Lampung', 'Malem', 'Sampe', 'Morning', 'Hour', 'Slow', 'Karna', 'Buy', 'Quota', ' Unlimtide ',' getting ',' disruption ',' quota ',' Telkomsel ',' signal ',' ']</v>
      </c>
      <c r="D109" s="3">
        <v>1.0</v>
      </c>
    </row>
    <row r="110" ht="15.75" customHeight="1">
      <c r="A110" s="1">
        <v>108.0</v>
      </c>
      <c r="B110" s="3" t="s">
        <v>111</v>
      </c>
      <c r="C110" s="3" t="str">
        <f>IFERROR(__xludf.DUMMYFUNCTION("GOOGLETRANSLATE(B110,""id"",""en"")"),"['disappointing', 'access',' internet ',' slow ',' quota ',' price ',' expensive ',' wear ',' Telkomsel ',' TPI ',' access', 'internet', ' Down ',' Stay ',' City ',' Samarinda ',' Danasat ',' sucks', 'Read', 'Comics',' Internet ',' Access', 'Browser', 'TP"&amp;"I', 'Page' , 'opened', 'access', 'internet', 'slow', 'please', 'read', 'repaired', ""]")</f>
        <v>['disappointing', 'access',' internet ',' slow ',' quota ',' price ',' expensive ',' wear ',' Telkomsel ',' TPI ',' access', 'internet', ' Down ',' Stay ',' City ',' Samarinda ',' Danasat ',' sucks', 'Read', 'Comics',' Internet ',' Access', 'Browser', 'TPI', 'Page' , 'opened', 'access', 'internet', 'slow', 'please', 'read', 'repaired', "]</v>
      </c>
      <c r="D110" s="3">
        <v>2.0</v>
      </c>
    </row>
    <row r="111" ht="15.75" customHeight="1">
      <c r="A111" s="1">
        <v>109.0</v>
      </c>
      <c r="B111" s="3" t="s">
        <v>112</v>
      </c>
      <c r="C111" s="3" t="str">
        <f>IFERROR(__xludf.DUMMYFUNCTION("GOOGLETRANSLATE(B111,""id"",""en"")"),"['Heavy', 'heart', 'me', 'collapsed', 'rate', 'Telkomsel', 'SINGX', 'UDH', 'udh', 'mnggu', 'connection', 'joke', ' Tmpat ',' BJM ',' South Kalimantan ',' UDH ',' Try ',' Unistall ',' App ',' Problem ',' Dikirain ',' Karna ',' I ',' Ngomot ',' Package ' , "&amp;"'free', 'check', 'ttp', 'slow', 'package', 'buy', 'free', 'slow', 'I', 'thank', 'buy', 'slow', ' Mix ',' Switch ',' Operator ',' Hopefully ',' Improvement ',' Kepepanx ',' Improved ',' Connection ',' As fast ',' DLU ',' Plus', 'Like', 'NyoPet' , 'pulse', "&amp;"'']")</f>
        <v>['Heavy', 'heart', 'me', 'collapsed', 'rate', 'Telkomsel', 'SINGX', 'UDH', 'udh', 'mnggu', 'connection', 'joke', ' Tmpat ',' BJM ',' South Kalimantan ',' UDH ',' Try ',' Unistall ',' App ',' Problem ',' Dikirain ',' Karna ',' I ',' Ngomot ',' Package ' , 'free', 'check', 'ttp', 'slow', 'package', 'buy', 'free', 'slow', 'I', 'thank', 'buy', 'slow', ' Mix ',' Switch ',' Operator ',' Hopefully ',' Improvement ',' Kepepanx ',' Improved ',' Connection ',' As fast ',' DLU ',' Plus', 'Like', 'NyoPet' , 'pulse', '']</v>
      </c>
      <c r="D111" s="3">
        <v>3.0</v>
      </c>
    </row>
    <row r="112" ht="15.75" customHeight="1">
      <c r="A112" s="1">
        <v>110.0</v>
      </c>
      <c r="B112" s="3" t="s">
        <v>113</v>
      </c>
      <c r="C112" s="3" t="str">
        <f>IFERROR(__xludf.DUMMYFUNCTION("GOOGLETRANSLATE(B112,""id"",""en"")"),"['Disappointed', 'Telkomsel', 'card', 'Umlitead', 'Max', 'Out', 'Umlitead', 'Jalan', 'YouTobe', 'Umlitead', 'Taik', 'Pangen', ' behavior ',' SIM ',' Card ',' Honest ',' Taik ', ""]")</f>
        <v>['Disappointed', 'Telkomsel', 'card', 'Umlitead', 'Max', 'Out', 'Umlitead', 'Jalan', 'YouTobe', 'Umlitead', 'Taik', 'Pangen', ' behavior ',' SIM ',' Card ',' Honest ',' Taik ', "]</v>
      </c>
      <c r="D112" s="3">
        <v>1.0</v>
      </c>
    </row>
    <row r="113" ht="15.75" customHeight="1">
      <c r="A113" s="1">
        <v>111.0</v>
      </c>
      <c r="B113" s="3" t="s">
        <v>114</v>
      </c>
      <c r="C113" s="3" t="str">
        <f>IFERROR(__xludf.DUMMYFUNCTION("GOOGLETRANSLATE(B113,""id"",""en"")"),"['Since', 'replace', 'spare parts',' Telkomsel ',' bad ',' connection ',' try ',' change ',' as fast ',' flash ',' spare parts', 'cheap', ' Price ',' TTP ',' Please ',' Disappoint ',' Customer ',' Donk ', ""]")</f>
        <v>['Since', 'replace', 'spare parts',' Telkomsel ',' bad ',' connection ',' try ',' change ',' as fast ',' flash ',' spare parts', 'cheap', ' Price ',' TTP ',' Please ',' Disappoint ',' Customer ',' Donk ', "]</v>
      </c>
      <c r="D113" s="3">
        <v>1.0</v>
      </c>
    </row>
    <row r="114" ht="15.75" customHeight="1">
      <c r="A114" s="1">
        <v>112.0</v>
      </c>
      <c r="B114" s="3" t="s">
        <v>115</v>
      </c>
      <c r="C114" s="3" t="str">
        <f>IFERROR(__xludf.DUMMYFUNCTION("GOOGLETRANSLATE(B114,""id"",""en"")"),"['buy', 'Kouta', 'voucher', 'omg', 'shop', 'ehh', 'input', 'code', 'enter', 'code', 'enter', 'region', ' annoyed ',' really ',' persistence ',' telegram ',' process', 'annoyed']")</f>
        <v>['buy', 'Kouta', 'voucher', 'omg', 'shop', 'ehh', 'input', 'code', 'enter', 'code', 'enter', 'region', ' annoyed ',' really ',' persistence ',' telegram ',' process', 'annoyed']</v>
      </c>
      <c r="D114" s="3">
        <v>1.0</v>
      </c>
    </row>
    <row r="115" ht="15.75" customHeight="1">
      <c r="A115" s="1">
        <v>113.0</v>
      </c>
      <c r="B115" s="3" t="s">
        <v>116</v>
      </c>
      <c r="C115" s="3" t="str">
        <f>IFERROR(__xludf.DUMMYFUNCTION("GOOGLETRANSLATE(B115,""id"",""en"")"),"['Severe', 'signal', 'bad', 'missing', 'a number', 'troozzz', 'buy', 'use', 'money', 'name', 'waste', 'waste', ' Money ',' regret ',' buy ',' internet ',' UDH ',' monitor ',' Change ',' Severe ',' really ',' Say ',' Severe ',' really ']")</f>
        <v>['Severe', 'signal', 'bad', 'missing', 'a number', 'troozzz', 'buy', 'use', 'money', 'name', 'waste', 'waste', ' Money ',' regret ',' buy ',' internet ',' UDH ',' monitor ',' Change ',' Severe ',' really ',' Say ',' Severe ',' really ']</v>
      </c>
      <c r="D115" s="3">
        <v>2.0</v>
      </c>
    </row>
    <row r="116" ht="15.75" customHeight="1">
      <c r="A116" s="1">
        <v>114.0</v>
      </c>
      <c r="B116" s="3" t="s">
        <v>117</v>
      </c>
      <c r="C116" s="3" t="str">
        <f>IFERROR(__xludf.DUMMYFUNCTION("GOOGLETRANSLATE(B116,""id"",""en"")"),"['Disappointed', 'Telkomsel', 'buy', 'quota', 'unlimited', 'price', 'restrictions',' signal ',' quota ',' main ',' out ',' quota ',' Unlimited ',' use ',' quota ',' unlimited ',' Telkomsel ',' disappointed ',' Sekasewa ',' Kexeway ',' Telkomsel ',' operat"&amp;"or ',' please ',' package ',' Udh ' , 'expensive', 'restrictions', 'signal', 'garbage']")</f>
        <v>['Disappointed', 'Telkomsel', 'buy', 'quota', 'unlimited', 'price', 'restrictions',' signal ',' quota ',' main ',' out ',' quota ',' Unlimited ',' use ',' quota ',' unlimited ',' Telkomsel ',' disappointed ',' Sekasewa ',' Kexeway ',' Telkomsel ',' operator ',' please ',' package ',' Udh ' , 'expensive', 'restrictions', 'signal', 'garbage']</v>
      </c>
      <c r="D116" s="3">
        <v>1.0</v>
      </c>
    </row>
    <row r="117" ht="15.75" customHeight="1">
      <c r="A117" s="1">
        <v>115.0</v>
      </c>
      <c r="B117" s="3" t="s">
        <v>118</v>
      </c>
      <c r="C117" s="3" t="str">
        <f>IFERROR(__xludf.DUMMYFUNCTION("GOOGLETRANSLATE(B117,""id"",""en"")"),"['contents',' pulse ',' advantages', 'pulses',' used ',' taken ',' first ',' contents', 'take', 'package', 'data', 'activate', ' already ',' internet ',' data ',' abis', 'right', 'check', 'pulse', 'main', 'bablas',' die ',' data ',' suggestion ',' consume"&amp;"r ' , 'buy', 'pulse', 'right', 'package', 'data', 'sorry']")</f>
        <v>['contents',' pulse ',' advantages', 'pulses',' used ',' taken ',' first ',' contents', 'take', 'package', 'data', 'activate', ' already ',' internet ',' data ',' abis', 'right', 'check', 'pulse', 'main', 'bablas',' die ',' data ',' suggestion ',' consumer ' , 'buy', 'pulse', 'right', 'package', 'data', 'sorry']</v>
      </c>
      <c r="D117" s="3">
        <v>2.0</v>
      </c>
    </row>
    <row r="118" ht="15.75" customHeight="1">
      <c r="A118" s="1">
        <v>116.0</v>
      </c>
      <c r="B118" s="3" t="s">
        <v>119</v>
      </c>
      <c r="C118" s="3" t="str">
        <f>IFERROR(__xludf.DUMMYFUNCTION("GOOGLETRANSLATE(B118,""id"",""en"")"),"['Fix', 'Network', 'response', 'fast', 'call', 'enter', 'special', 'dareah', 'remote', 'enjoy', 'internet', ' PERIKJ ',' System ',' Costumer ',' Service ',' Call ',' Enter ',' Space ',' Motion ',' Warning ',' Hard ',' Deed ',' Corruption ', ""]")</f>
        <v>['Fix', 'Network', 'response', 'fast', 'call', 'enter', 'special', 'dareah', 'remote', 'enjoy', 'internet', ' PERIKJ ',' System ',' Costumer ',' Service ',' Call ',' Enter ',' Space ',' Motion ',' Warning ',' Hard ',' Deed ',' Corruption ', "]</v>
      </c>
      <c r="D118" s="3">
        <v>5.0</v>
      </c>
    </row>
    <row r="119" ht="15.75" customHeight="1">
      <c r="A119" s="1">
        <v>117.0</v>
      </c>
      <c r="B119" s="3" t="s">
        <v>120</v>
      </c>
      <c r="C119" s="3" t="str">
        <f>IFERROR(__xludf.DUMMYFUNCTION("GOOGLETRANSLATE(B119,""id"",""en"")"),"['application', 'opened', 'check', 'pulse', 'quota', 'manual', 'sms',' dibales', 'operator', 'forced', 'Telkomsel', 'partner', ' Work ',' use ',' Telkomsel ',' garbage ', ""]")</f>
        <v>['application', 'opened', 'check', 'pulse', 'quota', 'manual', 'sms',' dibales', 'operator', 'forced', 'Telkomsel', 'partner', ' Work ',' use ',' Telkomsel ',' garbage ', "]</v>
      </c>
      <c r="D119" s="3">
        <v>1.0</v>
      </c>
    </row>
    <row r="120" ht="15.75" customHeight="1">
      <c r="A120" s="1">
        <v>118.0</v>
      </c>
      <c r="B120" s="3" t="s">
        <v>121</v>
      </c>
      <c r="C120" s="3" t="str">
        <f>IFERROR(__xludf.DUMMYFUNCTION("GOOGLETRANSLATE(B120,""id"",""en"")"),"['fill', 'voucher', 'sorry', 'system', 'busy', 'wait', 'check', 'number', 'series',' voucher ',' apply ',' wait ',' Tomorrow ',' Wait ',' a Week ',' Telkomsel ',' Naon ',' Hopefully ',' Read ',' Replied ', ""]")</f>
        <v>['fill', 'voucher', 'sorry', 'system', 'busy', 'wait', 'check', 'number', 'series',' voucher ',' apply ',' wait ',' Tomorrow ',' Wait ',' a Week ',' Telkomsel ',' Naon ',' Hopefully ',' Read ',' Replied ', "]</v>
      </c>
      <c r="D120" s="3">
        <v>2.0</v>
      </c>
    </row>
    <row r="121" ht="15.75" customHeight="1">
      <c r="A121" s="1">
        <v>119.0</v>
      </c>
      <c r="B121" s="3" t="s">
        <v>122</v>
      </c>
      <c r="C121" s="3" t="str">
        <f>IFERROR(__xludf.DUMMYFUNCTION("GOOGLETRANSLATE(B121,""id"",""en"")"),"['Sorry', 'min', 'check', 'quota', 'update', 'tetep', 'that way', 'that way', 'already', 'dipake', 'quota', 'left', ' Credit ',' Sumpot ',' How ',' Min ', ""]")</f>
        <v>['Sorry', 'min', 'check', 'quota', 'update', 'tetep', 'that way', 'that way', 'already', 'dipake', 'quota', 'left', ' Credit ',' Sumpot ',' How ',' Min ', "]</v>
      </c>
      <c r="D121" s="3">
        <v>2.0</v>
      </c>
    </row>
    <row r="122" ht="15.75" customHeight="1">
      <c r="A122" s="1">
        <v>120.0</v>
      </c>
      <c r="B122" s="3" t="s">
        <v>123</v>
      </c>
      <c r="C122" s="3" t="str">
        <f>IFERROR(__xludf.DUMMYFUNCTION("GOOGLETRANSLATE(B122,""id"",""en"")"),"['Download', 'enter', 'into', 'application', 'check', 'kouta', 'please', 'bother', 'customer', 'you', 'rich', 'hi', ' Telkomsel ']")</f>
        <v>['Download', 'enter', 'into', 'application', 'check', 'kouta', 'please', 'bother', 'customer', 'you', 'rich', 'hi', ' Telkomsel ']</v>
      </c>
      <c r="D122" s="3">
        <v>1.0</v>
      </c>
    </row>
    <row r="123" ht="15.75" customHeight="1">
      <c r="A123" s="1">
        <v>121.0</v>
      </c>
      <c r="B123" s="3" t="s">
        <v>124</v>
      </c>
      <c r="C123" s="3" t="str">
        <f>IFERROR(__xludf.DUMMYFUNCTION("GOOGLETRANSLATE(B123,""id"",""en"")"),"['practical', 'easy', 'understood', 'package', 'cheap', 'looks',' easy ',' it's easy ',' bngt ',' buy ',' package ',' apps', ' LEGK ',' BNGT ',' Signal ',' Stable ',' PDHAL ',' Application ',' BSA ',' Walking ',' Normal ',' ']")</f>
        <v>['practical', 'easy', 'understood', 'package', 'cheap', 'looks',' easy ',' it's easy ',' bngt ',' buy ',' package ',' apps', ' LEGK ',' BNGT ',' Signal ',' Stable ',' PDHAL ',' Application ',' BSA ',' Walking ',' Normal ',' ']</v>
      </c>
      <c r="D123" s="3">
        <v>5.0</v>
      </c>
    </row>
    <row r="124" ht="15.75" customHeight="1">
      <c r="A124" s="1">
        <v>122.0</v>
      </c>
      <c r="B124" s="3" t="s">
        <v>125</v>
      </c>
      <c r="C124" s="3" t="str">
        <f>IFERROR(__xludf.DUMMYFUNCTION("GOOGLETRANSLATE(B124,""id"",""en"")"),"['Nyeselll', 'nyeseeeee', 'pulse', 'cave', 'reduced', 'aghhhhhhh', 'bought', 'cut', 'moneytor', 'mean', 'what', 'duh', ' Lost ',' Indoosat ',' Axis', 'System', 'Key', 'Pulses',' Sumpot ',' Buy ',' Dahlah ',' Please ',' Repredient ',' Min ',' Credit ' , 'C"&amp;"ave', 'Monrytori', 'Thank you', ""]")</f>
        <v>['Nyeselll', 'nyeseeeee', 'pulse', 'cave', 'reduced', 'aghhhhhhh', 'bought', 'cut', 'moneytor', 'mean', 'what', 'duh', ' Lost ',' Indoosat ',' Axis', 'System', 'Key', 'Pulses',' Sumpot ',' Buy ',' Dahlah ',' Please ',' Repredient ',' Min ',' Credit ' , 'Cave', 'Monrytori', 'Thank you', "]</v>
      </c>
      <c r="D124" s="3">
        <v>1.0</v>
      </c>
    </row>
    <row r="125" ht="15.75" customHeight="1">
      <c r="A125" s="1">
        <v>123.0</v>
      </c>
      <c r="B125" s="3" t="s">
        <v>126</v>
      </c>
      <c r="C125" s="3" t="str">
        <f>IFERROR(__xludf.DUMMYFUNCTION("GOOGLETRANSLATE(B125,""id"",""en"")"),"['Sorry', 'Look', 'Lottery', 'Gifts',' Can ',' City ',' City ',' City ',' Pacitan ',' Ngawi ',' Magetan ',' Ngga ',' "", 'PDHAL', 'Customers', 'System', 'Lottery', 'Delicious', 'Take', 'City', 'YearPake', 'Telkomsel', 'No', 'Gift', 'Gift' , 'Exchange', 'P"&amp;"oints',' Hundreds', 'PDHAL', 'Thousand', 'Points',' Nihil ',' Apes', 'Time', 'Telkomsel', 'inland', 'guaranteed', ' No, 'can', 'that's', '']")</f>
        <v>['Sorry', 'Look', 'Lottery', 'Gifts',' Can ',' City ',' City ',' City ',' Pacitan ',' Ngawi ',' Magetan ',' Ngga ',' ", 'PDHAL', 'Customers', 'System', 'Lottery', 'Delicious', 'Take', 'City', 'YearPake', 'Telkomsel', 'No', 'Gift', 'Gift' , 'Exchange', 'Points',' Hundreds', 'PDHAL', 'Thousand', 'Points',' Nihil ',' Apes', 'Time', 'Telkomsel', 'inland', 'guaranteed', ' No, 'can', 'that's', '']</v>
      </c>
      <c r="D125" s="3">
        <v>5.0</v>
      </c>
    </row>
    <row r="126" ht="15.75" customHeight="1">
      <c r="A126" s="1">
        <v>124.0</v>
      </c>
      <c r="B126" s="3" t="s">
        <v>127</v>
      </c>
      <c r="C126" s="3" t="str">
        <f>IFERROR(__xludf.DUMMYFUNCTION("GOOGLETRANSLATE(B126,""id"",""en"")"),"['application', 'heavy', 'sucking', 'battery', 'sough', 'system', 'Telkomsel', 'set', 'use', 'quota', 'active', 'quota', ' main ',' buy ',' On ',' May ',' quota ',' Ministry of Education and Culture ',' On ',' June ',' Kepai ',' quota ',' active ',' mash "&amp;"',' spend ' , 'quota', 'active', 'forced', 'forced', 'HRUS', 'spend', 'quota', 'AKTF', 'MSH', 'Severe', ""]")</f>
        <v>['application', 'heavy', 'sucking', 'battery', 'sough', 'system', 'Telkomsel', 'set', 'use', 'quota', 'active', 'quota', ' main ',' buy ',' On ',' May ',' quota ',' Ministry of Education and Culture ',' On ',' June ',' Kepai ',' quota ',' active ',' mash ',' spend ' , 'quota', 'active', 'forced', 'forced', 'HRUS', 'spend', 'quota', 'AKTF', 'MSH', 'Severe', "]</v>
      </c>
      <c r="D126" s="3">
        <v>1.0</v>
      </c>
    </row>
    <row r="127" ht="15.75" customHeight="1">
      <c r="A127" s="1">
        <v>125.0</v>
      </c>
      <c r="B127" s="3" t="s">
        <v>128</v>
      </c>
      <c r="C127" s="3" t="str">
        <f>IFERROR(__xludf.DUMMYFUNCTION("GOOGLETRANSLATE(B127,""id"",""en"")"),"['thank', 'love', 'update', 'newest', 'depolover', 'comfortable', 'card', 'Telkomsel', 'Please', 'fix', 'signal', 'signal', ' Lost ',' Thank you ',' Attention ', ""]")</f>
        <v>['thank', 'love', 'update', 'newest', 'depolover', 'comfortable', 'card', 'Telkomsel', 'Please', 'fix', 'signal', 'signal', ' Lost ',' Thank you ',' Attention ', "]</v>
      </c>
      <c r="D127" s="3">
        <v>3.0</v>
      </c>
    </row>
    <row r="128" ht="15.75" customHeight="1">
      <c r="A128" s="1">
        <v>126.0</v>
      </c>
      <c r="B128" s="3" t="s">
        <v>129</v>
      </c>
      <c r="C128" s="3" t="str">
        <f>IFERROR(__xludf.DUMMYFUNCTION("GOOGLETRANSLATE(B128,""id"",""en"")"),"['quota', 'ttp', 'pulse', 'suck', 'udh', 'expensive', 'network', 'right', 'play', 'game', 'lag', 'windy', ' Rain ',' lag ',' abis', 'check', 'pulse', 'check', 'quota', 'must', 'pay', 'use', 'Telkomsel', ""]")</f>
        <v>['quota', 'ttp', 'pulse', 'suck', 'udh', 'expensive', 'network', 'right', 'play', 'game', 'lag', 'windy', ' Rain ',' lag ',' abis', 'check', 'pulse', 'check', 'quota', 'must', 'pay', 'use', 'Telkomsel', "]</v>
      </c>
      <c r="D128" s="3">
        <v>1.0</v>
      </c>
    </row>
    <row r="129" ht="15.75" customHeight="1">
      <c r="A129" s="1">
        <v>127.0</v>
      </c>
      <c r="B129" s="3" t="s">
        <v>130</v>
      </c>
      <c r="C129" s="3" t="str">
        <f>IFERROR(__xludf.DUMMYFUNCTION("GOOGLETRANSLATE(B129,""id"",""en"")"),"['update', 'MyTelkomsel', 'buy', 'package', 'data', 'buyer', 'success',' notification ',' package ',' data ',' active ',' please ',' Fix ',' Min ',' ']")</f>
        <v>['update', 'MyTelkomsel', 'buy', 'package', 'data', 'buyer', 'success',' notification ',' package ',' data ',' active ',' please ',' Fix ',' Min ',' ']</v>
      </c>
      <c r="D129" s="3">
        <v>2.0</v>
      </c>
    </row>
    <row r="130" ht="15.75" customHeight="1">
      <c r="A130" s="1">
        <v>128.0</v>
      </c>
      <c r="B130" s="3" t="s">
        <v>131</v>
      </c>
      <c r="C130" s="3" t="str">
        <f>IFERROR(__xludf.DUMMYFUNCTION("GOOGLETRANSLATE(B130,""id"",""en"")"),"['Helpful', 'APK', 'MyTelkomsel', 'Convenience', 'Offers',' Hopefully ',' Telkomsel ',' Jaya ',' Success', 'Service', 'Best', 'Field', ' Communication ',' build ',' nation ',' Indonesia ',' remote ',' region ',' remote ', ""]")</f>
        <v>['Helpful', 'APK', 'MyTelkomsel', 'Convenience', 'Offers',' Hopefully ',' Telkomsel ',' Jaya ',' Success', 'Service', 'Best', 'Field', ' Communication ',' build ',' nation ',' Indonesia ',' remote ',' region ',' remote ', "]</v>
      </c>
      <c r="D130" s="3">
        <v>5.0</v>
      </c>
    </row>
    <row r="131" ht="15.75" customHeight="1">
      <c r="A131" s="1">
        <v>129.0</v>
      </c>
      <c r="B131" s="3" t="s">
        <v>132</v>
      </c>
      <c r="C131" s="3" t="str">
        <f>IFERROR(__xludf.DUMMYFUNCTION("GOOGLETRANSLATE(B131,""id"",""en"")"),"['Please', 'Points',' Kalu ',' No ',' Exchange ',' Credit ',' Heyy ',' Try ',' Read ',' Telkomsel ',' Take ',' luck ',' Mulu ',' times', 'times',' Points', 'exchanged', 'Credit', 'Vocer', 'no', 'Senengin', 'Peguna', 'Telkomsel', 'Dahlah', 'replace' ]")</f>
        <v>['Please', 'Points',' Kalu ',' No ',' Exchange ',' Credit ',' Heyy ',' Try ',' Read ',' Telkomsel ',' Take ',' luck ',' Mulu ',' times', 'times',' Points', 'exchanged', 'Credit', 'Vocer', 'no', 'Senengin', 'Peguna', 'Telkomsel', 'Dahlah', 'replace' ]</v>
      </c>
      <c r="D131" s="3">
        <v>1.0</v>
      </c>
    </row>
    <row r="132" ht="15.75" customHeight="1">
      <c r="A132" s="1">
        <v>130.0</v>
      </c>
      <c r="B132" s="3" t="s">
        <v>133</v>
      </c>
      <c r="C132" s="3" t="str">
        <f>IFERROR(__xludf.DUMMYFUNCTION("GOOGLETRANSLATE(B132,""id"",""en"")"),"['regret', 'buy', 'quota', 'unlimited', 'max', 'speed', 'slow', 'severe', 'quota', 'main', 'abis',' speed ',' So ',' Lawak ',' slow ',' exceed ',' card ',' turning ',' balance ',' funds', 'card', 'tsel', 'patahin', 'ajig']")</f>
        <v>['regret', 'buy', 'quota', 'unlimited', 'max', 'speed', 'slow', 'severe', 'quota', 'main', 'abis',' speed ',' So ',' Lawak ',' slow ',' exceed ',' card ',' turning ',' balance ',' funds', 'card', 'tsel', 'patahin', 'ajig']</v>
      </c>
      <c r="D132" s="3">
        <v>1.0</v>
      </c>
    </row>
    <row r="133" ht="15.75" customHeight="1">
      <c r="A133" s="1">
        <v>131.0</v>
      </c>
      <c r="B133" s="3" t="s">
        <v>134</v>
      </c>
      <c r="C133" s="3" t="str">
        <f>IFERROR(__xludf.DUMMYFUNCTION("GOOGLETRANSLATE(B133,""id"",""en"")"),"['Buy', 'Package', 'RB', 'GB', 'GB', 'All', 'Internet', 'Current', 'GB', 'Chat', 'Sosmed', 'Game', ' etc. ',' Lelwt ',' really ',' earnings', 'open', 'telegram', 'update', 'maen', 'game', 'loading', 'trs',' intention ',' gave ' , 'signal', 'ngntd']")</f>
        <v>['Buy', 'Package', 'RB', 'GB', 'GB', 'All', 'Internet', 'Current', 'GB', 'Chat', 'Sosmed', 'Game', ' etc. ',' Lelwt ',' really ',' earnings', 'open', 'telegram', 'update', 'maen', 'game', 'loading', 'trs',' intention ',' gave ' , 'signal', 'ngntd']</v>
      </c>
      <c r="D133" s="3">
        <v>1.0</v>
      </c>
    </row>
    <row r="134" ht="15.75" customHeight="1">
      <c r="A134" s="1">
        <v>132.0</v>
      </c>
      <c r="B134" s="3" t="s">
        <v>135</v>
      </c>
      <c r="C134" s="3" t="str">
        <f>IFERROR(__xludf.DUMMYFUNCTION("GOOGLETRANSLATE(B134,""id"",""en"")"),"['like', 'network', 'Telkomsel', 'noa', 'like', 'package', 'internet', 'Telkomsel', 'drain', 'pocket', 'pocket', 'please', ' Telkomsel ',' Package ',' Internet ',' Cheap ',' Nida ',' Memampuh ',' ']")</f>
        <v>['like', 'network', 'Telkomsel', 'noa', 'like', 'package', 'internet', 'Telkomsel', 'drain', 'pocket', 'pocket', 'please', ' Telkomsel ',' Package ',' Internet ',' Cheap ',' Nida ',' Memampuh ',' ']</v>
      </c>
      <c r="D134" s="3">
        <v>5.0</v>
      </c>
    </row>
    <row r="135" ht="15.75" customHeight="1">
      <c r="A135" s="1">
        <v>133.0</v>
      </c>
      <c r="B135" s="3" t="s">
        <v>136</v>
      </c>
      <c r="C135" s="3" t="str">
        <f>IFERROR(__xludf.DUMMYFUNCTION("GOOGLETRANSLATE(B135,""id"",""en"")"),"['Telkomsel', 'have', 'Points',' Points', 'Exchange', 'Package', 'Internet', 'Exchange', 'Points',' Money ',' Telkomsel ',' Please ',' Enjoy ',' application ',' ']")</f>
        <v>['Telkomsel', 'have', 'Points',' Points', 'Exchange', 'Package', 'Internet', 'Exchange', 'Points',' Money ',' Telkomsel ',' Please ',' Enjoy ',' application ',' ']</v>
      </c>
      <c r="D135" s="3">
        <v>3.0</v>
      </c>
    </row>
    <row r="136" ht="15.75" customHeight="1">
      <c r="A136" s="1">
        <v>134.0</v>
      </c>
      <c r="B136" s="3" t="s">
        <v>137</v>
      </c>
      <c r="C136" s="3" t="str">
        <f>IFERROR(__xludf.DUMMYFUNCTION("GOOGLETRANSLATE(B136,""id"",""en"")"),"['Telkomsel', 'Please', 'Restore', 'Unlimited', 'GB', 'Use', 'Limitation', 'Unlimited', 'Name', 'Smartfren', ""]")</f>
        <v>['Telkomsel', 'Please', 'Restore', 'Unlimited', 'GB', 'Use', 'Limitation', 'Unlimited', 'Name', 'Smartfren', "]</v>
      </c>
      <c r="D136" s="3">
        <v>1.0</v>
      </c>
    </row>
    <row r="137" ht="15.75" customHeight="1">
      <c r="A137" s="1">
        <v>135.0</v>
      </c>
      <c r="B137" s="3" t="s">
        <v>138</v>
      </c>
      <c r="C137" s="3" t="str">
        <f>IFERROR(__xludf.DUMMYFUNCTION("GOOGLETRANSLATE(B137,""id"",""en"")"),"['application', 'garbage', 'data', 'background', 'turned off', 'sucking', 'quota', 'package', 'Telkomsel', 'package', 'data', 'browsing', ' Credit ',' sucked ',' run out ',' ']")</f>
        <v>['application', 'garbage', 'data', 'background', 'turned off', 'sucking', 'quota', 'package', 'Telkomsel', 'package', 'data', 'browsing', ' Credit ',' sucked ',' run out ',' ']</v>
      </c>
      <c r="D137" s="3">
        <v>1.0</v>
      </c>
    </row>
    <row r="138" ht="15.75" customHeight="1">
      <c r="A138" s="1">
        <v>136.0</v>
      </c>
      <c r="B138" s="3" t="s">
        <v>139</v>
      </c>
      <c r="C138" s="3" t="str">
        <f>IFERROR(__xludf.DUMMYFUNCTION("GOOGLETRANSLATE(B138,""id"",""en"")"),"['week', 'network', 'Telkomsel', 'slow', 'bet', 'please', 'disorder', 'love', 'info', 'gini', 'times',' user ',' Emotions', 'oath', 'Serapah', ""]")</f>
        <v>['week', 'network', 'Telkomsel', 'slow', 'bet', 'please', 'disorder', 'love', 'info', 'gini', 'times',' user ',' Emotions', 'oath', 'Serapah', "]</v>
      </c>
      <c r="D138" s="3">
        <v>1.0</v>
      </c>
    </row>
    <row r="139" ht="15.75" customHeight="1">
      <c r="A139" s="1">
        <v>137.0</v>
      </c>
      <c r="B139" s="3" t="s">
        <v>140</v>
      </c>
      <c r="C139" s="3" t="str">
        <f>IFERROR(__xludf.DUMMYFUNCTION("GOOGLETRANSLATE(B139,""id"",""en"")"),"['quota', 'main', 'take', 'quota', 'sosmed', 'quota', 'main', 'take', 'browsing', 'please', 'repair', ""]")</f>
        <v>['quota', 'main', 'take', 'quota', 'sosmed', 'quota', 'main', 'take', 'browsing', 'please', 'repair', "]</v>
      </c>
      <c r="D139" s="3">
        <v>1.0</v>
      </c>
    </row>
    <row r="140" ht="15.75" customHeight="1">
      <c r="A140" s="1">
        <v>138.0</v>
      </c>
      <c r="B140" s="3" t="s">
        <v>141</v>
      </c>
      <c r="C140" s="3" t="str">
        <f>IFERROR(__xludf.DUMMYFUNCTION("GOOGLETRANSLATE(B140,""id"",""en"")"),"['Telkomsel', 'Please', 'Price', 'Package', 'Data', 'Expensive', 'Expensive', 'How', 'Mending', 'Mending', 'Signal', 'Good', ' ehh ',' signal ',' satisfied ',' price ',' signal ',' pulp ',' beg ',' signal ',' good ',' expensive ',' expensive ',' package '"&amp;",' ']")</f>
        <v>['Telkomsel', 'Please', 'Price', 'Package', 'Data', 'Expensive', 'Expensive', 'How', 'Mending', 'Mending', 'Signal', 'Good', ' ehh ',' signal ',' satisfied ',' price ',' signal ',' pulp ',' beg ',' signal ',' good ',' expensive ',' expensive ',' package ',' ']</v>
      </c>
      <c r="D140" s="3">
        <v>1.0</v>
      </c>
    </row>
    <row r="141" ht="15.75" customHeight="1">
      <c r="A141" s="1">
        <v>139.0</v>
      </c>
      <c r="B141" s="3" t="s">
        <v>142</v>
      </c>
      <c r="C141" s="3" t="str">
        <f>IFERROR(__xludf.DUMMYFUNCTION("GOOGLETRANSLATE(B141,""id"",""en"")"),"['crazy', 'Telkomsel', 'signal', 'steady', 'bar', 'full', 'reality', 'field', 'rto', 'kayak', 'internet', 'chao', ' Fucked ',' chaotic ',' balau ']")</f>
        <v>['crazy', 'Telkomsel', 'signal', 'steady', 'bar', 'full', 'reality', 'field', 'rto', 'kayak', 'internet', 'chao', ' Fucked ',' chaotic ',' balau ']</v>
      </c>
      <c r="D141" s="3">
        <v>1.0</v>
      </c>
    </row>
    <row r="142" ht="15.75" customHeight="1">
      <c r="A142" s="1">
        <v>140.0</v>
      </c>
      <c r="B142" s="3" t="s">
        <v>143</v>
      </c>
      <c r="C142" s="3" t="str">
        <f>IFERROR(__xludf.DUMMYFUNCTION("GOOGLETRANSLATE(B142,""id"",""en"")"),"['reload', 'reload', 'gatau', 'network', 'application', 'application', 'please', 'repair', 'solution', 'gmn', 'network', 'use', ' Provider ',' Telkomsel ']")</f>
        <v>['reload', 'reload', 'gatau', 'network', 'application', 'application', 'please', 'repair', 'solution', 'gmn', 'network', 'use', ' Provider ',' Telkomsel ']</v>
      </c>
      <c r="D142" s="3">
        <v>2.0</v>
      </c>
    </row>
    <row r="143" ht="15.75" customHeight="1">
      <c r="A143" s="1">
        <v>141.0</v>
      </c>
      <c r="B143" s="3" t="s">
        <v>144</v>
      </c>
      <c r="C143" s="3" t="str">
        <f>IFERROR(__xludf.DUMMYFUNCTION("GOOGLETRANSLATE(B143,""id"",""en"")"),"['application', 'Telkomsel', 'easy', 'access',' choice ',' buy ',' package ',' emusing ',' fill ',' pulse ',' connected ',' wallet ',' ']")</f>
        <v>['application', 'Telkomsel', 'easy', 'access',' choice ',' buy ',' package ',' emusing ',' fill ',' pulse ',' connected ',' wallet ',' ']</v>
      </c>
      <c r="D143" s="3">
        <v>5.0</v>
      </c>
    </row>
    <row r="144" ht="15.75" customHeight="1">
      <c r="A144" s="1">
        <v>142.0</v>
      </c>
      <c r="B144" s="3" t="s">
        <v>145</v>
      </c>
      <c r="C144" s="3" t="str">
        <f>IFERROR(__xludf.DUMMYFUNCTION("GOOGLETRANSLATE(B144,""id"",""en"")"),"['Since', 'replace', 'difficult', 'enter', 'ngeblang', 'update', 'suuah', 'enter', 'please', 'smooth', 'enter', 'love', ' Stars', 'thank', 'love']")</f>
        <v>['Since', 'replace', 'difficult', 'enter', 'ngeblang', 'update', 'suuah', 'enter', 'please', 'smooth', 'enter', 'love', ' Stars', 'thank', 'love']</v>
      </c>
      <c r="D144" s="3">
        <v>3.0</v>
      </c>
    </row>
    <row r="145" ht="15.75" customHeight="1">
      <c r="A145" s="1">
        <v>143.0</v>
      </c>
      <c r="B145" s="3" t="s">
        <v>146</v>
      </c>
      <c r="C145" s="3" t="str">
        <f>IFERROR(__xludf.DUMMYFUNCTION("GOOGLETRANSLATE(B145,""id"",""en"")"),"['YTH', 'Telkomsel', 'have', 'complaints',' a month ',' network ',' card ',' Telkomsel ',' slow ',' ganguan ',' ngelag ',' Please ',' please ',' fix ',' as soon as possible ',' fast ',' send ',' task ',' school ']")</f>
        <v>['YTH', 'Telkomsel', 'have', 'complaints',' a month ',' network ',' card ',' Telkomsel ',' slow ',' ganguan ',' ngelag ',' Please ',' please ',' fix ',' as soon as possible ',' fast ',' send ',' task ',' school ']</v>
      </c>
      <c r="D145" s="3">
        <v>1.0</v>
      </c>
    </row>
    <row r="146" ht="15.75" customHeight="1">
      <c r="A146" s="1">
        <v>144.0</v>
      </c>
      <c r="B146" s="3" t="s">
        <v>147</v>
      </c>
      <c r="C146" s="3" t="str">
        <f>IFERROR(__xludf.DUMMYFUNCTION("GOOGLETRANSLATE(B146,""id"",""en"")"),"['Internet', 'Telkomsel', 'super', 'slow', 'slow', 'waiting', 'buffering', 'after', 'it seems',' change ',' strong ',' signal ',' ']")</f>
        <v>['Internet', 'Telkomsel', 'super', 'slow', 'slow', 'waiting', 'buffering', 'after', 'it seems',' change ',' strong ',' signal ',' ']</v>
      </c>
      <c r="D146" s="3">
        <v>1.0</v>
      </c>
    </row>
    <row r="147" ht="15.75" customHeight="1">
      <c r="A147" s="1">
        <v>145.0</v>
      </c>
      <c r="B147" s="3" t="s">
        <v>148</v>
      </c>
      <c r="C147" s="3" t="str">
        <f>IFERROR(__xludf.DUMMYFUNCTION("GOOGLETRANSLATE(B147,""id"",""en"")"),"['Network', 'ugly', 'play', 'games',' online ',' note ',' quality ',' network ',' price ',' package ',' expensive ',' quality ',' network ',' good ',' thank you ']")</f>
        <v>['Network', 'ugly', 'play', 'games',' online ',' note ',' quality ',' network ',' price ',' package ',' expensive ',' quality ',' network ',' good ',' thank you ']</v>
      </c>
      <c r="D147" s="3">
        <v>2.0</v>
      </c>
    </row>
    <row r="148" ht="15.75" customHeight="1">
      <c r="A148" s="1">
        <v>146.0</v>
      </c>
      <c r="B148" s="3" t="s">
        <v>149</v>
      </c>
      <c r="C148" s="3" t="str">
        <f>IFERROR(__xludf.DUMMYFUNCTION("GOOGLETRANSLATE(B148,""id"",""en"")"),"['application', 'good', 'so good', 'good', 'heavy', 'open', 'minute', 'kek', 'oven', 'fast', 'egg', 'minutes',' Direct ',' Hank ',' Logout ',' Login ',' MasyaLloh ',' HeeMmmmm ',' Overall ',' SIH ',' BNYK ',' BONUS ',' DLL ',' Application ',' Jngn ' , 'He"&amp;"avy', 'yahh', 'jdi', 'sleep', 'until', 'broken', 'GGra', 'application']")</f>
        <v>['application', 'good', 'so good', 'good', 'heavy', 'open', 'minute', 'kek', 'oven', 'fast', 'egg', 'minutes',' Direct ',' Hank ',' Logout ',' Login ',' MasyaLloh ',' HeeMmmmm ',' Overall ',' SIH ',' BNYK ',' BONUS ',' DLL ',' Application ',' Jngn ' , 'Heavy', 'yahh', 'jdi', 'sleep', 'until', 'broken', 'GGra', 'application']</v>
      </c>
      <c r="D148" s="3">
        <v>3.0</v>
      </c>
    </row>
    <row r="149" ht="15.75" customHeight="1">
      <c r="A149" s="1">
        <v>147.0</v>
      </c>
      <c r="B149" s="3" t="s">
        <v>150</v>
      </c>
      <c r="C149" s="3" t="str">
        <f>IFERROR(__xludf.DUMMYFUNCTION("GOOGLETRANSLATE(B149,""id"",""en"")"),"['please', 'Telkomsel', 'service', 'good', 'love', 'price', 'expensive', 'expensive', 'quality', 'network', 'bad', 'already', ' network ',' bad ',' the application ',' poor ',' slow ',' response ',' update ',' hadehh ',' edit ',' strange ',' net ',' missi"&amp;"ng ',' nge ' , 'spike', 'slow', 'expensive', 'expensive', 'mending', 'buy', 'next door', 'network', 'different', 'provider', 'rot']")</f>
        <v>['please', 'Telkomsel', 'service', 'good', 'love', 'price', 'expensive', 'expensive', 'quality', 'network', 'bad', 'already', ' network ',' bad ',' the application ',' poor ',' slow ',' response ',' update ',' hadehh ',' edit ',' strange ',' net ',' missing ',' nge ' , 'spike', 'slow', 'expensive', 'expensive', 'mending', 'buy', 'next door', 'network', 'different', 'provider', 'rot']</v>
      </c>
      <c r="D149" s="3">
        <v>1.0</v>
      </c>
    </row>
    <row r="150" ht="15.75" customHeight="1">
      <c r="A150" s="1">
        <v>148.0</v>
      </c>
      <c r="B150" s="3" t="s">
        <v>151</v>
      </c>
      <c r="C150" s="3" t="str">
        <f>IFERROR(__xludf.DUMMYFUNCTION("GOOGLETRANSLATE(B150,""id"",""en"")"),"['buy', 'quota', 'unlimitedmax', 'GB', 'quota', 'local', 'darling', 'direct', 'quota', 'unlimited', 'slow', 'quota', ' Local ',' severe ',' already ',' make ',' Telkomsel ',' disappointed ',' Telkomsel ']")</f>
        <v>['buy', 'quota', 'unlimitedmax', 'GB', 'quota', 'local', 'darling', 'direct', 'quota', 'unlimited', 'slow', 'quota', ' Local ',' severe ',' already ',' make ',' Telkomsel ',' disappointed ',' Telkomsel ']</v>
      </c>
      <c r="D150" s="3">
        <v>1.0</v>
      </c>
    </row>
    <row r="151" ht="15.75" customHeight="1">
      <c r="A151" s="1">
        <v>149.0</v>
      </c>
      <c r="B151" s="3" t="s">
        <v>152</v>
      </c>
      <c r="C151" s="3" t="str">
        <f>IFERROR(__xludf.DUMMYFUNCTION("GOOGLETRANSLATE(B151,""id"",""en"")"),"['signal', 'Telkomsel', 'slow', 'slow', 'city', 'local', 'contents',' user ',' Telkomsel ',' disappointed ',' Telkomsel ',' signal ',' Leg ',' Leg ',' Leet ',' Leet ', ""]")</f>
        <v>['signal', 'Telkomsel', 'slow', 'slow', 'city', 'local', 'contents',' user ',' Telkomsel ',' disappointed ',' Telkomsel ',' signal ',' Leg ',' Leg ',' Leet ',' Leet ', "]</v>
      </c>
      <c r="D151" s="3">
        <v>1.0</v>
      </c>
    </row>
    <row r="152" ht="15.75" customHeight="1">
      <c r="A152" s="1">
        <v>150.0</v>
      </c>
      <c r="B152" s="3" t="s">
        <v>153</v>
      </c>
      <c r="C152" s="3" t="str">
        <f>IFERROR(__xludf.DUMMYFUNCTION("GOOGLETRANSLATE(B152,""id"",""en"")"),"['Contents',' Credit ',' Enter ',' Credit ',' Reduced ',' Bener ',' Provider ',' Malak ',' Credit ',' Knowledge ',' Mending ',' Move ',' Providers', 'already', 'slow', 'network', 'peket', 'expensive', '']")</f>
        <v>['Contents',' Credit ',' Enter ',' Credit ',' Reduced ',' Bener ',' Provider ',' Malak ',' Credit ',' Knowledge ',' Mending ',' Move ',' Providers', 'already', 'slow', 'network', 'peket', 'expensive', '']</v>
      </c>
      <c r="D152" s="3">
        <v>1.0</v>
      </c>
    </row>
    <row r="153" ht="15.75" customHeight="1">
      <c r="A153" s="1">
        <v>151.0</v>
      </c>
      <c r="B153" s="3" t="s">
        <v>154</v>
      </c>
      <c r="C153" s="3" t="str">
        <f>IFERROR(__xludf.DUMMYFUNCTION("GOOGLETRANSLATE(B153,""id"",""en"")"),"['Please', 'already', 'pulse', 'missing', 'like', 'gini', 'Telkomsel', 'missing', 'already', 'plead', 'Veronika', 'the result', ' already ',' data ',' love ',' photo ',' pulse ',' enter ',' wait ',' nil ',' fill ',' pulse ',' disappear ',' pulses', 'afrai"&amp;"d' , 'reload phone credit']")</f>
        <v>['Please', 'already', 'pulse', 'missing', 'like', 'gini', 'Telkomsel', 'missing', 'already', 'plead', 'Veronika', 'the result', ' already ',' data ',' love ',' photo ',' pulse ',' enter ',' wait ',' nil ',' fill ',' pulse ',' disappear ',' pulses', 'afraid' , 'reload phone credit']</v>
      </c>
      <c r="D153" s="3">
        <v>1.0</v>
      </c>
    </row>
    <row r="154" ht="15.75" customHeight="1">
      <c r="A154" s="1">
        <v>152.0</v>
      </c>
      <c r="B154" s="3" t="s">
        <v>155</v>
      </c>
      <c r="C154" s="3" t="str">
        <f>IFERROR(__xludf.DUMMYFUNCTION("GOOGLETRANSLATE(B154,""id"",""en"")"),"['Real', 'stupid', 'Link', 'Package', 'OMG', 'GB', 'GB', 'App', 'Telkomsel', 'reset', 'price', 'Customer', ' Telkomsel ',' Disappointed ',' ']")</f>
        <v>['Real', 'stupid', 'Link', 'Package', 'OMG', 'GB', 'GB', 'App', 'Telkomsel', 'reset', 'price', 'Customer', ' Telkomsel ',' Disappointed ',' ']</v>
      </c>
      <c r="D154" s="3">
        <v>1.0</v>
      </c>
    </row>
    <row r="155" ht="15.75" customHeight="1">
      <c r="A155" s="1">
        <v>153.0</v>
      </c>
      <c r="B155" s="3" t="s">
        <v>156</v>
      </c>
      <c r="C155" s="3" t="str">
        <f>IFERROR(__xludf.DUMMYFUNCTION("GOOGLETRANSLATE(B155,""id"",""en"")"),"['', 'Kasi', 'star', 'Login', 'Sometimes',' told ',' Reload ',' White ',' Image ',' Ntah ',' Constraints', 'Network', 'Clock ',' Terooss', 'package', 'sometimes',' reload ',' sometimes', 'told', 'enter', 'number', 'enter', 'number', 'UDH', 'list', 'Fix', "&amp;"'like', 'Kasi', 'star', '']")</f>
        <v>['', 'Kasi', 'star', 'Login', 'Sometimes',' told ',' Reload ',' White ',' Image ',' Ntah ',' Constraints', 'Network', 'Clock ',' Terooss', 'package', 'sometimes',' reload ',' sometimes', 'told', 'enter', 'number', 'enter', 'number', 'UDH', 'list', 'Fix', 'like', 'Kasi', 'star', '']</v>
      </c>
      <c r="D155" s="3">
        <v>3.0</v>
      </c>
    </row>
    <row r="156" ht="15.75" customHeight="1">
      <c r="A156" s="1">
        <v>154.0</v>
      </c>
      <c r="B156" s="3" t="s">
        <v>157</v>
      </c>
      <c r="C156" s="3" t="str">
        <f>IFERROR(__xludf.DUMMYFUNCTION("GOOGLETRANSLATE(B156,""id"",""en"")"),"['disappointing', 'buy', 'package', 'unlimited', 'max', 'payment', 'already', 'managed', 'please', 'Telkomsel', 'corrected', 'disorder', ' thank you', '']")</f>
        <v>['disappointing', 'buy', 'package', 'unlimited', 'max', 'payment', 'already', 'managed', 'please', 'Telkomsel', 'corrected', 'disorder', ' thank you', '']</v>
      </c>
      <c r="D156" s="3">
        <v>1.0</v>
      </c>
    </row>
    <row r="157" ht="15.75" customHeight="1">
      <c r="A157" s="1">
        <v>155.0</v>
      </c>
      <c r="B157" s="3" t="s">
        <v>158</v>
      </c>
      <c r="C157" s="3" t="str">
        <f>IFERROR(__xludf.DUMMYFUNCTION("GOOGLETRANSLATE(B157,""id"",""en"")"),"['hard', 'cust', 'contents',' reset ',' quota ',' quota ',' msh ',' priority ',' usage ',' quota ',' quota ',' suck ',' Stealing ',' quota ',' cust ',' that's', 'name', '']")</f>
        <v>['hard', 'cust', 'contents',' reset ',' quota ',' quota ',' msh ',' priority ',' usage ',' quota ',' quota ',' suck ',' Stealing ',' quota ',' cust ',' that's', 'name', '']</v>
      </c>
      <c r="D157" s="3">
        <v>1.0</v>
      </c>
    </row>
    <row r="158" ht="15.75" customHeight="1">
      <c r="A158" s="1">
        <v>156.0</v>
      </c>
      <c r="B158" s="3" t="s">
        <v>159</v>
      </c>
      <c r="C158" s="3" t="str">
        <f>IFERROR(__xludf.DUMMYFUNCTION("GOOGLETRANSLATE(B158,""id"",""en"")"),"['Honest', 'Uncomfortable', 'MUCH', 'SMS', 'Enter', 'Onward', 'Gift', 'Fraud', 'Easy', 'Number', 'Customer', 'Telkomsel', ' Receive ',' Operator ',' ']")</f>
        <v>['Honest', 'Uncomfortable', 'MUCH', 'SMS', 'Enter', 'Onward', 'Gift', 'Fraud', 'Easy', 'Number', 'Customer', 'Telkomsel', ' Receive ',' Operator ',' ']</v>
      </c>
      <c r="D158" s="3">
        <v>1.0</v>
      </c>
    </row>
    <row r="159" ht="15.75" customHeight="1">
      <c r="A159" s="1">
        <v>157.0</v>
      </c>
      <c r="B159" s="3" t="s">
        <v>160</v>
      </c>
      <c r="C159" s="3" t="str">
        <f>IFERROR(__xludf.DUMMYFUNCTION("GOOGLETRANSLATE(B159,""id"",""en"")"),"['parahh', 'artisan', 'nyolong', 'pulse', 'data', 'kga', 'activated', 'already', 'reconform', 'reconform', 'already', 'times',' Histolled ',' miss', 'emng', 'ilang', 'just', 'silver', 'tetep', 'buy', 'package', '']")</f>
        <v>['parahh', 'artisan', 'nyolong', 'pulse', 'data', 'kga', 'activated', 'already', 'reconform', 'reconform', 'already', 'times',' Histolled ',' miss', 'emng', 'ilang', 'just', 'silver', 'tetep', 'buy', 'package', '']</v>
      </c>
      <c r="D159" s="3">
        <v>1.0</v>
      </c>
    </row>
    <row r="160" ht="15.75" customHeight="1">
      <c r="A160" s="1">
        <v>158.0</v>
      </c>
      <c r="B160" s="3" t="s">
        <v>161</v>
      </c>
      <c r="C160" s="3" t="str">
        <f>IFERROR(__xludf.DUMMYFUNCTION("GOOGLETRANSLATE(B160,""id"",""en"")"),"['Kombo', 'Sakti', 'Lost', 'Change', 'Kombo', 'Sakti', 'GB', 'Price', 'Usage', 'Monthly', 'Cave', 'Application', ' Published ',' thousand ',' Different ',' a little ',' price ',' combo ',' Sakti ',' TPIIIIII ',' GB ',' Cave ',' Anjg ',' Bad ',' really ' ,"&amp;" 'Sales', 'Please', 'Restore', 'Kombo', 'Sakti', '']")</f>
        <v>['Kombo', 'Sakti', 'Lost', 'Change', 'Kombo', 'Sakti', 'GB', 'Price', 'Usage', 'Monthly', 'Cave', 'Application', ' Published ',' thousand ',' Different ',' a little ',' price ',' combo ',' Sakti ',' TPIIIIII ',' GB ',' Cave ',' Anjg ',' Bad ',' really ' , 'Sales', 'Please', 'Restore', 'Kombo', 'Sakti', '']</v>
      </c>
      <c r="D160" s="3">
        <v>1.0</v>
      </c>
    </row>
    <row r="161" ht="15.75" customHeight="1">
      <c r="A161" s="1">
        <v>159.0</v>
      </c>
      <c r="B161" s="3" t="s">
        <v>162</v>
      </c>
      <c r="C161" s="3" t="str">
        <f>IFERROR(__xludf.DUMMYFUNCTION("GOOGLETRANSLATE(B161,""id"",""en"")"),"['Claim', 'Quota', 'Free', 'Daily', 'Check', 'Posts',' Already ',' Claims', 'Pas',' Check ',' Notif ',' already ',' package ',' unlimited ',' ugly ',' border ',' naked ',' internet ',' limit ',' yesterday ',' play ',' game ',' quota ',' main ',' capitaliz"&amp;"ed ' , 'unlimited', 'play', 'skarang', 'rate', 'star', 'star', 'rate', 'emng', 'reality', 'ugly', 'really', 'app', ' MyTelkomsel ',' Package ',' ']")</f>
        <v>['Claim', 'Quota', 'Free', 'Daily', 'Check', 'Posts',' Already ',' Claims', 'Pas',' Check ',' Notif ',' already ',' package ',' unlimited ',' ugly ',' border ',' naked ',' internet ',' limit ',' yesterday ',' play ',' game ',' quota ',' main ',' capitalized ' , 'unlimited', 'play', 'skarang', 'rate', 'star', 'star', 'rate', 'emng', 'reality', 'ugly', 'really', 'app', ' MyTelkomsel ',' Package ',' ']</v>
      </c>
      <c r="D161" s="3">
        <v>1.0</v>
      </c>
    </row>
    <row r="162" ht="15.75" customHeight="1">
      <c r="A162" s="1">
        <v>160.0</v>
      </c>
      <c r="B162" s="3" t="s">
        <v>163</v>
      </c>
      <c r="C162" s="3" t="str">
        <f>IFERROR(__xludf.DUMMYFUNCTION("GOOGLETRANSLATE(B162,""id"",""en"")"),"['Different', 'number', 'Different', 'price', 'package', 'getting', 'expensive', 'compared to', 'friend', 'run out', 'signal', 'area', ' Affordable ',' subscribe ',' signal ',' Bgus', 'trouble', 'dokupung', '']")</f>
        <v>['Different', 'number', 'Different', 'price', 'package', 'getting', 'expensive', 'compared to', 'friend', 'run out', 'signal', 'area', ' Affordable ',' subscribe ',' signal ',' Bgus', 'trouble', 'dokupung', '']</v>
      </c>
      <c r="D162" s="3">
        <v>1.0</v>
      </c>
    </row>
    <row r="163" ht="15.75" customHeight="1">
      <c r="A163" s="1">
        <v>161.0</v>
      </c>
      <c r="B163" s="3" t="s">
        <v>164</v>
      </c>
      <c r="C163" s="3" t="str">
        <f>IFERROR(__xludf.DUMMYFUNCTION("GOOGLETRANSLATE(B163,""id"",""en"")"),"['Number', 'SMS', 'Services',' Giver ',' Loan ',' Disappointed ',' Telkomsel ',' Leaking ',' Data ',' Please ',' Clarification ',' Credit ',' Cut ',' reason ',' pay off ',' package ',' emergency ',' buy ',' package ',' emergency ',' harmed ',' disappointe"&amp;"d ',' service ',' Telkomsel ',' bad ' , '']")</f>
        <v>['Number', 'SMS', 'Services',' Giver ',' Loan ',' Disappointed ',' Telkomsel ',' Leaking ',' Data ',' Please ',' Clarification ',' Credit ',' Cut ',' reason ',' pay off ',' package ',' emergency ',' buy ',' package ',' emergency ',' harmed ',' disappointed ',' service ',' Telkomsel ',' bad ' , '']</v>
      </c>
      <c r="D163" s="3">
        <v>1.0</v>
      </c>
    </row>
    <row r="164" ht="15.75" customHeight="1">
      <c r="A164" s="1">
        <v>162.0</v>
      </c>
      <c r="B164" s="3" t="s">
        <v>165</v>
      </c>
      <c r="C164" s="3" t="str">
        <f>IFERROR(__xludf.DUMMYFUNCTION("GOOGLETRANSLATE(B164,""id"",""en"")"),"['Please', 'Network', 'Benerin', 'reconnect', 'ugly', 'buy', 'package', 'a little', 'please', 'love', 'convenience', 'user', ' You're ',' check ',' buy ',' Tawarin ',' card ',' postpaid ',' expensive ',' concentrated ',' buy ',' please ',' luck ',' stay '"&amp;",' city ' , 'Network', 'Severe', '']")</f>
        <v>['Please', 'Network', 'Benerin', 'reconnect', 'ugly', 'buy', 'package', 'a little', 'please', 'love', 'convenience', 'user', ' You're ',' check ',' buy ',' Tawarin ',' card ',' postpaid ',' expensive ',' concentrated ',' buy ',' please ',' luck ',' stay ',' city ' , 'Network', 'Severe', '']</v>
      </c>
      <c r="D164" s="3">
        <v>1.0</v>
      </c>
    </row>
    <row r="165" ht="15.75" customHeight="1">
      <c r="A165" s="1">
        <v>163.0</v>
      </c>
      <c r="B165" s="3" t="s">
        <v>166</v>
      </c>
      <c r="C165" s="3" t="str">
        <f>IFERROR(__xludf.DUMMYFUNCTION("GOOGLETRANSLATE(B165,""id"",""en"")"),"['Please', 'Sorry', 'UDH', 'Times',' Cheated ',' Package ',' Unlimited ',' Free ',' Intertentan ',' Telkomsel ',' Please ',' Very ',' Fix ',' Sampe ',' Change ',' Network ',' Subscribe ',' Telkomsel ',' Gini ',' Move ',' Card ',' Data ',' People ',' Pleas"&amp;"e ',' Very ' , 'Telkomsel', 'Thank you', ""]")</f>
        <v>['Please', 'Sorry', 'UDH', 'Times',' Cheated ',' Package ',' Unlimited ',' Free ',' Intertentan ',' Telkomsel ',' Please ',' Very ',' Fix ',' Sampe ',' Change ',' Network ',' Subscribe ',' Telkomsel ',' Gini ',' Move ',' Card ',' Data ',' People ',' Please ',' Very ' , 'Telkomsel', 'Thank you', "]</v>
      </c>
      <c r="D165" s="3">
        <v>2.0</v>
      </c>
    </row>
    <row r="166" ht="15.75" customHeight="1">
      <c r="A166" s="1">
        <v>164.0</v>
      </c>
      <c r="B166" s="3" t="s">
        <v>167</v>
      </c>
      <c r="C166" s="3" t="str">
        <f>IFERROR(__xludf.DUMMYFUNCTION("GOOGLETRANSLATE(B166,""id"",""en"")"),"['Buy', 'Package', 'GameSmax', 'HRUS', 'SMPE', 'RB', 'KNP', 'Balance', 'Berkurg', 'Notif', 'On', 'Packed', ' Look ',' self-',' purchase ',' price ',' pay, ',' honest ',' sgt ',' harmed ',' Please ',' response ',' explanation ',' Krna ',' say ' , 'TLP', 'B"&amp;"usy', 'Thank you']")</f>
        <v>['Buy', 'Package', 'GameSmax', 'HRUS', 'SMPE', 'RB', 'KNP', 'Balance', 'Berkurg', 'Notif', 'On', 'Packed', ' Look ',' self-',' purchase ',' price ',' pay, ',' honest ',' sgt ',' harmed ',' Please ',' response ',' explanation ',' Krna ',' say ' , 'TLP', 'Busy', 'Thank you']</v>
      </c>
      <c r="D166" s="3">
        <v>1.0</v>
      </c>
    </row>
    <row r="167" ht="15.75" customHeight="1">
      <c r="A167" s="1">
        <v>165.0</v>
      </c>
      <c r="B167" s="3" t="s">
        <v>168</v>
      </c>
      <c r="C167" s="3" t="str">
        <f>IFERROR(__xludf.DUMMYFUNCTION("GOOGLETRANSLATE(B167,""id"",""en"")"),"['quota', 'GB', 'Credit', 'Regular', 'Sumpot', 'Packagein', 'Provider', 'Worst', 'How', 'Credit', 'Regular', 'Sumpot', ' Quota ',' main ',' ']")</f>
        <v>['quota', 'GB', 'Credit', 'Regular', 'Sumpot', 'Packagein', 'Provider', 'Worst', 'How', 'Credit', 'Regular', 'Sumpot', ' Quota ',' main ',' ']</v>
      </c>
      <c r="D167" s="3">
        <v>1.0</v>
      </c>
    </row>
    <row r="168" ht="15.75" customHeight="1">
      <c r="A168" s="1">
        <v>166.0</v>
      </c>
      <c r="B168" s="3" t="s">
        <v>169</v>
      </c>
      <c r="C168" s="3" t="str">
        <f>IFERROR(__xludf.DUMMYFUNCTION("GOOGLETRANSLATE(B168,""id"",""en"")"),"['signal', 'Telkomsel', 'already', 'rich', 'card', 'next door', 'hit', 'ujan', 'slow', 'ilang', 'signal', 'defeat', ' already ',' fill in ',' pulse ',' like ',' sumps', 'already', 'expensive', 'signal', 'ilang', 'Nilagan', 'how', 'service', ""]")</f>
        <v>['signal', 'Telkomsel', 'already', 'rich', 'card', 'next door', 'hit', 'ujan', 'slow', 'ilang', 'signal', 'defeat', ' already ',' fill in ',' pulse ',' like ',' sumps', 'already', 'expensive', 'signal', 'ilang', 'Nilagan', 'how', 'service', "]</v>
      </c>
      <c r="D168" s="3">
        <v>1.0</v>
      </c>
    </row>
    <row r="169" ht="15.75" customHeight="1">
      <c r="A169" s="1">
        <v>167.0</v>
      </c>
      <c r="B169" s="3" t="s">
        <v>170</v>
      </c>
      <c r="C169" s="3" t="str">
        <f>IFERROR(__xludf.DUMMYFUNCTION("GOOGLETRANSLATE(B169,""id"",""en"")"),"['Signal', 'Severe', 'Telkomsel', 'Klu', 'Rain', 'Good', 'Good', 'Grimis',' Udh ',' Rich ',' Lights', 'Red', ' Wait a minute, 'Bentar', 'bro', '']")</f>
        <v>['Signal', 'Severe', 'Telkomsel', 'Klu', 'Rain', 'Good', 'Good', 'Grimis',' Udh ',' Rich ',' Lights', 'Red', ' Wait a minute, 'Bentar', 'bro', '']</v>
      </c>
      <c r="D169" s="3">
        <v>1.0</v>
      </c>
    </row>
    <row r="170" ht="15.75" customHeight="1">
      <c r="A170" s="1">
        <v>168.0</v>
      </c>
      <c r="B170" s="3" t="s">
        <v>171</v>
      </c>
      <c r="C170" s="3" t="str">
        <f>IFERROR(__xludf.DUMMYFUNCTION("GOOGLETRANSLATE(B170,""id"",""en"")"),"['Damagedkkk', 'Network', 'Haloo', 'Maen', 'Mobile', 'Lagend', 'War', 'Hilangk', 'Nagihhhh', 'perbonynnn', 'TPI', 'Network', ' Ancurrr ',' Parahhhhh ',' Kagak ',' Benerin ', ""]")</f>
        <v>['Damagedkkk', 'Network', 'Haloo', 'Maen', 'Mobile', 'Lagend', 'War', 'Hilangk', 'Nagihhhh', 'perbonynnn', 'TPI', 'Network', ' Ancurrr ',' Parahhhhh ',' Kagak ',' Benerin ', "]</v>
      </c>
      <c r="D170" s="3">
        <v>1.0</v>
      </c>
    </row>
    <row r="171" ht="15.75" customHeight="1">
      <c r="A171" s="1">
        <v>169.0</v>
      </c>
      <c r="B171" s="3" t="s">
        <v>172</v>
      </c>
      <c r="C171" s="3" t="str">
        <f>IFERROR(__xludf.DUMMYFUNCTION("GOOGLETRANSLATE(B171,""id"",""en"")"),"['WOI', 'NGAI', 'BONUS', 'Credit', 'BETL', 'SIKL', 'DIKASI', 'BONUS', 'Credit', 'Used', 'Mending', 'Kasi', ' bonus', 'package', 'data', 'useful', 'fooling', 'yes',' pulses', 'use', 'nelfon', 'person', 'idiot', 'nelfon', 'pulse' , 'package', 'nelfon', 'che"&amp;"ap', 'makasi', 'moon', 'maap', 'comment', 'mature', 'because', 'weve', 'masi', 'locil', ' Nelfon ',' Customer ',' What's', 'Karna', 'Masi']")</f>
        <v>['WOI', 'NGAI', 'BONUS', 'Credit', 'BETL', 'SIKL', 'DIKASI', 'BONUS', 'Credit', 'Used', 'Mending', 'Kasi', ' bonus', 'package', 'data', 'useful', 'fooling', 'yes',' pulses', 'use', 'nelfon', 'person', 'idiot', 'nelfon', 'pulse' , 'package', 'nelfon', 'cheap', 'makasi', 'moon', 'maap', 'comment', 'mature', 'because', 'weve', 'masi', 'locil', ' Nelfon ',' Customer ',' What's', 'Karna', 'Masi']</v>
      </c>
      <c r="D171" s="3">
        <v>1.0</v>
      </c>
    </row>
    <row r="172" ht="15.75" customHeight="1">
      <c r="A172" s="1">
        <v>170.0</v>
      </c>
      <c r="B172" s="3" t="s">
        <v>173</v>
      </c>
      <c r="C172" s="3" t="str">
        <f>IFERROR(__xludf.DUMMYFUNCTION("GOOGLETRANSLATE(B172,""id"",""en"")"),"['Sorry', 'pull', 'star', 'ngeselin', 'price', 'package', 'suits',' quality ',' maen ',' game ',' online ',' nga ',' Setabil ',' Promo ',' Package ',' Games', 'Disappointed', '']")</f>
        <v>['Sorry', 'pull', 'star', 'ngeselin', 'price', 'package', 'suits',' quality ',' maen ',' game ',' online ',' nga ',' Setabil ',' Promo ',' Package ',' Games', 'Disappointed', '']</v>
      </c>
      <c r="D172" s="3">
        <v>1.0</v>
      </c>
    </row>
    <row r="173" ht="15.75" customHeight="1">
      <c r="A173" s="1">
        <v>171.0</v>
      </c>
      <c r="B173" s="3" t="s">
        <v>174</v>
      </c>
      <c r="C173" s="3" t="str">
        <f>IFERROR(__xludf.DUMMYFUNCTION("GOOGLETRANSLATE(B173,""id"",""en"")"),"['KPD', 'Telkomsel', 'complaining', 'Hardy', 'Signal', 'Region', 'Village', 'Kedungbanjar', 'Kec', 'Park', 'Kab', 'Pemalang', ' Please ',' Repaired ',' Signal ',' Region ',' Trimakasih ', ""]")</f>
        <v>['KPD', 'Telkomsel', 'complaining', 'Hardy', 'Signal', 'Region', 'Village', 'Kedungbanjar', 'Kec', 'Park', 'Kab', 'Pemalang', ' Please ',' Repaired ',' Signal ',' Region ',' Trimakasih ', "]</v>
      </c>
      <c r="D173" s="3">
        <v>3.0</v>
      </c>
    </row>
    <row r="174" ht="15.75" customHeight="1">
      <c r="A174" s="1">
        <v>172.0</v>
      </c>
      <c r="B174" s="3" t="s">
        <v>175</v>
      </c>
      <c r="C174" s="3" t="str">
        <f>IFERROR(__xludf.DUMMYFUNCTION("GOOGLETRANSLATE(B174,""id"",""en"")"),"['Assalamualaikum', 'Malintang', 'Kec', 'Bukit', 'Malintang', 'Kab', 'Mandailing', 'Christmas',' Submit ',' Tower ',' Troubled ',' Sgera ',' repaired ',' night ',' signal ',' Telkomsel ',' sub-district ',' please ',' his attention ',' repaired ',' scpat '"&amp;",' already ',' thanks']")</f>
        <v>['Assalamualaikum', 'Malintang', 'Kec', 'Bukit', 'Malintang', 'Kab', 'Mandailing', 'Christmas',' Submit ',' Tower ',' Troubled ',' Sgera ',' repaired ',' night ',' signal ',' Telkomsel ',' sub-district ',' please ',' his attention ',' repaired ',' scpat ',' already ',' thanks']</v>
      </c>
      <c r="D174" s="3">
        <v>1.0</v>
      </c>
    </row>
    <row r="175" ht="15.75" customHeight="1">
      <c r="A175" s="1">
        <v>173.0</v>
      </c>
      <c r="B175" s="3" t="s">
        <v>176</v>
      </c>
      <c r="C175" s="3" t="str">
        <f>IFERROR(__xludf.DUMMYFUNCTION("GOOGLETRANSLATE(B175,""id"",""en"")"),"['Yesterday', 'buy', 'package', 'cheerful', 'RB', 'GB', 'active', 'HR', 'SUCCESS', 'PDHL', 'promo', 'MyTelkomsel', ' Msh ',' buy ',' Sis', 'Please', 'Help']")</f>
        <v>['Yesterday', 'buy', 'package', 'cheerful', 'RB', 'GB', 'active', 'HR', 'SUCCESS', 'PDHL', 'promo', 'MyTelkomsel', ' Msh ',' buy ',' Sis', 'Please', 'Help']</v>
      </c>
      <c r="D175" s="3">
        <v>4.0</v>
      </c>
    </row>
    <row r="176" ht="15.75" customHeight="1">
      <c r="A176" s="1">
        <v>174.0</v>
      </c>
      <c r="B176" s="3" t="s">
        <v>177</v>
      </c>
      <c r="C176" s="3" t="str">
        <f>IFERROR(__xludf.DUMMYFUNCTION("GOOGLETRANSLATE(B176,""id"",""en"")"),"['Bener', 'slow', 'quota', 'price', 'expensive', 'repairs',' Review ',' Telkomsel ',' see ',' complaint ',' TTG ',' please ',' repaired ',' bad ']")</f>
        <v>['Bener', 'slow', 'quota', 'price', 'expensive', 'repairs',' Review ',' Telkomsel ',' see ',' complaint ',' TTG ',' please ',' repaired ',' bad ']</v>
      </c>
      <c r="D176" s="3">
        <v>1.0</v>
      </c>
    </row>
    <row r="177" ht="15.75" customHeight="1">
      <c r="A177" s="1">
        <v>175.0</v>
      </c>
      <c r="B177" s="3" t="s">
        <v>178</v>
      </c>
      <c r="C177" s="3" t="str">
        <f>IFERROR(__xludf.DUMMYFUNCTION("GOOGLETRANSLATE(B177,""id"",""en"")"),"['signal', 'good', 'try', 'package', 'expensive', 'cheap', 'signal', 'tsel', 'at home', 'because', 'use', 'sympathy', ' Alert ',' Gaenak ',' Rain ',' Gede ',' Dead ',' Lights', 'Signal', 'Lost', 'Gabias Usually', ""]")</f>
        <v>['signal', 'good', 'try', 'package', 'expensive', 'cheap', 'signal', 'tsel', 'at home', 'because', 'use', 'sympathy', ' Alert ',' Gaenak ',' Rain ',' Gede ',' Dead ',' Lights', 'Signal', 'Lost', 'Gabias Usually', "]</v>
      </c>
      <c r="D177" s="3">
        <v>5.0</v>
      </c>
    </row>
    <row r="178" ht="15.75" customHeight="1">
      <c r="A178" s="1">
        <v>176.0</v>
      </c>
      <c r="B178" s="3" t="s">
        <v>179</v>
      </c>
      <c r="C178" s="3" t="str">
        <f>IFERROR(__xludf.DUMMYFUNCTION("GOOGLETRANSLATE(B178,""id"",""en"")"),"['Price', 'Package', 'Internet', 'OMG', 'Combo', 'Changed', 'Change', 'Hope', 'Discount', 'Subsidy', 'Price', 'Package', ' Because ',' detrimental ',' Costumer ']")</f>
        <v>['Price', 'Package', 'Internet', 'OMG', 'Combo', 'Changed', 'Change', 'Hope', 'Discount', 'Subsidy', 'Price', 'Package', ' Because ',' detrimental ',' Costumer ']</v>
      </c>
      <c r="D178" s="3">
        <v>2.0</v>
      </c>
    </row>
    <row r="179" ht="15.75" customHeight="1">
      <c r="A179" s="1">
        <v>177.0</v>
      </c>
      <c r="B179" s="3" t="s">
        <v>180</v>
      </c>
      <c r="C179" s="3" t="str">
        <f>IFERROR(__xludf.DUMMYFUNCTION("GOOGLETRANSLATE(B179,""id"",""en"")"),"['Disappointed', 'Telkomsel', 'buy', 'Package', 'Data', 'MyTelkomsel', 'Sya', 'Meng', 'Click', 'Buy', 'Package', 'Data', ' Sya ',' buy ',' entry ',' pulse ',' sucked ',' causing ',' lose ',' package ',' data ',' pulse ',' sucked ',' please ',' cooperation"&amp;" ' ]")</f>
        <v>['Disappointed', 'Telkomsel', 'buy', 'Package', 'Data', 'MyTelkomsel', 'Sya', 'Meng', 'Click', 'Buy', 'Package', 'Data', ' Sya ',' buy ',' entry ',' pulse ',' sucked ',' causing ',' lose ',' package ',' data ',' pulse ',' sucked ',' please ',' cooperation ' ]</v>
      </c>
      <c r="D179" s="3">
        <v>1.0</v>
      </c>
    </row>
    <row r="180" ht="15.75" customHeight="1">
      <c r="A180" s="1">
        <v>178.0</v>
      </c>
      <c r="B180" s="3" t="s">
        <v>181</v>
      </c>
      <c r="C180" s="3" t="str">
        <f>IFERROR(__xludf.DUMMYFUNCTION("GOOGLETRANSLATE(B180,""id"",""en"")"),"['Promo', 'MyTelkomsel', 'hope', 'MyTelkomsel', 'promo', 'purchase', 'package', 'package', 'internet', ""]")</f>
        <v>['Promo', 'MyTelkomsel', 'hope', 'MyTelkomsel', 'promo', 'purchase', 'package', 'package', 'internet', "]</v>
      </c>
      <c r="D180" s="3">
        <v>5.0</v>
      </c>
    </row>
    <row r="181" ht="15.75" customHeight="1">
      <c r="A181" s="1">
        <v>179.0</v>
      </c>
      <c r="B181" s="3" t="s">
        <v>182</v>
      </c>
      <c r="C181" s="3" t="str">
        <f>IFERROR(__xludf.DUMMYFUNCTION("GOOGLETRANSLATE(B181,""id"",""en"")"),"['network', 'Telkomsel', 'already', 'good', 'disappointing', 'lazy', 'Telkomsel', 'Please', 'network', 'repair', 'user', 'feel', ' ugliness', 'network', 'Telkomsel', 'disappointed', 'network', 'Telkomsel', '']")</f>
        <v>['network', 'Telkomsel', 'already', 'good', 'disappointing', 'lazy', 'Telkomsel', 'Please', 'network', 'repair', 'user', 'feel', ' ugliness', 'network', 'Telkomsel', 'disappointed', 'network', 'Telkomsel', '']</v>
      </c>
      <c r="D181" s="3">
        <v>1.0</v>
      </c>
    </row>
    <row r="182" ht="15.75" customHeight="1">
      <c r="A182" s="1">
        <v>180.0</v>
      </c>
      <c r="B182" s="3" t="s">
        <v>183</v>
      </c>
      <c r="C182" s="3" t="str">
        <f>IFERROR(__xludf.DUMMYFUNCTION("GOOGLETRANSLATE(B182,""id"",""en"")"),"['Please', 'Maap', 'The Network', 'Like', 'Ngelag', 'Night', 'Ngelag', 'Severe', 'Pas',' Play ',' Game ',' Online ',' Disturbed ',' please ',' how ',' ']")</f>
        <v>['Please', 'Maap', 'The Network', 'Like', 'Ngelag', 'Night', 'Ngelag', 'Severe', 'Pas',' Play ',' Game ',' Online ',' Disturbed ',' please ',' how ',' ']</v>
      </c>
      <c r="D182" s="3">
        <v>2.0</v>
      </c>
    </row>
    <row r="183" ht="15.75" customHeight="1">
      <c r="A183" s="1">
        <v>181.0</v>
      </c>
      <c r="B183" s="3" t="s">
        <v>184</v>
      </c>
      <c r="C183" s="3" t="str">
        <f>IFERROR(__xludf.DUMMYFUNCTION("GOOGLETRANSLATE(B183,""id"",""en"")"),"['Service', 'good', 'no', 'got', 'Lottery', 'card', 'UDH', 'subscribe', 'no', 'replace', ""]")</f>
        <v>['Service', 'good', 'no', 'got', 'Lottery', 'card', 'UDH', 'subscribe', 'no', 'replace', "]</v>
      </c>
      <c r="D183" s="3">
        <v>5.0</v>
      </c>
    </row>
    <row r="184" ht="15.75" customHeight="1">
      <c r="A184" s="1">
        <v>182.0</v>
      </c>
      <c r="B184" s="3" t="s">
        <v>185</v>
      </c>
      <c r="C184" s="3" t="str">
        <f>IFERROR(__xludf.DUMMYFUNCTION("GOOGLETRANSLATE(B184,""id"",""en"")"),"['network', 'slow', 'unlimited', 'lie', 'speed', 'mentok', 'kbps',' chat ',' send ',' already ',' slow ',' sya ',' Love ',' Bintang ',' ']")</f>
        <v>['network', 'slow', 'unlimited', 'lie', 'speed', 'mentok', 'kbps',' chat ',' send ',' already ',' slow ',' sya ',' Love ',' Bintang ',' ']</v>
      </c>
      <c r="D184" s="3">
        <v>1.0</v>
      </c>
    </row>
    <row r="185" ht="15.75" customHeight="1">
      <c r="A185" s="1">
        <v>183.0</v>
      </c>
      <c r="B185" s="3" t="s">
        <v>186</v>
      </c>
      <c r="C185" s="3" t="str">
        <f>IFERROR(__xludf.DUMMYFUNCTION("GOOGLETRANSLATE(B185,""id"",""en"")"),"['The application', 'stupid', 'opened', 'difficult', 'really', 'package', 'used to', 'Udh', 'ilang', 'package', 'contents',' pulses', ' UDH ',' Gabisa ',' buy ',' Crazy ',' Telkomsel ',' Taik ',' Dego ',' Baget ']")</f>
        <v>['The application', 'stupid', 'opened', 'difficult', 'really', 'package', 'used to', 'Udh', 'ilang', 'package', 'contents',' pulses', ' UDH ',' Gabisa ',' buy ',' Crazy ',' Telkomsel ',' Taik ',' Dego ',' Baget ']</v>
      </c>
      <c r="D185" s="3">
        <v>1.0</v>
      </c>
    </row>
    <row r="186" ht="15.75" customHeight="1">
      <c r="A186" s="1">
        <v>184.0</v>
      </c>
      <c r="B186" s="3" t="s">
        <v>187</v>
      </c>
      <c r="C186" s="3" t="str">
        <f>IFERROR(__xludf.DUMMYFUNCTION("GOOGLETRANSLATE(B186,""id"",""en"")"),"['Network', 'here', 'ugly', 'The day', 'Full', 'Doang', 'network', 'smooth', 'Jaya', 'Ngelag', 'Severe', 'Severe', ' network ',' worse ',' network ',' change ',' please ',' fix ',' location ',' sumatra ',' north ',' pematangsiantar ',' simalungun ',' sill"&amp;"aumanik ', ""]")</f>
        <v>['Network', 'here', 'ugly', 'The day', 'Full', 'Doang', 'network', 'smooth', 'Jaya', 'Ngelag', 'Severe', 'Severe', ' network ',' worse ',' network ',' change ',' please ',' fix ',' location ',' sumatra ',' north ',' pematangsiantar ',' simalungun ',' sillaumanik ', "]</v>
      </c>
      <c r="D186" s="3">
        <v>1.0</v>
      </c>
    </row>
    <row r="187" ht="15.75" customHeight="1">
      <c r="A187" s="1">
        <v>185.0</v>
      </c>
      <c r="B187" s="3" t="s">
        <v>188</v>
      </c>
      <c r="C187" s="3" t="str">
        <f>IFERROR(__xludf.DUMMYFUNCTION("GOOGLETRANSLATE(B187,""id"",""en"")"),"['price', 'package', 'data', 'expensive', 'compared', 'operator', 'customer', 'loyal', 'Telkomsel', 'expensive', 'package', 'data', ' operator', '']")</f>
        <v>['price', 'package', 'data', 'expensive', 'compared', 'operator', 'customer', 'loyal', 'Telkomsel', 'expensive', 'package', 'data', ' operator', '']</v>
      </c>
      <c r="D187" s="3">
        <v>1.0</v>
      </c>
    </row>
    <row r="188" ht="15.75" customHeight="1">
      <c r="A188" s="1">
        <v>186.0</v>
      </c>
      <c r="B188" s="3" t="s">
        <v>189</v>
      </c>
      <c r="C188" s="3" t="str">
        <f>IFERROR(__xludf.DUMMYFUNCTION("GOOGLETRANSLATE(B188,""id"",""en"")"),"['Sorry', 'Telkomsel', 'lose', 'competitiveness',' provider ',' Telkomsel ',' network ',' recognized ',' network ',' down ',' derast ',' ugly ',' Suggestions', 'sell', 'packages',' data ',' expensive ',' expensive ',' expensive ',' quality ',' cheap ',' T"&amp;"hanks', '']")</f>
        <v>['Sorry', 'Telkomsel', 'lose', 'competitiveness',' provider ',' Telkomsel ',' network ',' recognized ',' network ',' down ',' derast ',' ugly ',' Suggestions', 'sell', 'packages',' data ',' expensive ',' expensive ',' expensive ',' quality ',' cheap ',' Thanks', '']</v>
      </c>
      <c r="D188" s="3">
        <v>1.0</v>
      </c>
    </row>
    <row r="189" ht="15.75" customHeight="1">
      <c r="A189" s="1">
        <v>187.0</v>
      </c>
      <c r="B189" s="3" t="s">
        <v>190</v>
      </c>
      <c r="C189" s="3" t="str">
        <f>IFERROR(__xludf.DUMMYFUNCTION("GOOGLETRANSLATE(B189,""id"",""en"")"),"['Wonder', 'oath', 'ama', 'application', 'network', 'here', 'Severe', 'chaotic', 'open', 'application', 'Telkomsel', 'crash', ' Application ',' application ',' stop ',' description ',' user ',' Telkomsel ',' chaotic ',' package ',' expensive ',' network '"&amp;",' chaotic ',' please ',' Telkomsel ' , 'Professional', 'name', 'biggest', 'netting', 'trivial', 'company', 'UDH', 'take', 'over', '']")</f>
        <v>['Wonder', 'oath', 'ama', 'application', 'network', 'here', 'Severe', 'chaotic', 'open', 'application', 'Telkomsel', 'crash', ' Application ',' application ',' stop ',' description ',' user ',' Telkomsel ',' chaotic ',' package ',' expensive ',' network ',' chaotic ',' please ',' Telkomsel ' , 'Professional', 'name', 'biggest', 'netting', 'trivial', 'company', 'UDH', 'take', 'over', '']</v>
      </c>
      <c r="D189" s="3">
        <v>1.0</v>
      </c>
    </row>
    <row r="190" ht="15.75" customHeight="1">
      <c r="A190" s="1">
        <v>188.0</v>
      </c>
      <c r="B190" s="3" t="s">
        <v>191</v>
      </c>
      <c r="C190" s="3" t="str">
        <f>IFERROR(__xludf.DUMMYFUNCTION("GOOGLETRANSLATE(B190,""id"",""en"")"),"['Disappointed', 'Ama', 'Package', 'Telkomsel', 'Unlimited', 'ugly', 'relatives',' moved ',' Next to ',' Hopefully ',' Paketan ',' Move ',' adjacent', '']")</f>
        <v>['Disappointed', 'Ama', 'Package', 'Telkomsel', 'Unlimited', 'ugly', 'relatives',' moved ',' Next to ',' Hopefully ',' Paketan ',' Move ',' adjacent', '']</v>
      </c>
      <c r="D190" s="3">
        <v>1.0</v>
      </c>
    </row>
    <row r="191" ht="15.75" customHeight="1">
      <c r="A191" s="1">
        <v>189.0</v>
      </c>
      <c r="B191" s="3" t="s">
        <v>192</v>
      </c>
      <c r="C191" s="3" t="str">
        <f>IFERROR(__xludf.DUMMYFUNCTION("GOOGLETRANSLATE(B191,""id"",""en"")"),"['buy', 'Telkomsel', 'Lite', 'buy', 'package', 'internet', 'lite', 'active', 'skrg', 'times',' buy ',' lite ',' Buy ',' Writing ',' Buy ',' Package ',' Lite ',' How ',' Company ',' Telkomsel ',' complained ',' Restless', 'Telkomsel']")</f>
        <v>['buy', 'Telkomsel', 'Lite', 'buy', 'package', 'internet', 'lite', 'active', 'skrg', 'times',' buy ',' lite ',' Buy ',' Writing ',' Buy ',' Package ',' Lite ',' How ',' Company ',' Telkomsel ',' complained ',' Restless', 'Telkomsel']</v>
      </c>
      <c r="D191" s="3">
        <v>1.0</v>
      </c>
    </row>
    <row r="192" ht="15.75" customHeight="1">
      <c r="A192" s="1">
        <v>190.0</v>
      </c>
      <c r="B192" s="3" t="s">
        <v>193</v>
      </c>
      <c r="C192" s="3" t="str">
        <f>IFERROR(__xludf.DUMMYFUNCTION("GOOGLETRANSLATE(B192,""id"",""en"")"),"['Network', 'yes',' fast ',' package ',' expensive ',' combo ',' magic ',' expensive ',' rare ',' contents', 'package', 'love', ' Cheap ',' turn ',' buy ',' package ',' love ',' expensive ',' ']")</f>
        <v>['Network', 'yes',' fast ',' package ',' expensive ',' combo ',' magic ',' expensive ',' rare ',' contents', 'package', 'love', ' Cheap ',' turn ',' buy ',' package ',' love ',' expensive ',' ']</v>
      </c>
      <c r="D192" s="3">
        <v>2.0</v>
      </c>
    </row>
    <row r="193" ht="15.75" customHeight="1">
      <c r="A193" s="1">
        <v>191.0</v>
      </c>
      <c r="B193" s="3" t="s">
        <v>194</v>
      </c>
      <c r="C193" s="3" t="str">
        <f>IFERROR(__xludf.DUMMYFUNCTION("GOOGLETRANSLATE(B193,""id"",""en"")"),"['min', 'improvement', 'service', 'pulse', 'safe', 'pulse', 'sumps',' min ',' run out ',' sumps', 'until', 'minutes',' SMS ',' notification ',' late ',' Please ',' fix ',' ']")</f>
        <v>['min', 'improvement', 'service', 'pulse', 'safe', 'pulse', 'sumps',' min ',' run out ',' sumps', 'until', 'minutes',' SMS ',' notification ',' late ',' Please ',' fix ',' ']</v>
      </c>
      <c r="D193" s="3">
        <v>2.0</v>
      </c>
    </row>
    <row r="194" ht="15.75" customHeight="1">
      <c r="A194" s="1">
        <v>192.0</v>
      </c>
      <c r="B194" s="3" t="s">
        <v>195</v>
      </c>
      <c r="C194" s="3" t="str">
        <f>IFERROR(__xludf.DUMMYFUNCTION("GOOGLETRANSLATE(B194,""id"",""en"")"),"['Damn', 'Application', 'Full', 'Hoax', 'You', 'Get', 'Free', 'Tsel', 'You', 'Download', 'This',' APL ',' thats', 'hoax', 'pulse', 'free', 'thousand', 'but', 'apply', 'pairs',' package ',' pulse ',' because '' me ',' package ' , 'Credit', 'Useful', 'Hangu"&amp;"s',' That's', 'Lottery', 'Exchange', 'Point', 'Fake', 'Whatever', 'Point', 'Point', 'Win', ' Lottery ',' useful ',' heheheheheheh ',' waste ',' your ',' time ',' lol ']")</f>
        <v>['Damn', 'Application', 'Full', 'Hoax', 'You', 'Get', 'Free', 'Tsel', 'You', 'Download', 'This',' APL ',' thats', 'hoax', 'pulse', 'free', 'thousand', 'but', 'apply', 'pairs',' package ',' pulse ',' because '' me ',' package ' , 'Credit', 'Useful', 'Hangus',' That's', 'Lottery', 'Exchange', 'Point', 'Fake', 'Whatever', 'Point', 'Point', 'Win', ' Lottery ',' useful ',' heheheheheheh ',' waste ',' your ',' time ',' lol ']</v>
      </c>
      <c r="D194" s="3">
        <v>1.0</v>
      </c>
    </row>
    <row r="195" ht="15.75" customHeight="1">
      <c r="A195" s="1">
        <v>193.0</v>
      </c>
      <c r="B195" s="3" t="s">
        <v>196</v>
      </c>
      <c r="C195" s="3" t="str">
        <f>IFERROR(__xludf.DUMMYFUNCTION("GOOGLETRANSLATE(B195,""id"",""en"")"),"['disappointed', 'buy', 'pulse', 'apk', 'Telkomsel', 'method', 'payment', 'pakek', 'link', 'payment', 'balance', 'link', ' Reduced ',' Notification ',' APK ',' Telkomsel ',' Payment ',' Success', 'Scorched', 'Balance', 'Link', 'Please', 'Restore', ""]")</f>
        <v>['disappointed', 'buy', 'pulse', 'apk', 'Telkomsel', 'method', 'payment', 'pakek', 'link', 'payment', 'balance', 'link', ' Reduced ',' Notification ',' APK ',' Telkomsel ',' Payment ',' Success', 'Scorched', 'Balance', 'Link', 'Please', 'Restore', "]</v>
      </c>
      <c r="D195" s="3">
        <v>1.0</v>
      </c>
    </row>
    <row r="196" ht="15.75" customHeight="1">
      <c r="A196" s="1">
        <v>194.0</v>
      </c>
      <c r="B196" s="3" t="s">
        <v>197</v>
      </c>
      <c r="C196" s="3" t="str">
        <f>IFERROR(__xludf.DUMMYFUNCTION("GOOGLETRANSLATE(B196,""id"",""en"")"),"['Package', 'Combo', 'Sakti', 'Unlimited', 'Limit', 'Use', 'Normal', 'Price', 'Package', 'Expensive', 'Package', 'GameSmax', ' play ',' mobile ',' Legend ',' login ',' doang ',' weve ',' gabisa ',' playing ',' gausah ',' selling ',' package ',' gamemax ',"&amp;" ""]")</f>
        <v>['Package', 'Combo', 'Sakti', 'Unlimited', 'Limit', 'Use', 'Normal', 'Price', 'Package', 'Expensive', 'Package', 'GameSmax', ' play ',' mobile ',' Legend ',' login ',' doang ',' weve ',' gabisa ',' playing ',' gausah ',' selling ',' package ',' gamemax ', "]</v>
      </c>
      <c r="D196" s="3">
        <v>1.0</v>
      </c>
    </row>
    <row r="197" ht="15.75" customHeight="1">
      <c r="A197" s="1">
        <v>195.0</v>
      </c>
      <c r="B197" s="3" t="s">
        <v>198</v>
      </c>
      <c r="C197" s="3" t="str">
        <f>IFERROR(__xludf.DUMMYFUNCTION("GOOGLETRANSLATE(B197,""id"",""en"")"),"['Telkomsel', 'network', 'like', 'lost', 'disconnected', 'customer', 'services',' online ',' application ',' Telkomsel ',' complete ',' complaint ',' responded to ',' clarity ',' complaints', 'credit', 'reduced', 'processed', 'clarity', 'pulse', 'returned"&amp;"', 'get', 'voucher', 'discount', 'daily' , 'Check', 'Code', 'Referral', 'Used', 'Lottery', 'Points',' Happy ',' Get ',' Bener ',' Get ',' Gift ',' Axis', ' Direct ',' process', ""]")</f>
        <v>['Telkomsel', 'network', 'like', 'lost', 'disconnected', 'customer', 'services',' online ',' application ',' Telkomsel ',' complete ',' complaint ',' responded to ',' clarity ',' complaints', 'credit', 'reduced', 'processed', 'clarity', 'pulse', 'returned', 'get', 'voucher', 'discount', 'daily' , 'Check', 'Code', 'Referral', 'Used', 'Lottery', 'Points',' Happy ',' Get ',' Bener ',' Get ',' Gift ',' Axis', ' Direct ',' process', "]</v>
      </c>
      <c r="D197" s="3">
        <v>1.0</v>
      </c>
    </row>
    <row r="198" ht="15.75" customHeight="1">
      <c r="A198" s="1">
        <v>196.0</v>
      </c>
      <c r="B198" s="3" t="s">
        <v>199</v>
      </c>
      <c r="C198" s="3" t="str">
        <f>IFERROR(__xludf.DUMMYFUNCTION("GOOGLETRANSLATE(B198,""id"",""en"")"),"['Sorry', 'User', 'Card', 'Telkomsel', 'Please', 'Policy', 'Price', 'Pas',' Purchase ',' Credit ',' Package ',' Data ',' Combo ',' Sakti ',' GB ',' RB ',' Please ',' Return ',' Price ',' RB ',' Price ',' Buy ',' Content ',' reset ',' pulses' , 'difficult'"&amp;", 'because', 'buy', 'price', 'rb', 'contents',' pulse ',' price ',' rb ',' please ',' awaited ',' change ',' Buy ',' Package ',' Combo ',' Sakti ',' for ',' RB ',' ISI ',' Credit ',' RB ',' RB ']")</f>
        <v>['Sorry', 'User', 'Card', 'Telkomsel', 'Please', 'Policy', 'Price', 'Pas',' Purchase ',' Credit ',' Package ',' Data ',' Combo ',' Sakti ',' GB ',' RB ',' Please ',' Return ',' Price ',' RB ',' Price ',' Buy ',' Content ',' reset ',' pulses' , 'difficult', 'because', 'buy', 'price', 'rb', 'contents',' pulse ',' price ',' rb ',' please ',' awaited ',' change ',' Buy ',' Package ',' Combo ',' Sakti ',' for ',' RB ',' ISI ',' Credit ',' RB ',' RB ']</v>
      </c>
      <c r="D198" s="3">
        <v>1.0</v>
      </c>
    </row>
    <row r="199" ht="15.75" customHeight="1">
      <c r="A199" s="1">
        <v>197.0</v>
      </c>
      <c r="B199" s="3" t="s">
        <v>200</v>
      </c>
      <c r="C199" s="3" t="str">
        <f>IFERROR(__xludf.DUMMYFUNCTION("GOOGLETRANSLATE(B199,""id"",""en"")"),"['please', 'Telkomsel', 'Hopefully', 'comment', 'Sya', 'joker', 'Tlong', 'extensive', 'network', 'Telkomsel', 'network', 'officer', ' Telkomsel ',' Hina ',' Gakrima ',' then ',' fate ',' yng ',' plobal ',' mngalami ',' network ',' bad ',' tlong ',' listen"&amp;" ',' center ' , 'Telkomsel', 'Point', 'Importy', 'Upgrade', 'Network', 'Stabilize', 'Quality', 'Network', 'Skian', 'Dri', 'Gwa', 'user', ' Telkomsel ',' Telkomsel ',' price ',' package ',' expensive ',' network ',' potatoes', '']")</f>
        <v>['please', 'Telkomsel', 'Hopefully', 'comment', 'Sya', 'joker', 'Tlong', 'extensive', 'network', 'Telkomsel', 'network', 'officer', ' Telkomsel ',' Hina ',' Gakrima ',' then ',' fate ',' yng ',' plobal ',' mngalami ',' network ',' bad ',' tlong ',' listen ',' center ' , 'Telkomsel', 'Point', 'Importy', 'Upgrade', 'Network', 'Stabilize', 'Quality', 'Network', 'Skian', 'Dri', 'Gwa', 'user', ' Telkomsel ',' Telkomsel ',' price ',' package ',' expensive ',' network ',' potatoes', '']</v>
      </c>
      <c r="D199" s="3">
        <v>1.0</v>
      </c>
    </row>
    <row r="200" ht="15.75" customHeight="1">
      <c r="A200" s="1">
        <v>198.0</v>
      </c>
      <c r="B200" s="3" t="s">
        <v>201</v>
      </c>
      <c r="C200" s="3" t="str">
        <f>IFERROR(__xludf.DUMMYFUNCTION("GOOGLETRANSLATE(B200,""id"",""en"")"),"['BEKASI', 'East', 'Kalimalang', 'Severe', 'Boss',' Signal ',' Bar ',' Internet ',' Test ',' Test ',' Connection ',' Lamban ',' Download ',' KB ',' Upload ',' MB ',' ']")</f>
        <v>['BEKASI', 'East', 'Kalimalang', 'Severe', 'Boss',' Signal ',' Bar ',' Internet ',' Test ',' Test ',' Connection ',' Lamban ',' Download ',' KB ',' Upload ',' MB ',' ']</v>
      </c>
      <c r="D200" s="3">
        <v>1.0</v>
      </c>
    </row>
    <row r="201" ht="15.75" customHeight="1">
      <c r="A201" s="1">
        <v>199.0</v>
      </c>
      <c r="B201" s="3" t="s">
        <v>202</v>
      </c>
      <c r="C201" s="3" t="str">
        <f>IFERROR(__xludf.DUMMYFUNCTION("GOOGLETRANSLATE(B201,""id"",""en"")"),"['Whyyyy', 'That's',' Package ',' Data ',' Unlimited ',' Socmed ',' Skrg ',' FUP ',' Consistent ',' Plisss', 'Price', 'Mahalin', ' Gakpapa ',' Unlimited ',' Socmed ',' Limitation ',' Speed ​​',' UDH ',' ']")</f>
        <v>['Whyyyy', 'That's',' Package ',' Data ',' Unlimited ',' Socmed ',' Skrg ',' FUP ',' Consistent ',' Plisss', 'Price', 'Mahalin', ' Gakpapa ',' Unlimited ',' Socmed ',' Limitation ',' Speed ​​',' UDH ',' ']</v>
      </c>
      <c r="D201" s="3">
        <v>2.0</v>
      </c>
    </row>
    <row r="202" ht="15.75" customHeight="1">
      <c r="A202" s="1">
        <v>200.0</v>
      </c>
      <c r="B202" s="3" t="s">
        <v>203</v>
      </c>
      <c r="C202" s="3" t="str">
        <f>IFERROR(__xludf.DUMMYFUNCTION("GOOGLETRANSLATE(B202,""id"",""en"")"),"['quota', 'pulse', 'truncated', 'theft', 'smooth', 'was done', 'Telkomsel', 'card', 'prime', 'brand', 'that's',' disappointing ',' "", 'recommended', 'use']")</f>
        <v>['quota', 'pulse', 'truncated', 'theft', 'smooth', 'was done', 'Telkomsel', 'card', 'prime', 'brand', 'that's',' disappointing ',' ", 'recommended', 'use']</v>
      </c>
      <c r="D202" s="3">
        <v>1.0</v>
      </c>
    </row>
    <row r="203" ht="15.75" customHeight="1">
      <c r="A203" s="1">
        <v>201.0</v>
      </c>
      <c r="B203" s="3" t="s">
        <v>204</v>
      </c>
      <c r="C203" s="3" t="str">
        <f>IFERROR(__xludf.DUMMYFUNCTION("GOOGLETRANSLATE(B203,""id"",""en"")"),"['Kmaren', 'April', 'buy', 'package', 'price', 'skarang', 'May', 'Masi', 'leftover', 'Uda', 'expired', 'buy', ' Package ',' Price ',' See ',' YouTube ',' Reduced ',' Package ',' Quota ',' Buy ',' Remnant ',' Quota ',' Package ',' Reduced ',' as' , 'Custom"&amp;"er', 'loyal', 'Telkomsel', 'Trima', 'love', 'ATS', 'policy', 'can', 'benefits',' buy ',' quota ',' charity ',' Hopefully ',' Creative ',' creative ',' SPT ',' smakin ',' Increase ',' developed ']")</f>
        <v>['Kmaren', 'April', 'buy', 'package', 'price', 'skarang', 'May', 'Masi', 'leftover', 'Uda', 'expired', 'buy', ' Package ',' Price ',' See ',' YouTube ',' Reduced ',' Package ',' Quota ',' Buy ',' Remnant ',' Quota ',' Package ',' Reduced ',' as' , 'Customer', 'loyal', 'Telkomsel', 'Trima', 'love', 'ATS', 'policy', 'can', 'benefits',' buy ',' quota ',' charity ',' Hopefully ',' Creative ',' creative ',' SPT ',' smakin ',' Increase ',' developed ']</v>
      </c>
      <c r="D203" s="3">
        <v>1.0</v>
      </c>
    </row>
    <row r="204" ht="15.75" customHeight="1">
      <c r="A204" s="1">
        <v>202.0</v>
      </c>
      <c r="B204" s="3" t="s">
        <v>205</v>
      </c>
      <c r="C204" s="3" t="str">
        <f>IFERROR(__xludf.DUMMYFUNCTION("GOOGLETRANSLATE(B204,""id"",""en"")"),"['App', 'error', 'problematic', 'continued', 'buy', 'pulse', 'through', 'appmy', 'Telkomsel', 'payment', 'shopee', 'pay', ' "", 'Cashback', 'sent', 'Please', 'clarity']")</f>
        <v>['App', 'error', 'problematic', 'continued', 'buy', 'pulse', 'through', 'appmy', 'Telkomsel', 'payment', 'shopee', 'pay', ' ", 'Cashback', 'sent', 'Please', 'clarity']</v>
      </c>
      <c r="D204" s="3">
        <v>1.0</v>
      </c>
    </row>
    <row r="205" ht="15.75" customHeight="1">
      <c r="A205" s="1">
        <v>203.0</v>
      </c>
      <c r="B205" s="3" t="s">
        <v>206</v>
      </c>
      <c r="C205" s="3" t="str">
        <f>IFERROR(__xludf.DUMMYFUNCTION("GOOGLETRANSLATE(B205,""id"",""en"")"),"['Telkomsel', 'skrng', 'kebnyakan', 'suck', 'pulse', 'tdi', 'seblum', 'contents',' pulse ',' msih ',' pulseku ',' skitar ',' Fill ',' pulses', 'enter', 'TPI', 'SMS', 'UDH', 'Msuk', 'check', 'LGI', 'TBA', 'pulseku', 'stay', 'quota' , 'entry', 'GB', 'pdhal'"&amp;", 'contents', 'buy', 'GB', 'disappointed', 'KLI', 'SMA', 'Telkomsel', 'sekrng']")</f>
        <v>['Telkomsel', 'skrng', 'kebnyakan', 'suck', 'pulse', 'tdi', 'seblum', 'contents',' pulse ',' msih ',' pulseku ',' skitar ',' Fill ',' pulses', 'enter', 'TPI', 'SMS', 'UDH', 'Msuk', 'check', 'LGI', 'TBA', 'pulseku', 'stay', 'quota' , 'entry', 'GB', 'pdhal', 'contents', 'buy', 'GB', 'disappointed', 'KLI', 'SMA', 'Telkomsel', 'sekrng']</v>
      </c>
      <c r="D205" s="3">
        <v>1.0</v>
      </c>
    </row>
    <row r="206" ht="15.75" customHeight="1">
      <c r="A206" s="1">
        <v>204.0</v>
      </c>
      <c r="B206" s="3" t="s">
        <v>207</v>
      </c>
      <c r="C206" s="3" t="str">
        <f>IFERROR(__xludf.DUMMYFUNCTION("GOOGLETRANSLATE(B206,""id"",""en"")"),"['application', 'garbage', 'buy', 'package', 'minute', 'phone', 'a month', 'direct', 'run out', 'night', 'application', 'trashhh', ' application ',' error ',' package ',' run out ',' unlimited ',' no ',' pakek ',' telkomsel ']")</f>
        <v>['application', 'garbage', 'buy', 'package', 'minute', 'phone', 'a month', 'direct', 'run out', 'night', 'application', 'trashhh', ' application ',' error ',' package ',' run out ',' unlimited ',' no ',' pakek ',' telkomsel ']</v>
      </c>
      <c r="D206" s="3">
        <v>1.0</v>
      </c>
    </row>
    <row r="207" ht="15.75" customHeight="1">
      <c r="A207" s="1">
        <v>205.0</v>
      </c>
      <c r="B207" s="3" t="s">
        <v>208</v>
      </c>
      <c r="C207" s="3" t="str">
        <f>IFERROR(__xludf.DUMMYFUNCTION("GOOGLETRANSLATE(B207,""id"",""en"")"),"['Disappointed', 'really', 'really', 'bangettt', 'buy', 'package', 'for', 'game', 'max', 'diamond', 'description', 'diamond', ' Mobile ',' Legend ',' Purchase ',' Love ',' Code ',' Reedem ',' Klikn ',' Link ',' Terbitu ',' Expired ',' Please ',' Telkomsel"&amp;" ',' Understand ' , 'take', 'action', 'switch', 'provider', 'just', 'because' package ',' description ',' according to ',' thank you ']")</f>
        <v>['Disappointed', 'really', 'really', 'bangettt', 'buy', 'package', 'for', 'game', 'max', 'diamond', 'description', 'diamond', ' Mobile ',' Legend ',' Purchase ',' Love ',' Code ',' Reedem ',' Klikn ',' Link ',' Terbitu ',' Expired ',' Please ',' Telkomsel ',' Understand ' , 'take', 'action', 'switch', 'provider', 'just', 'because' package ',' description ',' according to ',' thank you ']</v>
      </c>
      <c r="D207" s="3">
        <v>1.0</v>
      </c>
    </row>
    <row r="208" ht="15.75" customHeight="1">
      <c r="A208" s="1">
        <v>206.0</v>
      </c>
      <c r="B208" s="3" t="s">
        <v>209</v>
      </c>
      <c r="C208" s="3" t="str">
        <f>IFERROR(__xludf.DUMMYFUNCTION("GOOGLETRANSLATE(B208,""id"",""en"")"),"['steady', 'gift', 'anything', 'lottery', 'redemption', 'point', 'cellphone', 'get', 'car', 'sure', 'grateful', 'big', ' Telkomsel ',' age ',' God willing ',' Allah ',' Aamiin ',' YRA ']")</f>
        <v>['steady', 'gift', 'anything', 'lottery', 'redemption', 'point', 'cellphone', 'get', 'car', 'sure', 'grateful', 'big', ' Telkomsel ',' age ',' God willing ',' Allah ',' Aamiin ',' YRA ']</v>
      </c>
      <c r="D208" s="3">
        <v>5.0</v>
      </c>
    </row>
    <row r="209" ht="15.75" customHeight="1">
      <c r="A209" s="1">
        <v>207.0</v>
      </c>
      <c r="B209" s="3" t="s">
        <v>210</v>
      </c>
      <c r="C209" s="3" t="str">
        <f>IFERROR(__xludf.DUMMYFUNCTION("GOOGLETRANSLATE(B209,""id"",""en"")"),"['happy', 'Telkomsel', 'network', 'super', 'steady', 'area', 'full', 'network', 'choice', 'package', 'internet', 'app', ' Cheap ',' cheap ',' suggest ',' quota ',' game ',' add ',' game ',' hago ',' ']")</f>
        <v>['happy', 'Telkomsel', 'network', 'super', 'steady', 'area', 'full', 'network', 'choice', 'package', 'internet', 'app', ' Cheap ',' cheap ',' suggest ',' quota ',' game ',' add ',' game ',' hago ',' ']</v>
      </c>
      <c r="D209" s="3">
        <v>5.0</v>
      </c>
    </row>
    <row r="210" ht="15.75" customHeight="1">
      <c r="A210" s="1">
        <v>208.0</v>
      </c>
      <c r="B210" s="3" t="s">
        <v>211</v>
      </c>
      <c r="C210" s="3" t="str">
        <f>IFERROR(__xludf.DUMMYFUNCTION("GOOGLETRANSLATE(B210,""id"",""en"")"),"['Package', 'cheerful', 'difficult', 'buy', 'payment', 'UDH', 'SUCCESS', 'Tetep', 'Package', 'enter', 'enter', 'spam', ' times', 'strange', 'package', 'directly', 'enter', 'for example', 'package', 'emergency', 'need', 'gaming', 'guyss']")</f>
        <v>['Package', 'cheerful', 'difficult', 'buy', 'payment', 'UDH', 'SUCCESS', 'Tetep', 'Package', 'enter', 'enter', 'spam', ' times', 'strange', 'package', 'directly', 'enter', 'for example', 'package', 'emergency', 'need', 'gaming', 'guyss']</v>
      </c>
      <c r="D210" s="3">
        <v>1.0</v>
      </c>
    </row>
    <row r="211" ht="15.75" customHeight="1">
      <c r="A211" s="1">
        <v>209.0</v>
      </c>
      <c r="B211" s="3" t="s">
        <v>212</v>
      </c>
      <c r="C211" s="3" t="str">
        <f>IFERROR(__xludf.DUMMYFUNCTION("GOOGLETRANSLATE(B211,""id"",""en"")"),"['Subscribe', 'Telkomsel', 'Unlimited', 'limit', 'Naturally', 'Viu', 'Ikaln', 'limit', 'suggestion', 'like', 'right', 'appears',' Price ',' cheap ',' limit ',' unlimited ',' price ',' derast ',' add ',' comfortable ',' batesin ',' Miss', 'disappointing']")</f>
        <v>['Subscribe', 'Telkomsel', 'Unlimited', 'limit', 'Naturally', 'Viu', 'Ikaln', 'limit', 'suggestion', 'like', 'right', 'appears',' Price ',' cheap ',' limit ',' unlimited ',' price ',' derast ',' add ',' comfortable ',' batesin ',' Miss', 'disappointing']</v>
      </c>
      <c r="D211" s="3">
        <v>1.0</v>
      </c>
    </row>
    <row r="212" ht="15.75" customHeight="1">
      <c r="A212" s="1">
        <v>210.0</v>
      </c>
      <c r="B212" s="3" t="s">
        <v>213</v>
      </c>
      <c r="C212" s="3" t="str">
        <f>IFERROR(__xludf.DUMMYFUNCTION("GOOGLETRANSLATE(B212,""id"",""en"")"),"['poor', 'signal', 'Telkomsel', 'please', 'fix', 'disappointed', 'network', 'Indonesia', 'lose', 'smartfren', ""]")</f>
        <v>['poor', 'signal', 'Telkomsel', 'please', 'fix', 'disappointed', 'network', 'Indonesia', 'lose', 'smartfren', "]</v>
      </c>
      <c r="D212" s="3">
        <v>1.0</v>
      </c>
    </row>
    <row r="213" ht="15.75" customHeight="1">
      <c r="A213" s="1">
        <v>211.0</v>
      </c>
      <c r="B213" s="3" t="s">
        <v>214</v>
      </c>
      <c r="C213" s="3" t="str">
        <f>IFERROR(__xludf.DUMMYFUNCTION("GOOGLETRANSLATE(B213,""id"",""en"")"),"['every time', 'network', 'changed', 'pulse', 'sumps',' mulu ',' cunning ',' really ',' nyolong ',' pulses', 'kjadian', 'already', ' Kya ',' Gini ',' Help ',' repaired ',' Jngan ',' like ',' ']")</f>
        <v>['every time', 'network', 'changed', 'pulse', 'sumps',' mulu ',' cunning ',' really ',' nyolong ',' pulses', 'kjadian', 'already', ' Kya ',' Gini ',' Help ',' repaired ',' Jngan ',' like ',' ']</v>
      </c>
      <c r="D213" s="3">
        <v>1.0</v>
      </c>
    </row>
    <row r="214" ht="15.75" customHeight="1">
      <c r="A214" s="1">
        <v>212.0</v>
      </c>
      <c r="B214" s="3" t="s">
        <v>215</v>
      </c>
      <c r="C214" s="3" t="str">
        <f>IFERROR(__xludf.DUMMYFUNCTION("GOOGLETRANSLATE(B214,""id"",""en"")"),"['Talking', 'ajaa', 'the scene', 'quota', 'kek', 'gini', 'ngelag', 'teros',' meeting ',' lag ',' play ',' game ',' lag ',' Disappointed ',' Bener ']")</f>
        <v>['Talking', 'ajaa', 'the scene', 'quota', 'kek', 'gini', 'ngelag', 'teros',' meeting ',' lag ',' play ',' game ',' lag ',' Disappointed ',' Bener ']</v>
      </c>
      <c r="D214" s="3">
        <v>1.0</v>
      </c>
    </row>
    <row r="215" ht="15.75" customHeight="1">
      <c r="A215" s="1">
        <v>213.0</v>
      </c>
      <c r="B215" s="3" t="s">
        <v>216</v>
      </c>
      <c r="C215" s="3" t="str">
        <f>IFERROR(__xludf.DUMMYFUNCTION("GOOGLETRANSLATE(B215,""id"",""en"")"),"['hope', 'buy', 'Package', 'Telkomsel', 'Severe', 'signal', 'ilang', 'Nilagan', 'Download', 'Upload', 'bnget', 'hot', ' BNGET ',' BORO ',' BORO ',' Main ',' YouTube ',' Chat ',' Open ',' Status', 'Difficult', 'Please', 'Increase', 'Quality', 'The Network'"&amp;" , 'ugly', 'bnget', 'network', 'suits', 'Telkomsel', 'best', 'my area']")</f>
        <v>['hope', 'buy', 'Package', 'Telkomsel', 'Severe', 'signal', 'ilang', 'Nilagan', 'Download', 'Upload', 'bnget', 'hot', ' BNGET ',' BORO ',' BORO ',' Main ',' YouTube ',' Chat ',' Open ',' Status', 'Difficult', 'Please', 'Increase', 'Quality', 'The Network' , 'ugly', 'bnget', 'network', 'suits', 'Telkomsel', 'best', 'my area']</v>
      </c>
      <c r="D215" s="3">
        <v>1.0</v>
      </c>
    </row>
    <row r="216" ht="15.75" customHeight="1">
      <c r="A216" s="1">
        <v>214.0</v>
      </c>
      <c r="B216" s="3" t="s">
        <v>217</v>
      </c>
      <c r="C216" s="3" t="str">
        <f>IFERROR(__xludf.DUMMYFUNCTION("GOOGLETRANSLATE(B216,""id"",""en"")"),"['Severe', 'Building', 'Telkomsel', 'Bakar', 'Nihh', 'People', 'Die', 'yahhh', 'Sinynya', 'diverse', 'APN', 'the latest', ' already ',' try ',' dahlahhh ',' fix ',' fire ',' niiihhhhh ',' developer ',' readaaaa ',' clay ',' dousggg ',' report ',' telkom '"&amp;",' region ' , 'East Java', 'signal', 'GAA', 'KEK', 'GINI', 'MONEY', 'Leaves', 'Stay', 'Picking', 'Doang', ""]")</f>
        <v>['Severe', 'Building', 'Telkomsel', 'Bakar', 'Nihh', 'People', 'Die', 'yahhh', 'Sinynya', 'diverse', 'APN', 'the latest', ' already ',' try ',' dahlahhh ',' fix ',' fire ',' niiihhhhh ',' developer ',' readaaaa ',' clay ',' dousggg ',' report ',' telkom ',' region ' , 'East Java', 'signal', 'GAA', 'KEK', 'GINI', 'MONEY', 'Leaves', 'Stay', 'Picking', 'Doang', "]</v>
      </c>
      <c r="D216" s="3">
        <v>1.0</v>
      </c>
    </row>
    <row r="217" ht="15.75" customHeight="1">
      <c r="A217" s="1">
        <v>215.0</v>
      </c>
      <c r="B217" s="3" t="s">
        <v>218</v>
      </c>
      <c r="C217" s="3" t="str">
        <f>IFERROR(__xludf.DUMMYFUNCTION("GOOGLETRANSLATE(B217,""id"",""en"")"),"['network', 'strange', 'package', 'call', 'credit', 'call', 'package', 'call', 'pulse', 'network', 'direct', 'change', ' Calls', 'Packages',' Data ',' Melauai ',' Direct ',' Connect ',' Network ',' Changed ',' Direct ',' weird ',' bin ',' Magic ',' BERIK "&amp;"' , 'Dahh', ""]")</f>
        <v>['network', 'strange', 'package', 'call', 'credit', 'call', 'package', 'call', 'pulse', 'network', 'direct', 'change', ' Calls', 'Packages',' Data ',' Melauai ',' Direct ',' Connect ',' Network ',' Changed ',' Direct ',' weird ',' bin ',' Magic ',' BERIK ' , 'Dahh', "]</v>
      </c>
      <c r="D217" s="3">
        <v>1.0</v>
      </c>
    </row>
    <row r="218" ht="15.75" customHeight="1">
      <c r="A218" s="1">
        <v>216.0</v>
      </c>
      <c r="B218" s="3" t="s">
        <v>219</v>
      </c>
      <c r="C218" s="3" t="str">
        <f>IFERROR(__xludf.DUMMYFUNCTION("GOOGLETRANSLATE(B218,""id"",""en"")"),"['Package', 'Combo', 'Sakti', 'Unlimited', 'Rich', 'Speed', 'Quota', 'Main', 'Out', 'Slow', 'Forgiveness',' Disappointed ',' Change ',' Package ',' Telkomsel ',' Package ',' Change ',' Stop ',' Subscribe ',' Move ',' Competitor ',' Thank you ']")</f>
        <v>['Package', 'Combo', 'Sakti', 'Unlimited', 'Rich', 'Speed', 'Quota', 'Main', 'Out', 'Slow', 'Forgiveness',' Disappointed ',' Change ',' Package ',' Telkomsel ',' Package ',' Change ',' Stop ',' Subscribe ',' Move ',' Competitor ',' Thank you ']</v>
      </c>
      <c r="D218" s="3">
        <v>1.0</v>
      </c>
    </row>
    <row r="219" ht="15.75" customHeight="1">
      <c r="A219" s="1">
        <v>217.0</v>
      </c>
      <c r="B219" s="3" t="s">
        <v>220</v>
      </c>
      <c r="C219" s="3" t="str">
        <f>IFERROR(__xludf.DUMMYFUNCTION("GOOGLETRANSLATE(B219,""id"",""en"")"),"['application', 'MyTelkomsel', 'skrg', 'already', 'good', 'kek', 'dlu', 'skrg', 'promotion', 'bargain', 'already', 'buy', ' Hoax ',' Thank ',' You ',' for ',' all ']")</f>
        <v>['application', 'MyTelkomsel', 'skrg', 'already', 'good', 'kek', 'dlu', 'skrg', 'promotion', 'bargain', 'already', 'buy', ' Hoax ',' Thank ',' You ',' for ',' all ']</v>
      </c>
      <c r="D219" s="3">
        <v>5.0</v>
      </c>
    </row>
    <row r="220" ht="15.75" customHeight="1">
      <c r="A220" s="1">
        <v>218.0</v>
      </c>
      <c r="B220" s="3" t="s">
        <v>221</v>
      </c>
      <c r="C220" s="3" t="str">
        <f>IFERROR(__xludf.DUMMYFUNCTION("GOOGLETRANSLATE(B220,""id"",""en"")"),"['cewa', 'heavy', 'Telkomsel', 'knp', 'unlimited', 'limit', 'cbak', 'comfortable', 'pdhl', 'buy', 'quota', 'mulu', ' TPI ',' JRANKAN ',' Direct ',' slow ',' quota ',' main ',' run out ',' please ',' Telkomsel ',' bnerin ',' customer ',' complain ',' pleas"&amp;"e ' , 'Limit', 'unlimited', 'customer', 'comfortable', 'thank', 'love']")</f>
        <v>['cewa', 'heavy', 'Telkomsel', 'knp', 'unlimited', 'limit', 'cbak', 'comfortable', 'pdhl', 'buy', 'quota', 'mulu', ' TPI ',' JRANKAN ',' Direct ',' slow ',' quota ',' main ',' run out ',' please ',' Telkomsel ',' bnerin ',' customer ',' complain ',' please ' , 'Limit', 'unlimited', 'customer', 'comfortable', 'thank', 'love']</v>
      </c>
      <c r="D220" s="3">
        <v>2.0</v>
      </c>
    </row>
    <row r="221" ht="15.75" customHeight="1">
      <c r="A221" s="1">
        <v>219.0</v>
      </c>
      <c r="B221" s="3" t="s">
        <v>222</v>
      </c>
      <c r="C221" s="3" t="str">
        <f>IFERROR(__xludf.DUMMYFUNCTION("GOOGLETRANSLATE(B221,""id"",""en"")"),"['buy', 'pulse', 'transaction', 'shopepay', 'chasbek', 'coin', 'shopee', 'chasbek', 'entry', 'goes',' HOAK ',' Telkomsel ',' Shopee ',' times', 'transaction', 'enter', 'enter', 'chasbek', 'coin', 'shopee', '']")</f>
        <v>['buy', 'pulse', 'transaction', 'shopepay', 'chasbek', 'coin', 'shopee', 'chasbek', 'entry', 'goes',' HOAK ',' Telkomsel ',' Shopee ',' times', 'transaction', 'enter', 'enter', 'chasbek', 'coin', 'shopee', '']</v>
      </c>
      <c r="D221" s="3">
        <v>1.0</v>
      </c>
    </row>
    <row r="222" ht="15.75" customHeight="1">
      <c r="A222" s="1">
        <v>220.0</v>
      </c>
      <c r="B222" s="3" t="s">
        <v>223</v>
      </c>
      <c r="C222" s="3" t="str">
        <f>IFERROR(__xludf.DUMMYFUNCTION("GOOGLETRANSLATE(B222,""id"",""en"")"),"['happy', 'application', 'because it's easy', 'at the same time', 'open', 'application', 'verify', 'verify', 'magic', 'link', 'entry', ' Message ',' Update ',' The application ',' Success', 'Enter', 'Message', 'Please', 'Repaired', 'Make it easy', 'User',"&amp;" 'Thank you', 'Hopefully', 'Help' ]")</f>
        <v>['happy', 'application', 'because it's easy', 'at the same time', 'open', 'application', 'verify', 'verify', 'magic', 'link', 'entry', ' Message ',' Update ',' The application ',' Success', 'Enter', 'Message', 'Please', 'Repaired', 'Make it easy', 'User', 'Thank you', 'Hopefully', 'Help' ]</v>
      </c>
      <c r="D222" s="3">
        <v>4.0</v>
      </c>
    </row>
    <row r="223" ht="15.75" customHeight="1">
      <c r="A223" s="1">
        <v>221.0</v>
      </c>
      <c r="B223" s="3" t="s">
        <v>224</v>
      </c>
      <c r="C223" s="3" t="str">
        <f>IFERROR(__xludf.DUMMYFUNCTION("GOOGLETRANSLATE(B223,""id"",""en"")"),"['Harms',' KB ',' Credit ',' Out ',' Package ',' Internet ',' Expensive ',' Price ',' Please ',' Folk ',' Indonesia ',' Class', ' Cekik ',' Mbak ',' buk ']")</f>
        <v>['Harms',' KB ',' Credit ',' Out ',' Package ',' Internet ',' Expensive ',' Price ',' Please ',' Folk ',' Indonesia ',' Class', ' Cekik ',' Mbak ',' buk ']</v>
      </c>
      <c r="D223" s="3">
        <v>1.0</v>
      </c>
    </row>
    <row r="224" ht="15.75" customHeight="1">
      <c r="A224" s="1">
        <v>222.0</v>
      </c>
      <c r="B224" s="3" t="s">
        <v>225</v>
      </c>
      <c r="C224" s="3" t="str">
        <f>IFERROR(__xludf.DUMMYFUNCTION("GOOGLETRANSLATE(B224,""id"",""en"")"),"['Search', 'easy', 'advanced', 'Telkomsel', 'convenience', 'communicate', 'region', 'in every', 'stop', 'keep', 'service', 'best', ' Users', ""]")</f>
        <v>['Search', 'easy', 'advanced', 'Telkomsel', 'convenience', 'communicate', 'region', 'in every', 'stop', 'keep', 'service', 'best', ' Users', "]</v>
      </c>
      <c r="D224" s="3">
        <v>5.0</v>
      </c>
    </row>
    <row r="225" ht="15.75" customHeight="1">
      <c r="A225" s="1">
        <v>223.0</v>
      </c>
      <c r="B225" s="3" t="s">
        <v>226</v>
      </c>
      <c r="C225" s="3" t="str">
        <f>IFERROR(__xludf.DUMMYFUNCTION("GOOGLETRANSLATE(B225,""id"",""en"")"),"['Severe', 'menu', 'stop', 'subscribe', 'application', 'stop', 'package', 'annoyed', ""]")</f>
        <v>['Severe', 'menu', 'stop', 'subscribe', 'application', 'stop', 'package', 'annoyed', "]</v>
      </c>
      <c r="D225" s="3">
        <v>1.0</v>
      </c>
    </row>
    <row r="226" ht="15.75" customHeight="1">
      <c r="A226" s="1">
        <v>224.0</v>
      </c>
      <c r="B226" s="3" t="s">
        <v>227</v>
      </c>
      <c r="C226" s="3" t="str">
        <f>IFERROR(__xludf.DUMMYFUNCTION("GOOGLETRANSLATE(B226,""id"",""en"")"),"['here', 'signal', 'good', 'ugly', 'slow', 'really', 'UDH', 'Telkomsel', 'price', 'package', 'expensive', 'appeal', ' Providers', 'Disappointed', 'Signal', 'here', 'Bad', 'It's like', 'Change', 'Provider', 'Deh', ""]")</f>
        <v>['here', 'signal', 'good', 'ugly', 'slow', 'really', 'UDH', 'Telkomsel', 'price', 'package', 'expensive', 'appeal', ' Providers', 'Disappointed', 'Signal', 'here', 'Bad', 'It's like', 'Change', 'Provider', 'Deh', "]</v>
      </c>
      <c r="D226" s="3">
        <v>2.0</v>
      </c>
    </row>
    <row r="227" ht="15.75" customHeight="1">
      <c r="A227" s="1">
        <v>225.0</v>
      </c>
      <c r="B227" s="3" t="s">
        <v>228</v>
      </c>
      <c r="C227" s="3" t="str">
        <f>IFERROR(__xludf.DUMMYFUNCTION("GOOGLETRANSLATE(B227,""id"",""en"")"),"['disappointing', 'pulseku', 'missing', 'brave', 'contents',' pulse ',' network ',' slow ',' win ',' signal ',' doang ',' mending ',' Indosat ',' pulse ',' safe ',' safe ',' operator ',' pulse ',' paid-in ']")</f>
        <v>['disappointing', 'pulseku', 'missing', 'brave', 'contents',' pulse ',' network ',' slow ',' win ',' signal ',' doang ',' mending ',' Indosat ',' pulse ',' safe ',' safe ',' operator ',' pulse ',' paid-in ']</v>
      </c>
      <c r="D227" s="3">
        <v>1.0</v>
      </c>
    </row>
    <row r="228" ht="15.75" customHeight="1">
      <c r="A228" s="1">
        <v>226.0</v>
      </c>
      <c r="B228" s="3" t="s">
        <v>229</v>
      </c>
      <c r="C228" s="3" t="str">
        <f>IFERROR(__xludf.DUMMYFUNCTION("GOOGLETRANSLATE(B228,""id"",""en"")"),"['Personal', 'Telkomsel', 'Good', 'Network', 'Good', 'Spacious',' Say ',' Makai ',' Telkomsel ',' Whatever ',' Card ',' Telkomsel ',' always', 'heart', 'trm']")</f>
        <v>['Personal', 'Telkomsel', 'Good', 'Network', 'Good', 'Spacious',' Say ',' Makai ',' Telkomsel ',' Whatever ',' Card ',' Telkomsel ',' always', 'heart', 'trm']</v>
      </c>
      <c r="D228" s="3">
        <v>5.0</v>
      </c>
    </row>
    <row r="229" ht="15.75" customHeight="1">
      <c r="A229" s="1">
        <v>227.0</v>
      </c>
      <c r="B229" s="3" t="s">
        <v>230</v>
      </c>
      <c r="C229" s="3" t="str">
        <f>IFERROR(__xludf.DUMMYFUNCTION("GOOGLETRANSLATE(B229,""id"",""en"")"),"['suggestion', 'kalu', 'gave', 'bonus',' quota ',' multimedia ',' waiting ',' quota ',' main ',' run out ',' uas', 'reduce', ' Speed ​​',' hope ',' System ',' use ',' quota ',' repaired ',' oprator ',' Telkomsel ',' Have ',' good ',' one ']")</f>
        <v>['suggestion', 'kalu', 'gave', 'bonus',' quota ',' multimedia ',' waiting ',' quota ',' main ',' run out ',' uas', 'reduce', ' Speed ​​',' hope ',' System ',' use ',' quota ',' repaired ',' oprator ',' Telkomsel ',' Have ',' good ',' one ']</v>
      </c>
      <c r="D229" s="3">
        <v>1.0</v>
      </c>
    </row>
    <row r="230" ht="15.75" customHeight="1">
      <c r="A230" s="1">
        <v>228.0</v>
      </c>
      <c r="B230" s="3" t="s">
        <v>231</v>
      </c>
      <c r="C230" s="3" t="str">
        <f>IFERROR(__xludf.DUMMYFUNCTION("GOOGLETRANSLATE(B230,""id"",""en"")"),"['Telkomsel', 'Hold', 'Gift', 'IHKLAS', 'NOT', 'TAKE', 'Pay', 'Yng', 'Sya', 'love', 'Bintang', ' Love ',' Terbimah ',' Love ', ""]")</f>
        <v>['Telkomsel', 'Hold', 'Gift', 'IHKLAS', 'NOT', 'TAKE', 'Pay', 'Yng', 'Sya', 'love', 'Bintang', ' Love ',' Terbimah ',' Love ', "]</v>
      </c>
      <c r="D230" s="3">
        <v>1.0</v>
      </c>
    </row>
    <row r="231" ht="15.75" customHeight="1">
      <c r="A231" s="1">
        <v>229.0</v>
      </c>
      <c r="B231" s="3" t="s">
        <v>232</v>
      </c>
      <c r="C231" s="3" t="str">
        <f>IFERROR(__xludf.DUMMYFUNCTION("GOOGLETRANSLATE(B231,""id"",""en"")"),"['special' package, 'subscribe', 'service', 'customer', 'loyal', 'bad', 'told', 'Veronika', 'robot', 'alternating', 'serve', ' Play ',' people ',' ask ',' serious', 'robot', 'severe']")</f>
        <v>['special' package, 'subscribe', 'service', 'customer', 'loyal', 'bad', 'told', 'Veronika', 'robot', 'alternating', 'serve', ' Play ',' people ',' ask ',' serious', 'robot', 'severe']</v>
      </c>
      <c r="D231" s="3">
        <v>1.0</v>
      </c>
    </row>
    <row r="232" ht="15.75" customHeight="1">
      <c r="A232" s="1">
        <v>230.0</v>
      </c>
      <c r="B232" s="3" t="s">
        <v>233</v>
      </c>
      <c r="C232" s="3" t="str">
        <f>IFERROR(__xludf.DUMMYFUNCTION("GOOGLETRANSLATE(B232,""id"",""en"")"),"['', 'APK', 'promo', 'quota', 'transaction', 'writing', 'processed', 'confirm', 'pulses', 'already', 'sufficient']")</f>
        <v>['', 'APK', 'promo', 'quota', 'transaction', 'writing', 'processed', 'confirm', 'pulses', 'already', 'sufficient']</v>
      </c>
      <c r="D232" s="3">
        <v>1.0</v>
      </c>
    </row>
    <row r="233" ht="15.75" customHeight="1">
      <c r="A233" s="1">
        <v>231.0</v>
      </c>
      <c r="B233" s="3" t="s">
        <v>234</v>
      </c>
      <c r="C233" s="3" t="str">
        <f>IFERROR(__xludf.DUMMYFUNCTION("GOOGLETRANSLATE(B233,""id"",""en"")"),"['Telkomsel', 'damn', 'the network', 'slow', 'slow', 'officer', 'Telkomsel', 'Carefour', 'Medan', 'Plaza', 'teach', 'service', ' "", 'chaotic', 'female', 'damn',""]")</f>
        <v>['Telkomsel', 'damn', 'the network', 'slow', 'slow', 'officer', 'Telkomsel', 'Carefour', 'Medan', 'Plaza', 'teach', 'service', ' ", 'chaotic', 'female', 'damn',"]</v>
      </c>
      <c r="D233" s="3">
        <v>1.0</v>
      </c>
    </row>
    <row r="234" ht="15.75" customHeight="1">
      <c r="A234" s="1">
        <v>232.0</v>
      </c>
      <c r="B234" s="3" t="s">
        <v>235</v>
      </c>
      <c r="C234" s="3" t="str">
        <f>IFERROR(__xludf.DUMMYFUNCTION("GOOGLETRANSLATE(B234,""id"",""en"")"),"['Get', 'Message', 'Package', 'Emergency', 'BLM', 'Paid', 'UDH', 'Paid', 'Appears',' Narik ',' Credit ',' Apasih ',' Providers', 'Nice', 'Money', 'People', 'Mulu', 'Fix', 'System', '']")</f>
        <v>['Get', 'Message', 'Package', 'Emergency', 'BLM', 'Paid', 'UDH', 'Paid', 'Appears',' Narik ',' Credit ',' Apasih ',' Providers', 'Nice', 'Money', 'People', 'Mulu', 'Fix', 'System', '']</v>
      </c>
      <c r="D234" s="3">
        <v>1.0</v>
      </c>
    </row>
    <row r="235" ht="15.75" customHeight="1">
      <c r="A235" s="1">
        <v>233.0</v>
      </c>
      <c r="B235" s="3" t="s">
        <v>236</v>
      </c>
      <c r="C235" s="3" t="str">
        <f>IFERROR(__xludf.DUMMYFUNCTION("GOOGLETRANSLATE(B235,""id"",""en"")"),"['Here', 'Telkomsel', 'Buy', 'Package', 'Combo', 'Sakti', 'GB', 'YouTube', 'Price', 'Price', 'Package', 'Get Out Telkomsel ',' Network ',' Safe ',' Safe ',' Package ',' Main ',' Out ',' SMS ',' Speed ​​',' Internet ',' Reduce ',' Delete ',' Combo ' , 'Sak"&amp;"ti', 'youtube', 'unlimited', 'speed', 'reduce', 'really', 'play', 'kayak', 'trii']")</f>
        <v>['Here', 'Telkomsel', 'Buy', 'Package', 'Combo', 'Sakti', 'GB', 'YouTube', 'Price', 'Price', 'Package', 'Get Out Telkomsel ',' Network ',' Safe ',' Safe ',' Package ',' Main ',' Out ',' SMS ',' Speed ​​',' Internet ',' Reduce ',' Delete ',' Combo ' , 'Sakti', 'youtube', 'unlimited', 'speed', 'reduce', 'really', 'play', 'kayak', 'trii']</v>
      </c>
      <c r="D235" s="3">
        <v>1.0</v>
      </c>
    </row>
    <row r="236" ht="15.75" customHeight="1">
      <c r="A236" s="1">
        <v>234.0</v>
      </c>
      <c r="B236" s="3" t="s">
        <v>237</v>
      </c>
      <c r="C236" s="3" t="str">
        <f>IFERROR(__xludf.DUMMYFUNCTION("GOOGLETRANSLATE(B236,""id"",""en"")"),"['Good', 'Network', 'unlimited', 'limit', 'network', 'skrng', 'already', 'ugly', 'network', 'unlimited', 'bates',' quota ',' network', '']")</f>
        <v>['Good', 'Network', 'unlimited', 'limit', 'network', 'skrng', 'already', 'ugly', 'network', 'unlimited', 'bates',' quota ',' network', '']</v>
      </c>
      <c r="D236" s="3">
        <v>1.0</v>
      </c>
    </row>
    <row r="237" ht="15.75" customHeight="1">
      <c r="A237" s="1">
        <v>235.0</v>
      </c>
      <c r="B237" s="3" t="s">
        <v>238</v>
      </c>
      <c r="C237" s="3" t="str">
        <f>IFERROR(__xludf.DUMMYFUNCTION("GOOGLETRANSLATE(B237,""id"",""en"")"),"['Disappointed', 'slow', 'process',' purchase ',' data ',' buy ',' package ',' promo ',' cheerful ',' morning ',' noon ',' process', ' Ber ',' times', 'times',' please ',' enhanced ',' service ',' ']")</f>
        <v>['Disappointed', 'slow', 'process',' purchase ',' data ',' buy ',' package ',' promo ',' cheerful ',' morning ',' noon ',' process', ' Ber ',' times', 'times',' please ',' enhanced ',' service ',' ']</v>
      </c>
      <c r="D237" s="3">
        <v>1.0</v>
      </c>
    </row>
    <row r="238" ht="15.75" customHeight="1">
      <c r="A238" s="1">
        <v>236.0</v>
      </c>
      <c r="B238" s="3" t="s">
        <v>239</v>
      </c>
      <c r="C238" s="3" t="str">
        <f>IFERROR(__xludf.DUMMYFUNCTION("GOOGLETRANSLATE(B238,""id"",""en"")"),"['thank', 'love', 'TPI', 'buy', 'package', 'pulse', 'bought', 'number', 'check', 'TPI', 'please', ' Telkomsel ',' downhill ',' rating ']")</f>
        <v>['thank', 'love', 'TPI', 'buy', 'package', 'pulse', 'bought', 'number', 'check', 'TPI', 'please', ' Telkomsel ',' downhill ',' rating ']</v>
      </c>
      <c r="D238" s="3">
        <v>4.0</v>
      </c>
    </row>
    <row r="239" ht="15.75" customHeight="1">
      <c r="A239" s="1">
        <v>237.0</v>
      </c>
      <c r="B239" s="3" t="s">
        <v>240</v>
      </c>
      <c r="C239" s="3" t="str">
        <f>IFERROR(__xludf.DUMMYFUNCTION("GOOGLETRANSLATE(B239,""id"",""en"")"),"['Package', 'Multimedia', 'Ngg', 'used', 'data', 'internet', 'msh', 'full', 'Makai', 'YouTube', 'eat', 'data', ' Internet ',' Data ',' Multimedia ',' NGG ',' Use ',' Try ',' Fix ',' Quality ',' Service ',' Data ']")</f>
        <v>['Package', 'Multimedia', 'Ngg', 'used', 'data', 'internet', 'msh', 'full', 'Makai', 'YouTube', 'eat', 'data', ' Internet ',' Data ',' Multimedia ',' NGG ',' Use ',' Try ',' Fix ',' Quality ',' Service ',' Data ']</v>
      </c>
      <c r="D239" s="3">
        <v>1.0</v>
      </c>
    </row>
    <row r="240" ht="15.75" customHeight="1">
      <c r="A240" s="1">
        <v>238.0</v>
      </c>
      <c r="B240" s="3" t="s">
        <v>241</v>
      </c>
      <c r="C240" s="3" t="str">
        <f>IFERROR(__xludf.DUMMYFUNCTION("GOOGLETRANSLATE(B240,""id"",""en"")"),"['application', 'teribet', 'list', 'difficult', 'forgiveness',' link ',' invalid ',' mlulu ',' list ',' yaudah ',' uninstall ',' application ',' thanks']")</f>
        <v>['application', 'teribet', 'list', 'difficult', 'forgiveness',' link ',' invalid ',' mlulu ',' list ',' yaudah ',' uninstall ',' application ',' thanks']</v>
      </c>
      <c r="D240" s="3">
        <v>1.0</v>
      </c>
    </row>
    <row r="241" ht="15.75" customHeight="1">
      <c r="A241" s="1">
        <v>239.0</v>
      </c>
      <c r="B241" s="3" t="s">
        <v>242</v>
      </c>
      <c r="C241" s="3" t="str">
        <f>IFERROR(__xludf.DUMMYFUNCTION("GOOGLETRANSLATE(B241,""id"",""en"")"),"['Telkomsel', 'make', 'package', 'emergency', 'no', 'entry', 'active', 'package', 'emergency', 'exhaust', 'what', 'fill', ' "", 'pulse', 'sucked', 'Bener', 'Eat', 'Money', 'Haram',""]")</f>
        <v>['Telkomsel', 'make', 'package', 'emergency', 'no', 'entry', 'active', 'package', 'emergency', 'exhaust', 'what', 'fill', ' ", 'pulse', 'sucked', 'Bener', 'Eat', 'Money', 'Haram',"]</v>
      </c>
      <c r="D241" s="3">
        <v>1.0</v>
      </c>
    </row>
    <row r="242" ht="15.75" customHeight="1">
      <c r="A242" s="1">
        <v>240.0</v>
      </c>
      <c r="B242" s="3" t="s">
        <v>243</v>
      </c>
      <c r="C242" s="3" t="str">
        <f>IFERROR(__xludf.DUMMYFUNCTION("GOOGLETRANSLATE(B242,""id"",""en"")"),"['Please', 'Yaaaa', 'Network', 'Telkomsel', 'DBagusi', 'Price', 'Network', 'Cheap', 'Kek', 'Gini', 'Mending', 'Switch', ' Cards', 'Ajaaaa', 'Gunaaa', 'Lazy', 'Telkomsel', ""]")</f>
        <v>['Please', 'Yaaaa', 'Network', 'Telkomsel', 'DBagusi', 'Price', 'Network', 'Cheap', 'Kek', 'Gini', 'Mending', 'Switch', ' Cards', 'Ajaaaa', 'Gunaaa', 'Lazy', 'Telkomsel', "]</v>
      </c>
      <c r="D242" s="3">
        <v>1.0</v>
      </c>
    </row>
    <row r="243" ht="15.75" customHeight="1">
      <c r="A243" s="1">
        <v>241.0</v>
      </c>
      <c r="B243" s="3" t="s">
        <v>244</v>
      </c>
      <c r="C243" s="3" t="str">
        <f>IFERROR(__xludf.DUMMYFUNCTION("GOOGLETRANSLATE(B243,""id"",""en"")"),"['Dear', 'Telkomsel', 'Please', 'Quality', 'Network', 'Internet', 'Fix', 'Home', 'City', 'TPI', 'Quality', 'Network', ' really ugly', '']")</f>
        <v>['Dear', 'Telkomsel', 'Please', 'Quality', 'Network', 'Internet', 'Fix', 'Home', 'City', 'TPI', 'Quality', 'Network', ' really ugly', '']</v>
      </c>
      <c r="D243" s="3">
        <v>2.0</v>
      </c>
    </row>
    <row r="244" ht="15.75" customHeight="1">
      <c r="A244" s="1">
        <v>242.0</v>
      </c>
      <c r="B244" s="3" t="s">
        <v>245</v>
      </c>
      <c r="C244" s="3" t="str">
        <f>IFERROR(__xludf.DUMMYFUNCTION("GOOGLETRANSLATE(B244,""id"",""en"")"),"['Kuy', 'Move', 'Telkomsel', 'dlu', 'mah', 'proud', 'use', 'card', 'phttt', 'bagan', 'card', 'signal', ' next door ',' udh ',' cheap ',' signal ',' lumber ',' udh ',' expensive ',' signal ',' ugly ',' pulse ',' sumps', 'fraud', 'Telkomsel' , 'oath', 'Lord"&amp;"', 'Abis', 'thinkrr', 'choose', 'Telkomsel']")</f>
        <v>['Kuy', 'Move', 'Telkomsel', 'dlu', 'mah', 'proud', 'use', 'card', 'phttt', 'bagan', 'card', 'signal', ' next door ',' udh ',' cheap ',' signal ',' lumber ',' udh ',' expensive ',' signal ',' ugly ',' pulse ',' sumps', 'fraud', 'Telkomsel' , 'oath', 'Lord', 'Abis', 'thinkrr', 'choose', 'Telkomsel']</v>
      </c>
      <c r="D244" s="3">
        <v>1.0</v>
      </c>
    </row>
    <row r="245" ht="15.75" customHeight="1">
      <c r="A245" s="1">
        <v>243.0</v>
      </c>
      <c r="B245" s="3" t="s">
        <v>246</v>
      </c>
      <c r="C245" s="3" t="str">
        <f>IFERROR(__xludf.DUMMYFUNCTION("GOOGLETRANSLATE(B245,""id"",""en"")"),"['Package', 'Combo', 'Sakti', 'Please', 'Choice', 'Cheap', 'As',' Pouch ',' Child ',' School ',' Reach ',' Internet ',' Friendly ',' bags', 'thank', 'love', 'Telkomsel', '']")</f>
        <v>['Package', 'Combo', 'Sakti', 'Please', 'Choice', 'Cheap', 'As',' Pouch ',' Child ',' School ',' Reach ',' Internet ',' Friendly ',' bags', 'thank', 'love', 'Telkomsel', '']</v>
      </c>
      <c r="D245" s="3">
        <v>5.0</v>
      </c>
    </row>
    <row r="246" ht="15.75" customHeight="1">
      <c r="A246" s="1">
        <v>244.0</v>
      </c>
      <c r="B246" s="3" t="s">
        <v>247</v>
      </c>
      <c r="C246" s="3" t="str">
        <f>IFERROR(__xludf.DUMMYFUNCTION("GOOGLETRANSLATE(B246,""id"",""en"")"),"['application', 'waste', 'activated', 'package', 'promo', 'nyampe', 'apply', 'pulse', 'regular', 'auto', 'truncated', 'run out', ' Trash ',' cheater ',' ']")</f>
        <v>['application', 'waste', 'activated', 'package', 'promo', 'nyampe', 'apply', 'pulse', 'regular', 'auto', 'truncated', 'run out', ' Trash ',' cheater ',' ']</v>
      </c>
      <c r="D246" s="3">
        <v>1.0</v>
      </c>
    </row>
    <row r="247" ht="15.75" customHeight="1">
      <c r="A247" s="1">
        <v>245.0</v>
      </c>
      <c r="B247" s="3" t="s">
        <v>248</v>
      </c>
      <c r="C247" s="3" t="str">
        <f>IFERROR(__xludf.DUMMYFUNCTION("GOOGLETRANSLATE(B247,""id"",""en"")"),"['Status',' Application ',' Gold ',' Price ',' Package ',' Internet ',' Continue ',' Doly Hula ',' Krna ',' HRG ',' Friendly ',' Forced ',' Use ',' card ',' Dech ',' Please ',' Noted ',' Sorry ',' Thank you ', ""]")</f>
        <v>['Status',' Application ',' Gold ',' Price ',' Package ',' Internet ',' Continue ',' Doly Hula ',' Krna ',' HRG ',' Friendly ',' Forced ',' Use ',' card ',' Dech ',' Please ',' Noted ',' Sorry ',' Thank you ', "]</v>
      </c>
      <c r="D247" s="3">
        <v>3.0</v>
      </c>
    </row>
    <row r="248" ht="15.75" customHeight="1">
      <c r="A248" s="1">
        <v>246.0</v>
      </c>
      <c r="B248" s="3" t="s">
        <v>249</v>
      </c>
      <c r="C248" s="3" t="str">
        <f>IFERROR(__xludf.DUMMYFUNCTION("GOOGLETRANSLATE(B248,""id"",""en"")"),"['Hello', 'Telkomsel', 'Sorry', 'Telkomsel', 'Activates',' Package ',' Emergency ',' Loss', 'Karna', 'Enter', 'Subscription', 'Package', ' Emergency ',' strange ',' Cra ',' Stop ',' Ureg ',' Tahba ',' Region ',' some signal ',' difficult ',' bys', 'packag"&amp;"e', 'data' , 'expensive', 'disturban', 'sdkit', 'input', 'please', 'repaired', ""]")</f>
        <v>['Hello', 'Telkomsel', 'Sorry', 'Telkomsel', 'Activates',' Package ',' Emergency ',' Loss', 'Karna', 'Enter', 'Subscription', 'Package', ' Emergency ',' strange ',' Cra ',' Stop ',' Ureg ',' Tahba ',' Region ',' some signal ',' difficult ',' bys', 'package', 'data' , 'expensive', 'disturban', 'sdkit', 'input', 'please', 'repaired', "]</v>
      </c>
      <c r="D248" s="3">
        <v>1.0</v>
      </c>
    </row>
    <row r="249" ht="15.75" customHeight="1">
      <c r="A249" s="1">
        <v>247.0</v>
      </c>
      <c r="B249" s="3" t="s">
        <v>250</v>
      </c>
      <c r="C249" s="3" t="str">
        <f>IFERROR(__xludf.DUMMYFUNCTION("GOOGLETRANSLATE(B249,""id"",""en"")"),"['price', 'expensive', 'BTS', 'please', 'plus', 'user', 'increase', 'quality', 'network', 'speed', 'data', 'change']")</f>
        <v>['price', 'expensive', 'BTS', 'please', 'plus', 'user', 'increase', 'quality', 'network', 'speed', 'data', 'change']</v>
      </c>
      <c r="D249" s="3">
        <v>4.0</v>
      </c>
    </row>
    <row r="250" ht="15.75" customHeight="1">
      <c r="A250" s="1">
        <v>248.0</v>
      </c>
      <c r="B250" s="3" t="s">
        <v>251</v>
      </c>
      <c r="C250" s="3" t="str">
        <f>IFERROR(__xludf.DUMMYFUNCTION("GOOGLETRANSLATE(B250,""id"",""en"")"),"['Customer', 'loyal', 'Telkomsel', 'Please', 'Points',' Collect ',' Hopefully ',' Useful ',' Exchange ',' Donate ',' Hope ',' Exchange ',' pulse ',' thank ',' love ',' Telkomsel ']")</f>
        <v>['Customer', 'loyal', 'Telkomsel', 'Please', 'Points',' Collect ',' Hopefully ',' Useful ',' Exchange ',' Donate ',' Hope ',' Exchange ',' pulse ',' thank ',' love ',' Telkomsel ']</v>
      </c>
      <c r="D250" s="3">
        <v>5.0</v>
      </c>
    </row>
    <row r="251" ht="15.75" customHeight="1">
      <c r="A251" s="1">
        <v>249.0</v>
      </c>
      <c r="B251" s="3" t="s">
        <v>252</v>
      </c>
      <c r="C251" s="3" t="str">
        <f>IFERROR(__xludf.DUMMYFUNCTION("GOOGLETRANSLATE(B251,""id"",""en"")"),"['use', 'unlimited', 'max', 'GB', 'quota', 'main', 'already', 'run out', 'stay', 'quota', 'unlimited', 'already', ' The network ',' slow ',' yaa ',' kek ',' gini ',' lhoo ',' sosmed ',' music ',' doang ',' game ',' unlimited ',' max ' , 'already', 'slow',"&amp;" 'play', 'pubm', 'please', 'the network', 'fix', 'thank you', ""]")</f>
        <v>['use', 'unlimited', 'max', 'GB', 'quota', 'main', 'already', 'run out', 'stay', 'quota', 'unlimited', 'already', ' The network ',' slow ',' yaa ',' kek ',' gini ',' lhoo ',' sosmed ',' music ',' doang ',' game ',' unlimited ',' max ' , 'already', 'slow', 'play', 'pubm', 'please', 'the network', 'fix', 'thank you', "]</v>
      </c>
      <c r="D251" s="3">
        <v>2.0</v>
      </c>
    </row>
    <row r="252" ht="15.75" customHeight="1">
      <c r="A252" s="1">
        <v>250.0</v>
      </c>
      <c r="B252" s="3" t="s">
        <v>253</v>
      </c>
      <c r="C252" s="3" t="str">
        <f>IFERROR(__xludf.DUMMYFUNCTION("GOOGLETRANSLATE(B252,""id"",""en"")"),"['unlimited', 'limit', 'quota', 'GB', 'quota', 'main', 'run out', 'beg', 'admin', 'reverse', 'unlimited', 'like', ' LGI ',' boundary ',' quota ',' since 'since' limits', 'quota', 'Telkomsel', 'moved', 'smartfren', 'unlimited', 'Telkomsel', 'expensive', 'r"&amp;"eally' , 'boundary', 'quota', 'please', 'read', 'Corneksiku', '']")</f>
        <v>['unlimited', 'limit', 'quota', 'GB', 'quota', 'main', 'run out', 'beg', 'admin', 'reverse', 'unlimited', 'like', ' LGI ',' boundary ',' quota ',' since 'since' limits', 'quota', 'Telkomsel', 'moved', 'smartfren', 'unlimited', 'Telkomsel', 'expensive', 'really' , 'boundary', 'quota', 'please', 'read', 'Corneksiku', '']</v>
      </c>
      <c r="D252" s="3">
        <v>3.0</v>
      </c>
    </row>
    <row r="253" ht="15.75" customHeight="1">
      <c r="A253" s="1">
        <v>251.0</v>
      </c>
      <c r="B253" s="3" t="s">
        <v>254</v>
      </c>
      <c r="C253" s="3" t="str">
        <f>IFERROR(__xludf.DUMMYFUNCTION("GOOGLETRANSLATE(B253,""id"",""en"")"),"['The meaning', 'contents',' pulse ',' yesterday ',' right ',' check ',' morning ',' already ',' emg ',' contents', 'rb', 'and then', ' Caughter ',' Packagein ',' Internet ',' Unl ',' Daily ',' GB ',' KNP ',' Credit ',' Suck ',' I mean ',' as long as', 'f"&amp;"orehead', 'sucked' , 'Credit', 'org', 'apply', 'for a while', 'card', 'already', 'expensive', 'worth', '']")</f>
        <v>['The meaning', 'contents',' pulse ',' yesterday ',' right ',' check ',' morning ',' already ',' emg ',' contents', 'rb', 'and then', ' Caughter ',' Packagein ',' Internet ',' Unl ',' Daily ',' GB ',' KNP ',' Credit ',' Suck ',' I mean ',' as long as', 'forehead', 'sucked' , 'Credit', 'org', 'apply', 'for a while', 'card', 'already', 'expensive', 'worth', '']</v>
      </c>
      <c r="D253" s="3">
        <v>1.0</v>
      </c>
    </row>
    <row r="254" ht="15.75" customHeight="1">
      <c r="A254" s="1">
        <v>252.0</v>
      </c>
      <c r="B254" s="3" t="s">
        <v>255</v>
      </c>
      <c r="C254" s="3" t="str">
        <f>IFERROR(__xludf.DUMMYFUNCTION("GOOGLETRANSLATE(B254,""id"",""en"")"),"['Please', 'Help', 'buy', 'Package', 'Combo', 'Sakti', 'Telkomsel', 'Success',' Message ',' Enter ',' Application ',' Telkomsel ',' Combo ',' Sakti ',' failed ',' activated ',' reason ',' sorry ',' system ',' busy ',' please ',' try ',' package ',' manage"&amp;"d ',' bought ' , 'pulse', 'package', 'combo', 'indifferent', 'active', 'please', 'activate', 'package', 'combo', 'managed', 'buy', ""]")</f>
        <v>['Please', 'Help', 'buy', 'Package', 'Combo', 'Sakti', 'Telkomsel', 'Success',' Message ',' Enter ',' Application ',' Telkomsel ',' Combo ',' Sakti ',' failed ',' activated ',' reason ',' sorry ',' system ',' busy ',' please ',' try ',' package ',' managed ',' bought ' , 'pulse', 'package', 'combo', 'indifferent', 'active', 'please', 'activate', 'package', 'combo', 'managed', 'buy', "]</v>
      </c>
      <c r="D254" s="3">
        <v>1.0</v>
      </c>
    </row>
    <row r="255" ht="15.75" customHeight="1">
      <c r="A255" s="1">
        <v>253.0</v>
      </c>
      <c r="B255" s="3" t="s">
        <v>256</v>
      </c>
      <c r="C255" s="3" t="str">
        <f>IFERROR(__xludf.DUMMYFUNCTION("GOOGLETRANSLATE(B255,""id"",""en"")"),"['Telkomsel', 'application', 'slow', 'right', 'opened', 'Load', 'reset', 'right', 'clicked', 'times',' rare ',' open ',' application', '']")</f>
        <v>['Telkomsel', 'application', 'slow', 'right', 'opened', 'Load', 'reset', 'right', 'clicked', 'times',' rare ',' open ',' application', '']</v>
      </c>
      <c r="D255" s="3">
        <v>3.0</v>
      </c>
    </row>
    <row r="256" ht="15.75" customHeight="1">
      <c r="A256" s="1">
        <v>254.0</v>
      </c>
      <c r="B256" s="3" t="s">
        <v>257</v>
      </c>
      <c r="C256" s="3" t="str">
        <f>IFERROR(__xludf.DUMMYFUNCTION("GOOGLETRANSLATE(B256,""id"",""en"")"),"['quality', 'signal', 'bad', 'Customer', 'postpaid', 'network', 'priority', 'tempted', 'upgrade', 'card', 'card', 'hello', ' Quality ',' sinynyal ',' price ',' package ',' cheap ',' prepaid ',' rather than ',' postpaid ',' tempted ',' tlpn ',' upgrade ','"&amp;" card ',' karna ' , 'Pay', 'expensive', 'quality', 'network', 'bad', 'according to', 'offer', 'network', 'piolity', ""]")</f>
        <v>['quality', 'signal', 'bad', 'Customer', 'postpaid', 'network', 'priority', 'tempted', 'upgrade', 'card', 'card', 'hello', ' Quality ',' sinynyal ',' price ',' package ',' cheap ',' prepaid ',' rather than ',' postpaid ',' tempted ',' tlpn ',' upgrade ',' card ',' karna ' , 'Pay', 'expensive', 'quality', 'network', 'bad', 'according to', 'offer', 'network', 'piolity', "]</v>
      </c>
      <c r="D256" s="3">
        <v>1.0</v>
      </c>
    </row>
    <row r="257" ht="15.75" customHeight="1">
      <c r="A257" s="1">
        <v>255.0</v>
      </c>
      <c r="B257" s="3" t="s">
        <v>258</v>
      </c>
      <c r="C257" s="3" t="str">
        <f>IFERROR(__xludf.DUMMYFUNCTION("GOOGLETRANSLATE(B257,""id"",""en"")"),"['disappointed', 'application', 'Telkomsel', 'buy', 'package', 'internet', 'method', 'payment', 'funds',' package ',' active ',' payment ',' Success', 'Please', 'Telkomsel']")</f>
        <v>['disappointed', 'application', 'Telkomsel', 'buy', 'package', 'internet', 'method', 'payment', 'funds',' package ',' active ',' payment ',' Success', 'Please', 'Telkomsel']</v>
      </c>
      <c r="D257" s="3">
        <v>1.0</v>
      </c>
    </row>
    <row r="258" ht="15.75" customHeight="1">
      <c r="A258" s="1">
        <v>256.0</v>
      </c>
      <c r="B258" s="3" t="s">
        <v>259</v>
      </c>
      <c r="C258" s="3" t="str">
        <f>IFERROR(__xludf.DUMMYFUNCTION("GOOGLETRANSLATE(B258,""id"",""en"")"),"['difficult', 'times',' open ',' application ',' Telkomsel ',' connection ',' stable ',' appears', 'application', 'connection', 'run', 'smooth', ' ']")</f>
        <v>['difficult', 'times',' open ',' application ',' Telkomsel ',' connection ',' stable ',' appears', 'application', 'connection', 'run', 'smooth', ' ']</v>
      </c>
      <c r="D258" s="3">
        <v>1.0</v>
      </c>
    </row>
    <row r="259" ht="15.75" customHeight="1">
      <c r="A259" s="1">
        <v>257.0</v>
      </c>
      <c r="B259" s="3" t="s">
        <v>260</v>
      </c>
      <c r="C259" s="3" t="str">
        <f>IFERROR(__xludf.DUMMYFUNCTION("GOOGLETRANSLATE(B259,""id"",""en"")"),"['Read', 'credit', 'lost', 'Telkomsel', 'corruption', 'GMNA', 'pls',' return ',' pulse ',' little ',' TPI ',' Gagini ',' Telkomsel ',' Corruption ',' User ',' Beginner ',' BLM ',' GMNA ',' Please ',' KPD ',' Telkomsel ',' Accounted ',' Jawaa ',' TTG ',' S"&amp;"end ' , 'Email', 'Telkomsel', 'Thank you', 'Please', 'Initiated', 'Jawail']")</f>
        <v>['Read', 'credit', 'lost', 'Telkomsel', 'corruption', 'GMNA', 'pls',' return ',' pulse ',' little ',' TPI ',' Gagini ',' Telkomsel ',' Corruption ',' User ',' Beginner ',' BLM ',' GMNA ',' Please ',' KPD ',' Telkomsel ',' Accounted ',' Jawaa ',' TTG ',' Send ' , 'Email', 'Telkomsel', 'Thank you', 'Please', 'Initiated', 'Jawail']</v>
      </c>
      <c r="D259" s="3">
        <v>2.0</v>
      </c>
    </row>
    <row r="260" ht="15.75" customHeight="1">
      <c r="A260" s="1">
        <v>258.0</v>
      </c>
      <c r="B260" s="3" t="s">
        <v>261</v>
      </c>
      <c r="C260" s="3" t="str">
        <f>IFERROR(__xludf.DUMMYFUNCTION("GOOGLETRANSLATE(B260,""id"",""en"")"),"['msuk', 'promo', 'promo', 'package', 'cheap', 'bought', 'kagak', 'package', 'ngk', 'dapt', 'pulse', 'chick', ' GMna ',' Telkomsel ',' ']")</f>
        <v>['msuk', 'promo', 'promo', 'package', 'cheap', 'bought', 'kagak', 'package', 'ngk', 'dapt', 'pulse', 'chick', ' GMna ',' Telkomsel ',' ']</v>
      </c>
      <c r="D260" s="3">
        <v>1.0</v>
      </c>
    </row>
    <row r="261" ht="15.75" customHeight="1">
      <c r="A261" s="1">
        <v>259.0</v>
      </c>
      <c r="B261" s="3" t="s">
        <v>262</v>
      </c>
      <c r="C261" s="3" t="str">
        <f>IFERROR(__xludf.DUMMYFUNCTION("GOOGLETRANSLATE(B261,""id"",""en"")"),"['Tens',' Telkomsel ',' RB ',' BLN ',' usage ',' list ',' Telkomsel ',' Points', 'Winner', 'Easy', 'Telkomsel', 'Taking', ' Heart ',' Amin ',' Please ',' Increase ',' Network ',' Disturbed ',' ']")</f>
        <v>['Tens',' Telkomsel ',' RB ',' BLN ',' usage ',' list ',' Telkomsel ',' Points', 'Winner', 'Easy', 'Telkomsel', 'Taking', ' Heart ',' Amin ',' Please ',' Increase ',' Network ',' Disturbed ',' ']</v>
      </c>
      <c r="D261" s="3">
        <v>3.0</v>
      </c>
    </row>
    <row r="262" ht="15.75" customHeight="1">
      <c r="A262" s="1">
        <v>260.0</v>
      </c>
      <c r="B262" s="3" t="s">
        <v>263</v>
      </c>
      <c r="C262" s="3" t="str">
        <f>IFERROR(__xludf.DUMMYFUNCTION("GOOGLETRANSLATE(B262,""id"",""en"")"),"['package', 'night', 'printed', 'RB', 'right', 'activated', 'rb', 'right', 'press',' sms', 'pulse', 'buy', ' package ',' sahur ',' mean ',' Telkomsel ',' already ',' rich ',' fraud ',' rich ',' gini ']")</f>
        <v>['package', 'night', 'printed', 'RB', 'right', 'activated', 'rb', 'right', 'press',' sms', 'pulse', 'buy', ' package ',' sahur ',' mean ',' Telkomsel ',' already ',' rich ',' fraud ',' rich ',' gini ']</v>
      </c>
      <c r="D262" s="3">
        <v>3.0</v>
      </c>
    </row>
    <row r="263" ht="15.75" customHeight="1">
      <c r="A263" s="1">
        <v>261.0</v>
      </c>
      <c r="B263" s="3" t="s">
        <v>264</v>
      </c>
      <c r="C263" s="3" t="str">
        <f>IFERROR(__xludf.DUMMYFUNCTION("GOOGLETRANSLATE(B263,""id"",""en"")"),"['The network', 'Trutama', 'Special', 'Area', 'Semarang', 'Mending', 'Dih', 'Dri', 'Telkom', 'Masi', 'Stable', 'LOL', ' Lawak ',' Telkomsel ']")</f>
        <v>['The network', 'Trutama', 'Special', 'Area', 'Semarang', 'Mending', 'Dih', 'Dri', 'Telkom', 'Masi', 'Stable', 'LOL', ' Lawak ',' Telkomsel ']</v>
      </c>
      <c r="D263" s="3">
        <v>2.0</v>
      </c>
    </row>
    <row r="264" ht="15.75" customHeight="1">
      <c r="A264" s="1">
        <v>262.0</v>
      </c>
      <c r="B264" s="3" t="s">
        <v>265</v>
      </c>
      <c r="C264" s="3" t="str">
        <f>IFERROR(__xludf.DUMMYFUNCTION("GOOGLETRANSLATE(B264,""id"",""en"")"),"['satisfying', 'package', 'combo', 'Sakti', 'unlimited', 'quota', 'unlimited', 'change', 'quota', 'main', 'GB', 'GB', ' Apps', 'quota', 'main', 'run out', 'according to', 'name', 'printed', 'combo', 'Sakti', 'unlimited', 'hope', 'MyTelkomsel', 'restore' ,"&amp;" 'Package', 'Combo', 'Sakti', 'Unlimited', 'Trimakasih', ""]")</f>
        <v>['satisfying', 'package', 'combo', 'Sakti', 'unlimited', 'quota', 'unlimited', 'change', 'quota', 'main', 'GB', 'GB', ' Apps', 'quota', 'main', 'run out', 'according to', 'name', 'printed', 'combo', 'Sakti', 'unlimited', 'hope', 'MyTelkomsel', 'restore' , 'Package', 'Combo', 'Sakti', 'Unlimited', 'Trimakasih', "]</v>
      </c>
      <c r="D264" s="3">
        <v>3.0</v>
      </c>
    </row>
    <row r="265" ht="15.75" customHeight="1">
      <c r="A265" s="1">
        <v>263.0</v>
      </c>
      <c r="B265" s="3" t="s">
        <v>266</v>
      </c>
      <c r="C265" s="3" t="str">
        <f>IFERROR(__xludf.DUMMYFUNCTION("GOOGLETRANSLATE(B265,""id"",""en"")"),"['Please', 'Package', 'Internet', 'Activate', 'Cook', 'I', 'Buy', 'Package', 'Gara', 'Gara', 'Buy', 'Package', ' Please, 'Server', 'Weve', 'Yesterday', 'Down', 'Gara', 'Gara', 'Disruption', 'Server', 'Data', 'Data']")</f>
        <v>['Please', 'Package', 'Internet', 'Activate', 'Cook', 'I', 'Buy', 'Package', 'Gara', 'Gara', 'Buy', 'Package', ' Please, 'Server', 'Weve', 'Yesterday', 'Down', 'Gara', 'Gara', 'Disruption', 'Server', 'Data', 'Data']</v>
      </c>
      <c r="D265" s="3">
        <v>1.0</v>
      </c>
    </row>
    <row r="266" ht="15.75" customHeight="1">
      <c r="A266" s="1">
        <v>264.0</v>
      </c>
      <c r="B266" s="3" t="s">
        <v>267</v>
      </c>
      <c r="C266" s="3" t="str">
        <f>IFERROR(__xludf.DUMMYFUNCTION("GOOGLETRANSLATE(B266,""id"",""en"")"),"['Please', 'min', 'network', 'ulimitid', 'kayak', 'mane', 'juge', 'right', 'login', 'pubin', 'ugly', 'network', ' good ',' please ',' Dragus', 'Network', 'min', 'min', 'please', 'min', 'network', 'ulimitid', 'difficult', 'kaluila', 'play' , 'pub', 'please"&amp;"', 'min', 'fix', 'network', 'please', 'Telkomsel']")</f>
        <v>['Please', 'min', 'network', 'ulimitid', 'kayak', 'mane', 'juge', 'right', 'login', 'pubin', 'ugly', 'network', ' good ',' please ',' Dragus', 'Network', 'min', 'min', 'please', 'min', 'network', 'ulimitid', 'difficult', 'kaluila', 'play' , 'pub', 'please', 'min', 'fix', 'network', 'please', 'Telkomsel']</v>
      </c>
      <c r="D266" s="3">
        <v>2.0</v>
      </c>
    </row>
    <row r="267" ht="15.75" customHeight="1">
      <c r="A267" s="1">
        <v>265.0</v>
      </c>
      <c r="B267" s="3" t="s">
        <v>268</v>
      </c>
      <c r="C267" s="3" t="str">
        <f>IFERROR(__xludf.DUMMYFUNCTION("GOOGLETRANSLATE(B267,""id"",""en"")"),"['card', 'turn', 'play', 'home', 'direct', 'network', 'slow', 'quota', 'expensive', 'deh', 'telkomsel', 'play', ' how ',' network ',' ugly ',' right ',' play ',' direct ',' ngeselin ',' esmosi ',' help ',' doang ',' Telkomsel ',' network ',' Telkomsel ' ,"&amp;" 'at home', 'right', 'play', 'what', '']")</f>
        <v>['card', 'turn', 'play', 'home', 'direct', 'network', 'slow', 'quota', 'expensive', 'deh', 'telkomsel', 'play', ' how ',' network ',' ugly ',' right ',' play ',' direct ',' ngeselin ',' esmosi ',' help ',' doang ',' Telkomsel ',' network ',' Telkomsel ' , 'at home', 'right', 'play', 'what', '']</v>
      </c>
      <c r="D267" s="3">
        <v>2.0</v>
      </c>
    </row>
    <row r="268" ht="15.75" customHeight="1">
      <c r="A268" s="1">
        <v>266.0</v>
      </c>
      <c r="B268" s="3" t="s">
        <v>269</v>
      </c>
      <c r="C268" s="3" t="str">
        <f>IFERROR(__xludf.DUMMYFUNCTION("GOOGLETRANSLATE(B268,""id"",""en"")"),"['Heyy', 'Telkomsel', 'with you', 'knp', 'week', 'trahir', 'connection', 'internet', 'bad', 'stable', 'signal', 'lost', ' Sndiri ',' play ',' game ',' comfortable ',' users', 'Telkomsel', 'feel', 'UDH', 'expensive', 'slow', 'hope', 'tomorrow', 'fix' , 'No"&amp;"rmal', 'Trimakasi', 'Indonesia', 'Ngeluhhh', 'Telkomsel', 'Leet', 'Gamers']")</f>
        <v>['Heyy', 'Telkomsel', 'with you', 'knp', 'week', 'trahir', 'connection', 'internet', 'bad', 'stable', 'signal', 'lost', ' Sndiri ',' play ',' game ',' comfortable ',' users', 'Telkomsel', 'feel', 'UDH', 'expensive', 'slow', 'hope', 'tomorrow', 'fix' , 'Normal', 'Trimakasi', 'Indonesia', 'Ngeluhhh', 'Telkomsel', 'Leet', 'Gamers']</v>
      </c>
      <c r="D268" s="3">
        <v>1.0</v>
      </c>
    </row>
    <row r="269" ht="15.75" customHeight="1">
      <c r="A269" s="1">
        <v>267.0</v>
      </c>
      <c r="B269" s="3" t="s">
        <v>270</v>
      </c>
      <c r="C269" s="3" t="str">
        <f>IFERROR(__xludf.DUMMYFUNCTION("GOOGLETRANSLATE(B269,""id"",""en"")"),"['Telkomsel', 'detrimental', 'already', 'buy', 'pulse', 'many', 'times',' buy ',' quota ',' pulses', 'abis',' quota ',' Tetep ',' how ',' please ',' help ', ""]")</f>
        <v>['Telkomsel', 'detrimental', 'already', 'buy', 'pulse', 'many', 'times',' buy ',' quota ',' pulses', 'abis',' quota ',' Tetep ',' how ',' please ',' help ', "]</v>
      </c>
      <c r="D269" s="3">
        <v>1.0</v>
      </c>
    </row>
    <row r="270" ht="15.75" customHeight="1">
      <c r="A270" s="1">
        <v>268.0</v>
      </c>
      <c r="B270" s="3" t="s">
        <v>271</v>
      </c>
      <c r="C270" s="3" t="str">
        <f>IFERROR(__xludf.DUMMYFUNCTION("GOOGLETRANSLATE(B270,""id"",""en"")"),"['Combo', 'Sakti', 'unlimited', 'quota', 'main', 'abis',' sosmed ',' Instagram ',' etc. ',' sekarag ',' unlimited ',' buy ',' Package ',' Combo ',' Sakti ',' unlimited ',' GB ',' Hnya ',' bln ',' dpn ',' moved ',' oprtor ',' disappointed ',' ']")</f>
        <v>['Combo', 'Sakti', 'unlimited', 'quota', 'main', 'abis',' sosmed ',' Instagram ',' etc. ',' sekarag ',' unlimited ',' buy ',' Package ',' Combo ',' Sakti ',' unlimited ',' GB ',' Hnya ',' bln ',' dpn ',' moved ',' oprtor ',' disappointed ',' ']</v>
      </c>
      <c r="D270" s="3">
        <v>1.0</v>
      </c>
    </row>
    <row r="271" ht="15.75" customHeight="1">
      <c r="A271" s="1">
        <v>269.0</v>
      </c>
      <c r="B271" s="3" t="s">
        <v>272</v>
      </c>
      <c r="C271" s="3" t="str">
        <f>IFERROR(__xludf.DUMMYFUNCTION("GOOGLETRANSLATE(B271,""id"",""en"")"),"['price', 'package', 'improved', 'quality', 'network', 'data', 'noticed', 'like', 'like', 'Telkomsel', 'right', 'play', ' Games', 'get', 'Commemeration', 'Gara', 'Gara', 'Network', 'Data', 'connection', 'ugly', 'offer', 'type', 'promo', 'the network' , 's"&amp;"table', 'Telkomsel', 'serving', 'gave', 'hope', 'satisfying', 'bright', 'satisfied', 'name', 'connection', 'Telkomsel', ""]")</f>
        <v>['price', 'package', 'improved', 'quality', 'network', 'data', 'noticed', 'like', 'like', 'Telkomsel', 'right', 'play', ' Games', 'get', 'Commemeration', 'Gara', 'Gara', 'Network', 'Data', 'connection', 'ugly', 'offer', 'type', 'promo', 'the network' , 'stable', 'Telkomsel', 'serving', 'gave', 'hope', 'satisfying', 'bright', 'satisfied', 'name', 'connection', 'Telkomsel', "]</v>
      </c>
      <c r="D271" s="3">
        <v>1.0</v>
      </c>
    </row>
    <row r="272" ht="15.75" customHeight="1">
      <c r="A272" s="1">
        <v>270.0</v>
      </c>
      <c r="B272" s="3" t="s">
        <v>273</v>
      </c>
      <c r="C272" s="3" t="str">
        <f>IFERROR(__xludf.DUMMYFUNCTION("GOOGLETRANSLATE(B272,""id"",""en"")"),"['Good', 'really', 'app', 'easy', 'monitoring', 'quota', 'data', 'buy', 'quota', 'easy', 'then', 'buy', ' Credit ',' price ',' pulses', 'Joss',' ']")</f>
        <v>['Good', 'really', 'app', 'easy', 'monitoring', 'quota', 'data', 'buy', 'quota', 'easy', 'then', 'buy', ' Credit ',' price ',' pulses', 'Joss',' ']</v>
      </c>
      <c r="D272" s="3">
        <v>5.0</v>
      </c>
    </row>
    <row r="273" ht="15.75" customHeight="1">
      <c r="A273" s="1">
        <v>271.0</v>
      </c>
      <c r="B273" s="3" t="s">
        <v>274</v>
      </c>
      <c r="C273" s="3" t="str">
        <f>IFERROR(__xludf.DUMMYFUNCTION("GOOGLETRANSLATE(B273,""id"",""en"")"),"['already', 'monthly', 'network', 'Telkomsel', 'slow', 'bnget', 'open', 'mytelkomsel', 'difficult', 'bngt', 'nge', 'game', ' Online ',' fix it ',' Telkomsel ',' please ',' already ',' tried ',' Disanin ',' admin ',' Telkomsel ',' msh ',' result ',' zonk '"&amp;", ""]")</f>
        <v>['already', 'monthly', 'network', 'Telkomsel', 'slow', 'bnget', 'open', 'mytelkomsel', 'difficult', 'bngt', 'nge', 'game', ' Online ',' fix it ',' Telkomsel ',' please ',' already ',' tried ',' Disanin ',' admin ',' Telkomsel ',' msh ',' result ',' zonk ', "]</v>
      </c>
      <c r="D273" s="3">
        <v>1.0</v>
      </c>
    </row>
    <row r="274" ht="15.75" customHeight="1">
      <c r="A274" s="1">
        <v>272.0</v>
      </c>
      <c r="B274" s="3" t="s">
        <v>275</v>
      </c>
      <c r="C274" s="3" t="str">
        <f>IFERROR(__xludf.DUMMYFUNCTION("GOOGLETRANSLATE(B274,""id"",""en"")"),"['Apps',' good ',' leftover ',' package ',' data ',' buy ',' package ',' pulse ',' function ',' function ',' delete ',' package ',' Udh ',' Thnks', ""]")</f>
        <v>['Apps',' good ',' leftover ',' package ',' data ',' buy ',' package ',' pulse ',' function ',' function ',' delete ',' package ',' Udh ',' Thnks', "]</v>
      </c>
      <c r="D274" s="3">
        <v>4.0</v>
      </c>
    </row>
    <row r="275" ht="15.75" customHeight="1">
      <c r="A275" s="1">
        <v>273.0</v>
      </c>
      <c r="B275" s="3" t="s">
        <v>276</v>
      </c>
      <c r="C275" s="3" t="str">
        <f>IFERROR(__xludf.DUMMYFUNCTION("GOOGLETRANSLATE(B275,""id"",""en"")"),"['Dibangangin', 'Telkomsel', 'Package', 'expensive', 'Discontinued', 'IN', 'Sinyal', 'Nyungsep', 'Application', 'Kaga', 'Package', 'Discussed', ' In ',' Telkomsel ',' friend ',' package ',' in place ',' Kaga ',' love ',' Rate ',' auto ',' robot ']")</f>
        <v>['Dibangangin', 'Telkomsel', 'Package', 'expensive', 'Discontinued', 'IN', 'Sinyal', 'Nyungsep', 'Application', 'Kaga', 'Package', 'Discussed', ' In ',' Telkomsel ',' friend ',' package ',' in place ',' Kaga ',' love ',' Rate ',' auto ',' robot ']</v>
      </c>
      <c r="D275" s="3">
        <v>1.0</v>
      </c>
    </row>
    <row r="276" ht="15.75" customHeight="1">
      <c r="A276" s="1">
        <v>274.0</v>
      </c>
      <c r="B276" s="3" t="s">
        <v>277</v>
      </c>
      <c r="C276" s="3" t="str">
        <f>IFERROR(__xludf.DUMMYFUNCTION("GOOGLETRANSLATE(B276,""id"",""en"")"),"['Strange', 'Telkomsel', 'Love', 'Points', 'Free', 'Fill', 'Credit', 'What' What ',' Turn ',' Exchange ',' Package ',' Data ',' Credit ',' Pastsssss', 'Points',' Pastsssss', '']")</f>
        <v>['Strange', 'Telkomsel', 'Love', 'Points', 'Free', 'Fill', 'Credit', 'What' What ',' Turn ',' Exchange ',' Package ',' Data ',' Credit ',' Pastsssss', 'Points',' Pastsssss', '']</v>
      </c>
      <c r="D276" s="3">
        <v>1.0</v>
      </c>
    </row>
    <row r="277" ht="15.75" customHeight="1">
      <c r="A277" s="1">
        <v>275.0</v>
      </c>
      <c r="B277" s="3" t="s">
        <v>278</v>
      </c>
      <c r="C277" s="3" t="str">
        <f>IFERROR(__xludf.DUMMYFUNCTION("GOOGLETRANSLATE(B277,""id"",""en"")"),"['Hi', 'Telkomsel', 'Network', 'Burik', 'Cheap', 'GPP', 'Paketan', 'Expensive', 'Mna', 'ugly', 'LGI', 'Disappointed', ' Telkomsel ']")</f>
        <v>['Hi', 'Telkomsel', 'Network', 'Burik', 'Cheap', 'GPP', 'Paketan', 'Expensive', 'Mna', 'ugly', 'LGI', 'Disappointed', ' Telkomsel ']</v>
      </c>
      <c r="D277" s="3">
        <v>1.0</v>
      </c>
    </row>
    <row r="278" ht="15.75" customHeight="1">
      <c r="A278" s="1">
        <v>276.0</v>
      </c>
      <c r="B278" s="3" t="s">
        <v>279</v>
      </c>
      <c r="C278" s="3" t="str">
        <f>IFERROR(__xludf.DUMMYFUNCTION("GOOGLETRANSLATE(B278,""id"",""en"")"),"['Contain', 'complain', 'Network', 'Telkomsel', 'Region', 'Like', 'Lost', 'Play', 'Game', 'Online', 'Please', 'Buy', ' Telkomsel ',' believe ',' quality ',' network ',' saaya ',' play ', ""]")</f>
        <v>['Contain', 'complain', 'Network', 'Telkomsel', 'Region', 'Like', 'Lost', 'Play', 'Game', 'Online', 'Please', 'Buy', ' Telkomsel ',' believe ',' quality ',' network ',' saaya ',' play ', "]</v>
      </c>
      <c r="D278" s="3">
        <v>1.0</v>
      </c>
    </row>
    <row r="279" ht="15.75" customHeight="1">
      <c r="A279" s="1">
        <v>277.0</v>
      </c>
      <c r="B279" s="3" t="s">
        <v>280</v>
      </c>
      <c r="C279" s="3" t="str">
        <f>IFERROR(__xludf.DUMMYFUNCTION("GOOGLETRANSLATE(B279,""id"",""en"")"),"['Provider', 'Price', 'Package', 'Most expensive', 'Quality', 'Network', 'Worst', 'Service', 'Customer', 'Bad', 'Promo', 'Tipu', ' Just ',' Suggestions', 'Make', 'Telkomsel', 'SIM', 'Card', 'Receive', 'Call', 'Internet', 'Mending', 'AXIS', 'IM', '']")</f>
        <v>['Provider', 'Price', 'Package', 'Most expensive', 'Quality', 'Network', 'Worst', 'Service', 'Customer', 'Bad', 'Promo', 'Tipu', ' Just ',' Suggestions', 'Make', 'Telkomsel', 'SIM', 'Card', 'Receive', 'Call', 'Internet', 'Mending', 'AXIS', 'IM', '']</v>
      </c>
      <c r="D279" s="3">
        <v>1.0</v>
      </c>
    </row>
    <row r="280" ht="15.75" customHeight="1">
      <c r="A280" s="1">
        <v>278.0</v>
      </c>
      <c r="B280" s="3" t="s">
        <v>281</v>
      </c>
      <c r="C280" s="3" t="str">
        <f>IFERROR(__xludf.DUMMYFUNCTION("GOOGLETRANSLATE(B280,""id"",""en"")"),"['Severe', 'APK', 'dwnload', 'rich', 'understand', 'Mending', 'Delete', 'pact', 'bkn', 'cheap', 'TPI', 'expensive', ' Eating ',' Blood ',' TLKMSEL ',' PLSA ',' Reduced ',' Padhal ',' PKT ',' Data ',' HRI ',' MKIN ',' Jrngan ',' Extensive ',' Udg ' , 'PNDH"&amp;"', 'HRI', 'CREATION', '']")</f>
        <v>['Severe', 'APK', 'dwnload', 'rich', 'understand', 'Mending', 'Delete', 'pact', 'bkn', 'cheap', 'TPI', 'expensive', ' Eating ',' Blood ',' TLKMSEL ',' PLSA ',' Reduced ',' Padhal ',' PKT ',' Data ',' HRI ',' MKIN ',' Jrngan ',' Extensive ',' Udg ' , 'PNDH', 'HRI', 'CREATION', '']</v>
      </c>
      <c r="D280" s="3">
        <v>1.0</v>
      </c>
    </row>
    <row r="281" ht="15.75" customHeight="1">
      <c r="A281" s="1">
        <v>279.0</v>
      </c>
      <c r="B281" s="3" t="s">
        <v>282</v>
      </c>
      <c r="C281" s="3" t="str">
        <f>IFERROR(__xludf.DUMMYFUNCTION("GOOGLETRANSLATE(B281,""id"",""en"")"),"['Telkomsel', 'ngak', 'content', 'pulse', 'enter', 'run', 'package', 'pulse', 'ngak', 'useful', 'pulse', 'main', ' Suddenly ',' pasted ',' kacaw ',' please ',' repay ',' I ',' Males', 'Ngusi', 'credit', 'Telkomsel', 'Pakek', 'already', 'Abis' , 'first', '"&amp;"waste', '']")</f>
        <v>['Telkomsel', 'ngak', 'content', 'pulse', 'enter', 'run', 'package', 'pulse', 'ngak', 'useful', 'pulse', 'main', ' Suddenly ',' pasted ',' kacaw ',' please ',' repay ',' I ',' Males', 'Ngusi', 'credit', 'Telkomsel', 'Pakek', 'already', 'Abis' , 'first', 'waste', '']</v>
      </c>
      <c r="D281" s="3">
        <v>1.0</v>
      </c>
    </row>
    <row r="282" ht="15.75" customHeight="1">
      <c r="A282" s="1">
        <v>280.0</v>
      </c>
      <c r="B282" s="3" t="s">
        <v>283</v>
      </c>
      <c r="C282" s="3" t="str">
        <f>IFERROR(__xludf.DUMMYFUNCTION("GOOGLETRANSLATE(B282,""id"",""en"")"),"['Love', 'Star', 'Application', 'Telkomsel', 'Like', 'Wrong', 'users',' Telkomsel ',' loyal ',' Telkomsel ',' Telkomsel ',' Good ',' Good ',' Come ',' Telkomsel ',' Loss', 'Telkomsel']")</f>
        <v>['Love', 'Star', 'Application', 'Telkomsel', 'Like', 'Wrong', 'users',' Telkomsel ',' loyal ',' Telkomsel ',' Telkomsel ',' Good ',' Good ',' Come ',' Telkomsel ',' Loss', 'Telkomsel']</v>
      </c>
      <c r="D282" s="3">
        <v>5.0</v>
      </c>
    </row>
    <row r="283" ht="15.75" customHeight="1">
      <c r="A283" s="1">
        <v>281.0</v>
      </c>
      <c r="B283" s="3" t="s">
        <v>284</v>
      </c>
      <c r="C283" s="3" t="str">
        <f>IFERROR(__xludf.DUMMYFUNCTION("GOOGLETRANSLATE(B283,""id"",""en"")"),"['Please', 'MyTelkomsel', 'promo', 'cheap', 'eliminated', 'loyal', 'really', 'pke', 'card', 'many years',' that's', 'please', ' Please ',' Promo ',' Rb ',' GB ',' Unlimited ',' Chat ',' Defended ',' ']")</f>
        <v>['Please', 'MyTelkomsel', 'promo', 'cheap', 'eliminated', 'loyal', 'really', 'pke', 'card', 'many years',' that's', 'please', ' Please ',' Promo ',' Rb ',' GB ',' Unlimited ',' Chat ',' Defended ',' ']</v>
      </c>
      <c r="D283" s="3">
        <v>1.0</v>
      </c>
    </row>
    <row r="284" ht="15.75" customHeight="1">
      <c r="A284" s="1">
        <v>282.0</v>
      </c>
      <c r="B284" s="3" t="s">
        <v>285</v>
      </c>
      <c r="C284" s="3" t="str">
        <f>IFERROR(__xludf.DUMMYFUNCTION("GOOGLETRANSLATE(B284,""id"",""en"")"),"['comment', 'Telkomsel', 'bad', 'full', 'ugly', 'mending', 'ajah', 'plus', 'emotion', 'min', 'min', 'please' Fix ',' signal ',' Gosha ',' ']")</f>
        <v>['comment', 'Telkomsel', 'bad', 'full', 'ugly', 'mending', 'ajah', 'plus', 'emotion', 'min', 'min', 'please' Fix ',' signal ',' Gosha ',' ']</v>
      </c>
      <c r="D284" s="3">
        <v>1.0</v>
      </c>
    </row>
    <row r="285" ht="15.75" customHeight="1">
      <c r="A285" s="1">
        <v>283.0</v>
      </c>
      <c r="B285" s="3" t="s">
        <v>286</v>
      </c>
      <c r="C285" s="3" t="str">
        <f>IFERROR(__xludf.DUMMYFUNCTION("GOOGLETRANSLATE(B285,""id"",""en"")"),"['ask', 'I'll be' deliberate ',' kindemen ',' Telkomsel ',' download ',' enter ',' number ',' said ',' message ',' Telkomsel ',' sms ',' pressing ',' send ',' reset ',' message ',' many "", 'times', 'please', 'Telkomsel', 'how', 'contact', 'Twitter', 'Fac"&amp;"ebook', 'telegram' , 'please', 'Telkomsel', 'how', '']")</f>
        <v>['ask', 'I'll be' deliberate ',' kindemen ',' Telkomsel ',' download ',' enter ',' number ',' said ',' message ',' Telkomsel ',' sms ',' pressing ',' send ',' reset ',' message ',' many ", 'times', 'please', 'Telkomsel', 'how', 'contact', 'Twitter', 'Facebook', 'telegram' , 'please', 'Telkomsel', 'how', '']</v>
      </c>
      <c r="D285" s="3">
        <v>2.0</v>
      </c>
    </row>
    <row r="286" ht="15.75" customHeight="1">
      <c r="A286" s="1">
        <v>284.0</v>
      </c>
      <c r="B286" s="3" t="s">
        <v>287</v>
      </c>
      <c r="C286" s="3" t="str">
        <f>IFERROR(__xludf.DUMMYFUNCTION("GOOGLETRANSLATE(B286,""id"",""en"")"),"['slow', 'make', 'application', 'check', 'quota', 'etc.', 'easy', 'fast', 'mah', 'easy', 'emotion', 'refresh', ' Many ',' leftover ',' package ',' buy ',' Package ',' YouTube ',' Road ',' Healthy ',' Kah ', ""]")</f>
        <v>['slow', 'make', 'application', 'check', 'quota', 'etc.', 'easy', 'fast', 'mah', 'easy', 'emotion', 'refresh', ' Many ',' leftover ',' package ',' buy ',' Package ',' YouTube ',' Road ',' Healthy ',' Kah ', "]</v>
      </c>
      <c r="D286" s="3">
        <v>1.0</v>
      </c>
    </row>
    <row r="287" ht="15.75" customHeight="1">
      <c r="A287" s="1">
        <v>285.0</v>
      </c>
      <c r="B287" s="3" t="s">
        <v>288</v>
      </c>
      <c r="C287" s="3" t="str">
        <f>IFERROR(__xludf.DUMMYFUNCTION("GOOGLETRANSLATE(B287,""id"",""en"")"),"['Credit', 'Monetary', 'Telkomsel', 'Enter', 'May', 'Date', 'Out', 'Enterprit', 'Credit', 'Monetary', 'Function', 'Credit', ' Needs', 'Emergency', 'Emergency', 'term', 'short', 'user', 'application', 'Miss',' Satisfied ',' Service ',' Moisture ',' Consume"&amp;"rs', 'Please' , 'Min', 'Expert']")</f>
        <v>['Credit', 'Monetary', 'Telkomsel', 'Enter', 'May', 'Date', 'Out', 'Enterprit', 'Credit', 'Monetary', 'Function', 'Credit', ' Needs', 'Emergency', 'Emergency', 'term', 'short', 'user', 'application', 'Miss',' Satisfied ',' Service ',' Moisture ',' Consumers', 'Please' , 'Min', 'Expert']</v>
      </c>
      <c r="D287" s="3">
        <v>1.0</v>
      </c>
    </row>
    <row r="288" ht="15.75" customHeight="1">
      <c r="A288" s="1">
        <v>286.0</v>
      </c>
      <c r="B288" s="3" t="s">
        <v>289</v>
      </c>
      <c r="C288" s="3" t="str">
        <f>IFERROR(__xludf.DUMMYFUNCTION("GOOGLETRANSLATE(B288,""id"",""en"")"),"['Telkomsel', 'fill', 'pulse', 'sucked', 'subscription', 'fill', 'like', 'drained', 'remaining', 'exchange', 'package', 'unlimited', ' problematic ',' please ',' persuhit ',' difficult ',' fill out ',' package ',' ']")</f>
        <v>['Telkomsel', 'fill', 'pulse', 'sucked', 'subscription', 'fill', 'like', 'drained', 'remaining', 'exchange', 'package', 'unlimited', ' problematic ',' please ',' persuhit ',' difficult ',' fill out ',' package ',' ']</v>
      </c>
      <c r="D288" s="3">
        <v>2.0</v>
      </c>
    </row>
    <row r="289" ht="15.75" customHeight="1">
      <c r="A289" s="1">
        <v>287.0</v>
      </c>
      <c r="B289" s="3" t="s">
        <v>290</v>
      </c>
      <c r="C289" s="3" t="str">
        <f>IFERROR(__xludf.DUMMYFUNCTION("GOOGLETRANSLATE(B289,""id"",""en"")"),"['network', 'Telkomsel', 'ugly', 'play', 'game', 'social', 'media', 'likes',' broke ',' connect ',' the network ',' Klu ',' play ',' game ',' like ',' upset ',' disconeting ',' right ',' exciting ',' annoyed ',' call ',' chat ',' broke ',' kgk ',' voice '"&amp;" , 'KLU', 'BKN', 'already', 'BYK', 'Yesterday', 'Telkomsel', 'already', 'Nidak', 'quota', 'expensive', 'the network', 'annoying', ' ']")</f>
        <v>['network', 'Telkomsel', 'ugly', 'play', 'game', 'social', 'media', 'likes',' broke ',' connect ',' the network ',' Klu ',' play ',' game ',' like ',' upset ',' disconeting ',' right ',' exciting ',' annoyed ',' call ',' chat ',' broke ',' kgk ',' voice ' , 'KLU', 'BKN', 'already', 'BYK', 'Yesterday', 'Telkomsel', 'already', 'Nidak', 'quota', 'expensive', 'the network', 'annoying', ' ']</v>
      </c>
      <c r="D289" s="3">
        <v>1.0</v>
      </c>
    </row>
    <row r="290" ht="15.75" customHeight="1">
      <c r="A290" s="1">
        <v>288.0</v>
      </c>
      <c r="B290" s="3" t="s">
        <v>291</v>
      </c>
      <c r="C290" s="3" t="str">
        <f>IFERROR(__xludf.DUMMYFUNCTION("GOOGLETRANSLATE(B290,""id"",""en"")"),"['Telkomsel', 'sell', 'quota', 'deh', 'service', 'kayak', 'taik', 'already', 'price', 'quota', 'expensive', 'offgeas',' Get ',' signal ',' slow ',' hahaha ',' intention ',' gave ',' service ',' mah ',' mending ',' leave ',' sono ',' TEL ',' Toll ' , 'lol'"&amp;"]")</f>
        <v>['Telkomsel', 'sell', 'quota', 'deh', 'service', 'kayak', 'taik', 'already', 'price', 'quota', 'expensive', 'offgeas',' Get ',' signal ',' slow ',' hahaha ',' intention ',' gave ',' service ',' mah ',' mending ',' leave ',' sono ',' TEL ',' Toll ' , 'lol']</v>
      </c>
      <c r="D290" s="3">
        <v>1.0</v>
      </c>
    </row>
    <row r="291" ht="15.75" customHeight="1">
      <c r="A291" s="1">
        <v>289.0</v>
      </c>
      <c r="B291" s="3" t="s">
        <v>292</v>
      </c>
      <c r="C291" s="3" t="str">
        <f>IFERROR(__xludf.DUMMYFUNCTION("GOOGLETRANSLATE(B291,""id"",""en"")"),"['regret', 'update', 'application', 'karna', 'update', 'check', 'check', 'already', 'no', 'increases',' tcash ',' direct ',' The application ',' no ',' Bagusan ',' version ',' please ',' fix ',' thank you ']")</f>
        <v>['regret', 'update', 'application', 'karna', 'update', 'check', 'check', 'already', 'no', 'increases',' tcash ',' direct ',' The application ',' no ',' Bagusan ',' version ',' please ',' fix ',' thank you ']</v>
      </c>
      <c r="D291" s="3">
        <v>1.0</v>
      </c>
    </row>
    <row r="292" ht="15.75" customHeight="1">
      <c r="A292" s="1">
        <v>290.0</v>
      </c>
      <c r="B292" s="3" t="s">
        <v>293</v>
      </c>
      <c r="C292" s="3" t="str">
        <f>IFERROR(__xludf.DUMMYFUNCTION("GOOGLETRANSLATE(B292,""id"",""en"")"),"['Service', 'Telkomsel', 'Sekrng', 'Decreases',' Strength ',' Signal ',' Connection ',' Internet ',' Week ',' Last ',' Lemot ',' Buffering ',' Really ',' Down ',' Move ',' Channel ',' Ajalah ', ""]")</f>
        <v>['Service', 'Telkomsel', 'Sekrng', 'Decreases',' Strength ',' Signal ',' Connection ',' Internet ',' Week ',' Last ',' Lemot ',' Buffering ',' Really ',' Down ',' Move ',' Channel ',' Ajalah ', "]</v>
      </c>
      <c r="D292" s="3">
        <v>1.0</v>
      </c>
    </row>
    <row r="293" ht="15.75" customHeight="1">
      <c r="A293" s="1">
        <v>291.0</v>
      </c>
      <c r="B293" s="3" t="s">
        <v>294</v>
      </c>
      <c r="C293" s="3" t="str">
        <f>IFERROR(__xludf.DUMMYFUNCTION("GOOGLETRANSLATE(B293,""id"",""en"")"),"['', 'experience', 'cave', 'week', 'access',' apk ',' oath ',' difficult ',' right ',' jringan ',' cave ',' normal ',' entered ',' APK ',' difficult ',' forgiveness', 'Please', 'fix', 'APK', 'Makash', ""]")</f>
        <v>['', 'experience', 'cave', 'week', 'access',' apk ',' oath ',' difficult ',' right ',' jringan ',' cave ',' normal ',' entered ',' APK ',' difficult ',' forgiveness', 'Please', 'fix', 'APK', 'Makash', "]</v>
      </c>
      <c r="D293" s="3">
        <v>3.0</v>
      </c>
    </row>
    <row r="294" ht="15.75" customHeight="1">
      <c r="A294" s="1">
        <v>292.0</v>
      </c>
      <c r="B294" s="3" t="s">
        <v>295</v>
      </c>
      <c r="C294" s="3" t="str">
        <f>IFERROR(__xludf.DUMMYFUNCTION("GOOGLETRANSLATE(B294,""id"",""en"")"),"['network', 'slow', 'forgiveness',' mending ',' replace ',' card ',' deh ',' kek ',' gini ',' already ',' Thun ',' pkek ',' Telkom ',' here ',' ugly ',' signal ',' lose ',' replied ',' already ',' okak ',' balasnmu ',' ']")</f>
        <v>['network', 'slow', 'forgiveness',' mending ',' replace ',' card ',' deh ',' kek ',' gini ',' already ',' Thun ',' pkek ',' Telkom ',' here ',' ugly ',' signal ',' lose ',' replied ',' already ',' okak ',' balasnmu ',' ']</v>
      </c>
      <c r="D294" s="3">
        <v>1.0</v>
      </c>
    </row>
    <row r="295" ht="15.75" customHeight="1">
      <c r="A295" s="1">
        <v>293.0</v>
      </c>
      <c r="B295" s="3" t="s">
        <v>296</v>
      </c>
      <c r="C295" s="3" t="str">
        <f>IFERROR(__xludf.DUMMYFUNCTION("GOOGLETRANSLATE(B295,""id"",""en"")"),"['signal', 'sympathy', 'bad', 'lost', 'signal', 'quota', 'price', 'expensive', 'open', 'youtube', 'browse', 'slow', ' forgiveness', 'that's',' signal ',' gnya ',' lost ']")</f>
        <v>['signal', 'sympathy', 'bad', 'lost', 'signal', 'quota', 'price', 'expensive', 'open', 'youtube', 'browse', 'slow', ' forgiveness', 'that's',' signal ',' gnya ',' lost ']</v>
      </c>
      <c r="D295" s="3">
        <v>1.0</v>
      </c>
    </row>
    <row r="296" ht="15.75" customHeight="1">
      <c r="A296" s="1">
        <v>294.0</v>
      </c>
      <c r="B296" s="3" t="s">
        <v>297</v>
      </c>
      <c r="C296" s="3" t="str">
        <f>IFERROR(__xludf.DUMMYFUNCTION("GOOGLETRANSLATE(B296,""id"",""en"")"),"['oath', 'ugly', 'really', 'already', 'buy', 'expensive', 'expensive', 'quality', 'network', 'ugly', 'really', 'play', ' Game ',' Network ',' Red ',' Rank ',' Network ',' Watch ',' Film ',' Really ',' Loading ',' Please ',' Respond ', ""]")</f>
        <v>['oath', 'ugly', 'really', 'already', 'buy', 'expensive', 'expensive', 'quality', 'network', 'ugly', 'really', 'play', ' Game ',' Network ',' Red ',' Rank ',' Network ',' Watch ',' Film ',' Really ',' Loading ',' Please ',' Respond ', "]</v>
      </c>
      <c r="D296" s="3">
        <v>1.0</v>
      </c>
    </row>
    <row r="297" ht="15.75" customHeight="1">
      <c r="A297" s="1">
        <v>295.0</v>
      </c>
      <c r="B297" s="3" t="s">
        <v>298</v>
      </c>
      <c r="C297" s="3" t="str">
        <f>IFERROR(__xludf.DUMMYFUNCTION("GOOGLETRANSLATE(B297,""id"",""en"")"),"['Cuman', 'complement', 'signal', 'compensated', 'made', 'Kenceng', 'good', 'slow', 'RUWET', 'Sinyal', 'area', 'answerarat', ' signal ',' gini ',' mending ',' moved ',' provider ',' next door ',' service ',' cs', 'lagih', 'duhduhduhhh']")</f>
        <v>['Cuman', 'complement', 'signal', 'compensated', 'made', 'Kenceng', 'good', 'slow', 'RUWET', 'Sinyal', 'area', 'answerarat', ' signal ',' gini ',' mending ',' moved ',' provider ',' next door ',' service ',' cs', 'lagih', 'duhduhduhhh']</v>
      </c>
      <c r="D297" s="3">
        <v>2.0</v>
      </c>
    </row>
    <row r="298" ht="15.75" customHeight="1">
      <c r="A298" s="1">
        <v>296.0</v>
      </c>
      <c r="B298" s="3" t="s">
        <v>299</v>
      </c>
      <c r="C298" s="3" t="str">
        <f>IFERROR(__xludf.DUMMYFUNCTION("GOOGLETRANSLATE(B298,""id"",""en"")"),"['price', 'package', 'expensive', 'quota', 'call', 'reduced', 'replace', 'card', 'change', 'plate', 'yellow', 'cheap', ' Signal ',' already ',' seeeeeeng ', ""]")</f>
        <v>['price', 'package', 'expensive', 'quota', 'call', 'reduced', 'replace', 'card', 'change', 'plate', 'yellow', 'cheap', ' Signal ',' already ',' seeeeeeng ', "]</v>
      </c>
      <c r="D298" s="3">
        <v>1.0</v>
      </c>
    </row>
    <row r="299" ht="15.75" customHeight="1">
      <c r="A299" s="1">
        <v>297.0</v>
      </c>
      <c r="B299" s="3" t="s">
        <v>300</v>
      </c>
      <c r="C299" s="3" t="str">
        <f>IFERROR(__xludf.DUMMYFUNCTION("GOOGLETRANSLATE(B299,""id"",""en"")"),"['morning', 'until', 'night', 'open', 'sosmed', 'taiklah', 'chat', 'buy', 'kouta', 'chat', 'doang', 'browsing', ' etc. ',' telegram ',' buy ',' thousand ',' times', 'tsel', 'direct', 'regret', 'tsel', 'signal', 'stable', 'reality', 'people' , 'People', 'l"&amp;"ike', 'getting', 'better', 'scorched', 'thousand', ""]")</f>
        <v>['morning', 'until', 'night', 'open', 'sosmed', 'taiklah', 'chat', 'buy', 'kouta', 'chat', 'doang', 'browsing', ' etc. ',' telegram ',' buy ',' thousand ',' times', 'tsel', 'direct', 'regret', 'tsel', 'signal', 'stable', 'reality', 'people' , 'People', 'like', 'getting', 'better', 'scorched', 'thousand', "]</v>
      </c>
      <c r="D299" s="3">
        <v>1.0</v>
      </c>
    </row>
    <row r="300" ht="15.75" customHeight="1">
      <c r="A300" s="1">
        <v>298.0</v>
      </c>
      <c r="B300" s="3" t="s">
        <v>301</v>
      </c>
      <c r="C300" s="3" t="str">
        <f>IFERROR(__xludf.DUMMYFUNCTION("GOOGLETRANSLATE(B300,""id"",""en"")"),"['network', 'Telkomsel', 'slow', 'quota', 'multimedia', 'use', 'active', 'quota', 'please', 'explanation', 'thank you', ""]")</f>
        <v>['network', 'Telkomsel', 'slow', 'quota', 'multimedia', 'use', 'active', 'quota', 'please', 'explanation', 'thank you', "]</v>
      </c>
      <c r="D300" s="3">
        <v>1.0</v>
      </c>
    </row>
    <row r="301" ht="15.75" customHeight="1">
      <c r="A301" s="1">
        <v>299.0</v>
      </c>
      <c r="B301" s="3" t="s">
        <v>302</v>
      </c>
      <c r="C301" s="3" t="str">
        <f>IFERROR(__xludf.DUMMYFUNCTION("GOOGLETRANSLATE(B301,""id"",""en"")"),"['Want', 'network', 'save', 'price', 'quality', 'turn', 'network', 'supports',' price ',' package ',' exorbitant ',' Telkomsel ',' Decline ',' quality ',' solution ',' week ',' network ',' downhill ',' solution ',' convenience ',' user ', ""]")</f>
        <v>['Want', 'network', 'save', 'price', 'quality', 'turn', 'network', 'supports',' price ',' package ',' exorbitant ',' Telkomsel ',' Decline ',' quality ',' solution ',' week ',' network ',' downhill ',' solution ',' convenience ',' user ', "]</v>
      </c>
      <c r="D301" s="3">
        <v>1.0</v>
      </c>
    </row>
    <row r="302" ht="15.75" customHeight="1">
      <c r="A302" s="1">
        <v>300.0</v>
      </c>
      <c r="B302" s="3" t="s">
        <v>303</v>
      </c>
      <c r="C302" s="3" t="str">
        <f>IFERROR(__xludf.DUMMYFUNCTION("GOOGLETRANSLATE(B302,""id"",""en"")"),"['Quality', 'Network', 'Telkomsel', 'Bad', 'User', 'Indonesia', 'Quality', 'Tissue', 'Satisfying', 'User', 'Lost', 'Network', ' Cellular ',' Operator ',' ']")</f>
        <v>['Quality', 'Network', 'Telkomsel', 'Bad', 'User', 'Indonesia', 'Quality', 'Tissue', 'Satisfying', 'User', 'Lost', 'Network', ' Cellular ',' Operator ',' ']</v>
      </c>
      <c r="D302" s="3">
        <v>1.0</v>
      </c>
    </row>
    <row r="303" ht="15.75" customHeight="1">
      <c r="A303" s="1">
        <v>301.0</v>
      </c>
      <c r="B303" s="3" t="s">
        <v>304</v>
      </c>
      <c r="C303" s="3" t="str">
        <f>IFERROR(__xludf.DUMMYFUNCTION("GOOGLETRANSLATE(B303,""id"",""en"")"),"['buy', 'card', 'Telkomsel', 'rigged', 'free', 'sosmed', 'week', 'already', 'gabisa', 'already', 'times',' KEK ',' Such is', 'continued', 'Raying', 'Telkomsel']")</f>
        <v>['buy', 'card', 'Telkomsel', 'rigged', 'free', 'sosmed', 'week', 'already', 'gabisa', 'already', 'times',' KEK ',' Such is', 'continued', 'Raying', 'Telkomsel']</v>
      </c>
      <c r="D303" s="3">
        <v>1.0</v>
      </c>
    </row>
    <row r="304" ht="15.75" customHeight="1">
      <c r="A304" s="1">
        <v>302.0</v>
      </c>
      <c r="B304" s="3" t="s">
        <v>305</v>
      </c>
      <c r="C304" s="3" t="str">
        <f>IFERROR(__xludf.DUMMYFUNCTION("GOOGLETRANSLATE(B304,""id"",""en"")"),"['Process', 'Refund', 'Credit', 'Berbel', 'Turns', 'Say "",' Ditelfon ',' Process ',' Review ',' Work ',' Week ',' Credit ',' Date ',' May ',' ']")</f>
        <v>['Process', 'Refund', 'Credit', 'Berbel', 'Turns', 'Say ",' Ditelfon ',' Process ',' Review ',' Work ',' Week ',' Credit ',' Date ',' May ',' ']</v>
      </c>
      <c r="D304" s="3">
        <v>2.0</v>
      </c>
    </row>
    <row r="305" ht="15.75" customHeight="1">
      <c r="A305" s="1">
        <v>303.0</v>
      </c>
      <c r="B305" s="3" t="s">
        <v>306</v>
      </c>
      <c r="C305" s="3" t="str">
        <f>IFERROR(__xludf.DUMMYFUNCTION("GOOGLETRANSLATE(B305,""id"",""en"")"),"['Telkomsel', 'already', 'useful', 'signal', 'already', 'severe', 'lose', 'card', 'package', 'cheap', 'network', 'full', ' Current ',' Ginih ',' Ajah ',' Sousal ',' Customer ',' Move ',' Next to ',' ']")</f>
        <v>['Telkomsel', 'already', 'useful', 'signal', 'already', 'severe', 'lose', 'card', 'package', 'cheap', 'network', 'full', ' Current ',' Ginih ',' Ajah ',' Sousal ',' Customer ',' Move ',' Next to ',' ']</v>
      </c>
      <c r="D305" s="3">
        <v>1.0</v>
      </c>
    </row>
    <row r="306" ht="15.75" customHeight="1">
      <c r="A306" s="1">
        <v>304.0</v>
      </c>
      <c r="B306" s="3" t="s">
        <v>307</v>
      </c>
      <c r="C306" s="3" t="str">
        <f>IFERROR(__xludf.DUMMYFUNCTION("GOOGLETRANSLATE(B306,""id"",""en"")"),"['buy', 'package', 'telephone', 'minute', 'all', 'operator', 'notification', 'package', 'active', 'then', 'telephone', 'number', ' Office ',' finished ',' check ',' cut ',' pulse ',' package ',' Telkomsel ', ""]")</f>
        <v>['buy', 'package', 'telephone', 'minute', 'all', 'operator', 'notification', 'package', 'active', 'then', 'telephone', 'number', ' Office ',' finished ',' check ',' cut ',' pulse ',' package ',' Telkomsel ', "]</v>
      </c>
      <c r="D306" s="3">
        <v>1.0</v>
      </c>
    </row>
    <row r="307" ht="15.75" customHeight="1">
      <c r="A307" s="1">
        <v>305.0</v>
      </c>
      <c r="B307" s="3" t="s">
        <v>308</v>
      </c>
      <c r="C307" s="3" t="str">
        <f>IFERROR(__xludf.DUMMYFUNCTION("GOOGLETRANSLATE(B307,""id"",""en"")"),"['Severe', 'really', 'fill in', 'quota', 'hit', 'sumps',' pulse ',' rb ',' until ',' minute ',' package ',' fail ',' Credit ',' already ',' run out ',' first ',' Nyekkk ',' really ',' Telkomsel ',' ']")</f>
        <v>['Severe', 'really', 'fill in', 'quota', 'hit', 'sumps',' pulse ',' rb ',' until ',' minute ',' package ',' fail ',' Credit ',' already ',' run out ',' first ',' Nyekkk ',' really ',' Telkomsel ',' ']</v>
      </c>
      <c r="D307" s="3">
        <v>1.0</v>
      </c>
    </row>
    <row r="308" ht="15.75" customHeight="1">
      <c r="A308" s="1">
        <v>306.0</v>
      </c>
      <c r="B308" s="3" t="s">
        <v>309</v>
      </c>
      <c r="C308" s="3" t="str">
        <f>IFERROR(__xludf.DUMMYFUNCTION("GOOGLETRANSLATE(B308,""id"",""en"")"),"['Telkomsel', 'buy', 'quota', 'pulse', 'ilang', 'scoted', 'smooth', 'poor', 'mafia', 'pulse', 'mending', 'broke', ' Criminals', 'imperite', 'rich', 'gini', 'mah', 'replace', 'card', 'WES', '']")</f>
        <v>['Telkomsel', 'buy', 'quota', 'pulse', 'ilang', 'scoted', 'smooth', 'poor', 'mafia', 'pulse', 'mending', 'broke', ' Criminals', 'imperite', 'rich', 'gini', 'mah', 'replace', 'card', 'WES', '']</v>
      </c>
      <c r="D308" s="3">
        <v>1.0</v>
      </c>
    </row>
    <row r="309" ht="15.75" customHeight="1">
      <c r="A309" s="1">
        <v>307.0</v>
      </c>
      <c r="B309" s="3" t="s">
        <v>310</v>
      </c>
      <c r="C309" s="3" t="str">
        <f>IFERROR(__xludf.DUMMYFUNCTION("GOOGLETRANSLATE(B309,""id"",""en"")"),"['Please', 'write', 'package', 'quota', 'internet', 'brain', 'Is there', 'quota', 'unlimited', 'limit', 'limit', 'use', ' Brain ',' human ']")</f>
        <v>['Please', 'write', 'package', 'quota', 'internet', 'brain', 'Is there', 'quota', 'unlimited', 'limit', 'limit', 'use', ' Brain ',' human ']</v>
      </c>
      <c r="D309" s="3">
        <v>1.0</v>
      </c>
    </row>
    <row r="310" ht="15.75" customHeight="1">
      <c r="A310" s="1">
        <v>308.0</v>
      </c>
      <c r="B310" s="3" t="s">
        <v>311</v>
      </c>
      <c r="C310" s="3" t="str">
        <f>IFERROR(__xludf.DUMMYFUNCTION("GOOGLETRANSLATE(B310,""id"",""en"")"),"['really', 'disappointed', 'contents',' reset ',' then ',' list ',' package ',' data ',' live ',' data ',' disms', 'data', ' TLPN ',' pulsaq ',' reduced ',' then ',' buy ',' pulse ',' list ',' package ',' data ',' rb ',' God ',' gusti ',' pdhl ' , 'Maketi"&amp;"n', 'that way', 'click', 'package', 'internet', 'omg', 'rb', 'sebln', 'maketin', 'rb', 'astaughfirullah', 'sebel', ' ']")</f>
        <v>['really', 'disappointed', 'contents',' reset ',' then ',' list ',' package ',' data ',' live ',' data ',' disms', 'data', ' TLPN ',' pulsaq ',' reduced ',' then ',' buy ',' pulse ',' list ',' package ',' data ',' rb ',' God ',' gusti ',' pdhl ' , 'Maketin', 'that way', 'click', 'package', 'internet', 'omg', 'rb', 'sebln', 'maketin', 'rb', 'astaughfirullah', 'sebel', ' ']</v>
      </c>
      <c r="D310" s="3">
        <v>1.0</v>
      </c>
    </row>
    <row r="311" ht="15.75" customHeight="1">
      <c r="A311" s="1">
        <v>309.0</v>
      </c>
      <c r="B311" s="3" t="s">
        <v>312</v>
      </c>
      <c r="C311" s="3" t="str">
        <f>IFERROR(__xludf.DUMMYFUNCTION("GOOGLETRANSLATE(B311,""id"",""en"")"),"['Severe', 'really', 'signal', 'Telkomsel', 'area', 'Cibinong', 'kab', 'bogor', 'good', 'smooth', 'really', 'since' Kmarin ',' Telkomsel ',' Disruption ',' Sampe ',' Skarang ',' Bapukk ',' Leet ',' Simply ',' Sinyal ',' Lost ',' Dalem ',' Room ',' Oath ' "&amp;", 'Severe', 'really', 'disappointed', 'disappointed', 'bet', 'cave', 'pokonya', 'disappointed', '']")</f>
        <v>['Severe', 'really', 'signal', 'Telkomsel', 'area', 'Cibinong', 'kab', 'bogor', 'good', 'smooth', 'really', 'since' Kmarin ',' Telkomsel ',' Disruption ',' Sampe ',' Skarang ',' Bapukk ',' Leet ',' Simply ',' Sinyal ',' Lost ',' Dalem ',' Room ',' Oath ' , 'Severe', 'really', 'disappointed', 'disappointed', 'bet', 'cave', 'pokonya', 'disappointed', '']</v>
      </c>
      <c r="D311" s="3">
        <v>1.0</v>
      </c>
    </row>
    <row r="312" ht="15.75" customHeight="1">
      <c r="A312" s="1">
        <v>310.0</v>
      </c>
      <c r="B312" s="3" t="s">
        <v>313</v>
      </c>
      <c r="C312" s="3" t="str">
        <f>IFERROR(__xludf.DUMMYFUNCTION("GOOGLETRANSLATE(B312,""id"",""en"")"),"['hope', 'signal', 'good', 'it's easy', 'anywhat', 'partner', 'grab', 'thank you']")</f>
        <v>['hope', 'signal', 'good', 'it's easy', 'anywhat', 'partner', 'grab', 'thank you']</v>
      </c>
      <c r="D312" s="3">
        <v>5.0</v>
      </c>
    </row>
    <row r="313" ht="15.75" customHeight="1">
      <c r="A313" s="1">
        <v>311.0</v>
      </c>
      <c r="B313" s="3" t="s">
        <v>314</v>
      </c>
      <c r="C313" s="3" t="str">
        <f>IFERROR(__xludf.DUMMYFUNCTION("GOOGLETRANSLATE(B313,""id"",""en"")"),"['Please', 'ANLIMETID', 'Enhanced', 'LGI', 'Normal', 'LGI', 'NEW', 'Application', 'Antallid', 'Good', 'Sya', 'Love', ' Star ',' dlu ',' thanks']")</f>
        <v>['Please', 'ANLIMETID', 'Enhanced', 'LGI', 'Normal', 'LGI', 'NEW', 'Application', 'Antallid', 'Good', 'Sya', 'Love', ' Star ',' dlu ',' thanks']</v>
      </c>
      <c r="D313" s="3">
        <v>3.0</v>
      </c>
    </row>
    <row r="314" ht="15.75" customHeight="1">
      <c r="A314" s="1">
        <v>312.0</v>
      </c>
      <c r="B314" s="3" t="s">
        <v>315</v>
      </c>
      <c r="C314" s="3" t="str">
        <f>IFERROR(__xludf.DUMMYFUNCTION("GOOGLETRANSLATE(B314,""id"",""en"")"),"['love', 'star', 'package', 'combo', 'thousand', 'missing', 'where', 'user', 'moved', 'car', 'heart', 'network', ' Internet ',' Telkomsel ',' Leet ',' Forgiveness', 'Region', 'Tasikmalaya', 'Galunggung', 'Cepet', 'Telkomsel', 'Primadona', 'Tasik', 'Gini',"&amp;" 'Leet' , '']")</f>
        <v>['love', 'star', 'package', 'combo', 'thousand', 'missing', 'where', 'user', 'moved', 'car', 'heart', 'network', ' Internet ',' Telkomsel ',' Leet ',' Forgiveness', 'Region', 'Tasikmalaya', 'Galunggung', 'Cepet', 'Telkomsel', 'Primadona', 'Tasik', 'Gini', 'Leet' , '']</v>
      </c>
      <c r="D314" s="3">
        <v>1.0</v>
      </c>
    </row>
    <row r="315" ht="15.75" customHeight="1">
      <c r="A315" s="1">
        <v>313.0</v>
      </c>
      <c r="B315" s="3" t="s">
        <v>316</v>
      </c>
      <c r="C315" s="3" t="str">
        <f>IFERROR(__xludf.DUMMYFUNCTION("GOOGLETRANSLATE(B315,""id"",""en"")"),"['package', 'run out', 'pulse', 'main', 'suck', 'thief', 'complain', 'many years',' class', 'Telkomsel', 'system', 'prevent', ' pulses ',' sucked ',' package ',' run out ',' edit ',' love ',' reply ',' told ',' hub ',' submit ',' complaint ',' for 'bored'"&amp;" , 'Give', 'Review', '']")</f>
        <v>['package', 'run out', 'pulse', 'main', 'suck', 'thief', 'complain', 'many years',' class', 'Telkomsel', 'system', 'prevent', ' pulses ',' sucked ',' package ',' run out ',' edit ',' love ',' reply ',' told ',' hub ',' submit ',' complaint ',' for 'bored' , 'Give', 'Review', '']</v>
      </c>
      <c r="D315" s="3">
        <v>1.0</v>
      </c>
    </row>
    <row r="316" ht="15.75" customHeight="1">
      <c r="A316" s="1">
        <v>314.0</v>
      </c>
      <c r="B316" s="3" t="s">
        <v>317</v>
      </c>
      <c r="C316" s="3" t="str">
        <f>IFERROR(__xludf.DUMMYFUNCTION("GOOGLETRANSLATE(B316,""id"",""en"")"),"['Good', 'signal', 'presentation', 'package', 'data', 'already', 'that's',' gave ',' bonus', 'minute', 'call', 'approaching', ' After ',' acrifting ',' Learn ',' Needs', 'Consumers',' Disappointed ',' Hopefully ',' Bankrupt ', ""]")</f>
        <v>['Good', 'signal', 'presentation', 'package', 'data', 'already', 'that's',' gave ',' bonus', 'minute', 'call', 'approaching', ' After ',' acrifting ',' Learn ',' Needs', 'Consumers',' Disappointed ',' Hopefully ',' Bankrupt ', "]</v>
      </c>
      <c r="D316" s="3">
        <v>2.0</v>
      </c>
    </row>
    <row r="317" ht="15.75" customHeight="1">
      <c r="A317" s="1">
        <v>315.0</v>
      </c>
      <c r="B317" s="3" t="s">
        <v>318</v>
      </c>
      <c r="C317" s="3" t="str">
        <f>IFERROR(__xludf.DUMMYFUNCTION("GOOGLETRANSLATE(B317,""id"",""en"")"),"['It's easy', 'buy', 'package', 'internet', 'price', 'event', 'lottery', 'prize', 'tantalizing', 'hope', 'wrong', 'gift']")</f>
        <v>['It's easy', 'buy', 'package', 'internet', 'price', 'event', 'lottery', 'prize', 'tantalizing', 'hope', 'wrong', 'gift']</v>
      </c>
      <c r="D317" s="3">
        <v>5.0</v>
      </c>
    </row>
    <row r="318" ht="15.75" customHeight="1">
      <c r="A318" s="1">
        <v>316.0</v>
      </c>
      <c r="B318" s="3" t="s">
        <v>319</v>
      </c>
      <c r="C318" s="3" t="str">
        <f>IFERROR(__xludf.DUMMYFUNCTION("GOOGLETRANSLATE(B318,""id"",""en"")"),"['app', 'slow', 'slow', 'times',' buy ',' package ',' app ',' response ',' contents', 'pulse', 'intend', 'buy', ' package ',' internet ',' app ',' app ',' click ',' page ',' open ',' pulse ',' truncated ',' left ',' where ',' the rest ',' check ' , 'Histo"&amp;"ry', 'use', 'History', 'quality', 'ugly', 'clarity', 'loss', 'credit', 'customer', 'strange', ""]")</f>
        <v>['app', 'slow', 'slow', 'times',' buy ',' package ',' app ',' response ',' contents', 'pulse', 'intend', 'buy', ' package ',' internet ',' app ',' app ',' click ',' page ',' open ',' pulse ',' truncated ',' left ',' where ',' the rest ',' check ' , 'History', 'use', 'History', 'quality', 'ugly', 'clarity', 'loss', 'credit', 'customer', 'strange', "]</v>
      </c>
      <c r="D318" s="3">
        <v>1.0</v>
      </c>
    </row>
    <row r="319" ht="15.75" customHeight="1">
      <c r="A319" s="1">
        <v>317.0</v>
      </c>
      <c r="B319" s="3" t="s">
        <v>320</v>
      </c>
      <c r="C319" s="3" t="str">
        <f>IFERROR(__xludf.DUMMYFUNCTION("GOOGLETRANSLATE(B319,""id"",""en"")"),"['How', 'System', 'Busy', 'Fill', 'Paketan', 'Permnite to', 'Busy', 'Busy', 'Already', 'Yesterday', 'Morning', 'Check', ' quota ',' check ',' pulse ',' how ',' system ',' already ',' package ',' expensive ',' system ',' slow ']")</f>
        <v>['How', 'System', 'Busy', 'Fill', 'Paketan', 'Permnite to', 'Busy', 'Busy', 'Already', 'Yesterday', 'Morning', 'Check', ' quota ',' check ',' pulse ',' how ',' system ',' already ',' package ',' expensive ',' system ',' slow ']</v>
      </c>
      <c r="D319" s="3">
        <v>1.0</v>
      </c>
    </row>
    <row r="320" ht="15.75" customHeight="1">
      <c r="A320" s="1">
        <v>318.0</v>
      </c>
      <c r="B320" s="3" t="s">
        <v>321</v>
      </c>
      <c r="C320" s="3" t="str">
        <f>IFERROR(__xludf.DUMMYFUNCTION("GOOGLETRANSLATE(B320,""id"",""en"")"),"['crazyaaaa', 'cave', 'use', 'package', 'emergency', 'billed', 'via', 'sms',' thousand ',' billed ',' package ',' emergency ',' thousand ',' pay ',' owe ',' package ',' emergency ',' gave ',' trick ',' dirty ',' telkomsel ',' use ',' package ',' emergency"&amp;" ',' pay ' , 'bills',' eat ',' money ',' haram ',' how ',' quota ',' unlimited ',' used ',' bought ',' expensive ',' base ',' the application ',' billed ',' no ',' no ', ""]")</f>
        <v>['crazyaaaa', 'cave', 'use', 'package', 'emergency', 'billed', 'via', 'sms',' thousand ',' billed ',' package ',' emergency ',' thousand ',' pay ',' owe ',' package ',' emergency ',' gave ',' trick ',' dirty ',' telkomsel ',' use ',' package ',' emergency ',' pay ' , 'bills',' eat ',' money ',' haram ',' how ',' quota ',' unlimited ',' used ',' bought ',' expensive ',' base ',' the application ',' billed ',' no ',' no ', "]</v>
      </c>
      <c r="D320" s="3">
        <v>1.0</v>
      </c>
    </row>
    <row r="321" ht="15.75" customHeight="1">
      <c r="A321" s="1">
        <v>319.0</v>
      </c>
      <c r="B321" s="3" t="s">
        <v>322</v>
      </c>
      <c r="C321" s="3" t="str">
        <f>IFERROR(__xludf.DUMMYFUNCTION("GOOGLETRANSLATE(B321,""id"",""en"")"),"['network', 'Telkomsel', 'smooth', 'dead', 'lights',' difficult ',' complement ',' please ',' quota ',' night ',' return ',' user ',' Quota ',' night ',' GB ',' Return ',' RB ',' GB ',' Disappointed ',' ']")</f>
        <v>['network', 'Telkomsel', 'smooth', 'dead', 'lights',' difficult ',' complement ',' please ',' quota ',' night ',' return ',' user ',' Quota ',' night ',' GB ',' Return ',' RB ',' GB ',' Disappointed ',' ']</v>
      </c>
      <c r="D321" s="3">
        <v>1.0</v>
      </c>
    </row>
    <row r="322" ht="15.75" customHeight="1">
      <c r="A322" s="1">
        <v>320.0</v>
      </c>
      <c r="B322" s="3" t="s">
        <v>323</v>
      </c>
      <c r="C322" s="3" t="str">
        <f>IFERROR(__xludf.DUMMYFUNCTION("GOOGLETRANSLATE(B322,""id"",""en"")"),"['Woeee', 'Knp', 'pulse', 'Sumpot', 'PDHL', 'Blom', 'DFTARIN', 'quota', 'Damn', 'Tlkomsel', 'Jaringn', 'Lemot', ' quota ',' expensive ',' arghh ',' dhlh ',' uda ',' kli ',' pulse ',' sumps', 'pdhl', 'blom', 'list', 'please', 'work' , 'Samanya', 'Jan', 'Ke"&amp;"k', 'Gini', '']")</f>
        <v>['Woeee', 'Knp', 'pulse', 'Sumpot', 'PDHL', 'Blom', 'DFTARIN', 'quota', 'Damn', 'Tlkomsel', 'Jaringn', 'Lemot', ' quota ',' expensive ',' arghh ',' dhlh ',' uda ',' kli ',' pulse ',' sumps', 'pdhl', 'blom', 'list', 'please', 'work' , 'Samanya', 'Jan', 'Kek', 'Gini', '']</v>
      </c>
      <c r="D322" s="3">
        <v>1.0</v>
      </c>
    </row>
    <row r="323" ht="15.75" customHeight="1">
      <c r="A323" s="1">
        <v>321.0</v>
      </c>
      <c r="B323" s="3" t="s">
        <v>324</v>
      </c>
      <c r="C323" s="3" t="str">
        <f>IFERROR(__xludf.DUMMYFUNCTION("GOOGLETRANSLATE(B323,""id"",""en"")"),"['Please', 'Telkomsel', 'Hair', 'Combo', 'Sakti', 'Unlimited', 'Package', 'Combo', 'Sakti', 'Quota', 'Unlimited', 'Limit', ' his speed ',' really ',' bad ',' login ',' into ',' game ',' like ',' wild ',' rift ',' pub ',' please ',' Telkomsel ',' hold ' , "&amp;"'Package', 'Combo', 'Sakti']")</f>
        <v>['Please', 'Telkomsel', 'Hair', 'Combo', 'Sakti', 'Unlimited', 'Package', 'Combo', 'Sakti', 'Quota', 'Unlimited', 'Limit', ' his speed ',' really ',' bad ',' login ',' into ',' game ',' like ',' wild ',' rift ',' pub ',' please ',' Telkomsel ',' hold ' , 'Package', 'Combo', 'Sakti']</v>
      </c>
      <c r="D323" s="3">
        <v>1.0</v>
      </c>
    </row>
    <row r="324" ht="15.75" customHeight="1">
      <c r="A324" s="1">
        <v>322.0</v>
      </c>
      <c r="B324" s="3" t="s">
        <v>325</v>
      </c>
      <c r="C324" s="3" t="str">
        <f>IFERROR(__xludf.DUMMYFUNCTION("GOOGLETRANSLATE(B324,""id"",""en"")"),"['Please', 'Admin', 'Restore', 'Combo', 'Sakti', 'Limit', 'Use', 'mah', 'Delicious',' Buy ',' Unlimited ',' Bener ',' Unlimited ',' Sampe ',' date ',' specify ',' now ',' mah ',' limit ',' usage ',' satisfied ',' unlimited ',' name ',' already ',' combo '"&amp;" , 'Sakti', 'limit', 'usage', 'limit', 'usage', '']")</f>
        <v>['Please', 'Admin', 'Restore', 'Combo', 'Sakti', 'Limit', 'Use', 'mah', 'Delicious',' Buy ',' Unlimited ',' Bener ',' Unlimited ',' Sampe ',' date ',' specify ',' now ',' mah ',' limit ',' usage ',' satisfied ',' unlimited ',' name ',' already ',' combo ' , 'Sakti', 'limit', 'usage', 'limit', 'usage', '']</v>
      </c>
      <c r="D324" s="3">
        <v>2.0</v>
      </c>
    </row>
    <row r="325" ht="15.75" customHeight="1">
      <c r="A325" s="1">
        <v>323.0</v>
      </c>
      <c r="B325" s="3" t="s">
        <v>326</v>
      </c>
      <c r="C325" s="3" t="str">
        <f>IFERROR(__xludf.DUMMYFUNCTION("GOOGLETRANSLATE(B325,""id"",""en"")"),"['unlimited', 'gimick', 'quota', 'out', 'stream', 'youtube', 'full', 'open', 'playstore', 'no', 'road', 'price', ' package', '']")</f>
        <v>['unlimited', 'gimick', 'quota', 'out', 'stream', 'youtube', 'full', 'open', 'playstore', 'no', 'road', 'price', ' package', '']</v>
      </c>
      <c r="D325" s="3">
        <v>1.0</v>
      </c>
    </row>
    <row r="326" ht="15.75" customHeight="1">
      <c r="A326" s="1">
        <v>324.0</v>
      </c>
      <c r="B326" s="3" t="s">
        <v>327</v>
      </c>
      <c r="C326" s="3" t="str">
        <f>IFERROR(__xludf.DUMMYFUNCTION("GOOGLETRANSLATE(B326,""id"",""en"")"),"['Please', 'promo', 'already', 'limit', 'deleted', 'promo', 'no', 'tired', 'buy', 'pulse', 'already', 'told', ' Wait ',' Notif ',' Purchase ',' Visit ',' Enter ']")</f>
        <v>['Please', 'promo', 'already', 'limit', 'deleted', 'promo', 'no', 'tired', 'buy', 'pulse', 'already', 'told', ' Wait ',' Notif ',' Purchase ',' Visit ',' Enter ']</v>
      </c>
      <c r="D326" s="3">
        <v>1.0</v>
      </c>
    </row>
    <row r="327" ht="15.75" customHeight="1">
      <c r="A327" s="1">
        <v>325.0</v>
      </c>
      <c r="B327" s="3" t="s">
        <v>328</v>
      </c>
      <c r="C327" s="3" t="str">
        <f>IFERROR(__xludf.DUMMYFUNCTION("GOOGLETRANSLATE(B327,""id"",""en"")"),"['Yesterday', 'check', 'quota', 'additional', 'package', 'call', 'quota', 'udh', 'sng', 'package', 'emergency', 'pdahal', ' before ',' Sya ',' DFTAR ',' PKET ',' dray ',' told ',' BYR ',' Byrin ',' Njir ',' PKE ',' I'll ',' tell ' , 'How', 'Sehhh', 'Pay',"&amp;" 'Biarin', 'Telkomsel', 'Loss', ""]")</f>
        <v>['Yesterday', 'check', 'quota', 'additional', 'package', 'call', 'quota', 'udh', 'sng', 'package', 'emergency', 'pdahal', ' before ',' Sya ',' DFTAR ',' PKET ',' dray ',' told ',' BYR ',' Byrin ',' Njir ',' PKE ',' I'll ',' tell ' , 'How', 'Sehhh', 'Pay', 'Biarin', 'Telkomsel', 'Loss', "]</v>
      </c>
      <c r="D327" s="3">
        <v>1.0</v>
      </c>
    </row>
    <row r="328" ht="15.75" customHeight="1">
      <c r="A328" s="1">
        <v>326.0</v>
      </c>
      <c r="B328" s="3" t="s">
        <v>329</v>
      </c>
      <c r="C328" s="3" t="str">
        <f>IFERROR(__xludf.DUMMYFUNCTION("GOOGLETRANSLATE(B328,""id"",""en"")"),"['Ngak', 'Network', 'Yesterday', 'Network', 'Lost', 'Lost', 'Network', 'Full', 'Ngak', 'Bukak', 'Ngak', 'Bukak', ' YouTube ',' BALES ',' Chat ',' Gini ',' Please ',' Donk ',' Fix ',' Satisfied ',' Telkomsel ',' Oath ',' Network ',' Quality ',' Kayak ' , '"&amp;"emang', 'package', 'cheap', 'good', 'napa', 'member', 'satisfied', 'service', 'kayak', 'gini']")</f>
        <v>['Ngak', 'Network', 'Yesterday', 'Network', 'Lost', 'Lost', 'Network', 'Full', 'Ngak', 'Bukak', 'Ngak', 'Bukak', ' YouTube ',' BALES ',' Chat ',' Gini ',' Please ',' Donk ',' Fix ',' Satisfied ',' Telkomsel ',' Oath ',' Network ',' Quality ',' Kayak ' , 'emang', 'package', 'cheap', 'good', 'napa', 'member', 'satisfied', 'service', 'kayak', 'gini']</v>
      </c>
      <c r="D328" s="3">
        <v>1.0</v>
      </c>
    </row>
    <row r="329" ht="15.75" customHeight="1">
      <c r="A329" s="1">
        <v>327.0</v>
      </c>
      <c r="B329" s="3" t="s">
        <v>330</v>
      </c>
      <c r="C329" s="3" t="str">
        <f>IFERROR(__xludf.DUMMYFUNCTION("GOOGLETRANSLATE(B329,""id"",""en"")"),"['Disappointed', 'really', 'package', 'combo', 'Sakti', 'unlimited', 'restricted', 'speed', 'buy', 'deh', 'already', 'expensive', ' Restricted ',' Speed ​​',' Mending ',' ']")</f>
        <v>['Disappointed', 'really', 'package', 'combo', 'Sakti', 'unlimited', 'restricted', 'speed', 'buy', 'deh', 'already', 'expensive', ' Restricted ',' Speed ​​',' Mending ',' ']</v>
      </c>
      <c r="D329" s="3">
        <v>1.0</v>
      </c>
    </row>
    <row r="330" ht="15.75" customHeight="1">
      <c r="A330" s="1">
        <v>328.0</v>
      </c>
      <c r="B330" s="3" t="s">
        <v>331</v>
      </c>
      <c r="C330" s="3" t="str">
        <f>IFERROR(__xludf.DUMMYFUNCTION("GOOGLETRANSLATE(B330,""id"",""en"")"),"['application', 'knapa', 'open', 'application', 'respond', 'load', 'reset', 'confused', 'application', 'melk', 'package', 'internet', ' times', 'application', 'garbage']")</f>
        <v>['application', 'knapa', 'open', 'application', 'respond', 'load', 'reset', 'confused', 'application', 'melk', 'package', 'internet', ' times', 'application', 'garbage']</v>
      </c>
      <c r="D330" s="3">
        <v>1.0</v>
      </c>
    </row>
    <row r="331" ht="15.75" customHeight="1">
      <c r="A331" s="1">
        <v>329.0</v>
      </c>
      <c r="B331" s="3" t="s">
        <v>332</v>
      </c>
      <c r="C331" s="3" t="str">
        <f>IFERROR(__xludf.DUMMYFUNCTION("GOOGLETRANSLATE(B331,""id"",""en"")"),"['buy', 'package', 'unlimited', 'slow', 'use', 'play', 'game', 'signal', 'red', 'telkomsel', 'drop', 'gini', ' The network is', 'Please', 'Looked', 'Telkomsel', 'Please', 'Price', 'Package', 'Unlimited', 'Cheap']")</f>
        <v>['buy', 'package', 'unlimited', 'slow', 'use', 'play', 'game', 'signal', 'red', 'telkomsel', 'drop', 'gini', ' The network is', 'Please', 'Looked', 'Telkomsel', 'Please', 'Price', 'Package', 'Unlimited', 'Cheap']</v>
      </c>
      <c r="D331" s="3">
        <v>2.0</v>
      </c>
    </row>
    <row r="332" ht="15.75" customHeight="1">
      <c r="A332" s="1">
        <v>330.0</v>
      </c>
      <c r="B332" s="3" t="s">
        <v>333</v>
      </c>
      <c r="C332" s="3" t="str">
        <f>IFERROR(__xludf.DUMMYFUNCTION("GOOGLETRANSLATE(B332,""id"",""en"")"),"['level', 'quality', 'network', 'end', 'remote', 'jagad', 'nusantara', 'Indonesia', 'thankful', 'feel', 'spoiled', 'user', ' City ',' City ',' Understand ',' ']")</f>
        <v>['level', 'quality', 'network', 'end', 'remote', 'jagad', 'nusantara', 'Indonesia', 'thankful', 'feel', 'spoiled', 'user', ' City ',' City ',' Understand ',' ']</v>
      </c>
      <c r="D332" s="3">
        <v>5.0</v>
      </c>
    </row>
    <row r="333" ht="15.75" customHeight="1">
      <c r="A333" s="1">
        <v>331.0</v>
      </c>
      <c r="B333" s="3" t="s">
        <v>334</v>
      </c>
      <c r="C333" s="3" t="str">
        <f>IFERROR(__xludf.DUMMYFUNCTION("GOOGLETRANSLATE(B333,""id"",""en"")"),"['Telkomsel', 'report', 'complaints',' community ',' Region ',' Kecamatan ',' Barenak ',' Kab ',' Agam ',' Sumatran ',' West ',' Bahuannya ',' network ',' internet ',' Telkomsel ',' function ',' community ',' child ',' there ',' difficulty ',' access', 'n"&amp;"etwork', 'internet', 'online' , 'ATS', 'understanding', 'rock', 'Telkomsel', 'launch', 'network', 'internet', 'child', 'access',' network ',' interner ',' yng ',' Good ',' school ',' online ',' thanks']")</f>
        <v>['Telkomsel', 'report', 'complaints',' community ',' Region ',' Kecamatan ',' Barenak ',' Kab ',' Agam ',' Sumatran ',' West ',' Bahuannya ',' network ',' internet ',' Telkomsel ',' function ',' community ',' child ',' there ',' difficulty ',' access', 'network', 'internet', 'online' , 'ATS', 'understanding', 'rock', 'Telkomsel', 'launch', 'network', 'internet', 'child', 'access',' network ',' interner ',' yng ',' Good ',' school ',' online ',' thanks']</v>
      </c>
      <c r="D333" s="3">
        <v>1.0</v>
      </c>
    </row>
    <row r="334" ht="15.75" customHeight="1">
      <c r="A334" s="1">
        <v>332.0</v>
      </c>
      <c r="B334" s="3" t="s">
        <v>335</v>
      </c>
      <c r="C334" s="3" t="str">
        <f>IFERROR(__xludf.DUMMYFUNCTION("GOOGLETRANSLATE(B334,""id"",""en"")"),"['buy', 'package', 'internetn', 'written', 'bought', 'direct', 'activate', 'data', 'opened', 'pulses',' pulse ',' active ',' the package ',' beg ',' really ',' repaired ',' the application ',' error ',' ']")</f>
        <v>['buy', 'package', 'internetn', 'written', 'bought', 'direct', 'activate', 'data', 'opened', 'pulses',' pulse ',' active ',' the package ',' beg ',' really ',' repaired ',' the application ',' error ',' ']</v>
      </c>
      <c r="D334" s="3">
        <v>1.0</v>
      </c>
    </row>
    <row r="335" ht="15.75" customHeight="1">
      <c r="A335" s="1">
        <v>333.0</v>
      </c>
      <c r="B335" s="3" t="s">
        <v>336</v>
      </c>
      <c r="C335" s="3" t="str">
        <f>IFERROR(__xludf.DUMMYFUNCTION("GOOGLETRANSLATE(B335,""id"",""en"")"),"['Disappointed', 'Very', 'Ama', 'Telkomsel', 'Paketan', 'Expensive', 'Package', 'Unlimited', 'Distribution', 'Undi', 'Points',' Card ',' package ',' expensive ',' compared to ',' sympathy ',' promo ',' different ',' Telkomsel ',' smakin ',' user ',' card "&amp;"',' sometimes', 'envided', 'provider' , 'users', 'Telkomsel', 'Karna', 'Paketanku', 'expensive', 'rare', 'promo']")</f>
        <v>['Disappointed', 'Very', 'Ama', 'Telkomsel', 'Paketan', 'Expensive', 'Package', 'Unlimited', 'Distribution', 'Undi', 'Points',' Card ',' package ',' expensive ',' compared to ',' sympathy ',' promo ',' different ',' Telkomsel ',' smakin ',' user ',' card ',' sometimes', 'envided', 'provider' , 'users', 'Telkomsel', 'Karna', 'Paketanku', 'expensive', 'rare', 'promo']</v>
      </c>
      <c r="D335" s="3">
        <v>1.0</v>
      </c>
    </row>
    <row r="336" ht="15.75" customHeight="1">
      <c r="A336" s="1">
        <v>334.0</v>
      </c>
      <c r="B336" s="3" t="s">
        <v>337</v>
      </c>
      <c r="C336" s="3" t="str">
        <f>IFERROR(__xludf.DUMMYFUNCTION("GOOGLETRANSLATE(B336,""id"",""en"")"),"['Please', 'KPD', 'Telkomsel', 'Enter', 'Telkomsel', 'Leg', 'Leg', 'Network', 'Good', 'Enter', 'Mai', 'Buy', ' Koutaa ',' Nge ',' Leg ',' Leg ',' Network ',' Good ',' Thank you ',' Please ',' handled ',' Telkomsel ']")</f>
        <v>['Please', 'KPD', 'Telkomsel', 'Enter', 'Telkomsel', 'Leg', 'Leg', 'Network', 'Good', 'Enter', 'Mai', 'Buy', ' Koutaa ',' Nge ',' Leg ',' Leg ',' Network ',' Good ',' Thank you ',' Please ',' handled ',' Telkomsel ']</v>
      </c>
      <c r="D336" s="3">
        <v>2.0</v>
      </c>
    </row>
    <row r="337" ht="15.75" customHeight="1">
      <c r="A337" s="1">
        <v>335.0</v>
      </c>
      <c r="B337" s="3" t="s">
        <v>338</v>
      </c>
      <c r="C337" s="3" t="str">
        <f>IFERROR(__xludf.DUMMYFUNCTION("GOOGLETRANSLATE(B337,""id"",""en"")"),"['Good', 'The application', 'Sometimes', 'connection', 'problematic', 'please', 'try', 'please', 'the application', 'bug', 'lag']")</f>
        <v>['Good', 'The application', 'Sometimes', 'connection', 'problematic', 'please', 'try', 'please', 'the application', 'bug', 'lag']</v>
      </c>
      <c r="D337" s="3">
        <v>3.0</v>
      </c>
    </row>
    <row r="338" ht="15.75" customHeight="1">
      <c r="A338" s="1">
        <v>336.0</v>
      </c>
      <c r="B338" s="3" t="s">
        <v>339</v>
      </c>
      <c r="C338" s="3" t="str">
        <f>IFERROR(__xludf.DUMMYFUNCTION("GOOGLETRANSLATE(B338,""id"",""en"")"),"['Network', 'Telkomsel', 'ugly', 'Kampung', 'City', 'Network', 'Good', 'Bad', 'Network', 'UDH', 'Customer', 'Telkomsel', ' Gini ',' Move ',' Profaid ']")</f>
        <v>['Network', 'Telkomsel', 'ugly', 'Kampung', 'City', 'Network', 'Good', 'Bad', 'Network', 'UDH', 'Customer', 'Telkomsel', ' Gini ',' Move ',' Profaid ']</v>
      </c>
      <c r="D338" s="3">
        <v>1.0</v>
      </c>
    </row>
    <row r="339" ht="15.75" customHeight="1">
      <c r="A339" s="1">
        <v>337.0</v>
      </c>
      <c r="B339" s="3" t="s">
        <v>340</v>
      </c>
      <c r="C339" s="3" t="str">
        <f>IFERROR(__xludf.DUMMYFUNCTION("GOOGLETRANSLATE(B339,""id"",""en"")"),"['Nanyany', 'Telkomsel', 'Lemut', 'Leet', 'Buy', 'Card', 'Telkomsel', 'Unlimited', 'Signal', 'Ful', 'Leet', 'Severe', ' ']")</f>
        <v>['Nanyany', 'Telkomsel', 'Lemut', 'Leet', 'Buy', 'Card', 'Telkomsel', 'Unlimited', 'Signal', 'Ful', 'Leet', 'Severe', ' ']</v>
      </c>
      <c r="D339" s="3">
        <v>1.0</v>
      </c>
    </row>
    <row r="340" ht="15.75" customHeight="1">
      <c r="A340" s="1">
        <v>338.0</v>
      </c>
      <c r="B340" s="3" t="s">
        <v>341</v>
      </c>
      <c r="C340" s="3" t="str">
        <f>IFERROR(__xludf.DUMMYFUNCTION("GOOGLETRANSLATE(B340,""id"",""en"")"),"['Please', 'Network', 'Telkomsel', 'Bad', 'Rich', 'Please', 'Fix', 'Open', 'App', 'Open', 'App', 'Telkomsel', ' Already ',' difficult ',' open ', ""]")</f>
        <v>['Please', 'Network', 'Telkomsel', 'Bad', 'Rich', 'Please', 'Fix', 'Open', 'App', 'Open', 'App', 'Telkomsel', ' Already ',' difficult ',' open ', "]</v>
      </c>
      <c r="D340" s="3">
        <v>1.0</v>
      </c>
    </row>
    <row r="341" ht="15.75" customHeight="1">
      <c r="A341" s="1">
        <v>339.0</v>
      </c>
      <c r="B341" s="3" t="s">
        <v>342</v>
      </c>
      <c r="C341" s="3" t="str">
        <f>IFERROR(__xludf.DUMMYFUNCTION("GOOGLETRANSLATE(B341,""id"",""en"")"),"['Actually', 'application', 'complicated', 'really', 'like', 'how', 'check', 'quota', 'like', 'number', 'yasudah', 'hope', ' repaired ',' making it easier ']")</f>
        <v>['Actually', 'application', 'complicated', 'really', 'like', 'how', 'check', 'quota', 'like', 'number', 'yasudah', 'hope', ' repaired ',' making it easier ']</v>
      </c>
      <c r="D341" s="3">
        <v>1.0</v>
      </c>
    </row>
    <row r="342" ht="15.75" customHeight="1">
      <c r="A342" s="1">
        <v>340.0</v>
      </c>
      <c r="B342" s="3" t="s">
        <v>343</v>
      </c>
      <c r="C342" s="3" t="str">
        <f>IFERROR(__xludf.DUMMYFUNCTION("GOOGLETRANSLATE(B342,""id"",""en"")"),"['Woii', 'Telkomsel', 'Network', 'No', 'No', 'Consistent', 'Try', 'slamming', 'right', 'see', 'video', 'smooth', ' network ',' right ',' ngekame ',' ilang ',' drain ',' package ',' smooth ',' watch ',' video ',' youtube ',' right ',' ngeeleg ',' ngeeleg '"&amp;" , '']")</f>
        <v>['Woii', 'Telkomsel', 'Network', 'No', 'No', 'Consistent', 'Try', 'slamming', 'right', 'see', 'video', 'smooth', ' network ',' right ',' ngekame ',' ilang ',' drain ',' package ',' smooth ',' watch ',' video ',' youtube ',' right ',' ngeeleg ',' ngeeleg ' , '']</v>
      </c>
      <c r="D342" s="3">
        <v>1.0</v>
      </c>
    </row>
    <row r="343" ht="15.75" customHeight="1">
      <c r="A343" s="1">
        <v>341.0</v>
      </c>
      <c r="B343" s="3" t="s">
        <v>344</v>
      </c>
      <c r="C343" s="3" t="str">
        <f>IFERROR(__xludf.DUMMYFUNCTION("GOOGLETRANSLATE(B343,""id"",""en"")"),"['Sayangkan', 'week', 'network', 'bad', 'clock', 'segini', 'difficult', 'good', 'good', 'Please', 'repair', ""]")</f>
        <v>['Sayangkan', 'week', 'network', 'bad', 'clock', 'segini', 'difficult', 'good', 'good', 'Please', 'repair', "]</v>
      </c>
      <c r="D343" s="3">
        <v>1.0</v>
      </c>
    </row>
    <row r="344" ht="15.75" customHeight="1">
      <c r="A344" s="1">
        <v>342.0</v>
      </c>
      <c r="B344" s="3" t="s">
        <v>345</v>
      </c>
      <c r="C344" s="3" t="str">
        <f>IFERROR(__xludf.DUMMYFUNCTION("GOOGLETRANSLATE(B344,""id"",""en"")"),"['Sorry', 'complaints',' buy ',' package ',' number ',' expensive ',' check ',' number number ',' friend ',' cheap ',' cheap ',' contents', ' Credit ',' bole ',' price ',' package ',' minus', 'little', 'disappointment']")</f>
        <v>['Sorry', 'complaints',' buy ',' package ',' number ',' expensive ',' check ',' number number ',' friend ',' cheap ',' cheap ',' contents', ' Credit ',' bole ',' price ',' package ',' minus', 'little', 'disappointment']</v>
      </c>
      <c r="D344" s="3">
        <v>4.0</v>
      </c>
    </row>
    <row r="345" ht="15.75" customHeight="1">
      <c r="A345" s="1">
        <v>343.0</v>
      </c>
      <c r="B345" s="3" t="s">
        <v>346</v>
      </c>
      <c r="C345" s="3" t="str">
        <f>IFERROR(__xludf.DUMMYFUNCTION("GOOGLETRANSLATE(B345,""id"",""en"")"),"['Paketan', 'card', 'Different', 'card', 'price', 'package', 'expensive', 'rich', 'provider', 'next door', 'card', 'packetan', ' Price ',' Sitan ',' More ',' Good ',' Thank ',' Love ', ""]")</f>
        <v>['Paketan', 'card', 'Different', 'card', 'price', 'package', 'expensive', 'rich', 'provider', 'next door', 'card', 'packetan', ' Price ',' Sitan ',' More ',' Good ',' Thank ',' Love ', "]</v>
      </c>
      <c r="D345" s="3">
        <v>5.0</v>
      </c>
    </row>
    <row r="346" ht="15.75" customHeight="1">
      <c r="A346" s="1">
        <v>344.0</v>
      </c>
      <c r="B346" s="3" t="s">
        <v>347</v>
      </c>
      <c r="C346" s="3" t="str">
        <f>IFERROR(__xludf.DUMMYFUNCTION("GOOGLETRANSLATE(B346,""id"",""en"")"),"['signal', 'Telkomsel', 'ugly', 'then', 'kayak', 'dlu', 'klau', 'play', 'game', 'jammed', 'then', 'sometimes' signal ',' like ',' ilang ',' according to ',' price ',' package ',' exorbitant ',' week ',' replace ',' card ',' klau ',' blum ',' fix ' , 'Mend"&amp;"ing', 'PKE', 'Cheap', 'Signal', 'Good']")</f>
        <v>['signal', 'Telkomsel', 'ugly', 'then', 'kayak', 'dlu', 'klau', 'play', 'game', 'jammed', 'then', 'sometimes' signal ',' like ',' ilang ',' according to ',' price ',' package ',' exorbitant ',' week ',' replace ',' card ',' klau ',' blum ',' fix ' , 'Mending', 'PKE', 'Cheap', 'Signal', 'Good']</v>
      </c>
      <c r="D346" s="3">
        <v>1.0</v>
      </c>
    </row>
    <row r="347" ht="15.75" customHeight="1">
      <c r="A347" s="1">
        <v>345.0</v>
      </c>
      <c r="B347" s="3" t="s">
        <v>348</v>
      </c>
      <c r="C347" s="3" t="str">
        <f>IFERROR(__xludf.DUMMYFUNCTION("GOOGLETRANSLATE(B347,""id"",""en"")"),"['Hopefully', 'MyTelkomsel', 'advanced', 'price', 'package', 'affordable', 'success',' MyTelkomsel ',' Please ',' repaired ',' Ms. ',' Login ',' Enter ',' knapa ',' pdahal ',' nmor ',' input ',' thank you ']")</f>
        <v>['Hopefully', 'MyTelkomsel', 'advanced', 'price', 'package', 'affordable', 'success',' MyTelkomsel ',' Please ',' repaired ',' Ms. ',' Login ',' Enter ',' knapa ',' pdahal ',' nmor ',' input ',' thank you ']</v>
      </c>
      <c r="D347" s="3">
        <v>5.0</v>
      </c>
    </row>
    <row r="348" ht="15.75" customHeight="1">
      <c r="A348" s="1">
        <v>346.0</v>
      </c>
      <c r="B348" s="3" t="s">
        <v>349</v>
      </c>
      <c r="C348" s="3" t="str">
        <f>IFERROR(__xludf.DUMMYFUNCTION("GOOGLETRANSLATE(B348,""id"",""en"")"),"['unlimited', 'already', 'abis', 'quota', 'main', 'unlimited', 'gunainnnn', 'please', 'already', 'expensive', 'buyii', ""]")</f>
        <v>['unlimited', 'already', 'abis', 'quota', 'main', 'unlimited', 'gunainnnn', 'please', 'already', 'expensive', 'buyii', "]</v>
      </c>
      <c r="D348" s="3">
        <v>1.0</v>
      </c>
    </row>
    <row r="349" ht="15.75" customHeight="1">
      <c r="A349" s="1">
        <v>347.0</v>
      </c>
      <c r="B349" s="3" t="s">
        <v>350</v>
      </c>
      <c r="C349" s="3" t="str">
        <f>IFERROR(__xludf.DUMMYFUNCTION("GOOGLETRANSLATE(B349,""id"",""en"")"),"['improve', 'network', 'internet', 'selling', 'package', 'internet', 'network', 'quality', 'weather', 'normal', 'lost', 'signal', ' Mending ',' hours', 'mah', 'for days',' location ',' City ',' Kampung ',' Appeal ',' Where ',' name ',' Doang ',' Gede ',' "&amp;"Ryesel ' , 'Hours', '']")</f>
        <v>['improve', 'network', 'internet', 'selling', 'package', 'internet', 'network', 'quality', 'weather', 'normal', 'lost', 'signal', ' Mending ',' hours', 'mah', 'for days',' location ',' City ',' Kampung ',' Appeal ',' Where ',' name ',' Doang ',' Gede ',' Ryesel ' , 'Hours', '']</v>
      </c>
      <c r="D349" s="3">
        <v>1.0</v>
      </c>
    </row>
    <row r="350" ht="15.75" customHeight="1">
      <c r="A350" s="1">
        <v>348.0</v>
      </c>
      <c r="B350" s="3" t="s">
        <v>351</v>
      </c>
      <c r="C350" s="3" t="str">
        <f>IFERROR(__xludf.DUMMYFUNCTION("GOOGLETRANSLATE(B350,""id"",""en"")"),"['many years',' use ',' Telkomsel ',' times', 'disappointed', 'package', 'unlimited', 'unlimited', 'Telkomsel', 'replace', 'name', 'package', ' People ',' Deceived ',' Kayak ',' ']")</f>
        <v>['many years',' use ',' Telkomsel ',' times', 'disappointed', 'package', 'unlimited', 'unlimited', 'Telkomsel', 'replace', 'name', 'package', ' People ',' Deceived ',' Kayak ',' ']</v>
      </c>
      <c r="D350" s="3">
        <v>2.0</v>
      </c>
    </row>
    <row r="351" ht="15.75" customHeight="1">
      <c r="A351" s="1">
        <v>349.0</v>
      </c>
      <c r="B351" s="3" t="s">
        <v>352</v>
      </c>
      <c r="C351" s="3" t="str">
        <f>IFERROR(__xludf.DUMMYFUNCTION("GOOGLETRANSLATE(B351,""id"",""en"")"),"['apk', 'pulse', 'really', 'ilang', 'udh', 'dipake', 'you', 'card', 'telkom', 'card', 'suck', 'pulses',' Users', 'keuang', 'money', 'telkom', 'you', 'bjgn']")</f>
        <v>['apk', 'pulse', 'really', 'ilang', 'udh', 'dipake', 'you', 'card', 'telkom', 'card', 'suck', 'pulses',' Users', 'keuang', 'money', 'telkom', 'you', 'bjgn']</v>
      </c>
      <c r="D351" s="3">
        <v>1.0</v>
      </c>
    </row>
    <row r="352" ht="15.75" customHeight="1">
      <c r="A352" s="1">
        <v>350.0</v>
      </c>
      <c r="B352" s="3" t="s">
        <v>353</v>
      </c>
      <c r="C352" s="3" t="str">
        <f>IFERROR(__xludf.DUMMYFUNCTION("GOOGLETRANSLATE(B352,""id"",""en"")"),"['users',' Telkom ',' cell ',' stay ',' DSN ',' Kajar ',' Gading ',' Watu ',' Kec ',' Menganti ',' Gresik ',' East Java ',' The area ',' Signal ',' bad ',' ugly ',' DSN ',' DSN ',' Tanjung ',' Dukuan ',' Kec ',' Kedajean ',' Gresik ',' Jugaga ',' Network "&amp;"' , 'signal', 'good', 'org', 'product', 'card', 'beg', 'survey', 'terrain', 'kindness', 'trim', ""]")</f>
        <v>['users',' Telkom ',' cell ',' stay ',' DSN ',' Kajar ',' Gading ',' Watu ',' Kec ',' Menganti ',' Gresik ',' East Java ',' The area ',' Signal ',' bad ',' ugly ',' DSN ',' DSN ',' Tanjung ',' Dukuan ',' Kec ',' Kedajean ',' Gresik ',' Jugaga ',' Network ' , 'signal', 'good', 'org', 'product', 'card', 'beg', 'survey', 'terrain', 'kindness', 'trim', "]</v>
      </c>
      <c r="D352" s="3">
        <v>3.0</v>
      </c>
    </row>
    <row r="353" ht="15.75" customHeight="1">
      <c r="A353" s="1">
        <v>351.0</v>
      </c>
      <c r="B353" s="3" t="s">
        <v>354</v>
      </c>
      <c r="C353" s="3" t="str">
        <f>IFERROR(__xludf.DUMMYFUNCTION("GOOGLETRANSLATE(B353,""id"",""en"")"),"['poor', 'buy', 'youtube', 'lapse', 'a day', 'unlimited', 'sucked', 'pulse', 'main', 'sucked', 'pulse', 'youtubenya', ' Road ',' YouTube ',' Road ',' Nyedot ',' Package ',' Unlimited ',' Already ',' Prove ',' quota ',' main ',' zero ',' film ',' youtubeny"&amp;"a ' , 'road', 'pdhl', 'package', 'unlimited', 'youtube', 'already', 'complain', 'quota', 'main', 'wait', 'finished', 'quota', ' Youtubenya ',' Donk ',' Different ',' Indosat ',' Quota ',' Main ',' Sumpot ',' Complain ',' Direct ',' replaced ',' Tomorrow '"&amp;",' poor ',' Telkomsel ' , '']")</f>
        <v>['poor', 'buy', 'youtube', 'lapse', 'a day', 'unlimited', 'sucked', 'pulse', 'main', 'sucked', 'pulse', 'youtubenya', ' Road ',' YouTube ',' Road ',' Nyedot ',' Package ',' Unlimited ',' Already ',' Prove ',' quota ',' main ',' zero ',' film ',' youtubenya ' , 'road', 'pdhl', 'package', 'unlimited', 'youtube', 'already', 'complain', 'quota', 'main', 'wait', 'finished', 'quota', ' Youtubenya ',' Donk ',' Different ',' Indosat ',' Quota ',' Main ',' Sumpot ',' Complain ',' Direct ',' replaced ',' Tomorrow ',' poor ',' Telkomsel ' , '']</v>
      </c>
      <c r="D353" s="3">
        <v>1.0</v>
      </c>
    </row>
    <row r="354" ht="15.75" customHeight="1">
      <c r="A354" s="1">
        <v>352.0</v>
      </c>
      <c r="B354" s="3" t="s">
        <v>355</v>
      </c>
      <c r="C354" s="3" t="str">
        <f>IFERROR(__xludf.DUMMYFUNCTION("GOOGLETRANSLATE(B354,""id"",""en"")"),"['Males',' Telkomsel ',' Network ',' no ',' smooth ',' expensive ',' mah ',' yes', 'plus',' unlimited ',' unlimited ',' Bener ',' unlimited ',' Limit ',' quota ',' credit ',' quota ',' run out ',' direct ',' spend ',' pulses', ""]")</f>
        <v>['Males',' Telkomsel ',' Network ',' no ',' smooth ',' expensive ',' mah ',' yes', 'plus',' unlimited ',' unlimited ',' Bener ',' unlimited ',' Limit ',' quota ',' credit ',' quota ',' run out ',' direct ',' spend ',' pulses', "]</v>
      </c>
      <c r="D354" s="3">
        <v>1.0</v>
      </c>
    </row>
    <row r="355" ht="15.75" customHeight="1">
      <c r="A355" s="1">
        <v>353.0</v>
      </c>
      <c r="B355" s="3" t="s">
        <v>356</v>
      </c>
      <c r="C355" s="3" t="str">
        <f>IFERROR(__xludf.DUMMYFUNCTION("GOOGLETRANSLATE(B355,""id"",""en"")"),"['play', 'game', 'online', 'ping it', 'stable', 'sometimes', 'san', 'sometimes', 'ping', 'good', 'reality', 'according to' With the ',' ping ',' pub ',' Please ',' Telkomsel ',' work ',' want ',' Fortunately ',' ']")</f>
        <v>['play', 'game', 'online', 'ping it', 'stable', 'sometimes', 'san', 'sometimes', 'ping', 'good', 'reality', 'according to' With the ',' ping ',' pub ',' Please ',' Telkomsel ',' work ',' want ',' Fortunately ',' ']</v>
      </c>
      <c r="D355" s="3">
        <v>1.0</v>
      </c>
    </row>
    <row r="356" ht="15.75" customHeight="1">
      <c r="A356" s="1">
        <v>354.0</v>
      </c>
      <c r="B356" s="3" t="s">
        <v>357</v>
      </c>
      <c r="C356" s="3" t="str">
        <f>IFERROR(__xludf.DUMMYFUNCTION("GOOGLETRANSLATE(B356,""id"",""en"")"),"['rotten', 'bug', 'where', 'error', 'error', 'error', 'error', 'udh', 'package', 'expensive', 'signal', ' Good ',' plus', 'service', 'application', 'severe', 'minus',' love ',' minus', 'stinher', 'rotten', 'nge', 'redeem', 'check' , 'Points', 'APP', 'SUCC"&amp;"ESS', 'TPI', 'Message', 'Enter', 'Check', 'Quota', 'Enter', 'wkwkw']")</f>
        <v>['rotten', 'bug', 'where', 'error', 'error', 'error', 'error', 'udh', 'package', 'expensive', 'signal', ' Good ',' plus', 'service', 'application', 'severe', 'minus',' love ',' minus', 'stinher', 'rotten', 'nge', 'redeem', 'check' , 'Points', 'APP', 'SUCCESS', 'TPI', 'Message', 'Enter', 'Check', 'Quota', 'Enter', 'wkwkw']</v>
      </c>
      <c r="D356" s="3">
        <v>1.0</v>
      </c>
    </row>
    <row r="357" ht="15.75" customHeight="1">
      <c r="A357" s="1">
        <v>355.0</v>
      </c>
      <c r="B357" s="3" t="s">
        <v>358</v>
      </c>
      <c r="C357" s="3" t="str">
        <f>IFERROR(__xludf.DUMMYFUNCTION("GOOGLETRANSLATE(B357,""id"",""en"")"),"['Jelex', 'quota', 'multimedia', 'buy', 'package', 'unlimited', 'combo', 'Sakti', 'leftover', 'GB', 'speed', 'Dinurunin', ' Kbps', 'deteriorating', 'price', 'quota', 'Dinaikin', '']")</f>
        <v>['Jelex', 'quota', 'multimedia', 'buy', 'package', 'unlimited', 'combo', 'Sakti', 'leftover', 'GB', 'speed', 'Dinurunin', ' Kbps', 'deteriorating', 'price', 'quota', 'Dinaikin', '']</v>
      </c>
      <c r="D357" s="3">
        <v>1.0</v>
      </c>
    </row>
    <row r="358" ht="15.75" customHeight="1">
      <c r="A358" s="1">
        <v>356.0</v>
      </c>
      <c r="B358" s="3" t="s">
        <v>359</v>
      </c>
      <c r="C358" s="3" t="str">
        <f>IFERROR(__xludf.DUMMYFUNCTION("GOOGLETRANSLATE(B358,""id"",""en"")"),"['Package', 'monthly', 'Full', 'Kadi', 'Indihome', 'Card', 'Telkomsel', 'Tenggarong', 'Sebergarong', 'Quality', 'Data', ' Inet ',' severe ',' noon ',' night ',' worse ',' Larna ',' please ',' fix ',' boss', ""]")</f>
        <v>['Package', 'monthly', 'Full', 'Kadi', 'Indihome', 'Card', 'Telkomsel', 'Tenggarong', 'Sebergarong', 'Quality', 'Data', ' Inet ',' severe ',' noon ',' night ',' worse ',' Larna ',' please ',' fix ',' boss', "]</v>
      </c>
      <c r="D358" s="3">
        <v>3.0</v>
      </c>
    </row>
    <row r="359" ht="15.75" customHeight="1">
      <c r="A359" s="1">
        <v>357.0</v>
      </c>
      <c r="B359" s="3" t="s">
        <v>360</v>
      </c>
      <c r="C359" s="3" t="str">
        <f>IFERROR(__xludf.DUMMYFUNCTION("GOOGLETRANSLATE(B359,""id"",""en"")"),"['Achievement', 'Good', 'obtained', 'Tekomsel', 'signal', 'digit', 'ngelag', 'appreciate', 'thank', 'love', 'Telkomsel', 'kenglagan', ' Certificial ']")</f>
        <v>['Achievement', 'Good', 'obtained', 'Tekomsel', 'signal', 'digit', 'ngelag', 'appreciate', 'thank', 'love', 'Telkomsel', 'kenglagan', ' Certificial ']</v>
      </c>
      <c r="D359" s="3">
        <v>5.0</v>
      </c>
    </row>
    <row r="360" ht="15.75" customHeight="1">
      <c r="A360" s="1">
        <v>358.0</v>
      </c>
      <c r="B360" s="3" t="s">
        <v>361</v>
      </c>
      <c r="C360" s="3" t="str">
        <f>IFERROR(__xludf.DUMMYFUNCTION("GOOGLETRANSLATE(B360,""id"",""en"")"),"['Ribet', 'Login', 'Telkomsel', 'Entered', 'Nomer', 'Link', 'Sgala', 'Slow', 'Uninstall', 'Ajj', 'Telkomsel', 'ugly', ' network ',' ugly ',' really ',' proud of ',' unfortunate ',' package ',' run out ',' nakya ',' internet ',' die ',' nyolong ',' pulse '"&amp;",' put together ' , 'Severe', 'Anyway', '']")</f>
        <v>['Ribet', 'Login', 'Telkomsel', 'Entered', 'Nomer', 'Link', 'Sgala', 'Slow', 'Uninstall', 'Ajj', 'Telkomsel', 'ugly', ' network ',' ugly ',' really ',' proud of ',' unfortunate ',' package ',' run out ',' nakya ',' internet ',' die ',' nyolong ',' pulse ',' put together ' , 'Severe', 'Anyway', '']</v>
      </c>
      <c r="D360" s="3">
        <v>2.0</v>
      </c>
    </row>
    <row r="361" ht="15.75" customHeight="1">
      <c r="A361" s="1">
        <v>359.0</v>
      </c>
      <c r="B361" s="3" t="s">
        <v>362</v>
      </c>
      <c r="C361" s="3" t="str">
        <f>IFERROR(__xludf.DUMMYFUNCTION("GOOGLETRANSLATE(B361,""id"",""en"")"),"['Delete', 'term', 'quota', 'unlimited', 'youtube', 'fraud', 'edit', 'contact', 'Telkomsel', 'provisions', 'solution', '']")</f>
        <v>['Delete', 'term', 'quota', 'unlimited', 'youtube', 'fraud', 'edit', 'contact', 'Telkomsel', 'provisions', 'solution', '']</v>
      </c>
      <c r="D361" s="3">
        <v>2.0</v>
      </c>
    </row>
    <row r="362" ht="15.75" customHeight="1">
      <c r="A362" s="1">
        <v>360.0</v>
      </c>
      <c r="B362" s="3" t="s">
        <v>363</v>
      </c>
      <c r="C362" s="3" t="str">
        <f>IFERROR(__xludf.DUMMYFUNCTION("GOOGLETRANSLATE(B362,""id"",""en"")"),"['buy', 'pulse', 'eaten', 'continued', 'yesterday', 'minjam', 'buy', 'pulse', 'eaten', 'eaten', 'eaten', 'deception', ' Application ',' application ',' ugly ']")</f>
        <v>['buy', 'pulse', 'eaten', 'continued', 'yesterday', 'minjam', 'buy', 'pulse', 'eaten', 'eaten', 'eaten', 'deception', ' Application ',' application ',' ugly ']</v>
      </c>
      <c r="D362" s="3">
        <v>1.0</v>
      </c>
    </row>
    <row r="363" ht="15.75" customHeight="1">
      <c r="A363" s="1">
        <v>361.0</v>
      </c>
      <c r="B363" s="3" t="s">
        <v>364</v>
      </c>
      <c r="C363" s="3" t="str">
        <f>IFERROR(__xludf.DUMMYFUNCTION("GOOGLETRANSLATE(B363,""id"",""en"")"),"['Love', 'Star', 'Yesterday', 'Credit', 'Lost', 'Pakek', 'Call', 'SMS', 'Quota', 'Internet', 'Credit', 'Lost', ' Please help']")</f>
        <v>['Love', 'Star', 'Yesterday', 'Credit', 'Lost', 'Pakek', 'Call', 'SMS', 'Quota', 'Internet', 'Credit', 'Lost', ' Please help']</v>
      </c>
      <c r="D363" s="3">
        <v>1.0</v>
      </c>
    </row>
    <row r="364" ht="15.75" customHeight="1">
      <c r="A364" s="1">
        <v>362.0</v>
      </c>
      <c r="B364" s="3" t="s">
        <v>365</v>
      </c>
      <c r="C364" s="3" t="str">
        <f>IFERROR(__xludf.DUMMYFUNCTION("GOOGLETRANSLATE(B364,""id"",""en"")"),"['buy', 'quota', 'unlimitite', 'youtube', 'use', 'sumps',' quota ',' regular ',' regular ',' finished ',' customer ',' disappointing ',' Services', 'Veronika', 'Solution', '']")</f>
        <v>['buy', 'quota', 'unlimitite', 'youtube', 'use', 'sumps',' quota ',' regular ',' regular ',' finished ',' customer ',' disappointing ',' Services', 'Veronika', 'Solution', '']</v>
      </c>
      <c r="D364" s="3">
        <v>1.0</v>
      </c>
    </row>
    <row r="365" ht="15.75" customHeight="1">
      <c r="A365" s="1">
        <v>363.0</v>
      </c>
      <c r="B365" s="3" t="s">
        <v>366</v>
      </c>
      <c r="C365" s="3" t="str">
        <f>IFERROR(__xludf.DUMMYFUNCTION("GOOGLETRANSLATE(B365,""id"",""en"")"),"['Severe', 'really', 'oath', 'given', 'package', 'unlimited', 'game', 'already', 'expensive', 'package', 'unlimited', 'slow', ' super ',' super ',' slow ',' really ',' stay ',' city ',' love ',' Mbps', 'game', 'really', 'given', 'unlimited', 'super' , 'sl"&amp;"ow', 'Mending', 'Axix', 'base', 'lemotttttttt', '']")</f>
        <v>['Severe', 'really', 'oath', 'given', 'package', 'unlimited', 'game', 'already', 'expensive', 'package', 'unlimited', 'slow', ' super ',' super ',' slow ',' really ',' stay ',' city ',' love ',' Mbps', 'game', 'really', 'given', 'unlimited', 'super' , 'slow', 'Mending', 'Axix', 'base', 'lemotttttttt', '']</v>
      </c>
      <c r="D365" s="3">
        <v>1.0</v>
      </c>
    </row>
    <row r="366" ht="15.75" customHeight="1">
      <c r="A366" s="1">
        <v>364.0</v>
      </c>
      <c r="B366" s="3" t="s">
        <v>367</v>
      </c>
      <c r="C366" s="3" t="str">
        <f>IFERROR(__xludf.DUMMYFUNCTION("GOOGLETRANSLATE(B366,""id"",""en"")"),"['', 'use', 'card', 'package', 'tetal', 'expensive', 'no', 'priority', 'customer', 'card', 'card', 'magic', 'weird ',' No ',' Pay ',' Use ',' Virtual ',' Account ',' BCA ',' Tired ',' Deh ',' Shopee ',' Pay ',' Use ',' Network ', 'Telkomsel', 'access', 'S"&amp;"AP', 'blocked', 'use', 'plate', 'red', 'coup', 'lose', 'smooth', 'NOT']")</f>
        <v>['', 'use', 'card', 'package', 'tetal', 'expensive', 'no', 'priority', 'customer', 'card', 'card', 'magic', 'weird ',' No ',' Pay ',' Use ',' Virtual ',' Account ',' BCA ',' Tired ',' Deh ',' Shopee ',' Pay ',' Use ',' Network ', 'Telkomsel', 'access', 'SAP', 'blocked', 'use', 'plate', 'red', 'coup', 'lose', 'smooth', 'NOT']</v>
      </c>
      <c r="D366" s="3">
        <v>1.0</v>
      </c>
    </row>
    <row r="367" ht="15.75" customHeight="1">
      <c r="A367" s="1">
        <v>365.0</v>
      </c>
      <c r="B367" s="3" t="s">
        <v>368</v>
      </c>
      <c r="C367" s="3" t="str">
        <f>IFERROR(__xludf.DUMMYFUNCTION("GOOGLETRANSLATE(B367,""id"",""en"")"),"['Telkomsel', 'Please', 'Explanation', 'Knp', 'Package', 'Internet', 'Different', 'Number', 'Package', 'Combo', 'Sakti', 'Unlimited', ' Just ',' can ',' combo ',' Sakti ',' Telkomsel ',' Thn ',' Thank you ']")</f>
        <v>['Telkomsel', 'Please', 'Explanation', 'Knp', 'Package', 'Internet', 'Different', 'Number', 'Package', 'Combo', 'Sakti', 'Unlimited', ' Just ',' can ',' combo ',' Sakti ',' Telkomsel ',' Thn ',' Thank you ']</v>
      </c>
      <c r="D367" s="3">
        <v>3.0</v>
      </c>
    </row>
    <row r="368" ht="15.75" customHeight="1">
      <c r="A368" s="1">
        <v>366.0</v>
      </c>
      <c r="B368" s="3" t="s">
        <v>369</v>
      </c>
      <c r="C368" s="3" t="str">
        <f>IFERROR(__xludf.DUMMYFUNCTION("GOOGLETRANSLATE(B368,""id"",""en"")"),"['please', 'Telkomsel', 'fix', 'already', 'contents',' package ',' a week ',' GB ',' for ',' package ',' GB ',' date ',' usage ',' package ',' emergency ',' rb ',' rb ',' rb ',' wear ',' package ',' emergency ',' woyy ']")</f>
        <v>['please', 'Telkomsel', 'fix', 'already', 'contents',' package ',' a week ',' GB ',' for ',' package ',' GB ',' date ',' usage ',' package ',' emergency ',' rb ',' rb ',' rb ',' wear ',' package ',' emergency ',' woyy ']</v>
      </c>
      <c r="D368" s="3">
        <v>1.0</v>
      </c>
    </row>
    <row r="369" ht="15.75" customHeight="1">
      <c r="A369" s="1">
        <v>367.0</v>
      </c>
      <c r="B369" s="3" t="s">
        <v>370</v>
      </c>
      <c r="C369" s="3" t="str">
        <f>IFERROR(__xludf.DUMMYFUNCTION("GOOGLETRANSLATE(B369,""id"",""en"")"),"['', 'already', 'week', 'ngeta', 'what' do ',' learn ',' because ',' Telkomsel ',' network ',' speed ',' KB ',' BALES ',' chat ',' slow ',' GB ',' data ',' waste ',' because ',' quality ',' network ',' blood ',' ']")</f>
        <v>['', 'already', 'week', 'ngeta', 'what' do ',' learn ',' because ',' Telkomsel ',' network ',' speed ',' KB ',' BALES ',' chat ',' slow ',' GB ',' data ',' waste ',' because ',' quality ',' network ',' blood ',' ']</v>
      </c>
      <c r="D369" s="3">
        <v>1.0</v>
      </c>
    </row>
    <row r="370" ht="15.75" customHeight="1">
      <c r="A370" s="1">
        <v>368.0</v>
      </c>
      <c r="B370" s="3" t="s">
        <v>371</v>
      </c>
      <c r="C370" s="3" t="str">
        <f>IFERROR(__xludf.DUMMYFUNCTION("GOOGLETRANSLATE(B370,""id"",""en"")"),"['', 'expensive', 'product', 'Telkomsel', 'expensive', 'number', 'fraud', 'enter', 'cellphone', 'response', 'Telkomsel', 'provider', 'service ',' Communication ',' protect ',' consumers', 'person', 'friend', 'number', 'information', 'personal', 'Please', "&amp;"'banti']")</f>
        <v>['', 'expensive', 'product', 'Telkomsel', 'expensive', 'number', 'fraud', 'enter', 'cellphone', 'response', 'Telkomsel', 'provider', 'service ',' Communication ',' protect ',' consumers', 'person', 'friend', 'number', 'information', 'personal', 'Please', 'banti']</v>
      </c>
      <c r="D370" s="3">
        <v>1.0</v>
      </c>
    </row>
    <row r="371" ht="15.75" customHeight="1">
      <c r="A371" s="1">
        <v>369.0</v>
      </c>
      <c r="B371" s="3" t="s">
        <v>372</v>
      </c>
      <c r="C371" s="3" t="str">
        <f>IFERROR(__xludf.DUMMYFUNCTION("GOOGLETRANSLATE(B371,""id"",""en"")"),"['active', 'package', 'data', 'week', 'habs',' quota ',' lgsg ',' nyesot ',' pulse ',' reg ',' lgsg ',' hbss', ' Minutes', 'pulse', 'HBS', 'DSEDOT', 'PKE', 'Card', 'JNI', 'Nice', '']")</f>
        <v>['active', 'package', 'data', 'week', 'habs',' quota ',' lgsg ',' nyesot ',' pulse ',' reg ',' lgsg ',' hbss', ' Minutes', 'pulse', 'HBS', 'DSEDOT', 'PKE', 'Card', 'JNI', 'Nice', '']</v>
      </c>
      <c r="D371" s="3">
        <v>1.0</v>
      </c>
    </row>
    <row r="372" ht="15.75" customHeight="1">
      <c r="A372" s="1">
        <v>370.0</v>
      </c>
      <c r="B372" s="3" t="s">
        <v>373</v>
      </c>
      <c r="C372" s="3" t="str">
        <f>IFERROR(__xludf.DUMMYFUNCTION("GOOGLETRANSLATE(B372,""id"",""en"")"),"['strange', 'offer', 'package', 'gceria', 'right', 'buy', 'enter', 'package', 'intention', 'gave', 'promo', 'BUMN', ' Country ',' Severe ',' User ',' Disappointed ',' Chat ',' Veronika ',' Please ',' Waiting ',' Soon ',' Completion ',' Telkomsel ',' Disap"&amp;"pointing ']")</f>
        <v>['strange', 'offer', 'package', 'gceria', 'right', 'buy', 'enter', 'package', 'intention', 'gave', 'promo', 'BUMN', ' Country ',' Severe ',' User ',' Disappointed ',' Chat ',' Veronika ',' Please ',' Waiting ',' Soon ',' Completion ',' Telkomsel ',' Disappointing ']</v>
      </c>
      <c r="D372" s="3">
        <v>1.0</v>
      </c>
    </row>
    <row r="373" ht="15.75" customHeight="1">
      <c r="A373" s="1">
        <v>371.0</v>
      </c>
      <c r="B373" s="3" t="s">
        <v>374</v>
      </c>
      <c r="C373" s="3" t="str">
        <f>IFERROR(__xludf.DUMMYFUNCTION("GOOGLETRANSLATE(B373,""id"",""en"")"),"['Want', 'Telkomsel', 'Making', 'Package', 'Combo', 'Sakti', 'UnlimitedMax', 'Free', 'Access',' Chat ',' Music ',' Games', ' SOSMED ',' YouTube ',' Unlimited ',' Limit ',' Quota ',' Speed ​​',' Limit ',' Use ',' Fair ',' FUP ',' Valid ',' National ',' Reg"&amp;"ion ' , 'Indonesia', 'card', 'prime', 'sympathy', 'card', 'loop', 'example', 'package', 'combo', 'sakti', 'unlimitedmax', 'combo', ' Sakti ',' GB ',' Unlimitedmax ',' Rp ',' thousand ',' HR ',' Combo ',' Sakti ',' GB ',' Unlimitedmax ',' Rp ',' thousand '"&amp;",' HR ' , 'Combo', 'Sakti', 'GB', 'Unlimitedmax', 'Rp', 'thousand', 'HR', 'Combo', 'Sakti', 'GB', 'Unl']")</f>
        <v>['Want', 'Telkomsel', 'Making', 'Package', 'Combo', 'Sakti', 'UnlimitedMax', 'Free', 'Access',' Chat ',' Music ',' Games', ' SOSMED ',' YouTube ',' Unlimited ',' Limit ',' Quota ',' Speed ​​',' Limit ',' Use ',' Fair ',' FUP ',' Valid ',' National ',' Region ' , 'Indonesia', 'card', 'prime', 'sympathy', 'card', 'loop', 'example', 'package', 'combo', 'sakti', 'unlimitedmax', 'combo', ' Sakti ',' GB ',' Unlimitedmax ',' Rp ',' thousand ',' HR ',' Combo ',' Sakti ',' GB ',' Unlimitedmax ',' Rp ',' thousand ',' HR ' , 'Combo', 'Sakti', 'GB', 'Unlimitedmax', 'Rp', 'thousand', 'HR', 'Combo', 'Sakti', 'GB', 'Unl']</v>
      </c>
      <c r="D373" s="3">
        <v>1.0</v>
      </c>
    </row>
    <row r="374" ht="15.75" customHeight="1">
      <c r="A374" s="1">
        <v>372.0</v>
      </c>
      <c r="B374" s="3" t="s">
        <v>375</v>
      </c>
      <c r="C374" s="3" t="str">
        <f>IFERROR(__xludf.DUMMYFUNCTION("GOOGLETRANSLATE(B374,""id"",""en"")"),"['knp', 'debt', 'pulse', 'TPI', 'can', 'sms',' owe ',' pulse ',' emergency ',' udh ',' report ',' apk ',' Veronika ',' UDH ',' Admin ',' Nemu ',' Udh ',' Wait ',' An hour ',' MLH ',' Chat ',' say goodbye ',' gmn ',' please ',' Telkomsel ' , 'find', 'solut"&amp;"ion', 'replace', 'card']")</f>
        <v>['knp', 'debt', 'pulse', 'TPI', 'can', 'sms',' owe ',' pulse ',' emergency ',' udh ',' report ',' apk ',' Veronika ',' UDH ',' Admin ',' Nemu ',' Udh ',' Wait ',' An hour ',' MLH ',' Chat ',' say goodbye ',' gmn ',' please ',' Telkomsel ' , 'find', 'solution', 'replace', 'card']</v>
      </c>
      <c r="D374" s="3">
        <v>1.0</v>
      </c>
    </row>
    <row r="375" ht="15.75" customHeight="1">
      <c r="A375" s="1">
        <v>373.0</v>
      </c>
      <c r="B375" s="3" t="s">
        <v>376</v>
      </c>
      <c r="C375" s="3" t="str">
        <f>IFERROR(__xludf.DUMMYFUNCTION("GOOGLETRANSLATE(B375,""id"",""en"")"),"['Overnight', 'buy', 'package', 'GB', 'Uda', 'HBs',' free ',' Nelfon ',' SMS ',' Dipakee ',' Nelfon ',' SMS ',' pulses', 'use', 'buy', 'package', 'package', 'main', 'beriss',' right ', ""]")</f>
        <v>['Overnight', 'buy', 'package', 'GB', 'Uda', 'HBs',' free ',' Nelfon ',' SMS ',' Dipakee ',' Nelfon ',' SMS ',' pulses', 'use', 'buy', 'package', 'package', 'main', 'beriss',' right ', "]</v>
      </c>
      <c r="D375" s="3">
        <v>2.0</v>
      </c>
    </row>
    <row r="376" ht="15.75" customHeight="1">
      <c r="A376" s="1">
        <v>374.0</v>
      </c>
      <c r="B376" s="3" t="s">
        <v>377</v>
      </c>
      <c r="C376" s="3" t="str">
        <f>IFERROR(__xludf.DUMMYFUNCTION("GOOGLETRANSLATE(B376,""id"",""en"")"),"['Application', 'updated', 'bad', 'Loading', 'reset', 'pdhl', 'tsel', 'app', 'buy', 'package', 'data', 'etc.', ' Application ',' KNP ',' Tsel ',' Poor ',' Sok ',' Kembangin ',' Application ',' Tsel ',' App ',' Masi ',' Bermible ',' Reload ',' Application "&amp;"' , 'PDHL', 'use', 'network', 'wifi', 'Mbps', 'drmh', 'tsel', 'application', 'knp', 'expected']")</f>
        <v>['Application', 'updated', 'bad', 'Loading', 'reset', 'pdhl', 'tsel', 'app', 'buy', 'package', 'data', 'etc.', ' Application ',' KNP ',' Tsel ',' Poor ',' Sok ',' Kembangin ',' Application ',' Tsel ',' App ',' Masi ',' Bermible ',' Reload ',' Application ' , 'PDHL', 'use', 'network', 'wifi', 'Mbps', 'drmh', 'tsel', 'application', 'knp', 'expected']</v>
      </c>
      <c r="D376" s="3">
        <v>1.0</v>
      </c>
    </row>
    <row r="377" ht="15.75" customHeight="1">
      <c r="A377" s="1">
        <v>375.0</v>
      </c>
      <c r="B377" s="3" t="s">
        <v>378</v>
      </c>
      <c r="C377" s="3" t="str">
        <f>IFERROR(__xludf.DUMMYFUNCTION("GOOGLETRANSLATE(B377,""id"",""en"")"),"['use', 'Telkomsel', 'help', 'selection', 'package', 'according to', 'need', 'info', 'latest', 'Telkomsel', 'recommend', 'download', ' Telkomsel ',' users', 'Telkomsel', 'thank', 'love', 'Telkomsel', ""]")</f>
        <v>['use', 'Telkomsel', 'help', 'selection', 'package', 'according to', 'need', 'info', 'latest', 'Telkomsel', 'recommend', 'download', ' Telkomsel ',' users', 'Telkomsel', 'thank', 'love', 'Telkomsel', "]</v>
      </c>
      <c r="D377" s="3">
        <v>5.0</v>
      </c>
    </row>
    <row r="378" ht="15.75" customHeight="1">
      <c r="A378" s="1">
        <v>376.0</v>
      </c>
      <c r="B378" s="3" t="s">
        <v>379</v>
      </c>
      <c r="C378" s="3" t="str">
        <f>IFERROR(__xludf.DUMMYFUNCTION("GOOGLETRANSLATE(B378,""id"",""en"")"),"['Card', 'Hello', 'trap', 'cruel', 'Telkomsel', 'just', 'Sandelin', 'Sales',' Promise ',' Sweet ',' Pay ',' Credit ',' Pay ',' Tax ',' Zholim ',' Have ',' Hell ',' Jahanam ',' ']")</f>
        <v>['Card', 'Hello', 'trap', 'cruel', 'Telkomsel', 'just', 'Sandelin', 'Sales',' Promise ',' Sweet ',' Pay ',' Credit ',' Pay ',' Tax ',' Zholim ',' Have ',' Hell ',' Jahanam ',' ']</v>
      </c>
      <c r="D378" s="3">
        <v>1.0</v>
      </c>
    </row>
    <row r="379" ht="15.75" customHeight="1">
      <c r="A379" s="1">
        <v>377.0</v>
      </c>
      <c r="B379" s="3" t="s">
        <v>380</v>
      </c>
      <c r="C379" s="3" t="str">
        <f>IFERROR(__xludf.DUMMYFUNCTION("GOOGLETRANSLATE(B379,""id"",""en"")"),"['Stop', 'Maxtremm', 'how', 'NGK', 'quota', 'right', 'IAI', 'pulse', 'ehh', 'lost', 'thousand', 'extension', ' NGK ',' Nailing ',' NGK ',' Subscribe ',' With ',' Sure ',' Cook ',' Perousahaan ',' Telkom ',' Sure ', ""]")</f>
        <v>['Stop', 'Maxtremm', 'how', 'NGK', 'quota', 'right', 'IAI', 'pulse', 'ehh', 'lost', 'thousand', 'extension', ' NGK ',' Nailing ',' NGK ',' Subscribe ',' With ',' Sure ',' Cook ',' Perousahaan ',' Telkom ',' Sure ', "]</v>
      </c>
      <c r="D379" s="3">
        <v>1.0</v>
      </c>
    </row>
    <row r="380" ht="15.75" customHeight="1">
      <c r="A380" s="1">
        <v>378.0</v>
      </c>
      <c r="B380" s="3" t="s">
        <v>381</v>
      </c>
      <c r="C380" s="3" t="str">
        <f>IFERROR(__xludf.DUMMYFUNCTION("GOOGLETRANSLATE(B380,""id"",""en"")"),"['customer', 'loyal', 'Telkomsel', 'times',' disappointed ',' buy ',' package ',' bln ',' scorched ',' leftover ',' GB ',' check ',' Application ',' Package ',' Buy ',' Severe ',' ']")</f>
        <v>['customer', 'loyal', 'Telkomsel', 'times',' disappointed ',' buy ',' package ',' bln ',' scorched ',' leftover ',' GB ',' check ',' Application ',' Package ',' Buy ',' Severe ',' ']</v>
      </c>
      <c r="D380" s="3">
        <v>1.0</v>
      </c>
    </row>
    <row r="381" ht="15.75" customHeight="1">
      <c r="A381" s="1">
        <v>379.0</v>
      </c>
      <c r="B381" s="3" t="s">
        <v>382</v>
      </c>
      <c r="C381" s="3" t="str">
        <f>IFERROR(__xludf.DUMMYFUNCTION("GOOGLETRANSLATE(B381,""id"",""en"")"),"['Thank you', 'Telkomsel', 'Indonesia', 'Application', 'Help', 'People', 'Old', 'Rural', 'Check', 'Remnant', 'Quota', 'Internet', ' Buy ',' Package ',' Internet ',' Credit ',' Video ',' Call ',' Distance ',' Releasing ',' Kangen ',' Family ',' Village ','"&amp;" Ujung ',' Pandan ' , 'Kecamatan', 'Siempat', 'Nempu', 'Hulu', 'County', 'Dairi', 'Sidikalang', 'North Sumatra', 'situation', 'Pandemic', 'Covit', 'Ngak', ' go home ',' village ',' supports', 'program', 'government']")</f>
        <v>['Thank you', 'Telkomsel', 'Indonesia', 'Application', 'Help', 'People', 'Old', 'Rural', 'Check', 'Remnant', 'Quota', 'Internet', ' Buy ',' Package ',' Internet ',' Credit ',' Video ',' Call ',' Distance ',' Releasing ',' Kangen ',' Family ',' Village ',' Ujung ',' Pandan ' , 'Kecamatan', 'Siempat', 'Nempu', 'Hulu', 'County', 'Dairi', 'Sidikalang', 'North Sumatra', 'situation', 'Pandemic', 'Covit', 'Ngak', ' go home ',' village ',' supports', 'program', 'government']</v>
      </c>
      <c r="D381" s="3">
        <v>5.0</v>
      </c>
    </row>
    <row r="382" ht="15.75" customHeight="1">
      <c r="A382" s="1">
        <v>380.0</v>
      </c>
      <c r="B382" s="3" t="s">
        <v>383</v>
      </c>
      <c r="C382" s="3" t="str">
        <f>IFERROR(__xludf.DUMMYFUNCTION("GOOGLETRANSLATE(B382,""id"",""en"")"),"['Please', 'Say', 'buy', 'Package', 'Data', 'apply', 'buy', 'date', 'May', 'night', 'Master', 'enter', ' The date ',' June ',' count ',' vinegar ',' apply ',' day ',' Keman ',' deception ',' difference ', ""]")</f>
        <v>['Please', 'Say', 'buy', 'Package', 'Data', 'apply', 'buy', 'date', 'May', 'night', 'Master', 'enter', ' The date ',' June ',' count ',' vinegar ',' apply ',' day ',' Keman ',' deception ',' difference ', "]</v>
      </c>
      <c r="D382" s="3">
        <v>1.0</v>
      </c>
    </row>
    <row r="383" ht="15.75" customHeight="1">
      <c r="A383" s="1">
        <v>381.0</v>
      </c>
      <c r="B383" s="3" t="s">
        <v>384</v>
      </c>
      <c r="C383" s="3" t="str">
        <f>IFERROR(__xludf.DUMMYFUNCTION("GOOGLETRANSLATE(B383,""id"",""en"")"),"['bad', 'leftover', 'pulse', 'taken', 'month', 'package', 'call', 'package', 'internet', 'leftover', 'pulse', 'sucked', ' a day ',' internet ',' wifi ',' package ',' internet ',' data ',' cellular ',' great ',' leftover ',' pulse ',' sucked ',' ']")</f>
        <v>['bad', 'leftover', 'pulse', 'taken', 'month', 'package', 'call', 'package', 'internet', 'leftover', 'pulse', 'sucked', ' a day ',' internet ',' wifi ',' package ',' internet ',' data ',' cellular ',' great ',' leftover ',' pulse ',' sucked ',' ']</v>
      </c>
      <c r="D383" s="3">
        <v>1.0</v>
      </c>
    </row>
    <row r="384" ht="15.75" customHeight="1">
      <c r="A384" s="1">
        <v>382.0</v>
      </c>
      <c r="B384" s="3" t="s">
        <v>385</v>
      </c>
      <c r="C384" s="3" t="str">
        <f>IFERROR(__xludf.DUMMYFUNCTION("GOOGLETRANSLATE(B384,""id"",""en"")"),"['expensive', 'Telkomsel', 'Severe', 'package', 'night', 'skrng', 'dead', 'devil', 'klian', 'strangling', 'community', ""]")</f>
        <v>['expensive', 'Telkomsel', 'Severe', 'package', 'night', 'skrng', 'dead', 'devil', 'klian', 'strangling', 'community', "]</v>
      </c>
      <c r="D384" s="3">
        <v>1.0</v>
      </c>
    </row>
    <row r="385" ht="15.75" customHeight="1">
      <c r="A385" s="1">
        <v>383.0</v>
      </c>
      <c r="B385" s="3" t="s">
        <v>386</v>
      </c>
      <c r="C385" s="3" t="str">
        <f>IFERROR(__xludf.DUMMYFUNCTION("GOOGLETRANSLATE(B385,""id"",""en"")"),"['The application', 'Good', 'Help', 'Disappointed', 'Telkomsel', 'Price', 'Package', 'Provis',' Package ',' Combo ',' Sakti ',' Knp ',' Cut ',' cut ',' quota ',' hope ',' noticed ',' users', 'Telkomsel', 'heavy']")</f>
        <v>['The application', 'Good', 'Help', 'Disappointed', 'Telkomsel', 'Price', 'Package', 'Provis',' Package ',' Combo ',' Sakti ',' Knp ',' Cut ',' cut ',' quota ',' hope ',' noticed ',' users', 'Telkomsel', 'heavy']</v>
      </c>
      <c r="D385" s="3">
        <v>3.0</v>
      </c>
    </row>
    <row r="386" ht="15.75" customHeight="1">
      <c r="A386" s="1">
        <v>384.0</v>
      </c>
      <c r="B386" s="3" t="s">
        <v>387</v>
      </c>
      <c r="C386" s="3" t="str">
        <f>IFERROR(__xludf.DUMMYFUNCTION("GOOGLETRANSLATE(B386,""id"",""en"")"),"['card', 'mainstay', 'already', 'week', 'network', 'bad', 'use', 'Telkomsel', 'because' because 'network', 'good', 'yea', ' Play ',' Game ',' Emotion ',' Karna ',' Signal ',' Bad ']")</f>
        <v>['card', 'mainstay', 'already', 'week', 'network', 'bad', 'use', 'Telkomsel', 'because' because 'network', 'good', 'yea', ' Play ',' Game ',' Emotion ',' Karna ',' Signal ',' Bad ']</v>
      </c>
      <c r="D386" s="3">
        <v>3.0</v>
      </c>
    </row>
    <row r="387" ht="15.75" customHeight="1">
      <c r="A387" s="1">
        <v>385.0</v>
      </c>
      <c r="B387" s="3" t="s">
        <v>388</v>
      </c>
      <c r="C387" s="3" t="str">
        <f>IFERROR(__xludf.DUMMYFUNCTION("GOOGLETRANSLATE(B387,""id"",""en"")"),"['Sis',' Barus', 'buy', 'package', 'suprise', 'del', 'network', 'ugly', 'package', 'network', 'lumot', 'strange', ' good ',' how ',' ngatasinnya ',' ']")</f>
        <v>['Sis',' Barus', 'buy', 'package', 'suprise', 'del', 'network', 'ugly', 'package', 'network', 'lumot', 'strange', ' good ',' how ',' ngatasinnya ',' ']</v>
      </c>
      <c r="D387" s="3">
        <v>1.0</v>
      </c>
    </row>
    <row r="388" ht="15.75" customHeight="1">
      <c r="A388" s="1">
        <v>386.0</v>
      </c>
      <c r="B388" s="3" t="s">
        <v>389</v>
      </c>
      <c r="C388" s="3" t="str">
        <f>IFERROR(__xludf.DUMMYFUNCTION("GOOGLETRANSLATE(B388,""id"",""en"")"),"['Buy', 'Package', 'Disney', 'Hotsar', 'Application', 'Open', 'TPI', 'Play', 'Video', 'Loading', 'Please', 'Repaired', ' Subscriptions', 'TPI', 'Watch']")</f>
        <v>['Buy', 'Package', 'Disney', 'Hotsar', 'Application', 'Open', 'TPI', 'Play', 'Video', 'Loading', 'Please', 'Repaired', ' Subscriptions', 'TPI', 'Watch']</v>
      </c>
      <c r="D388" s="3">
        <v>1.0</v>
      </c>
    </row>
    <row r="389" ht="15.75" customHeight="1">
      <c r="A389" s="1">
        <v>387.0</v>
      </c>
      <c r="B389" s="3" t="s">
        <v>390</v>
      </c>
      <c r="C389" s="3" t="str">
        <f>IFERROR(__xludf.DUMMYFUNCTION("GOOGLETRANSLATE(B389,""id"",""en"")"),"['Offered', 'Package', 'Hello', 'Cheap', 'Facilities',' Hesitant ',' Take ',' Comment ',' Disappointed ',' Satisfied ',' Hopefully ',' Telkomsel ',' improve ',' service ',' trust ',' customer ',' ']")</f>
        <v>['Offered', 'Package', 'Hello', 'Cheap', 'Facilities',' Hesitant ',' Take ',' Comment ',' Disappointed ',' Satisfied ',' Hopefully ',' Telkomsel ',' improve ',' service ',' trust ',' customer ',' ']</v>
      </c>
      <c r="D389" s="3">
        <v>5.0</v>
      </c>
    </row>
    <row r="390" ht="15.75" customHeight="1">
      <c r="A390" s="1">
        <v>388.0</v>
      </c>
      <c r="B390" s="3" t="s">
        <v>391</v>
      </c>
      <c r="C390" s="3" t="str">
        <f>IFERROR(__xludf.DUMMYFUNCTION("GOOGLETRANSLATE(B390,""id"",""en"")"),"['Facilitates',' Customers', 'Postpaid', 'Stay', 'Click', 'Whatever', 'Need', 'Direct', 'Realized', 'Count', 'second', 'interesting', ' Lottery ',' Points', 'Monthly', 'Car', 'Hopefully', 'Great', 'Telkomsel', 'Aminnn', ""]")</f>
        <v>['Facilitates',' Customers', 'Postpaid', 'Stay', 'Click', 'Whatever', 'Need', 'Direct', 'Realized', 'Count', 'second', 'interesting', ' Lottery ',' Points', 'Monthly', 'Car', 'Hopefully', 'Great', 'Telkomsel', 'Aminnn', "]</v>
      </c>
      <c r="D390" s="3">
        <v>5.0</v>
      </c>
    </row>
    <row r="391" ht="15.75" customHeight="1">
      <c r="A391" s="1">
        <v>389.0</v>
      </c>
      <c r="B391" s="3" t="s">
        <v>392</v>
      </c>
      <c r="C391" s="3" t="str">
        <f>IFERROR(__xludf.DUMMYFUNCTION("GOOGLETRANSLATE(B391,""id"",""en"")"),"['package', 'sosmed', 'open', 'sosmed', 'used', 'quota', 'main', 'cheat', 'Telkomsel', 'signal', 'ngelag', 'bagan', ' card ',' Telkomsel ',' price ',' quality ',' signal ',' service ',' pulse ',' sucked ',' used ',' quota ']")</f>
        <v>['package', 'sosmed', 'open', 'sosmed', 'used', 'quota', 'main', 'cheat', 'Telkomsel', 'signal', 'ngelag', 'bagan', ' card ',' Telkomsel ',' price ',' quality ',' signal ',' service ',' pulse ',' sucked ',' used ',' quota ']</v>
      </c>
      <c r="D391" s="3">
        <v>1.0</v>
      </c>
    </row>
    <row r="392" ht="15.75" customHeight="1">
      <c r="A392" s="1">
        <v>390.0</v>
      </c>
      <c r="B392" s="3" t="s">
        <v>393</v>
      </c>
      <c r="C392" s="3" t="str">
        <f>IFERROR(__xludf.DUMMYFUNCTION("GOOGLETRANSLATE(B392,""id"",""en"")"),"['purchase', 'application', 'promo', 'right', 'buy', 'bat', 'use', 'application', 'makes it easier', 'e-mail', 'smpe', ' Package ',' activation ',' poor ',' ']")</f>
        <v>['purchase', 'application', 'promo', 'right', 'buy', 'bat', 'use', 'application', 'makes it easier', 'e-mail', 'smpe', ' Package ',' activation ',' poor ',' ']</v>
      </c>
      <c r="D392" s="3">
        <v>1.0</v>
      </c>
    </row>
    <row r="393" ht="15.75" customHeight="1">
      <c r="A393" s="1">
        <v>391.0</v>
      </c>
      <c r="B393" s="3" t="s">
        <v>394</v>
      </c>
      <c r="C393" s="3" t="str">
        <f>IFERROR(__xludf.DUMMYFUNCTION("GOOGLETRANSLATE(B393,""id"",""en"")"),"['steady', 'user', 'tsel', 'loyal', 'satisfied', 'hope', 'promo', 'package', 'internet', 'user', 'loyal', 'thank you', ' ']")</f>
        <v>['steady', 'user', 'tsel', 'loyal', 'satisfied', 'hope', 'promo', 'package', 'internet', 'user', 'loyal', 'thank you', ' ']</v>
      </c>
      <c r="D393" s="3">
        <v>5.0</v>
      </c>
    </row>
    <row r="394" ht="15.75" customHeight="1">
      <c r="A394" s="1">
        <v>392.0</v>
      </c>
      <c r="B394" s="3" t="s">
        <v>395</v>
      </c>
      <c r="C394" s="3" t="str">
        <f>IFERROR(__xludf.DUMMYFUNCTION("GOOGLETRANSLATE(B394,""id"",""en"")"),"['replace', 'card', 'Telkomsel', 'already', 'believe', 'buy', 'package', 'ajah', 'difficult', 'forgiveness',' need ',' really ',' Report ',' Wait ',' Wait ',' solution ',' ']")</f>
        <v>['replace', 'card', 'Telkomsel', 'already', 'believe', 'buy', 'package', 'ajah', 'difficult', 'forgiveness',' need ',' really ',' Report ',' Wait ',' Wait ',' solution ',' ']</v>
      </c>
      <c r="D394" s="3">
        <v>1.0</v>
      </c>
    </row>
    <row r="395" ht="15.75" customHeight="1">
      <c r="A395" s="1">
        <v>393.0</v>
      </c>
      <c r="B395" s="3" t="s">
        <v>396</v>
      </c>
      <c r="C395" s="3" t="str">
        <f>IFERROR(__xludf.DUMMYFUNCTION("GOOGLETRANSLATE(B395,""id"",""en"")"),"['Min', 'package', 'thousand', 'GB', 'promo', 'until', 'June', 'buy', 'May', 'Ampe', 'kagak', 'his package', ' inexpensive', '']")</f>
        <v>['Min', 'package', 'thousand', 'GB', 'promo', 'until', 'June', 'buy', 'May', 'Ampe', 'kagak', 'his package', ' inexpensive', '']</v>
      </c>
      <c r="D395" s="3">
        <v>1.0</v>
      </c>
    </row>
    <row r="396" ht="15.75" customHeight="1">
      <c r="A396" s="1">
        <v>394.0</v>
      </c>
      <c r="B396" s="3" t="s">
        <v>397</v>
      </c>
      <c r="C396" s="3" t="str">
        <f>IFERROR(__xludf.DUMMYFUNCTION("GOOGLETRANSLATE(B396,""id"",""en"")"),"['Thinking', 'number', 'Telkomsel', 'already', 'Registrant', 'Where', 'Affairs',' Office ',' Banking ',' Market ',' Place ',' already ',' Discard ',' the card ',' because ',' UDH ',' Dri ',' era ',' stone ',' smpe ',' skarang ',' full ',' consideration ',"&amp;"' network ',' kyk ' , 'gini', 'activated', 'package', 'Telkomsel', 'already', 'wrath', 'the network', '']")</f>
        <v>['Thinking', 'number', 'Telkomsel', 'already', 'Registrant', 'Where', 'Affairs',' Office ',' Banking ',' Market ',' Place ',' already ',' Discard ',' the card ',' because ',' UDH ',' Dri ',' era ',' stone ',' smpe ',' skarang ',' full ',' consideration ',' network ',' kyk ' , 'gini', 'activated', 'package', 'Telkomsel', 'already', 'wrath', 'the network', '']</v>
      </c>
      <c r="D396" s="3">
        <v>1.0</v>
      </c>
    </row>
    <row r="397" ht="15.75" customHeight="1">
      <c r="A397" s="1">
        <v>395.0</v>
      </c>
      <c r="B397" s="3" t="s">
        <v>398</v>
      </c>
      <c r="C397" s="3" t="str">
        <f>IFERROR(__xludf.DUMMYFUNCTION("GOOGLETRANSLATE(B397,""id"",""en"")"),"['application', 'good', 'login', 'appears', 'connection', 'bad', 'connection', 'internet', 'smooth', 'repaired', 'star', ""]")</f>
        <v>['application', 'good', 'login', 'appears', 'connection', 'bad', 'connection', 'internet', 'smooth', 'repaired', 'star', "]</v>
      </c>
      <c r="D397" s="3">
        <v>4.0</v>
      </c>
    </row>
    <row r="398" ht="15.75" customHeight="1">
      <c r="A398" s="1">
        <v>396.0</v>
      </c>
      <c r="B398" s="3" t="s">
        <v>399</v>
      </c>
      <c r="C398" s="3" t="str">
        <f>IFERROR(__xludf.DUMMYFUNCTION("GOOGLETRANSLATE(B398,""id"",""en"")"),"['cook', 'buy', 'pulse', 'rb', 'second', 'pulse', 'rb', 'direct', 'run out', 'times',' buy ',' pulse ',' so ',' confused ',' run out ',' pulse ',' try ',' Delete ',' dlu ',' application ',' application ',' like ',' steal ',' pulse ',' person ' , 'Moga', '"&amp;"Application', 'Telkomsel', 'Masu', 'Hell', ""]")</f>
        <v>['cook', 'buy', 'pulse', 'rb', 'second', 'pulse', 'rb', 'direct', 'run out', 'times',' buy ',' pulse ',' so ',' confused ',' run out ',' pulse ',' try ',' Delete ',' dlu ',' application ',' application ',' like ',' steal ',' pulse ',' person ' , 'Moga', 'Application', 'Telkomsel', 'Masu', 'Hell', "]</v>
      </c>
      <c r="D398" s="3">
        <v>1.0</v>
      </c>
    </row>
    <row r="399" ht="15.75" customHeight="1">
      <c r="A399" s="1">
        <v>397.0</v>
      </c>
      <c r="B399" s="3" t="s">
        <v>400</v>
      </c>
      <c r="C399" s="3" t="str">
        <f>IFERROR(__xludf.DUMMYFUNCTION("GOOGLETRANSLATE(B399,""id"",""en"")"),"['min', 'please', 'credit', 'sumps',' normal ',' buy ',' package ',' internet ',' sumps', 'please', 'confirm', 'telefon', ' SMS ',' ']")</f>
        <v>['min', 'please', 'credit', 'sumps',' normal ',' buy ',' package ',' internet ',' sumps', 'please', 'confirm', 'telefon', ' SMS ',' ']</v>
      </c>
      <c r="D399" s="3">
        <v>1.0</v>
      </c>
    </row>
    <row r="400" ht="15.75" customHeight="1">
      <c r="A400" s="1">
        <v>398.0</v>
      </c>
      <c r="B400" s="3" t="s">
        <v>401</v>
      </c>
      <c r="C400" s="3" t="str">
        <f>IFERROR(__xludf.DUMMYFUNCTION("GOOGLETRANSLATE(B400,""id"",""en"")"),"['strange', 'appk', 'stlh', 'tired', 'mlkkn', 'check', 'result', 'vain', 'can', 'use', 'let', 'star', ' speak', '']")</f>
        <v>['strange', 'appk', 'stlh', 'tired', 'mlkkn', 'check', 'result', 'vain', 'can', 'use', 'let', 'star', ' speak', '']</v>
      </c>
      <c r="D400" s="3">
        <v>1.0</v>
      </c>
    </row>
    <row r="401" ht="15.75" customHeight="1">
      <c r="A401" s="1">
        <v>399.0</v>
      </c>
      <c r="B401" s="3" t="s">
        <v>402</v>
      </c>
      <c r="C401" s="3" t="str">
        <f>IFERROR(__xludf.DUMMYFUNCTION("GOOGLETRANSLATE(B401,""id"",""en"")"),"['koq', 'package', 'GB', 'unlimited', 'ugly', 'really', 'package', 'GB', 'run out', 'unlimited', 'used', 'sometimes',' Speed ​​',' slow ',' run out ',' Fupnya ']")</f>
        <v>['koq', 'package', 'GB', 'unlimited', 'ugly', 'really', 'package', 'GB', 'run out', 'unlimited', 'used', 'sometimes',' Speed ​​',' slow ',' run out ',' Fupnya ']</v>
      </c>
      <c r="D401" s="3">
        <v>1.0</v>
      </c>
    </row>
    <row r="402" ht="15.75" customHeight="1">
      <c r="A402" s="1">
        <v>400.0</v>
      </c>
      <c r="B402" s="3" t="s">
        <v>403</v>
      </c>
      <c r="C402" s="3" t="str">
        <f>IFERROR(__xludf.DUMMYFUNCTION("GOOGLETRANSLATE(B402,""id"",""en"")"),"['Internet', 'slow', 'really', 'wifi', 'Maleh', 'kenceng', 'fair', 'use', 'a minute', 'internet', 'slow', 'already', ' GB ',' regret ',' buy ',' Telkomsel ',' already ',' expensive ',' slow ']")</f>
        <v>['Internet', 'slow', 'really', 'wifi', 'Maleh', 'kenceng', 'fair', 'use', 'a minute', 'internet', 'slow', 'already', ' GB ',' regret ',' buy ',' Telkomsel ',' already ',' expensive ',' slow ']</v>
      </c>
      <c r="D402" s="3">
        <v>1.0</v>
      </c>
    </row>
    <row r="403" ht="15.75" customHeight="1">
      <c r="A403" s="1">
        <v>401.0</v>
      </c>
      <c r="B403" s="3" t="s">
        <v>404</v>
      </c>
      <c r="C403" s="3" t="str">
        <f>IFERROR(__xludf.DUMMYFUNCTION("GOOGLETRANSLATE(B403,""id"",""en"")"),"['Healthy', 'package', 'internet', 'local', 'cave', 'kagak', 'dipake', 'cave', 'ngactive "",' village ',' cave ',' package ',' The internet ',' run out ',' package ',' local ',' cave ',' already ',' collected ',' already ',' giga ',' use ',' woy ',' displ"&amp;"ay ',' doang ' , 'brain', '']")</f>
        <v>['Healthy', 'package', 'internet', 'local', 'cave', 'kagak', 'dipake', 'cave', 'ngactive ",' village ',' cave ',' package ',' The internet ',' run out ',' package ',' local ',' cave ',' already ',' collected ',' already ',' giga ',' use ',' woy ',' display ',' doang ' , 'brain', '']</v>
      </c>
      <c r="D403" s="3">
        <v>1.0</v>
      </c>
    </row>
    <row r="404" ht="15.75" customHeight="1">
      <c r="A404" s="1">
        <v>402.0</v>
      </c>
      <c r="B404" s="3" t="s">
        <v>405</v>
      </c>
      <c r="C404" s="3" t="str">
        <f>IFERROR(__xludf.DUMMYFUNCTION("GOOGLETRANSLATE(B404,""id"",""en"")"),"['Dowlond', 'Telkomsel', 'number', 'promo', 'Telkomsel', 'Internet', 'expensive', 'signal', 'dead', 'lights',' missing ',' call ',' How ',' the solution ',' Telkomsel ',' work ',' hampered ',' Gara ',' Gara ',' signal ', ""]")</f>
        <v>['Dowlond', 'Telkomsel', 'number', 'promo', 'Telkomsel', 'Internet', 'expensive', 'signal', 'dead', 'lights',' missing ',' call ',' How ',' the solution ',' Telkomsel ',' work ',' hampered ',' Gara ',' Gara ',' signal ', "]</v>
      </c>
      <c r="D404" s="3">
        <v>1.0</v>
      </c>
    </row>
    <row r="405" ht="15.75" customHeight="1">
      <c r="A405" s="1">
        <v>403.0</v>
      </c>
      <c r="B405" s="3" t="s">
        <v>406</v>
      </c>
      <c r="C405" s="3" t="str">
        <f>IFERROR(__xludf.DUMMYFUNCTION("GOOGLETRANSLATE(B405,""id"",""en"")"),"['happy', 'contents',' package ',' combo ',' sakti ',' package ',' unlimited ',' nda ',' package ',' unlimited ',' package ',' internet ',' signal ',' slow ',' senng ',' purchase ',' expensive ',' net ',' taking ',' data ',' according to ',' beg "", 'chan"&amp;"ged', 'taking', 'data' , 'Hopefully', 'Fast', 'Changed', 'Telkomsel']")</f>
        <v>['happy', 'contents',' package ',' combo ',' sakti ',' package ',' unlimited ',' nda ',' package ',' unlimited ',' package ',' internet ',' signal ',' slow ',' senng ',' purchase ',' expensive ',' net ',' taking ',' data ',' according to ',' beg ", 'changed', 'taking', 'data' , 'Hopefully', 'Fast', 'Changed', 'Telkomsel']</v>
      </c>
      <c r="D405" s="3">
        <v>1.0</v>
      </c>
    </row>
    <row r="406" ht="15.75" customHeight="1">
      <c r="A406" s="1">
        <v>404.0</v>
      </c>
      <c r="B406" s="3" t="s">
        <v>407</v>
      </c>
      <c r="C406" s="3" t="str">
        <f>IFERROR(__xludf.DUMMYFUNCTION("GOOGLETRANSLATE(B406,""id"",""en"")"),"['Sousal', 'good', 'signal', 'sometimes',' area ',' lived ',' strength ',' signal ',' please ',' strengthen ',' signal ',' easy ',' Open ',' Internet ',' Hima ',' Thank ',' Love ', ""]")</f>
        <v>['Sousal', 'good', 'signal', 'sometimes',' area ',' lived ',' strength ',' signal ',' please ',' strengthen ',' signal ',' easy ',' Open ',' Internet ',' Hima ',' Thank ',' Love ', "]</v>
      </c>
      <c r="D406" s="3">
        <v>5.0</v>
      </c>
    </row>
    <row r="407" ht="15.75" customHeight="1">
      <c r="A407" s="1">
        <v>405.0</v>
      </c>
      <c r="B407" s="3" t="s">
        <v>408</v>
      </c>
      <c r="C407" s="3" t="str">
        <f>IFERROR(__xludf.DUMMYFUNCTION("GOOGLETRANSLATE(B407,""id"",""en"")"),"['Come', 'crazy', 'UDH', 'package', 'expensive', 'network', 'like', 'ilang', 'pulse', 'sumps',' mulu ',' etc. ',' Strange ',' right ',' Maen ',' network ',' missing ',' difficulty ',' play ',' please ',' explanation ', ""]")</f>
        <v>['Come', 'crazy', 'UDH', 'package', 'expensive', 'network', 'like', 'ilang', 'pulse', 'sumps',' mulu ',' etc. ',' Strange ',' right ',' Maen ',' network ',' missing ',' difficulty ',' play ',' please ',' explanation ', "]</v>
      </c>
      <c r="D407" s="3">
        <v>1.0</v>
      </c>
    </row>
    <row r="408" ht="15.75" customHeight="1">
      <c r="A408" s="1">
        <v>406.0</v>
      </c>
      <c r="B408" s="3" t="s">
        <v>409</v>
      </c>
      <c r="C408" s="3" t="str">
        <f>IFERROR(__xludf.DUMMYFUNCTION("GOOGLETRANSLATE(B408,""id"",""en"")"),"['type', 'package', 'card', 'card', 'husband', 'package', 'Telkomsel', 'pdhl', 'annual', 'customers',' Telkomsel ',' lazy ',' Fill ',' contents', 'package', 'internet']")</f>
        <v>['type', 'package', 'card', 'card', 'husband', 'package', 'Telkomsel', 'pdhl', 'annual', 'customers',' Telkomsel ',' lazy ',' Fill ',' contents', 'package', 'internet']</v>
      </c>
      <c r="D408" s="3">
        <v>1.0</v>
      </c>
    </row>
    <row r="409" ht="15.75" customHeight="1">
      <c r="A409" s="1">
        <v>407.0</v>
      </c>
      <c r="B409" s="3" t="s">
        <v>410</v>
      </c>
      <c r="C409" s="3" t="str">
        <f>IFERROR(__xludf.DUMMYFUNCTION("GOOGLETRANSLATE(B409,""id"",""en"")"),"['Application', 'Ribet', 'Send', 'Screenshot', 'Application', 'Third', 'Ruwet', 'Upload', 'picture', 'Link', 'given', 'Direct', ' Send ',' Customer ',' Service ']")</f>
        <v>['Application', 'Ribet', 'Send', 'Screenshot', 'Application', 'Third', 'Ruwet', 'Upload', 'picture', 'Link', 'given', 'Direct', ' Send ',' Customer ',' Service ']</v>
      </c>
      <c r="D409" s="3">
        <v>1.0</v>
      </c>
    </row>
    <row r="410" ht="15.75" customHeight="1">
      <c r="A410" s="1">
        <v>408.0</v>
      </c>
      <c r="B410" s="3" t="s">
        <v>411</v>
      </c>
      <c r="C410" s="3" t="str">
        <f>IFERROR(__xludf.DUMMYFUNCTION("GOOGLETRANSLATE(B410,""id"",""en"")"),"['easy', 'turn', 'winner', 'Telkomsel', 'Points', 'Telkomsel', 'sustenance', 'amin']")</f>
        <v>['easy', 'turn', 'winner', 'Telkomsel', 'Points', 'Telkomsel', 'sustenance', 'amin']</v>
      </c>
      <c r="D410" s="3">
        <v>5.0</v>
      </c>
    </row>
    <row r="411" ht="15.75" customHeight="1">
      <c r="A411" s="1">
        <v>409.0</v>
      </c>
      <c r="B411" s="3" t="s">
        <v>412</v>
      </c>
      <c r="C411" s="3" t="str">
        <f>IFERROR(__xludf.DUMMYFUNCTION("GOOGLETRANSLATE(B411,""id"",""en"")"),"['TRMA', 'Love', 'MANT', 'Card', 'Hello', 'Understanding', 'Customers',' Service ',' Facilitates', 'Access',' Internet ',' customer ',' heart', '']")</f>
        <v>['TRMA', 'Love', 'MANT', 'Card', 'Hello', 'Understanding', 'Customers',' Service ',' Facilitates', 'Access',' Internet ',' customer ',' heart', '']</v>
      </c>
      <c r="D411" s="3">
        <v>5.0</v>
      </c>
    </row>
    <row r="412" ht="15.75" customHeight="1">
      <c r="A412" s="1">
        <v>410.0</v>
      </c>
      <c r="B412" s="3" t="s">
        <v>413</v>
      </c>
      <c r="C412" s="3" t="str">
        <f>IFERROR(__xludf.DUMMYFUNCTION("GOOGLETRANSLATE(B412,""id"",""en"")"),"['Come', 'Nambah', 'Good', 'Service', 'Damaged', 'Package', 'Combo', 'Tertered', 'Unlimited', 'Game', 'Quota', 'Main', ' run out ',' used ',' Nge ',' Game ',' Nge ',' lag ',' muter ',' fraud ',' imperite ',' package ',' unlimited ',' believe ',' try ' , '"&amp;"kelemban', 'prove', 'quota', 'main', 'run out', 'play', 'lobby', 'muter', 'move', 'provider', 'bye', 'telkampret', ' ']")</f>
        <v>['Come', 'Nambah', 'Good', 'Service', 'Damaged', 'Package', 'Combo', 'Tertered', 'Unlimited', 'Game', 'Quota', 'Main', ' run out ',' used ',' Nge ',' Game ',' Nge ',' lag ',' muter ',' fraud ',' imperite ',' package ',' unlimited ',' believe ',' try ' , 'kelemban', 'prove', 'quota', 'main', 'run out', 'play', 'lobby', 'muter', 'move', 'provider', 'bye', 'telkampret', ' ']</v>
      </c>
      <c r="D412" s="3">
        <v>1.0</v>
      </c>
    </row>
    <row r="413" ht="15.75" customHeight="1">
      <c r="A413" s="1">
        <v>411.0</v>
      </c>
      <c r="B413" s="3" t="s">
        <v>414</v>
      </c>
      <c r="C413" s="3" t="str">
        <f>IFERROR(__xludf.DUMMYFUNCTION("GOOGLETRANSLATE(B413,""id"",""en"")"),"['ask', 'application', 'related', 'Telkomsel', 'MIS', 'Roli', 'Redi', 'BLM', 'Link', 'made', 'application', 'charging', ' the package ',' distinguished ',' card ',' card ',' expensive ',' package ',' side ',' card ',' cheap ',' charging ',' package ',' pl"&amp;"ease ',' sorry ' , 'Rating', 'Change', 'Thank', 'Love']")</f>
        <v>['ask', 'application', 'related', 'Telkomsel', 'MIS', 'Roli', 'Redi', 'BLM', 'Link', 'made', 'application', 'charging', ' the package ',' distinguished ',' card ',' card ',' expensive ',' package ',' side ',' card ',' cheap ',' charging ',' package ',' please ',' sorry ' , 'Rating', 'Change', 'Thank', 'Love']</v>
      </c>
      <c r="D413" s="3">
        <v>3.0</v>
      </c>
    </row>
    <row r="414" ht="15.75" customHeight="1">
      <c r="A414" s="1">
        <v>412.0</v>
      </c>
      <c r="B414" s="3" t="s">
        <v>415</v>
      </c>
      <c r="C414" s="3" t="str">
        <f>IFERROR(__xludf.DUMMYFUNCTION("GOOGLETRANSLATE(B414,""id"",""en"")"),"['application', 'slow', 'open', 'contents',' pulse ',' buy ',' package ',' increase ',' package ',' download ',' application ',' Fita ',' Register ',' Package ',' GB ',' Promised ']")</f>
        <v>['application', 'slow', 'open', 'contents',' pulse ',' buy ',' package ',' increase ',' package ',' download ',' application ',' Fita ',' Register ',' Package ',' GB ',' Promised ']</v>
      </c>
      <c r="D414" s="3">
        <v>3.0</v>
      </c>
    </row>
    <row r="415" ht="15.75" customHeight="1">
      <c r="A415" s="1">
        <v>413.0</v>
      </c>
      <c r="B415" s="3" t="s">
        <v>416</v>
      </c>
      <c r="C415" s="3" t="str">
        <f>IFERROR(__xludf.DUMMYFUNCTION("GOOGLETRANSLATE(B415,""id"",""en"")"),"['Hello', 'Telkomsel', 'Knp', 'quota', 'cheap', 'run out', 'quota', 'expensive', 'expensive', 'ngk', 'card', 'dijudi', ' cards', 'GB', 'GB', 'price', 'I', 'Price', 'Thank', 'Kek', 'Litu', 'Please', 'Mirror', 'Package', 'Internet' , 'thank you']")</f>
        <v>['Hello', 'Telkomsel', 'Knp', 'quota', 'cheap', 'run out', 'quota', 'expensive', 'expensive', 'ngk', 'card', 'dijudi', ' cards', 'GB', 'GB', 'price', 'I', 'Price', 'Thank', 'Kek', 'Litu', 'Please', 'Mirror', 'Package', 'Internet' , 'thank you']</v>
      </c>
      <c r="D415" s="3">
        <v>5.0</v>
      </c>
    </row>
    <row r="416" ht="15.75" customHeight="1">
      <c r="A416" s="1">
        <v>414.0</v>
      </c>
      <c r="B416" s="3" t="s">
        <v>417</v>
      </c>
      <c r="C416" s="3" t="str">
        <f>IFERROR(__xludf.DUMMYFUNCTION("GOOGLETRANSLATE(B416,""id"",""en"")"),"['buy', 'package', 'GB', 'price', 'unlimated', 'free', 'quota', 'main', 'run out', 'price', 'unlimated', 'reducin', ' GB ',' Doang ',' Males', 'price', 'quota', 'less',' buy ',' package ',' price ',' strange ', ""]")</f>
        <v>['buy', 'package', 'GB', 'price', 'unlimated', 'free', 'quota', 'main', 'run out', 'price', 'unlimated', 'reducin', ' GB ',' Doang ',' Males', 'price', 'quota', 'less',' buy ',' package ',' price ',' strange ', "]</v>
      </c>
      <c r="D416" s="3">
        <v>1.0</v>
      </c>
    </row>
    <row r="417" ht="15.75" customHeight="1">
      <c r="A417" s="1">
        <v>415.0</v>
      </c>
      <c r="B417" s="3" t="s">
        <v>418</v>
      </c>
      <c r="C417" s="3" t="str">
        <f>IFERROR(__xludf.DUMMYFUNCTION("GOOGLETRANSLATE(B417,""id"",""en"")"),"['Network', 'ugly', 'wonder', 'user', 'cell', 'network', 'destroyed', 'super', 'slow', 'in the city', 'field', 'remote', ' quota ',' please ',' solution ',' emotion ',' see ',' slow ',' network ',' ']")</f>
        <v>['Network', 'ugly', 'wonder', 'user', 'cell', 'network', 'destroyed', 'super', 'slow', 'in the city', 'field', 'remote', ' quota ',' please ',' solution ',' emotion ',' see ',' slow ',' network ',' ']</v>
      </c>
      <c r="D417" s="3">
        <v>1.0</v>
      </c>
    </row>
    <row r="418" ht="15.75" customHeight="1">
      <c r="A418" s="1">
        <v>416.0</v>
      </c>
      <c r="B418" s="3" t="s">
        <v>419</v>
      </c>
      <c r="C418" s="3" t="str">
        <f>IFERROR(__xludf.DUMMYFUNCTION("GOOGLETRANSLATE(B418,""id"",""en"")"),"['application', 'Simple', 'heavy', 'sucked', 'quota', 'feature', 'lock', 'pulse', 'sumps',' quota ',' hbs', 'provider', ' Next to ',' Features', 'GTU', 'Customer', 'Safe', 'Fear', 'Credit', 'ilang', ""]")</f>
        <v>['application', 'Simple', 'heavy', 'sucked', 'quota', 'feature', 'lock', 'pulse', 'sumps',' quota ',' hbs', 'provider', ' Next to ',' Features', 'GTU', 'Customer', 'Safe', 'Fear', 'Credit', 'ilang', "]</v>
      </c>
      <c r="D418" s="3">
        <v>3.0</v>
      </c>
    </row>
    <row r="419" ht="15.75" customHeight="1">
      <c r="A419" s="1">
        <v>417.0</v>
      </c>
      <c r="B419" s="3" t="s">
        <v>420</v>
      </c>
      <c r="C419" s="3" t="str">
        <f>IFERROR(__xludf.DUMMYFUNCTION("GOOGLETRANSLATE(B419,""id"",""en"")"),"['min', 'area', 'pussy', 'BTS', 'Telkomsel', 'operator', 'put', 'MHz', 'MHz', 'users', 'Telkomsel', ""]")</f>
        <v>['min', 'area', 'pussy', 'BTS', 'Telkomsel', 'operator', 'put', 'MHz', 'MHz', 'users', 'Telkomsel', "]</v>
      </c>
      <c r="D419" s="3">
        <v>5.0</v>
      </c>
    </row>
    <row r="420" ht="15.75" customHeight="1">
      <c r="A420" s="1">
        <v>418.0</v>
      </c>
      <c r="B420" s="3" t="s">
        <v>421</v>
      </c>
      <c r="C420" s="3" t="str">
        <f>IFERROR(__xludf.DUMMYFUNCTION("GOOGLETRANSLATE(B420,""id"",""en"")"),"['Telkomsel', 'slow', 'really', 'user', 'loyal', 'Telkomsel', 'Disappointed', 'really', 'City', 'Bukittinggi', 'Telkomsel', 'King', ' mah ',' king ',' slow ']")</f>
        <v>['Telkomsel', 'slow', 'really', 'user', 'loyal', 'Telkomsel', 'Disappointed', 'really', 'City', 'Bukittinggi', 'Telkomsel', 'King', ' mah ',' king ',' slow ']</v>
      </c>
      <c r="D420" s="3">
        <v>1.0</v>
      </c>
    </row>
    <row r="421" ht="15.75" customHeight="1">
      <c r="A421" s="1">
        <v>419.0</v>
      </c>
      <c r="B421" s="3" t="s">
        <v>422</v>
      </c>
      <c r="C421" s="3" t="str">
        <f>IFERROR(__xludf.DUMMYFUNCTION("GOOGLETRANSLATE(B421,""id"",""en"")"),"['UDH', 'Season', 'really', 'signal', 'Telkomsel', 'UDH', 'Stable', 'Fast', 'Fix', 'Stress',' Ngapain ',' What 'do' signal ',' as good ',' rich ', ""]")</f>
        <v>['UDH', 'Season', 'really', 'signal', 'Telkomsel', 'UDH', 'Stable', 'Fast', 'Fix', 'Stress',' Ngapain ',' What 'do' signal ',' as good ',' rich ', "]</v>
      </c>
      <c r="D421" s="3">
        <v>1.0</v>
      </c>
    </row>
    <row r="422" ht="15.75" customHeight="1">
      <c r="A422" s="1">
        <v>420.0</v>
      </c>
      <c r="B422" s="3" t="s">
        <v>423</v>
      </c>
      <c r="C422" s="3" t="str">
        <f>IFERROR(__xludf.DUMMYFUNCTION("GOOGLETRANSLATE(B422,""id"",""en"")"),"['users', 'Telkomsel', 'go', 'Performance', 'Quality', 'Telkomsel', 'Decline', 'Prediction', 'ilang', 'Customer', 'Telkomsel', 'for a while' customers', 'loyal', 'replace', 'card', 'recommended', 'really', 'nggk', 'disappointed']")</f>
        <v>['users', 'Telkomsel', 'go', 'Performance', 'Quality', 'Telkomsel', 'Decline', 'Prediction', 'ilang', 'Customer', 'Telkomsel', 'for a while' customers', 'loyal', 'replace', 'card', 'recommended', 'really', 'nggk', 'disappointed']</v>
      </c>
      <c r="D422" s="3">
        <v>1.0</v>
      </c>
    </row>
    <row r="423" ht="15.75" customHeight="1">
      <c r="A423" s="1">
        <v>421.0</v>
      </c>
      <c r="B423" s="3" t="s">
        <v>424</v>
      </c>
      <c r="C423" s="3" t="str">
        <f>IFERROR(__xludf.DUMMYFUNCTION("GOOGLETRANSLATE(B423,""id"",""en"")"),"['APK', 'good', 'easy', 'that's',' cheap ',' buy ',' package ',' fast ',' processed ',' no ',' bother ',' search ',' counter ',' Stay ',' Open ',' APK ',' Causes']")</f>
        <v>['APK', 'good', 'easy', 'that's',' cheap ',' buy ',' package ',' fast ',' processed ',' no ',' bother ',' search ',' counter ',' Stay ',' Open ',' APK ',' Causes']</v>
      </c>
      <c r="D423" s="3">
        <v>5.0</v>
      </c>
    </row>
    <row r="424" ht="15.75" customHeight="1">
      <c r="A424" s="1">
        <v>422.0</v>
      </c>
      <c r="B424" s="3" t="s">
        <v>425</v>
      </c>
      <c r="C424" s="3" t="str">
        <f>IFERROR(__xludf.DUMMYFUNCTION("GOOGLETRANSLATE(B424,""id"",""en"")"),"['Like', 'Disney', 'Hotstarr', 'Wonder', 'Consumers',' Already ',' Subscribe ',' Disney ',' Hotstarr ',' Telkomsel ',' Maksain ',' Consumers', ' Like ',' pulses', 'leftover', 'missing', 'Gara', 'Disney', 'Hotstarr', 'jerk', 'Nie', 'Copet', 'pulse', 'consu"&amp;"mer', 'service' , 'signal', 'Telkomsel', 'bad', 'ugly', 'really', ""]")</f>
        <v>['Like', 'Disney', 'Hotstarr', 'Wonder', 'Consumers',' Already ',' Subscribe ',' Disney ',' Hotstarr ',' Telkomsel ',' Maksain ',' Consumers', ' Like ',' pulses', 'leftover', 'missing', 'Gara', 'Disney', 'Hotstarr', 'jerk', 'Nie', 'Copet', 'pulse', 'consumer', 'service' , 'signal', 'Telkomsel', 'bad', 'ugly', 'really', "]</v>
      </c>
      <c r="D424" s="3">
        <v>1.0</v>
      </c>
    </row>
    <row r="425" ht="15.75" customHeight="1">
      <c r="A425" s="1">
        <v>423.0</v>
      </c>
      <c r="B425" s="3" t="s">
        <v>426</v>
      </c>
      <c r="C425" s="3" t="str">
        <f>IFERROR(__xludf.DUMMYFUNCTION("GOOGLETRANSLATE(B425,""id"",""en"")"),"['Package', 'Telkomsel', 'download', 'streaming', 'slow', 'MB', 'download', 'clock', 'finish', 'open', 'You', 'Tube', ' Minutes', 'clicked', 'Open', 'Overcome', 'Buy', 'Package', 'Telkomsel', 'already', 'expensive', 'service', 'satisfying', 'a month', 'ru"&amp;"n out' , 'Kepake', 'Kampreeeet', 'Yuk', 'Rame', 'Check', 'Out', 'Telkomsel', ""]")</f>
        <v>['Package', 'Telkomsel', 'download', 'streaming', 'slow', 'MB', 'download', 'clock', 'finish', 'open', 'You', 'Tube', ' Minutes', 'clicked', 'Open', 'Overcome', 'Buy', 'Package', 'Telkomsel', 'already', 'expensive', 'service', 'satisfying', 'a month', 'run out' , 'Kepake', 'Kampreeeet', 'Yuk', 'Rame', 'Check', 'Out', 'Telkomsel', "]</v>
      </c>
      <c r="D425" s="3">
        <v>1.0</v>
      </c>
    </row>
    <row r="426" ht="15.75" customHeight="1">
      <c r="A426" s="1">
        <v>424.0</v>
      </c>
      <c r="B426" s="3" t="s">
        <v>427</v>
      </c>
      <c r="C426" s="3" t="str">
        <f>IFERROR(__xludf.DUMMYFUNCTION("GOOGLETRANSLATE(B426,""id"",""en"")"),"['Bad', 'Telkomsel', 'disappointed', 'Telkomsel', 'transaction', 'offer', 'promo', 'cheap', 'expensive', 'compared', 'promo', 'number', ' Type ',' promo ',' ']")</f>
        <v>['Bad', 'Telkomsel', 'disappointed', 'Telkomsel', 'transaction', 'offer', 'promo', 'cheap', 'expensive', 'compared', 'promo', 'number', ' Type ',' promo ',' ']</v>
      </c>
      <c r="D426" s="3">
        <v>1.0</v>
      </c>
    </row>
    <row r="427" ht="15.75" customHeight="1">
      <c r="A427" s="1">
        <v>425.0</v>
      </c>
      <c r="B427" s="3" t="s">
        <v>428</v>
      </c>
      <c r="C427" s="3" t="str">
        <f>IFERROR(__xludf.DUMMYFUNCTION("GOOGLETRANSLATE(B427,""id"",""en"")"),"['buy', 'Package', 'enter', 'History', 'Package', 'Buy', 'Package', 'Data', 'Enter', 'Credit', 'Cut "",' Disappointed ',' Application ',' update ']")</f>
        <v>['buy', 'Package', 'enter', 'History', 'Package', 'Buy', 'Package', 'Data', 'Enter', 'Credit', 'Cut ",' Disappointed ',' Application ',' update ']</v>
      </c>
      <c r="D427" s="3">
        <v>1.0</v>
      </c>
    </row>
    <row r="428" ht="15.75" customHeight="1">
      <c r="A428" s="1">
        <v>426.0</v>
      </c>
      <c r="B428" s="3" t="s">
        <v>429</v>
      </c>
      <c r="C428" s="3" t="str">
        <f>IFERROR(__xludf.DUMMYFUNCTION("GOOGLETRANSLATE(B428,""id"",""en"")"),"['Kuata', 'Fall', 'Tempo', 'Remnants',' Date ',' Tidaj ',' On ',' Live ',' Streaming ',' Worship ',' Week ',' Clock ',' wib ',' Please ',' noticed ',' thank ',' love ']")</f>
        <v>['Kuata', 'Fall', 'Tempo', 'Remnants',' Date ',' Tidaj ',' On ',' Live ',' Streaming ',' Worship ',' Week ',' Clock ',' wib ',' Please ',' noticed ',' thank ',' love ']</v>
      </c>
      <c r="D428" s="3">
        <v>4.0</v>
      </c>
    </row>
    <row r="429" ht="15.75" customHeight="1">
      <c r="A429" s="1">
        <v>427.0</v>
      </c>
      <c r="B429" s="3" t="s">
        <v>430</v>
      </c>
      <c r="C429" s="3" t="str">
        <f>IFERROR(__xludf.DUMMYFUNCTION("GOOGLETRANSLATE(B429,""id"",""en"")"),"['Internet', 'Lamban', 'Duga', 'Telkomsel', 'intentionally', 'it hurt', 'put', 'his produce', 'Telkomsel', 'proof', 'buy', 'quota', ' Giga ',' Try ',' Speed ​​',' Internet ',' Lamban ',' Quota ',' Application ',' Browser ',' YouTube ',' Lamban ',' Try ','"&amp;" Buy ',' Quota ' , 'Unlimited', 'YouTube', 'speed', 'fast', 'disappointed', 'mentang', 'BUMN', '']")</f>
        <v>['Internet', 'Lamban', 'Duga', 'Telkomsel', 'intentionally', 'it hurt', 'put', 'his produce', 'Telkomsel', 'proof', 'buy', 'quota', ' Giga ',' Try ',' Speed ​​',' Internet ',' Lamban ',' Quota ',' Application ',' Browser ',' YouTube ',' Lamban ',' Try ',' Buy ',' Quota ' , 'Unlimited', 'YouTube', 'speed', 'fast', 'disappointed', 'mentang', 'BUMN', '']</v>
      </c>
      <c r="D429" s="3">
        <v>1.0</v>
      </c>
    </row>
    <row r="430" ht="15.75" customHeight="1">
      <c r="A430" s="1">
        <v>428.0</v>
      </c>
      <c r="B430" s="3" t="s">
        <v>431</v>
      </c>
      <c r="C430" s="3" t="str">
        <f>IFERROR(__xludf.DUMMYFUNCTION("GOOGLETRANSLATE(B430,""id"",""en"")"),"['Kasi', 'star', 'right', 'buy', 'quota', 'unlimited', 'speed', 'network', 'downhill', 'quota', 'limit', 'natural', ' Tela ',' Jabit ',' then ',' buy ',' quota ',' unlimited ',' streming ',' yotube ',' kayak ',' worth ',' already ',' buy ',' package ' , '"&amp;"expensive', 'open', 'app', 'social', 'media', 'speed', 'network', 'decline', 'kayak', 'quota', 'process',' network ',' weak', '']")</f>
        <v>['Kasi', 'star', 'right', 'buy', 'quota', 'unlimited', 'speed', 'network', 'downhill', 'quota', 'limit', 'natural', ' Tela ',' Jabit ',' then ',' buy ',' quota ',' unlimited ',' streming ',' yotube ',' kayak ',' worth ',' already ',' buy ',' package ' , 'expensive', 'open', 'app', 'social', 'media', 'speed', 'network', 'decline', 'kayak', 'quota', 'process',' network ',' weak', '']</v>
      </c>
      <c r="D430" s="3">
        <v>1.0</v>
      </c>
    </row>
    <row r="431" ht="15.75" customHeight="1">
      <c r="A431" s="1">
        <v>429.0</v>
      </c>
      <c r="B431" s="3" t="s">
        <v>432</v>
      </c>
      <c r="C431" s="3" t="str">
        <f>IFERROR(__xludf.DUMMYFUNCTION("GOOGLETRANSLATE(B431,""id"",""en"")"),"['SATA', 'ASN', 'Extension', 'Agriculture', 'work', 'Field', 'Need', 'Signal', 'SLL', 'Telkomsel', 'Alhamdulillah', 'signal', ' Field ',' Thank you ',' Telkomsel ']")</f>
        <v>['SATA', 'ASN', 'Extension', 'Agriculture', 'work', 'Field', 'Need', 'Signal', 'SLL', 'Telkomsel', 'Alhamdulillah', 'signal', ' Field ',' Thank you ',' Telkomsel ']</v>
      </c>
      <c r="D431" s="3">
        <v>5.0</v>
      </c>
    </row>
    <row r="432" ht="15.75" customHeight="1">
      <c r="A432" s="1">
        <v>430.0</v>
      </c>
      <c r="B432" s="3" t="s">
        <v>433</v>
      </c>
      <c r="C432" s="3" t="str">
        <f>IFERROR(__xludf.DUMMYFUNCTION("GOOGLETRANSLATE(B432,""id"",""en"")"),"['Buy', 'Package', 'Combo', 'Unlimited', 'Written', 'Package', 'Data', 'Free', 'Call', 'Telkomsel', 'Minutes',' SMS ',' Free ',' Trus', 'Unlimited', 'App', 'Distance', 'Free', 'Nelponya', 'Lost', ""]")</f>
        <v>['Buy', 'Package', 'Combo', 'Unlimited', 'Written', 'Package', 'Data', 'Free', 'Call', 'Telkomsel', 'Minutes',' SMS ',' Free ',' Trus', 'Unlimited', 'App', 'Distance', 'Free', 'Nelponya', 'Lost', "]</v>
      </c>
      <c r="D432" s="3">
        <v>1.0</v>
      </c>
    </row>
    <row r="433" ht="15.75" customHeight="1">
      <c r="A433" s="1">
        <v>431.0</v>
      </c>
      <c r="B433" s="3" t="s">
        <v>434</v>
      </c>
      <c r="C433" s="3" t="str">
        <f>IFERROR(__xludf.DUMMYFUNCTION("GOOGLETRANSLATE(B433,""id"",""en"")"),"['application', 'help', 'use', 'product', 'Telkomsel', 'application', 'handy', 'error', 'event', 'daily', 'check', '']")</f>
        <v>['application', 'help', 'use', 'product', 'Telkomsel', 'application', 'handy', 'error', 'event', 'daily', 'check', '']</v>
      </c>
      <c r="D433" s="3">
        <v>1.0</v>
      </c>
    </row>
    <row r="434" ht="15.75" customHeight="1">
      <c r="A434" s="1">
        <v>432.0</v>
      </c>
      <c r="B434" s="3" t="s">
        <v>435</v>
      </c>
      <c r="C434" s="3" t="str">
        <f>IFERROR(__xludf.DUMMYFUNCTION("GOOGLETRANSLATE(B434,""id"",""en"")"),"['Quota', 'Unlimited', 'FUP', 'Free', 'Make', 'Unlimited', 'Telkomsel', 'Useful', 'Quality', 'Telkomsel']")</f>
        <v>['Quota', 'Unlimited', 'FUP', 'Free', 'Make', 'Unlimited', 'Telkomsel', 'Useful', 'Quality', 'Telkomsel']</v>
      </c>
      <c r="D434" s="3">
        <v>1.0</v>
      </c>
    </row>
    <row r="435" ht="15.75" customHeight="1">
      <c r="A435" s="1">
        <v>433.0</v>
      </c>
      <c r="B435" s="3" t="s">
        <v>436</v>
      </c>
      <c r="C435" s="3" t="str">
        <f>IFERROR(__xludf.DUMMYFUNCTION("GOOGLETRANSLATE(B435,""id"",""en"")"),"['Customer', 'Telkomsel', 'because', 'like', 'network', 'expensive', 'price', 'package', 'NOT', 'Customer', 'loyal', 'Reward', ' Kitu ',' expensive ',' price ',' package ',' buy ',' card ',' prime ',' barutuh ',' promo ',' cheap ',' darling ',' gunta ',' "&amp;"replace ' , 'number', 'Ribet', '']")</f>
        <v>['Customer', 'Telkomsel', 'because', 'like', 'network', 'expensive', 'price', 'package', 'NOT', 'Customer', 'loyal', 'Reward', ' Kitu ',' expensive ',' price ',' package ',' buy ',' card ',' prime ',' barutuh ',' promo ',' cheap ',' darling ',' gunta ',' replace ' , 'number', 'Ribet', '']</v>
      </c>
      <c r="D435" s="3">
        <v>1.0</v>
      </c>
    </row>
    <row r="436" ht="15.75" customHeight="1">
      <c r="A436" s="1">
        <v>434.0</v>
      </c>
      <c r="B436" s="3" t="s">
        <v>437</v>
      </c>
      <c r="C436" s="3" t="str">
        <f>IFERROR(__xludf.DUMMYFUNCTION("GOOGLETRANSLATE(B436,""id"",""en"")"),"['businessman', 'company', 'where', 'items',' sell ',' already ',' ugly ',' it's', 'then', 'expensive', 'turn', 'sell', ' network ',' good ',' cheap ',' tactics', 'hold', 'control', 'complement', 'bls',' robot ',' hhahaha ']")</f>
        <v>['businessman', 'company', 'where', 'items',' sell ',' already ',' ugly ',' it's', 'then', 'expensive', 'turn', 'sell', ' network ',' good ',' cheap ',' tactics', 'hold', 'control', 'complement', 'bls',' robot ',' hhahaha ']</v>
      </c>
      <c r="D436" s="3">
        <v>1.0</v>
      </c>
    </row>
    <row r="437" ht="15.75" customHeight="1">
      <c r="A437" s="1">
        <v>435.0</v>
      </c>
      <c r="B437" s="3" t="s">
        <v>438</v>
      </c>
      <c r="C437" s="3" t="str">
        <f>IFERROR(__xludf.DUMMYFUNCTION("GOOGLETRANSLATE(B437,""id"",""en"")"),"['The application', 'good', 'makes it easy', 'users',' weakness', 'buy', 'package', 'run out', 'quota', 'main', 'extra', 'quota', ' unlimited ',' weak ',' signal ',' slow ',' no ',' use ',' plus', 'please', 'repaired', 'thank', 'love', ""]")</f>
        <v>['The application', 'good', 'makes it easy', 'users',' weakness', 'buy', 'package', 'run out', 'quota', 'main', 'extra', 'quota', ' unlimited ',' weak ',' signal ',' slow ',' no ',' use ',' plus', 'please', 'repaired', 'thank', 'love', "]</v>
      </c>
      <c r="D437" s="3">
        <v>5.0</v>
      </c>
    </row>
    <row r="438" ht="15.75" customHeight="1">
      <c r="A438" s="1">
        <v>436.0</v>
      </c>
      <c r="B438" s="3" t="s">
        <v>439</v>
      </c>
      <c r="C438" s="3" t="str">
        <f>IFERROR(__xludf.DUMMYFUNCTION("GOOGLETRANSLATE(B438,""id"",""en"")"),"['Network', 'best', 'Indonesi', 'gave', 'suggestion', 'please', 'Lower', 'price', 'package', 'data', 'a month', 'a week', ' per day, 'pity', 'person', 'buy', 'package', 'a month', 'kerna', 'expensive', ""]")</f>
        <v>['Network', 'best', 'Indonesi', 'gave', 'suggestion', 'please', 'Lower', 'price', 'package', 'data', 'a month', 'a week', ' per day, 'pity', 'person', 'buy', 'package', 'a month', 'kerna', 'expensive', "]</v>
      </c>
      <c r="D438" s="3">
        <v>5.0</v>
      </c>
    </row>
    <row r="439" ht="15.75" customHeight="1">
      <c r="A439" s="1">
        <v>437.0</v>
      </c>
      <c r="B439" s="3" t="s">
        <v>440</v>
      </c>
      <c r="C439" s="3" t="str">
        <f>IFERROR(__xludf.DUMMYFUNCTION("GOOGLETRANSLATE(B439,""id"",""en"")"),"['quota', 'unlimited', 'app', 'limit', 'usage', 'unlimited', 'limit', 'pro', 'right', 'lazy', 'mending', 'change', ' card ',' lbh ',' cheap ',' lazy ',' pke ',' telkomsel ']")</f>
        <v>['quota', 'unlimited', 'app', 'limit', 'usage', 'unlimited', 'limit', 'pro', 'right', 'lazy', 'mending', 'change', ' card ',' lbh ',' cheap ',' lazy ',' pke ',' telkomsel ']</v>
      </c>
      <c r="D439" s="3">
        <v>1.0</v>
      </c>
    </row>
    <row r="440" ht="15.75" customHeight="1">
      <c r="A440" s="1">
        <v>438.0</v>
      </c>
      <c r="B440" s="3" t="s">
        <v>441</v>
      </c>
      <c r="C440" s="3" t="str">
        <f>IFERROR(__xludf.DUMMYFUNCTION("GOOGLETRANSLATE(B440,""id"",""en"")"),"['Hello', 'Sis',' The application ',' digits', 'buy', 'package', 'already', 'upgrade', 'then', 'uninstall', 'install', 'TTP', ' Enter ',' number ',' buy ',' Package ',' Network ',' Good ',' try ',' Again ',' then ']")</f>
        <v>['Hello', 'Sis',' The application ',' digits', 'buy', 'package', 'already', 'upgrade', 'then', 'uninstall', 'install', 'TTP', ' Enter ',' number ',' buy ',' Package ',' Network ',' Good ',' try ',' Again ',' then ']</v>
      </c>
      <c r="D440" s="3">
        <v>5.0</v>
      </c>
    </row>
    <row r="441" ht="15.75" customHeight="1">
      <c r="A441" s="1">
        <v>439.0</v>
      </c>
      <c r="B441" s="3" t="s">
        <v>442</v>
      </c>
      <c r="C441" s="3" t="str">
        <f>IFERROR(__xludf.DUMMYFUNCTION("GOOGLETRANSLATE(B441,""id"",""en"")"),"['Sorry', 'suggestion', 'please', 'speed', 'network', 'quota', 'unlimited', 'less',' reduced ',' Mbps', 'Mbps',' Mbps', 'open', 'etc.', 'so', 'thank you']")</f>
        <v>['Sorry', 'suggestion', 'please', 'speed', 'network', 'quota', 'unlimited', 'less',' reduced ',' Mbps', 'Mbps',' Mbps', 'open', 'etc.', 'so', 'thank you']</v>
      </c>
      <c r="D441" s="3">
        <v>4.0</v>
      </c>
    </row>
    <row r="442" ht="15.75" customHeight="1">
      <c r="A442" s="1">
        <v>440.0</v>
      </c>
      <c r="B442" s="3" t="s">
        <v>443</v>
      </c>
      <c r="C442" s="3" t="str">
        <f>IFERROR(__xludf.DUMMYFUNCTION("GOOGLETRANSLATE(B442,""id"",""en"")"),"['Please', 'reviewed', 'area', 'Karna', 'strong', 'special', 'network', 'internet', 'in the region', 'Profincins',' Lampung ',' south ',' Kec ',' Sragi ',' Trima ',' Love ', ""]")</f>
        <v>['Please', 'reviewed', 'area', 'Karna', 'strong', 'special', 'network', 'internet', 'in the region', 'Profincins',' Lampung ',' south ',' Kec ',' Sragi ',' Trima ',' Love ', "]</v>
      </c>
      <c r="D442" s="3">
        <v>5.0</v>
      </c>
    </row>
    <row r="443" ht="15.75" customHeight="1">
      <c r="A443" s="1">
        <v>441.0</v>
      </c>
      <c r="B443" s="3" t="s">
        <v>444</v>
      </c>
      <c r="C443" s="3" t="str">
        <f>IFERROR(__xludf.DUMMYFUNCTION("GOOGLETRANSLATE(B443,""id"",""en"")"),"['price', 'package', 'was removed', 'quality', 'network', 'bad', 'bad', 'already', 'yrs',' use ',' Telkomsel ',' network ',' Changed ',' Drastic ',' Hancurr ',' ']")</f>
        <v>['price', 'package', 'was removed', 'quality', 'network', 'bad', 'bad', 'already', 'yrs',' use ',' Telkomsel ',' network ',' Changed ',' Drastic ',' Hancurr ',' ']</v>
      </c>
      <c r="D443" s="3">
        <v>1.0</v>
      </c>
    </row>
    <row r="444" ht="15.75" customHeight="1">
      <c r="A444" s="1">
        <v>442.0</v>
      </c>
      <c r="B444" s="3" t="s">
        <v>445</v>
      </c>
      <c r="C444" s="3" t="str">
        <f>IFERROR(__xludf.DUMMYFUNCTION("GOOGLETRANSLATE(B444,""id"",""en"")"),"['Help', 'unlimited', 'omitted', 'expensive', 'unlimited', 'satisfied', 'mending', 'moved', 'card', 'Telkomsel', 'gajelas',' kenu ',' Tribulation ', ""]")</f>
        <v>['Help', 'unlimited', 'omitted', 'expensive', 'unlimited', 'satisfied', 'mending', 'moved', 'card', 'Telkomsel', 'gajelas',' kenu ',' Tribulation ', "]</v>
      </c>
      <c r="D444" s="3">
        <v>1.0</v>
      </c>
    </row>
    <row r="445" ht="15.75" customHeight="1">
      <c r="A445" s="1">
        <v>443.0</v>
      </c>
      <c r="B445" s="3" t="s">
        <v>446</v>
      </c>
      <c r="C445" s="3" t="str">
        <f>IFERROR(__xludf.DUMMYFUNCTION("GOOGLETRANSLATE(B445,""id"",""en"")"),"['Open', 'failed', 'appears',' info ',' connection ',' failed ',' app ',' install ',' user ',' card ',' wait ',' waiting ',' Sebera ',' refresh ',' card ',' already ',' ']")</f>
        <v>['Open', 'failed', 'appears',' info ',' connection ',' failed ',' app ',' install ',' user ',' card ',' wait ',' waiting ',' Sebera ',' refresh ',' card ',' already ',' ']</v>
      </c>
      <c r="D445" s="3">
        <v>1.0</v>
      </c>
    </row>
    <row r="446" ht="15.75" customHeight="1">
      <c r="A446" s="1">
        <v>444.0</v>
      </c>
      <c r="B446" s="3" t="s">
        <v>447</v>
      </c>
      <c r="C446" s="3" t="str">
        <f>IFERROR(__xludf.DUMMYFUNCTION("GOOGLETRANSLATE(B446,""id"",""en"")"),"['Not bad', 'APK', 'Cuman', 'coupon', 'Undi', 'Undi', 'Hepi', 'gift', 'won', 'user', 'card', 'Most', ' The number ',' card ',' sympathy ',' card ',' user ',' quality ',' signal ',' downhill ',' in the area ',' bran ', ""]")</f>
        <v>['Not bad', 'APK', 'Cuman', 'coupon', 'Undi', 'Undi', 'Hepi', 'gift', 'won', 'user', 'card', 'Most', ' The number ',' card ',' sympathy ',' card ',' user ',' quality ',' signal ',' downhill ',' in the area ',' bran ', "]</v>
      </c>
      <c r="D446" s="3">
        <v>3.0</v>
      </c>
    </row>
    <row r="447" ht="15.75" customHeight="1">
      <c r="A447" s="1">
        <v>445.0</v>
      </c>
      <c r="B447" s="3" t="s">
        <v>448</v>
      </c>
      <c r="C447" s="3" t="str">
        <f>IFERROR(__xludf.DUMMYFUNCTION("GOOGLETRANSLATE(B447,""id"",""en"")"),"['use', 'network', 'Telkomsel', 'network', 'extensive', 'satisfied', 'service', 'since', 'device', 'use', 'card', 'Telkomsel', ' Please ',' Costs', 'Forms',' Financing ',' Frombialaypon ',' Package ',' Data ',' Deletable ',' Community ',' Economy ',' Weak"&amp;" ',' Served ', ""]")</f>
        <v>['use', 'network', 'Telkomsel', 'network', 'extensive', 'satisfied', 'service', 'since', 'device', 'use', 'card', 'Telkomsel', ' Please ',' Costs', 'Forms',' Financing ',' Frombialaypon ',' Package ',' Data ',' Deletable ',' Community ',' Economy ',' Weak ',' Served ', "]</v>
      </c>
      <c r="D447" s="3">
        <v>4.0</v>
      </c>
    </row>
    <row r="448" ht="15.75" customHeight="1">
      <c r="A448" s="1">
        <v>446.0</v>
      </c>
      <c r="B448" s="3" t="s">
        <v>449</v>
      </c>
      <c r="C448" s="3" t="str">
        <f>IFERROR(__xludf.DUMMYFUNCTION("GOOGLETRANSLATE(B448,""id"",""en"")"),"['Star', 'gabisa', 'buy', 'package', 'app', 'pulses',' description ',' pulse ',' pulse ',' sumps', 'connection', 'like', ' Gajelas', 'Open', 'Broser', 'Lola', 'Turn', 'Open', 'App', 'Connection', 'Road', 'Want', 'Try', ""]")</f>
        <v>['Star', 'gabisa', 'buy', 'package', 'app', 'pulses',' description ',' pulse ',' pulse ',' sumps', 'connection', 'like', ' Gajelas', 'Open', 'Broser', 'Lola', 'Turn', 'Open', 'App', 'Connection', 'Road', 'Want', 'Try', "]</v>
      </c>
      <c r="D448" s="3">
        <v>1.0</v>
      </c>
    </row>
    <row r="449" ht="15.75" customHeight="1">
      <c r="A449" s="1">
        <v>447.0</v>
      </c>
      <c r="B449" s="3" t="s">
        <v>450</v>
      </c>
      <c r="C449" s="3" t="str">
        <f>IFERROR(__xludf.DUMMYFUNCTION("GOOGLETRANSLATE(B449,""id"",""en"")"),"['love', 'star', 'network', 'smooth', 'application', 'run', 'smooth', 'told', 'load', 'reset', 'open', 'application', ' fluent']")</f>
        <v>['love', 'star', 'network', 'smooth', 'application', 'run', 'smooth', 'told', 'load', 'reset', 'open', 'application', ' fluent']</v>
      </c>
      <c r="D449" s="3">
        <v>1.0</v>
      </c>
    </row>
    <row r="450" ht="15.75" customHeight="1">
      <c r="A450" s="1">
        <v>448.0</v>
      </c>
      <c r="B450" s="3" t="s">
        <v>451</v>
      </c>
      <c r="C450" s="3" t="str">
        <f>IFERROR(__xludf.DUMMYFUNCTION("GOOGLETRANSLATE(B450,""id"",""en"")"),"['Telkomsel', 'how', 'quota', 'local', 'use', 'activated', 'salemba', 'Jakarta', 'Sia', 'Sia', 'quota', 'already', ' Look, ',' quota ',' app ',' no ',' Gunain ',' slow ',' really ']")</f>
        <v>['Telkomsel', 'how', 'quota', 'local', 'use', 'activated', 'salemba', 'Jakarta', 'Sia', 'Sia', 'quota', 'already', ' Look, ',' quota ',' app ',' no ',' Gunain ',' slow ',' really ']</v>
      </c>
      <c r="D450" s="3">
        <v>1.0</v>
      </c>
    </row>
    <row r="451" ht="15.75" customHeight="1">
      <c r="A451" s="1">
        <v>449.0</v>
      </c>
      <c r="B451" s="3" t="s">
        <v>452</v>
      </c>
      <c r="C451" s="3" t="str">
        <f>IFERROR(__xludf.DUMMYFUNCTION("GOOGLETRANSLATE(B451,""id"",""en"")"),"['Hadeh', 'already', 'believe', 'Eee', 'price', 'network', 'drop', 'already', 'buy', 'Vouch', 'unlimited', 'GB', ' Okay ',' wusst ',' boundary ',' eee ',' already ',' buy ',' already ',' loyo ',' unlimited ',' GB ',' Abis', 'Wusst', 'GB' , 'Open', 'YouTub"&amp;"e', 'resolution', 'already', 'ngeden', 'muter', 'stay', 'unlimited', 'stay', 'chat', 'game', 'doang', ' SMS ',' limit ',' usage ',' data ',' application ',' run out ',' unlimited ',' ']")</f>
        <v>['Hadeh', 'already', 'believe', 'Eee', 'price', 'network', 'drop', 'already', 'buy', 'Vouch', 'unlimited', 'GB', ' Okay ',' wusst ',' boundary ',' eee ',' already ',' buy ',' already ',' loyo ',' unlimited ',' GB ',' Abis', 'Wusst', 'GB' , 'Open', 'YouTube', 'resolution', 'already', 'ngeden', 'muter', 'stay', 'unlimited', 'stay', 'chat', 'game', 'doang', ' SMS ',' limit ',' usage ',' data ',' application ',' run out ',' unlimited ',' ']</v>
      </c>
      <c r="D451" s="3">
        <v>1.0</v>
      </c>
    </row>
    <row r="452" ht="15.75" customHeight="1">
      <c r="A452" s="1">
        <v>450.0</v>
      </c>
      <c r="B452" s="3" t="s">
        <v>453</v>
      </c>
      <c r="C452" s="3" t="str">
        <f>IFERROR(__xludf.DUMMYFUNCTION("GOOGLETRANSLATE(B452,""id"",""en"")"),"['WOI', 'Sinyal', 'Benerin', 'Provider', 'complained', 'Kisah', 'Customer', 'Uronsin', 'here', 'Sinya', 'Kouta', 'expensive', ' quality', '']")</f>
        <v>['WOI', 'Sinyal', 'Benerin', 'Provider', 'complained', 'Kisah', 'Customer', 'Uronsin', 'here', 'Sinya', 'Kouta', 'expensive', ' quality', '']</v>
      </c>
      <c r="D452" s="3">
        <v>1.0</v>
      </c>
    </row>
    <row r="453" ht="15.75" customHeight="1">
      <c r="A453" s="1">
        <v>451.0</v>
      </c>
      <c r="B453" s="3" t="s">
        <v>454</v>
      </c>
      <c r="C453" s="3" t="str">
        <f>IFERROR(__xludf.DUMMYFUNCTION("GOOGLETRANSLATE(B453,""id"",""en"")"),"['cave', 'buy', 'quota', 'game', 'expensive', 'expensive', 'bet', 'card', 'cave', 'buy', 'quota', 'game', ' Play ',' Game ',' Play ',' Game ',' Open ',' Gamenya ',' Card ',' ']")</f>
        <v>['cave', 'buy', 'quota', 'game', 'expensive', 'expensive', 'bet', 'card', 'cave', 'buy', 'quota', 'game', ' Play ',' Game ',' Play ',' Game ',' Open ',' Gamenya ',' Card ',' ']</v>
      </c>
      <c r="D453" s="3">
        <v>1.0</v>
      </c>
    </row>
    <row r="454" ht="15.75" customHeight="1">
      <c r="A454" s="1">
        <v>452.0</v>
      </c>
      <c r="B454" s="3" t="s">
        <v>455</v>
      </c>
      <c r="C454" s="3" t="str">
        <f>IFERROR(__xludf.DUMMYFUNCTION("GOOGLETRANSLATE(B454,""id"",""en"")"),"['Provider', 'worst', 'network', 'slow', 'quota', 'expensive', 'change', 'ngeecewain', 'customer', 'GBLK', ""]")</f>
        <v>['Provider', 'worst', 'network', 'slow', 'quota', 'expensive', 'change', 'ngeecewain', 'customer', 'GBLK', "]</v>
      </c>
      <c r="D454" s="3">
        <v>1.0</v>
      </c>
    </row>
    <row r="455" ht="15.75" customHeight="1">
      <c r="A455" s="1">
        <v>453.0</v>
      </c>
      <c r="B455" s="3" t="s">
        <v>456</v>
      </c>
      <c r="C455" s="3" t="str">
        <f>IFERROR(__xludf.DUMMYFUNCTION("GOOGLETRANSLATE(B455,""id"",""en"")"),"['sell', 'package', 'internet', 'expensive', 'expensive', 'network', 'internet', 'really', 'really', 'ugly', 'kompalin', 'bera', ' ',' times ',' change ',' network ',' condition ',' so, 'thank you']")</f>
        <v>['sell', 'package', 'internet', 'expensive', 'expensive', 'network', 'internet', 'really', 'really', 'ugly', 'kompalin', 'bera', ' ',' times ',' change ',' network ',' condition ',' so, 'thank you']</v>
      </c>
      <c r="D455" s="3">
        <v>1.0</v>
      </c>
    </row>
    <row r="456" ht="15.75" customHeight="1">
      <c r="A456" s="1">
        <v>454.0</v>
      </c>
      <c r="B456" s="3" t="s">
        <v>457</v>
      </c>
      <c r="C456" s="3" t="str">
        <f>IFERROR(__xludf.DUMMYFUNCTION("GOOGLETRANSLATE(B456,""id"",""en"")"),"['Telkomsel', 'cool', 'network', 'stable', 'down', 'rise', 'play', 'game', 'lag', 'package', 'data', 'add', ' expensive ',' UDH ',' TH ',' card ',' improvement ',' Males', 'Change', 'card', 'again', 'Woyy', 'comfortable', 'hurt', ""]")</f>
        <v>['Telkomsel', 'cool', 'network', 'stable', 'down', 'rise', 'play', 'game', 'lag', 'package', 'data', 'add', ' expensive ',' UDH ',' TH ',' card ',' improvement ',' Males', 'Change', 'card', 'again', 'Woyy', 'comfortable', 'hurt', "]</v>
      </c>
      <c r="D456" s="3">
        <v>1.0</v>
      </c>
    </row>
    <row r="457" ht="15.75" customHeight="1">
      <c r="A457" s="1">
        <v>455.0</v>
      </c>
      <c r="B457" s="3" t="s">
        <v>458</v>
      </c>
      <c r="C457" s="3" t="str">
        <f>IFERROR(__xludf.DUMMYFUNCTION("GOOGLETRANSLATE(B457,""id"",""en"")"),"['quota', 'free', 'open', 'application', 'sasmed', 'mya', 'really', 'already', 'lagin', 'really', 'quota', 'free', ' Sunday ',' love ',' star ',' ']")</f>
        <v>['quota', 'free', 'open', 'application', 'sasmed', 'mya', 'really', 'already', 'lagin', 'really', 'quota', 'free', ' Sunday ',' love ',' star ',' ']</v>
      </c>
      <c r="D457" s="3">
        <v>1.0</v>
      </c>
    </row>
    <row r="458" ht="15.75" customHeight="1">
      <c r="A458" s="1">
        <v>456.0</v>
      </c>
      <c r="B458" s="3" t="s">
        <v>459</v>
      </c>
      <c r="C458" s="3" t="str">
        <f>IFERROR(__xludf.DUMMYFUNCTION("GOOGLETRANSLATE(B458,""id"",""en"")"),"['Network', 'right', 'rain', 'smooth', 'really', 'dead', 'lights',' tetep ',' smooth ',' Jaya ',' go ',' remote ',' Afraid ',' Signal ',' missing ',' Kangen ',' Telkomsel ',' Telkomsel ',' Handy ',' Rain ',' little ',' Signal ',' Direct ',' Lost ',' Dead "&amp;"' , 'Lights', 'Mending', 'Change', 'Card', 'Ginimah', 'Cheap', 'Suggestions', 'Restore', 'Quality', 'Signal', 'Thanks', ""]")</f>
        <v>['Network', 'right', 'rain', 'smooth', 'really', 'dead', 'lights',' tetep ',' smooth ',' Jaya ',' go ',' remote ',' Afraid ',' Signal ',' missing ',' Kangen ',' Telkomsel ',' Telkomsel ',' Handy ',' Rain ',' little ',' Signal ',' Direct ',' Lost ',' Dead ' , 'Lights', 'Mending', 'Change', 'Card', 'Ginimah', 'Cheap', 'Suggestions', 'Restore', 'Quality', 'Signal', 'Thanks', "]</v>
      </c>
      <c r="D458" s="3">
        <v>1.0</v>
      </c>
    </row>
    <row r="459" ht="15.75" customHeight="1">
      <c r="A459" s="1">
        <v>457.0</v>
      </c>
      <c r="B459" s="3" t="s">
        <v>460</v>
      </c>
      <c r="C459" s="3" t="str">
        <f>IFERROR(__xludf.DUMMYFUNCTION("GOOGLETRANSLATE(B459,""id"",""en"")"),"['network', 'Telkomsel', 'slow', 'lose', 'provider', 'emotion', 'sophisticated', 'network', 'slow', 'slow', 'HP', 'service', ' Veronika ',' Application ',' Telkomsel ',' help ',' Please ',' correction ', ""]")</f>
        <v>['network', 'Telkomsel', 'slow', 'lose', 'provider', 'emotion', 'sophisticated', 'network', 'slow', 'slow', 'HP', 'service', ' Veronika ',' Application ',' Telkomsel ',' help ',' Please ',' correction ', "]</v>
      </c>
      <c r="D459" s="3">
        <v>1.0</v>
      </c>
    </row>
    <row r="460" ht="15.75" customHeight="1">
      <c r="A460" s="1">
        <v>458.0</v>
      </c>
      <c r="B460" s="3" t="s">
        <v>461</v>
      </c>
      <c r="C460" s="3" t="str">
        <f>IFERROR(__xludf.DUMMYFUNCTION("GOOGLETRANSLATE(B460,""id"",""en"")"),"['Provider', 'Gede', 'idiot', 'quota', 'network', 'slow', 'network', 'BUMN', 'network', 'abal', 'customer', 'blur', ' Addin ',' Provider ',' Description ',' Signal ',' Full ',' Browsing ',' Loading ',' Sampe ',' Chat ',' Veronika ',' Loading ',' Try ',' I"&amp;"nternet ' , 'Next', 'Current', 'Jaya', 'Hadehhhh', 'Really', 'Provider', 'Win', 'Name', 'Doang', 'Network', 'Minim', 'Disesel', ' Buy ',' quota ',' expensive ',' network ',' lol ',' fix ',' network ',' covers', 'securities',' deh ',' area ',' suburb ']")</f>
        <v>['Provider', 'Gede', 'idiot', 'quota', 'network', 'slow', 'network', 'BUMN', 'network', 'abal', 'customer', 'blur', ' Addin ',' Provider ',' Description ',' Signal ',' Full ',' Browsing ',' Loading ',' Sampe ',' Chat ',' Veronika ',' Loading ',' Try ',' Internet ' , 'Next', 'Current', 'Jaya', 'Hadehhhh', 'Really', 'Provider', 'Win', 'Name', 'Doang', 'Network', 'Minim', 'Disesel', ' Buy ',' quota ',' expensive ',' network ',' lol ',' fix ',' network ',' covers', 'securities',' deh ',' area ',' suburb ']</v>
      </c>
      <c r="D460" s="3">
        <v>1.0</v>
      </c>
    </row>
    <row r="461" ht="15.75" customHeight="1">
      <c r="A461" s="1">
        <v>459.0</v>
      </c>
      <c r="B461" s="3" t="s">
        <v>462</v>
      </c>
      <c r="C461" s="3" t="str">
        <f>IFERROR(__xludf.DUMMYFUNCTION("GOOGLETRANSLATE(B461,""id"",""en"")"),"['Gini', 'buy', 'unlimited', 'right', 'internet', 'local', 'gda', 'open', 'status',' whasapp ',' CMA ',' Chatan ',' rich ',' biasany ',' run out ',' open ',' tiktok ',' high school ',' status', 'whtsap', 'please', 'repress',' fix ',' love ',' star ' ]")</f>
        <v>['Gini', 'buy', 'unlimited', 'right', 'internet', 'local', 'gda', 'open', 'status',' whasapp ',' CMA ',' Chatan ',' rich ',' biasany ',' run out ',' open ',' tiktok ',' high school ',' status', 'whtsap', 'please', 'repress',' fix ',' love ',' star ' ]</v>
      </c>
      <c r="D461" s="3">
        <v>1.0</v>
      </c>
    </row>
    <row r="462" ht="15.75" customHeight="1">
      <c r="A462" s="1">
        <v>460.0</v>
      </c>
      <c r="B462" s="3" t="s">
        <v>463</v>
      </c>
      <c r="C462" s="3" t="str">
        <f>IFERROR(__xludf.DUMMYFUNCTION("GOOGLETRANSLATE(B462,""id"",""en"")"),"['times', 'package', 'emergency', 'active', 'mean', 'tricks', 'tricks', 'complain', 'finished', 'active', 'sucking']")</f>
        <v>['times', 'package', 'emergency', 'active', 'mean', 'tricks', 'tricks', 'complain', 'finished', 'active', 'sucking']</v>
      </c>
      <c r="D462" s="3">
        <v>1.0</v>
      </c>
    </row>
    <row r="463" ht="15.75" customHeight="1">
      <c r="A463" s="1">
        <v>461.0</v>
      </c>
      <c r="B463" s="3" t="s">
        <v>464</v>
      </c>
      <c r="C463" s="3" t="str">
        <f>IFERROR(__xludf.DUMMYFUNCTION("GOOGLETRANSLATE(B463,""id"",""en"")"),"['already', 'andelin', 'price', 'expensive', 'dapet', 'quality', 'price', 'expensive', 'quality', 'threat', 'difficult', 'connects',' signal ',' ilang ',' cook ',' yes', 'signal', 'Ealaaah', 'cuk', '']")</f>
        <v>['already', 'andelin', 'price', 'expensive', 'dapet', 'quality', 'price', 'expensive', 'quality', 'threat', 'difficult', 'connects',' signal ',' ilang ',' cook ',' yes', 'signal', 'Ealaaah', 'cuk', '']</v>
      </c>
      <c r="D463" s="3">
        <v>1.0</v>
      </c>
    </row>
    <row r="464" ht="15.75" customHeight="1">
      <c r="A464" s="1">
        <v>462.0</v>
      </c>
      <c r="B464" s="3" t="s">
        <v>465</v>
      </c>
      <c r="C464" s="3" t="str">
        <f>IFERROR(__xludf.DUMMYFUNCTION("GOOGLETRANSLATE(B464,""id"",""en"")"),"['', 'entry', 'sense', 'promotion', 'GB', 'price', 'success',' buy ',' package ',' enter ',' repeated ',' times', 'times ', 'disappointing', '']")</f>
        <v>['', 'entry', 'sense', 'promotion', 'GB', 'price', 'success',' buy ',' package ',' enter ',' repeated ',' times', 'times ', 'disappointing', '']</v>
      </c>
      <c r="D464" s="3">
        <v>1.0</v>
      </c>
    </row>
    <row r="465" ht="15.75" customHeight="1">
      <c r="A465" s="1">
        <v>463.0</v>
      </c>
      <c r="B465" s="3" t="s">
        <v>466</v>
      </c>
      <c r="C465" s="3" t="str">
        <f>IFERROR(__xludf.DUMMYFUNCTION("GOOGLETRANSLATE(B465,""id"",""en"")"),"['Please', 'Sorry', 'Love', 'Star', 'Karna', 'Package', 'Unlimited', 'Telkomsel', 'Asik', 'Package', 'Unlimited', 'Limit', ' Speed ​​',' Kbps', 'Yesterday', 'Kayak', 'That's',' Package ',' Unlimited ',' Restore ',' Telkomsel ',' Mummy ']")</f>
        <v>['Please', 'Sorry', 'Love', 'Star', 'Karna', 'Package', 'Unlimited', 'Telkomsel', 'Asik', 'Package', 'Unlimited', 'Limit', ' Speed ​​',' Kbps', 'Yesterday', 'Kayak', 'That's',' Package ',' Unlimited ',' Restore ',' Telkomsel ',' Mummy ']</v>
      </c>
      <c r="D465" s="3">
        <v>1.0</v>
      </c>
    </row>
    <row r="466" ht="15.75" customHeight="1">
      <c r="A466" s="1">
        <v>464.0</v>
      </c>
      <c r="B466" s="3" t="s">
        <v>467</v>
      </c>
      <c r="C466" s="3" t="str">
        <f>IFERROR(__xludf.DUMMYFUNCTION("GOOGLETRANSLATE(B466,""id"",""en"")"),"['', 'forgiveness',' already ',' Ahkir ',' bln ',' card ',' Telkomsel ',' Bener ',' Bener ',' emotion ',' list ',' package ',' data ',' Network ',' Kayak ',' Taik ',' Chicken ',' Honest ',' Disappointed ',' Min ', ""]")</f>
        <v>['', 'forgiveness',' already ',' Ahkir ',' bln ',' card ',' Telkomsel ',' Bener ',' Bener ',' emotion ',' list ',' package ',' data ',' Network ',' Kayak ',' Taik ',' Chicken ',' Honest ',' Disappointed ',' Min ', "]</v>
      </c>
      <c r="D466" s="3">
        <v>1.0</v>
      </c>
    </row>
    <row r="467" ht="15.75" customHeight="1">
      <c r="A467" s="1">
        <v>465.0</v>
      </c>
      <c r="B467" s="3" t="s">
        <v>468</v>
      </c>
      <c r="C467" s="3" t="str">
        <f>IFERROR(__xludf.DUMMYFUNCTION("GOOGLETRANSLATE(B467,""id"",""en"")"),"['Bener', 'complaints',' friend ',' user ',' laen ',' Telkomsel ',' quality ',' signal ',' data ',' experience ',' change ',' decrease ',' quality ',' slow ',' annoying ',' in one's', 'area', 'location', 'experiencing it', 'Telkomsel', 'ignore', 'complain"&amp;"ts',' user ',' proof ',' Telkomsel ' , 'abai', 'complaints', 'user', 'lack', 'increases', 'complaints', 'user', 'Please', 'corrected', 'Telkomsel', 'Thanks', ""]")</f>
        <v>['Bener', 'complaints',' friend ',' user ',' laen ',' Telkomsel ',' quality ',' signal ',' data ',' experience ',' change ',' decrease ',' quality ',' slow ',' annoying ',' in one's', 'area', 'location', 'experiencing it', 'Telkomsel', 'ignore', 'complaints',' user ',' proof ',' Telkomsel ' , 'abai', 'complaints', 'user', 'lack', 'increases', 'complaints', 'user', 'Please', 'corrected', 'Telkomsel', 'Thanks', "]</v>
      </c>
      <c r="D467" s="3">
        <v>2.0</v>
      </c>
    </row>
    <row r="468" ht="15.75" customHeight="1">
      <c r="A468" s="1">
        <v>466.0</v>
      </c>
      <c r="B468" s="3" t="s">
        <v>469</v>
      </c>
      <c r="C468" s="3" t="str">
        <f>IFERROR(__xludf.DUMMYFUNCTION("GOOGLETRANSLATE(B468,""id"",""en"")"),"['Bener', 'cave', 'users',' Telkomsel ',' seeking ',' heavy ',' signal ',' signal ',' down ',' detrimental ',' users', 'play', ' Game ',' Severe ',' ']")</f>
        <v>['Bener', 'cave', 'users',' Telkomsel ',' seeking ',' heavy ',' signal ',' signal ',' down ',' detrimental ',' users', 'play', ' Game ',' Severe ',' ']</v>
      </c>
      <c r="D468" s="3">
        <v>1.0</v>
      </c>
    </row>
    <row r="469" ht="15.75" customHeight="1">
      <c r="A469" s="1">
        <v>467.0</v>
      </c>
      <c r="B469" s="3" t="s">
        <v>470</v>
      </c>
      <c r="C469" s="3" t="str">
        <f>IFERROR(__xludf.DUMMYFUNCTION("GOOGLETRANSLATE(B469,""id"",""en"")"),"['Open', 'application', 'Loading', 'reset', 'name', 'application', 'like', 'gini', 'RAM', 'smooth', 'run', 'application', ' Please, 'Telkomsel', 'Latest', 'Application', 'Lose', 'Application', 'Brand', 'Please', 'Please', 'Responded', 'Thank you', ""]")</f>
        <v>['Open', 'application', 'Loading', 'reset', 'name', 'application', 'like', 'gini', 'RAM', 'smooth', 'run', 'application', ' Please, 'Telkomsel', 'Latest', 'Application', 'Lose', 'Application', 'Brand', 'Please', 'Please', 'Responded', 'Thank you', "]</v>
      </c>
      <c r="D469" s="3">
        <v>1.0</v>
      </c>
    </row>
    <row r="470" ht="15.75" customHeight="1">
      <c r="A470" s="1">
        <v>468.0</v>
      </c>
      <c r="B470" s="3" t="s">
        <v>471</v>
      </c>
      <c r="C470" s="3" t="str">
        <f>IFERROR(__xludf.DUMMYFUNCTION("GOOGLETRANSLATE(B470,""id"",""en"")"),"['easy', 'purchase', 'pulse', 'package', 'internet', 'moment', 'pulse', 'run out', 'package', 'internet', 'run out', 'easy' Buy ',' counter ',' outlet ',' pulse ',' package ',' internet ']")</f>
        <v>['easy', 'purchase', 'pulse', 'package', 'internet', 'moment', 'pulse', 'run out', 'package', 'internet', 'run out', 'easy' Buy ',' counter ',' outlet ',' pulse ',' package ',' internet ']</v>
      </c>
      <c r="D470" s="3">
        <v>5.0</v>
      </c>
    </row>
    <row r="471" ht="15.75" customHeight="1">
      <c r="A471" s="1">
        <v>469.0</v>
      </c>
      <c r="B471" s="3" t="s">
        <v>472</v>
      </c>
      <c r="C471" s="3" t="str">
        <f>IFERROR(__xludf.DUMMYFUNCTION("GOOGLETRANSLATE(B471,""id"",""en"")"),"['Please', 'Increase', 'Network', 'Stable', 'Network', 'APK', 'Like', 'Error', 'Opened', 'Pay', 'Package', 'Expensive', ' Quality ',' downhill ',' ']")</f>
        <v>['Please', 'Increase', 'Network', 'Stable', 'Network', 'APK', 'Like', 'Error', 'Opened', 'Pay', 'Package', 'Expensive', ' Quality ',' downhill ',' ']</v>
      </c>
      <c r="D471" s="3">
        <v>2.0</v>
      </c>
    </row>
    <row r="472" ht="15.75" customHeight="1">
      <c r="A472" s="1">
        <v>470.0</v>
      </c>
      <c r="B472" s="3" t="s">
        <v>473</v>
      </c>
      <c r="C472" s="3" t="str">
        <f>IFERROR(__xludf.DUMMYFUNCTION("GOOGLETRANSLATE(B472,""id"",""en"")"),"['application', 'Telkomsel', 'connection', 'good', 'appears',' writing ',' unstable ',' connection ',' click ',' refresh ',' click ',' refresh ',' Please ',' Telkomsel ',' Error ',' Fix ',' ']")</f>
        <v>['application', 'Telkomsel', 'connection', 'good', 'appears',' writing ',' unstable ',' connection ',' click ',' refresh ',' click ',' refresh ',' Please ',' Telkomsel ',' Error ',' Fix ',' ']</v>
      </c>
      <c r="D472" s="3">
        <v>1.0</v>
      </c>
    </row>
    <row r="473" ht="15.75" customHeight="1">
      <c r="A473" s="1">
        <v>471.0</v>
      </c>
      <c r="B473" s="3" t="s">
        <v>474</v>
      </c>
      <c r="C473" s="3" t="str">
        <f>IFERROR(__xludf.DUMMYFUNCTION("GOOGLETRANSLATE(B473,""id"",""en"")"),"['', 'Please', 'signal', 'area', 'Increase', 'network', 'LTE', 'LEG', 'VAUTION', 'Sometimes',' Auto ',' Move ',' Network ',' Please ',' Increase ',' Dongg ',' Please ',' Live ',' Kalimantan ',' Palangkaraya ',' Kec ',' Pahandut ',' pineapple ',' please ',"&amp;"' Telkomselll ', 'Increase', 'Provider', 'Setia', '']")</f>
        <v>['', 'Please', 'signal', 'area', 'Increase', 'network', 'LTE', 'LEG', 'VAUTION', 'Sometimes',' Auto ',' Move ',' Network ',' Please ',' Increase ',' Dongg ',' Please ',' Live ',' Kalimantan ',' Palangkaraya ',' Kec ',' Pahandut ',' pineapple ',' please ',' Telkomselll ', 'Increase', 'Provider', 'Setia', '']</v>
      </c>
      <c r="D473" s="3">
        <v>5.0</v>
      </c>
    </row>
    <row r="474" ht="15.75" customHeight="1">
      <c r="A474" s="1">
        <v>472.0</v>
      </c>
      <c r="B474" s="3" t="s">
        <v>475</v>
      </c>
      <c r="C474" s="3" t="str">
        <f>IFERROR(__xludf.DUMMYFUNCTION("GOOGLETRANSLATE(B474,""id"",""en"")"),"['sorry', 'love', 'star', 'because', 'times',' use ',' application ',' good ',' update ',' enter ',' application ',' appears', 'screen', 'white', 'please', 'help', 'telkomsel', 'already', 'entry', 'application', 'thanks',' ']")</f>
        <v>['sorry', 'love', 'star', 'because', 'times',' use ',' application ',' good ',' update ',' enter ',' application ',' appears', 'screen', 'white', 'please', 'help', 'telkomsel', 'already', 'entry', 'application', 'thanks',' ']</v>
      </c>
      <c r="D474" s="3">
        <v>3.0</v>
      </c>
    </row>
    <row r="475" ht="15.75" customHeight="1">
      <c r="A475" s="1">
        <v>473.0</v>
      </c>
      <c r="B475" s="3" t="s">
        <v>476</v>
      </c>
      <c r="C475" s="3" t="str">
        <f>IFERROR(__xludf.DUMMYFUNCTION("GOOGLETRANSLATE(B475,""id"",""en"")"),"['Telkomsel', 'Gini', 'Lecture', 'Zoom', 'Network', 'Good', 'Application', 'Package', 'Unlimited', 'Huftt' 'Huftt', 'Yesterday', ' like this', '']")</f>
        <v>['Telkomsel', 'Gini', 'Lecture', 'Zoom', 'Network', 'Good', 'Application', 'Package', 'Unlimited', 'Huftt' 'Huftt', 'Yesterday', ' like this', '']</v>
      </c>
      <c r="D475" s="3">
        <v>2.0</v>
      </c>
    </row>
    <row r="476" ht="15.75" customHeight="1">
      <c r="A476" s="1">
        <v>474.0</v>
      </c>
      <c r="B476" s="3" t="s">
        <v>477</v>
      </c>
      <c r="C476" s="3" t="str">
        <f>IFERROR(__xludf.DUMMYFUNCTION("GOOGLETRANSLATE(B476,""id"",""en"")"),"['Telkomsel', 'Severe', 'little', 'a little', 'disorder', 'check', 'quota', 'already', 'like', 'wait', 'mate', 'please', ' Fix ',' already ',' feel at home ',' use ',' Telkomsel ', ""]")</f>
        <v>['Telkomsel', 'Severe', 'little', 'a little', 'disorder', 'check', 'quota', 'already', 'like', 'wait', 'mate', 'please', ' Fix ',' already ',' feel at home ',' use ',' Telkomsel ', "]</v>
      </c>
      <c r="D476" s="3">
        <v>1.0</v>
      </c>
    </row>
    <row r="477" ht="15.75" customHeight="1">
      <c r="A477" s="1">
        <v>475.0</v>
      </c>
      <c r="B477" s="3" t="s">
        <v>478</v>
      </c>
      <c r="C477" s="3" t="str">
        <f>IFERROR(__xludf.DUMMYFUNCTION("GOOGLETRANSLATE(B477,""id"",""en"")"),"['suggestion', 'keep', 'name', 'company', 'Telkomsel', 'know', 'network', 'best', 'network', 'Telkomsel', 'ugly', 'play', ' Game ',' inhibits', 'the way', 'game', 'Please', 'improvement', 'network', 'Telkomsel', 'thank', 'love']")</f>
        <v>['suggestion', 'keep', 'name', 'company', 'Telkomsel', 'know', 'network', 'best', 'network', 'Telkomsel', 'ugly', 'play', ' Game ',' inhibits', 'the way', 'game', 'Please', 'improvement', 'network', 'Telkomsel', 'thank', 'love']</v>
      </c>
      <c r="D477" s="3">
        <v>1.0</v>
      </c>
    </row>
    <row r="478" ht="15.75" customHeight="1">
      <c r="A478" s="1">
        <v>476.0</v>
      </c>
      <c r="B478" s="3" t="s">
        <v>479</v>
      </c>
      <c r="C478" s="3" t="str">
        <f>IFERROR(__xludf.DUMMYFUNCTION("GOOGLETRANSLATE(B478,""id"",""en"")"),"['Network', 'ugly', 'price', 'package', 'data', 'price', 'package', 'mlm', 'normal', 'buy', 'change', 'telomsel', ' Change ',' Card ',' Telksel ',' How ',' Try ', ""]")</f>
        <v>['Network', 'ugly', 'price', 'package', 'data', 'price', 'package', 'mlm', 'normal', 'buy', 'change', 'telomsel', ' Change ',' Card ',' Telksel ',' How ',' Try ', "]</v>
      </c>
      <c r="D478" s="3">
        <v>1.0</v>
      </c>
    </row>
    <row r="479" ht="15.75" customHeight="1">
      <c r="A479" s="1">
        <v>477.0</v>
      </c>
      <c r="B479" s="3" t="s">
        <v>480</v>
      </c>
      <c r="C479" s="3" t="str">
        <f>IFERROR(__xludf.DUMMYFUNCTION("GOOGLETRANSLATE(B479,""id"",""en"")"),"['Really', 'disappointing', 'class',' Telkomsel ',' signal ',' stable ',' right ',' rain ',' signal ',' price ',' package ',' expensive ',' signal ',' kayak ']")</f>
        <v>['Really', 'disappointing', 'class',' Telkomsel ',' signal ',' stable ',' right ',' rain ',' signal ',' price ',' package ',' expensive ',' signal ',' kayak ']</v>
      </c>
      <c r="D479" s="3">
        <v>1.0</v>
      </c>
    </row>
    <row r="480" ht="15.75" customHeight="1">
      <c r="A480" s="1">
        <v>478.0</v>
      </c>
      <c r="B480" s="3" t="s">
        <v>481</v>
      </c>
      <c r="C480" s="3" t="str">
        <f>IFERROR(__xludf.DUMMYFUNCTION("GOOGLETRANSLATE(B480,""id"",""en"")"),"['Service', 'Network', 'Telkomsel', 'Satisfied', 'Rest', 'Credit', 'Reduced', 'Buy', 'Service', 'Package', 'Call', 'Package', ' Combo ',' OMG ',' Active ',' Receiving ',' Package ',' Internet ',' Quota ',' Ministry of Education and Culture ',' Fear ',' Fi"&amp;"lling ',' Credit ',' Subscriptions', 'Service' , 'Google', 'drive', 'Please', 'information', 'complement', 'deficiency', 'trimakasih', ""]")</f>
        <v>['Service', 'Network', 'Telkomsel', 'Satisfied', 'Rest', 'Credit', 'Reduced', 'Buy', 'Service', 'Package', 'Call', 'Package', ' Combo ',' OMG ',' Active ',' Receiving ',' Package ',' Internet ',' Quota ',' Ministry of Education and Culture ',' Fear ',' Filling ',' Credit ',' Subscriptions', 'Service' , 'Google', 'drive', 'Please', 'information', 'complement', 'deficiency', 'trimakasih', "]</v>
      </c>
      <c r="D480" s="3">
        <v>3.0</v>
      </c>
    </row>
    <row r="481" ht="15.75" customHeight="1">
      <c r="A481" s="1">
        <v>479.0</v>
      </c>
      <c r="B481" s="3" t="s">
        <v>482</v>
      </c>
      <c r="C481" s="3" t="str">
        <f>IFERROR(__xludf.DUMMYFUNCTION("GOOGLETRANSLATE(B481,""id"",""en"")"),"['card', 'first', 'package', 'for' sultan ',' network ',' as low as ',' price ',' girl ',' open ',' expensive ',' doang ',' Nggk ',' according to ',' network ',' weak ',' make ',' card ',' expensive ',' blood ',' doang ', ""]")</f>
        <v>['card', 'first', 'package', 'for' sultan ',' network ',' as low as ',' price ',' girl ',' open ',' expensive ',' doang ',' Nggk ',' according to ',' network ',' weak ',' make ',' card ',' expensive ',' blood ',' doang ', "]</v>
      </c>
      <c r="D481" s="3">
        <v>1.0</v>
      </c>
    </row>
    <row r="482" ht="15.75" customHeight="1">
      <c r="A482" s="1">
        <v>480.0</v>
      </c>
      <c r="B482" s="3" t="s">
        <v>483</v>
      </c>
      <c r="C482" s="3" t="str">
        <f>IFERROR(__xludf.DUMMYFUNCTION("GOOGLETRANSLATE(B482,""id"",""en"")"),"['complicated', 'use', 'application', 'contents',' package ',' data ',' Telkomsel ',' update ',' contents', 'e-mail', 'sells',' no ',' Use ',' Application ',' ']")</f>
        <v>['complicated', 'use', 'application', 'contents',' package ',' data ',' Telkomsel ',' update ',' contents', 'e-mail', 'sells',' no ',' Use ',' Application ',' ']</v>
      </c>
      <c r="D482" s="3">
        <v>1.0</v>
      </c>
    </row>
    <row r="483" ht="15.75" customHeight="1">
      <c r="A483" s="1">
        <v>481.0</v>
      </c>
      <c r="B483" s="3" t="s">
        <v>484</v>
      </c>
      <c r="C483" s="3" t="str">
        <f>IFERROR(__xludf.DUMMYFUNCTION("GOOGLETRANSLATE(B483,""id"",""en"")"),"['quota', 'unlimited', 'game', 'Maen', 'game', 'blackouts',' electricity ',' signal ',' Telkomsel ',' down ',' forest ',' wilderness', ' ']")</f>
        <v>['quota', 'unlimited', 'game', 'Maen', 'game', 'blackouts',' electricity ',' signal ',' Telkomsel ',' down ',' forest ',' wilderness', ' ']</v>
      </c>
      <c r="D483" s="3">
        <v>1.0</v>
      </c>
    </row>
    <row r="484" ht="15.75" customHeight="1">
      <c r="A484" s="1">
        <v>482.0</v>
      </c>
      <c r="B484" s="3" t="s">
        <v>485</v>
      </c>
      <c r="C484" s="3" t="str">
        <f>IFERROR(__xludf.DUMMYFUNCTION("GOOGLETRANSLATE(B484,""id"",""en"")"),"['please', 'fix', 'bug', 'package', 'data', 'card', 'packaged', 'sms',' notification ',' access', 'internet', 'tariff', ' Non ',' package ',' harmed ',' user ',' card ',' Telkomsel ',' ']")</f>
        <v>['please', 'fix', 'bug', 'package', 'data', 'card', 'packaged', 'sms',' notification ',' access', 'internet', 'tariff', ' Non ',' package ',' harmed ',' user ',' card ',' Telkomsel ',' ']</v>
      </c>
      <c r="D484" s="3">
        <v>2.0</v>
      </c>
    </row>
    <row r="485" ht="15.75" customHeight="1">
      <c r="A485" s="1">
        <v>483.0</v>
      </c>
      <c r="B485" s="3" t="s">
        <v>486</v>
      </c>
      <c r="C485" s="3" t="str">
        <f>IFERROR(__xludf.DUMMYFUNCTION("GOOGLETRANSLATE(B485,""id"",""en"")"),"['Please', 'Advertising', 'deleted', 'internet', 'card', 'fit', 'enter', 'link', 'task', 'appear', 'ad', 'Telkomsel', ' fitting ',' wifi ',' dimatiin ',' data ',' network ',' internet ',' cell phone ',' direct ',' ads', 'outside', 'search', 'wifi', 'inter"&amp;"rupted' , '']")</f>
        <v>['Please', 'Advertising', 'deleted', 'internet', 'card', 'fit', 'enter', 'link', 'task', 'appear', 'ad', 'Telkomsel', ' fitting ',' wifi ',' dimatiin ',' data ',' network ',' internet ',' cell phone ',' direct ',' ads', 'outside', 'search', 'wifi', 'interrupted' , '']</v>
      </c>
      <c r="D485" s="3">
        <v>2.0</v>
      </c>
    </row>
    <row r="486" ht="15.75" customHeight="1">
      <c r="A486" s="1">
        <v>484.0</v>
      </c>
      <c r="B486" s="3" t="s">
        <v>487</v>
      </c>
      <c r="C486" s="3" t="str">
        <f>IFERROR(__xludf.DUMMYFUNCTION("GOOGLETRANSLATE(B486,""id"",""en"")"),"['promo', 'Hut', 'price', 'Masi', 'cheap', 'price', 'minimal', 'provider', 'network', 'no', 'times',' play ',' Game ',' Must ',' Search ',' Good ',' Clock ',' Ngelag ',' Price ',' Package ',' Stability ',' The network ',' conditioned ',' expensive ']")</f>
        <v>['promo', 'Hut', 'price', 'Masi', 'cheap', 'price', 'minimal', 'provider', 'network', 'no', 'times',' play ',' Game ',' Must ',' Search ',' Good ',' Clock ',' Ngelag ',' Price ',' Package ',' Stability ',' The network ',' conditioned ',' expensive ']</v>
      </c>
      <c r="D486" s="3">
        <v>2.0</v>
      </c>
    </row>
    <row r="487" ht="15.75" customHeight="1">
      <c r="A487" s="1">
        <v>485.0</v>
      </c>
      <c r="B487" s="3" t="s">
        <v>488</v>
      </c>
      <c r="C487" s="3" t="str">
        <f>IFERROR(__xludf.DUMMYFUNCTION("GOOGLETRANSLATE(B487,""id"",""en"")"),"['Provider', 'GBLG', 'quota', 'apply', 'apply', 'to use', 'first', 'apply', 'marketing', 'gini', 'times']")</f>
        <v>['Provider', 'GBLG', 'quota', 'apply', 'apply', 'to use', 'first', 'apply', 'marketing', 'gini', 'times']</v>
      </c>
      <c r="D487" s="3">
        <v>1.0</v>
      </c>
    </row>
    <row r="488" ht="15.75" customHeight="1">
      <c r="A488" s="1">
        <v>486.0</v>
      </c>
      <c r="B488" s="3" t="s">
        <v>489</v>
      </c>
      <c r="C488" s="3" t="str">
        <f>IFERROR(__xludf.DUMMYFUNCTION("GOOGLETRANSLATE(B488,""id"",""en"")"),"['Harini', 'contents', 'plz', 'rb', 'buy', 'quota', 'to' whats ',' GB ',' tuk ',' price ',' rbuan ',' PKETDATA ',' opened ',' Direct ',' plznya ',' gradually ',' upstream ',' count ',' meniiittt ',' dpet ',' notification ',' quota ',' message ' , 'Well', "&amp;"'']")</f>
        <v>['Harini', 'contents', 'plz', 'rb', 'buy', 'quota', 'to' whats ',' GB ',' tuk ',' price ',' rbuan ',' PKETDATA ',' opened ',' Direct ',' plznya ',' gradually ',' upstream ',' count ',' meniiittt ',' dpet ',' notification ',' quota ',' message ' , 'Well', '']</v>
      </c>
      <c r="D488" s="3">
        <v>1.0</v>
      </c>
    </row>
    <row r="489" ht="15.75" customHeight="1">
      <c r="A489" s="1">
        <v>487.0</v>
      </c>
      <c r="B489" s="3" t="s">
        <v>490</v>
      </c>
      <c r="C489" s="3" t="str">
        <f>IFERROR(__xludf.DUMMYFUNCTION("GOOGLETRANSLATE(B489,""id"",""en"")"),"['Nyak', 'Politics',' Package ',' Card ',' Card ',' Sakti ',' Card ',' UBLIMITED ',' HEETING ',' Price ',' Package ',' Bnyak ',' shop ',' sell ',' card ',' price ',' nalar ',' consequently ',' politics', 'package', 'package', 'cheap', 'buy', 'card', 'nua'"&amp;" , 'expensive', 'settings', 'promo', 'different']")</f>
        <v>['Nyak', 'Politics',' Package ',' Card ',' Card ',' Sakti ',' Card ',' UBLIMITED ',' HEETING ',' Price ',' Package ',' Bnyak ',' shop ',' sell ',' card ',' price ',' nalar ',' consequently ',' politics', 'package', 'package', 'cheap', 'buy', 'card', 'nua' , 'expensive', 'settings', 'promo', 'different']</v>
      </c>
      <c r="D489" s="3">
        <v>1.0</v>
      </c>
    </row>
    <row r="490" ht="15.75" customHeight="1">
      <c r="A490" s="1">
        <v>488.0</v>
      </c>
      <c r="B490" s="3" t="s">
        <v>491</v>
      </c>
      <c r="C490" s="3" t="str">
        <f>IFERROR(__xludf.DUMMYFUNCTION("GOOGLETRANSLATE(B490,""id"",""en"")"),"['leftover', 'pulse', 'run out', 'fear', 'contents',' pulse ',' card ',' pulses', 'reduced', 'please', 'note', 'Telkomsel', ' make a loss', '']")</f>
        <v>['leftover', 'pulse', 'run out', 'fear', 'contents',' pulse ',' card ',' pulses', 'reduced', 'please', 'note', 'Telkomsel', ' make a loss', '']</v>
      </c>
      <c r="D490" s="3">
        <v>2.0</v>
      </c>
    </row>
    <row r="491" ht="15.75" customHeight="1">
      <c r="A491" s="1">
        <v>489.0</v>
      </c>
      <c r="B491" s="3" t="s">
        <v>492</v>
      </c>
      <c r="C491" s="3" t="str">
        <f>IFERROR(__xludf.DUMMYFUNCTION("GOOGLETRANSLATE(B491,""id"",""en"")"),"['Disappointed', 'Claim', 'Reward', 'Check', 'Daily', 'Gift', 'Quota', 'Successful', 'Considered', 'Quota', 'Bonus',' Log ',' Out ',' Log ',' ']")</f>
        <v>['Disappointed', 'Claim', 'Reward', 'Check', 'Daily', 'Gift', 'Quota', 'Successful', 'Considered', 'Quota', 'Bonus',' Log ',' Out ',' Log ',' ']</v>
      </c>
      <c r="D491" s="3">
        <v>3.0</v>
      </c>
    </row>
    <row r="492" ht="15.75" customHeight="1">
      <c r="A492" s="1">
        <v>490.0</v>
      </c>
      <c r="B492" s="3" t="s">
        <v>493</v>
      </c>
      <c r="C492" s="3" t="str">
        <f>IFERROR(__xludf.DUMMYFUNCTION("GOOGLETRANSLATE(B492,""id"",""en"")"),"['complaint', 'price', 'package', 'quota', 'quota', 'reduced', 'satisfied', 'service', 'Telkomsel', 'convenience', 'application', '']")</f>
        <v>['complaint', 'price', 'package', 'quota', 'quota', 'reduced', 'satisfied', 'service', 'Telkomsel', 'convenience', 'application', '']</v>
      </c>
      <c r="D492" s="3">
        <v>5.0</v>
      </c>
    </row>
    <row r="493" ht="15.75" customHeight="1">
      <c r="A493" s="1">
        <v>491.0</v>
      </c>
      <c r="B493" s="3" t="s">
        <v>494</v>
      </c>
      <c r="C493" s="3" t="str">
        <f>IFERROR(__xludf.DUMMYFUNCTION("GOOGLETRANSLATE(B493,""id"",""en"")"),"['Dikasi', 'Quality', 'Signal', 'Network', 'Application', 'Telkomsel', 'Heavy', 'Promo', 'Season', 'Program', 'Customer', 'Switch', ' Provider ',' ']")</f>
        <v>['Dikasi', 'Quality', 'Signal', 'Network', 'Application', 'Telkomsel', 'Heavy', 'Promo', 'Season', 'Program', 'Customer', 'Switch', ' Provider ',' ']</v>
      </c>
      <c r="D493" s="3">
        <v>1.0</v>
      </c>
    </row>
    <row r="494" ht="15.75" customHeight="1">
      <c r="A494" s="1">
        <v>492.0</v>
      </c>
      <c r="B494" s="3" t="s">
        <v>495</v>
      </c>
      <c r="C494" s="3" t="str">
        <f>IFERROR(__xludf.DUMMYFUNCTION("GOOGLETRANSLATE(B494,""id"",""en"")"),"['unlimeted', 'buy', 'package', 'mhal', 'see', 'status', 'suuuuuuussaaaahhhhhhh', 'disappointed', '']")</f>
        <v>['unlimeted', 'buy', 'package', 'mhal', 'see', 'status', 'suuuuuuussaaaahhhhhhh', 'disappointed', '']</v>
      </c>
      <c r="D494" s="3">
        <v>1.0</v>
      </c>
    </row>
    <row r="495" ht="15.75" customHeight="1">
      <c r="A495" s="1">
        <v>493.0</v>
      </c>
      <c r="B495" s="3" t="s">
        <v>496</v>
      </c>
      <c r="C495" s="3" t="str">
        <f>IFERROR(__xludf.DUMMYFUNCTION("GOOGLETRANSLATE(B495,""id"",""en"")"),"['', 'Application', 'Telkomsel', 'UDH', 'buy', 'package', 'success',' right ',' Turn on ',' Data ',' check ',' quota ',' pulsa ',' truncated ',' application ',' cheater ',' ']")</f>
        <v>['', 'Application', 'Telkomsel', 'UDH', 'buy', 'package', 'success',' right ',' Turn on ',' Data ',' check ',' quota ',' pulsa ',' truncated ',' application ',' cheater ',' ']</v>
      </c>
      <c r="D495" s="3">
        <v>1.0</v>
      </c>
    </row>
    <row r="496" ht="15.75" customHeight="1">
      <c r="A496" s="1">
        <v>494.0</v>
      </c>
      <c r="B496" s="3" t="s">
        <v>497</v>
      </c>
      <c r="C496" s="3" t="str">
        <f>IFERROR(__xludf.DUMMYFUNCTION("GOOGLETRANSLATE(B496,""id"",""en"")"),"['application', 'open', 'application', 'difficult', 'cook', 'network', 'internet', 'smooth', 'said', 'connection', 'stable', 'application', ' Dilapidated ',' ']")</f>
        <v>['application', 'open', 'application', 'difficult', 'cook', 'network', 'internet', 'smooth', 'said', 'connection', 'stable', 'application', ' Dilapidated ',' ']</v>
      </c>
      <c r="D496" s="3">
        <v>1.0</v>
      </c>
    </row>
    <row r="497" ht="15.75" customHeight="1">
      <c r="A497" s="1">
        <v>495.0</v>
      </c>
      <c r="B497" s="3" t="s">
        <v>498</v>
      </c>
      <c r="C497" s="3" t="str">
        <f>IFERROR(__xludf.DUMMYFUNCTION("GOOGLETRANSLATE(B497,""id"",""en"")"),"['Good', 'TPI', 'Gift', 'Redeem', 'Dri', 'Telkomsel', 'Credit', 'Mobile', 'Dream', 'Motor', 'Car', 'Thanks']")</f>
        <v>['Good', 'TPI', 'Gift', 'Redeem', 'Dri', 'Telkomsel', 'Credit', 'Mobile', 'Dream', 'Motor', 'Car', 'Thanks']</v>
      </c>
      <c r="D497" s="3">
        <v>5.0</v>
      </c>
    </row>
    <row r="498" ht="15.75" customHeight="1">
      <c r="A498" s="1">
        <v>496.0</v>
      </c>
      <c r="B498" s="3" t="s">
        <v>499</v>
      </c>
      <c r="C498" s="3" t="str">
        <f>IFERROR(__xludf.DUMMYFUNCTION("GOOGLETRANSLATE(B498,""id"",""en"")"),"['I', 'ISI', 'Credit', 'I', 'Activein', 'Package', 'Cheerful', 'Application', 'Telkomsel', 'Buy', 'Order', 'Confirmed', ' Internet ',' Taunya ',' Internet ',' Credit ',' Instant ',' Out ',' Buy ',' Package ',' Enter ']")</f>
        <v>['I', 'ISI', 'Credit', 'I', 'Activein', 'Package', 'Cheerful', 'Application', 'Telkomsel', 'Buy', 'Order', 'Confirmed', ' Internet ',' Taunya ',' Internet ',' Credit ',' Instant ',' Out ',' Buy ',' Package ',' Enter ']</v>
      </c>
      <c r="D498" s="3">
        <v>1.0</v>
      </c>
    </row>
    <row r="499" ht="15.75" customHeight="1">
      <c r="A499" s="1">
        <v>497.0</v>
      </c>
      <c r="B499" s="3" t="s">
        <v>500</v>
      </c>
      <c r="C499" s="3" t="str">
        <f>IFERROR(__xludf.DUMMYFUNCTION("GOOGLETRANSLATE(B499,""id"",""en"")"),"['Russy', 'buy', 'Paketan', 'Gamemax', 'Telkomsel', 'Kirain', 'Delicious',' Main ',' Game ',' Dipelek ',' Ping ',' Red ',' Want ',' Telkomsel ',' Nie ',' intention ',' economical ',' loss', 'intention', 'search', 'entertainment', 'play', 'game', 'emotion'"&amp;", 'Please' , 'Help', 'Telkomsel', 'UDH', 'Buy', 'Gamemax', 'Price', 'RB', 'Play', 'Game', 'Mendelek', 'Please', 'Benerin', ' ']")</f>
        <v>['Russy', 'buy', 'Paketan', 'Gamemax', 'Telkomsel', 'Kirain', 'Delicious',' Main ',' Game ',' Dipelek ',' Ping ',' Red ',' Want ',' Telkomsel ',' Nie ',' intention ',' economical ',' loss', 'intention', 'search', 'entertainment', 'play', 'game', 'emotion', 'Please' , 'Help', 'Telkomsel', 'UDH', 'Buy', 'Gamemax', 'Price', 'RB', 'Play', 'Game', 'Mendelek', 'Please', 'Benerin', ' ']</v>
      </c>
      <c r="D499" s="3">
        <v>1.0</v>
      </c>
    </row>
    <row r="500" ht="15.75" customHeight="1">
      <c r="A500" s="1">
        <v>498.0</v>
      </c>
      <c r="B500" s="3" t="s">
        <v>501</v>
      </c>
      <c r="C500" s="3" t="str">
        <f>IFERROR(__xludf.DUMMYFUNCTION("GOOGLETRANSLATE(B500,""id"",""en"")"),"['application', 'cringe', 'right', 'buy', 'package', 'error', 'network', 'good', 'udh', 'package', 'expensive', 'card', ' Promo ',' friend ',' buy ',' pulse ',' really ',' disappointing ',' extra ',' play ',' game ',' network ',' down ',' udh ',' expensiv"&amp;"e ' , 'bad']")</f>
        <v>['application', 'cringe', 'right', 'buy', 'package', 'error', 'network', 'good', 'udh', 'package', 'expensive', 'card', ' Promo ',' friend ',' buy ',' pulse ',' really ',' disappointing ',' extra ',' play ',' game ',' network ',' down ',' udh ',' expensive ' , 'bad']</v>
      </c>
      <c r="D500" s="3">
        <v>1.0</v>
      </c>
    </row>
    <row r="501" ht="15.75" customHeight="1">
      <c r="A501" s="1">
        <v>499.0</v>
      </c>
      <c r="B501" s="3" t="s">
        <v>502</v>
      </c>
      <c r="C501" s="3" t="str">
        <f>IFERROR(__xludf.DUMMYFUNCTION("GOOGLETRANSLATE(B501,""id"",""en"")"),"['', 'love', 'star', '']")</f>
        <v>['', 'love', 'star', '']</v>
      </c>
      <c r="D501" s="3">
        <v>5.0</v>
      </c>
    </row>
    <row r="502" ht="15.75" customHeight="1">
      <c r="A502" s="1">
        <v>500.0</v>
      </c>
      <c r="B502" s="3" t="s">
        <v>503</v>
      </c>
      <c r="C502" s="3" t="str">
        <f>IFERROR(__xludf.DUMMYFUNCTION("GOOGLETRANSLATE(B502,""id"",""en"")"),"['Telkomsel', 'kek', 'taeeekk', 'expensive', 'mending', 'signal', 'good', 'uda', 'expensive', 'kek', 'taeeek', 'signal', ' NGAPAIN ',' Package ',' Unlimited ',' usage ',' TTP ',' Limited ',' Card ',' Different ',' Package ',' Card ',' Card ',' Bener ',' T"&amp;"aeek ' , 'Telomsel', 'uda', 'Langgann', 'bln', 'unlimited', 'annoyed', 'package', 'unlimited', 'JLS', 'USA', 'MSH', 'restricted', ' It's usage ',' Taeeeekkk ',' ']")</f>
        <v>['Telkomsel', 'kek', 'taeeekk', 'expensive', 'mending', 'signal', 'good', 'uda', 'expensive', 'kek', 'taeeek', 'signal', ' NGAPAIN ',' Package ',' Unlimited ',' usage ',' TTP ',' Limited ',' Card ',' Different ',' Package ',' Card ',' Card ',' Bener ',' Taeek ' , 'Telomsel', 'uda', 'Langgann', 'bln', 'unlimited', 'annoyed', 'package', 'unlimited', 'JLS', 'USA', 'MSH', 'restricted', ' It's usage ',' Taeeeekkk ',' ']</v>
      </c>
      <c r="D502" s="3">
        <v>1.0</v>
      </c>
    </row>
    <row r="503" ht="15.75" customHeight="1">
      <c r="A503" s="1">
        <v>501.0</v>
      </c>
      <c r="B503" s="3" t="s">
        <v>504</v>
      </c>
      <c r="C503" s="3" t="str">
        <f>IFERROR(__xludf.DUMMYFUNCTION("GOOGLETRANSLATE(B503,""id"",""en"")"),"['Please', 'in the past', 'pandemic', 'price', 'package', 'conditioned', 'lightening', 'package', 'type', 'darling', 'my place', 'network', ' I left ',' name ',' Telkomsel ']")</f>
        <v>['Please', 'in the past', 'pandemic', 'price', 'package', 'conditioned', 'lightening', 'package', 'type', 'darling', 'my place', 'network', ' I left ',' name ',' Telkomsel ']</v>
      </c>
      <c r="D503" s="3">
        <v>1.0</v>
      </c>
    </row>
    <row r="504" ht="15.75" customHeight="1">
      <c r="A504" s="1">
        <v>502.0</v>
      </c>
      <c r="B504" s="3" t="s">
        <v>505</v>
      </c>
      <c r="C504" s="3" t="str">
        <f>IFERROR(__xludf.DUMMYFUNCTION("GOOGLETRANSLATE(B504,""id"",""en"")"),"['application', 'enter', 'information', 'connection', 'stable', 'open', 'youtube', 'smooth', 'turn', 'loading', 'tip', ""]")</f>
        <v>['application', 'enter', 'information', 'connection', 'stable', 'open', 'youtube', 'smooth', 'turn', 'loading', 'tip', "]</v>
      </c>
      <c r="D504" s="3">
        <v>1.0</v>
      </c>
    </row>
    <row r="505" ht="15.75" customHeight="1">
      <c r="A505" s="1">
        <v>503.0</v>
      </c>
      <c r="B505" s="3" t="s">
        <v>506</v>
      </c>
      <c r="C505" s="3" t="str">
        <f>IFERROR(__xludf.DUMMYFUNCTION("GOOGLETRANSLATE(B505,""id"",""en"")"),"['Package', 'combo', 'unlimited', 'apk', 'expensive', 'friend', 'cheap', 'emg', 'friend', 'udh', 'make', 'times',' Hopefully ',' Located ',' Pemue ',' The rest ',' tasty ',' Thankkasi ',' Telkomsel ']")</f>
        <v>['Package', 'combo', 'unlimited', 'apk', 'expensive', 'friend', 'cheap', 'emg', 'friend', 'udh', 'make', 'times',' Hopefully ',' Located ',' Pemue ',' The rest ',' tasty ',' Thankkasi ',' Telkomsel ']</v>
      </c>
      <c r="D505" s="3">
        <v>4.0</v>
      </c>
    </row>
    <row r="506" ht="15.75" customHeight="1">
      <c r="A506" s="1">
        <v>504.0</v>
      </c>
      <c r="B506" s="3" t="s">
        <v>507</v>
      </c>
      <c r="C506" s="3" t="str">
        <f>IFERROR(__xludf.DUMMYFUNCTION("GOOGLETRANSLATE(B506,""id"",""en"")"),"['Hey', 'Telkomsel', 'oath', 'Telkomsel', 'Ngadi', 'already', 'network', 'package', 'expensive', 'Nge', 'claim', 'right', ' Nge ',' claims', 'prizes',' mala ',' package ',' times', 'disappointed', 'really', '']")</f>
        <v>['Hey', 'Telkomsel', 'oath', 'Telkomsel', 'Ngadi', 'already', 'network', 'package', 'expensive', 'Nge', 'claim', 'right', ' Nge ',' claims', 'prizes',' mala ',' package ',' times', 'disappointed', 'really', '']</v>
      </c>
      <c r="D506" s="3">
        <v>2.0</v>
      </c>
    </row>
    <row r="507" ht="15.75" customHeight="1">
      <c r="A507" s="1">
        <v>505.0</v>
      </c>
      <c r="B507" s="3" t="s">
        <v>508</v>
      </c>
      <c r="C507" s="3" t="str">
        <f>IFERROR(__xludf.DUMMYFUNCTION("GOOGLETRANSLATE(B507,""id"",""en"")"),"['Disappointed', 'Quality', 'Network', 'UDH', 'Kyk', 'Telkomsel', 'Known', 'Price', 'Expensive', 'TPI', 'Network', 'plg', ' good ',' skrng ',' price ',' quality ',' network ',' ugly ',' severe ',' maen ',' telponan ',' skrng ',' connect ',' quota ',' unli"&amp;"mited ' , 'Useful', 'Network', 'regret', 'buy', 'quota', 'Telkomsel', 'move', 'skrng', 'make', 'telkomsel', 'travel', 'calm', ' Please, 'repaired', 'TRS', 'Moving', 'Provider', 'Raying', 'Make', 'Telkomsel', 'Thank you', ""]")</f>
        <v>['Disappointed', 'Quality', 'Network', 'UDH', 'Kyk', 'Telkomsel', 'Known', 'Price', 'Expensive', 'TPI', 'Network', 'plg', ' good ',' skrng ',' price ',' quality ',' network ',' ugly ',' severe ',' maen ',' telponan ',' skrng ',' connect ',' quota ',' unlimited ' , 'Useful', 'Network', 'regret', 'buy', 'quota', 'Telkomsel', 'move', 'skrng', 'make', 'telkomsel', 'travel', 'calm', ' Please, 'repaired', 'TRS', 'Moving', 'Provider', 'Raying', 'Make', 'Telkomsel', 'Thank you', "]</v>
      </c>
      <c r="D507" s="3">
        <v>1.0</v>
      </c>
    </row>
    <row r="508" ht="15.75" customHeight="1">
      <c r="A508" s="1">
        <v>506.0</v>
      </c>
      <c r="B508" s="3" t="s">
        <v>509</v>
      </c>
      <c r="C508" s="3" t="str">
        <f>IFERROR(__xludf.DUMMYFUNCTION("GOOGLETRANSLATE(B508,""id"",""en"")"),"['knpa', 'buy', 'quota', 'youtube', 'pull out', 'quota', 'internet', 'watch', 'youtube', 'quota', 'youtube', 'utuh', ' truss', 'quota', 'internet', 'abiss',' vain ',' buy ']")</f>
        <v>['knpa', 'buy', 'quota', 'youtube', 'pull out', 'quota', 'internet', 'watch', 'youtube', 'quota', 'youtube', 'utuh', ' truss', 'quota', 'internet', 'abiss',' vain ',' buy ']</v>
      </c>
      <c r="D508" s="3">
        <v>3.0</v>
      </c>
    </row>
    <row r="509" ht="15.75" customHeight="1">
      <c r="A509" s="1">
        <v>507.0</v>
      </c>
      <c r="B509" s="3" t="s">
        <v>510</v>
      </c>
      <c r="C509" s="3" t="str">
        <f>IFERROR(__xludf.DUMMYFUNCTION("GOOGLETRANSLATE(B509,""id"",""en"")"),"['here', 'KOQ', 'signal', 'ugly', 'Telkomsel', 'Different', 'night', 'difficult', 'really', 'open', 'Tiktok', 'loading', ' Then ',' noon ', ""]")</f>
        <v>['here', 'KOQ', 'signal', 'ugly', 'Telkomsel', 'Different', 'night', 'difficult', 'really', 'open', 'Tiktok', 'loading', ' Then ',' noon ', "]</v>
      </c>
      <c r="D509" s="3">
        <v>1.0</v>
      </c>
    </row>
    <row r="510" ht="15.75" customHeight="1">
      <c r="A510" s="1">
        <v>508.0</v>
      </c>
      <c r="B510" s="3" t="s">
        <v>511</v>
      </c>
      <c r="C510" s="3" t="str">
        <f>IFERROR(__xludf.DUMMYFUNCTION("GOOGLETRANSLATE(B510,""id"",""en"")"),"['Please', 'Developer', 'Application', 'Telkomsel', 'Open', 'APL', 'Constrained', 'Loading', 'Failed', 'Enter', ""]")</f>
        <v>['Please', 'Developer', 'Application', 'Telkomsel', 'Open', 'APL', 'Constrained', 'Loading', 'Failed', 'Enter', "]</v>
      </c>
      <c r="D510" s="3">
        <v>1.0</v>
      </c>
    </row>
    <row r="511" ht="15.75" customHeight="1">
      <c r="A511" s="1">
        <v>509.0</v>
      </c>
      <c r="B511" s="3" t="s">
        <v>512</v>
      </c>
      <c r="C511" s="3" t="str">
        <f>IFERROR(__xludf.DUMMYFUNCTION("GOOGLETRANSLATE(B511,""id"",""en"")"),"['ask', 'buy', 'package', 'night', 'hour', 'buy', 'package', 'internet', 'night', 'rb', 'GB', 'use', ' Buy ',' a minute ',' Notif ',' access', 'internet', 'rates',' non ',' package ',' package ',' internet ',' used ',' the last ',' ']")</f>
        <v>['ask', 'buy', 'package', 'night', 'hour', 'buy', 'package', 'internet', 'night', 'rb', 'GB', 'use', ' Buy ',' a minute ',' Notif ',' access', 'internet', 'rates',' non ',' package ',' package ',' internet ',' used ',' the last ',' ']</v>
      </c>
      <c r="D511" s="3">
        <v>1.0</v>
      </c>
    </row>
    <row r="512" ht="15.75" customHeight="1">
      <c r="A512" s="1">
        <v>510.0</v>
      </c>
      <c r="B512" s="3" t="s">
        <v>513</v>
      </c>
      <c r="C512" s="3" t="str">
        <f>IFERROR(__xludf.DUMMYFUNCTION("GOOGLETRANSLATE(B512,""id"",""en"")"),"['Nyeselllllll', 'Bet', 'buy', 'Paketan', 'Telkomsel', 'Want', 'Patah', 'Patahin', 'card', 'slow', 'slow', 'Loading', ' continued ',' speed ',' network ',' stump ',' kbps', 'regret', 'kapokkkkkk', 'kaga', 'kaga', 'kaga', 'kaga', 'bli', 'paketan' , 'unlimi"&amp;"ted', 'GB', 'my computer', 'rich', 'kaga', 'my computer', 'slow', 'bngtttt', 'telkomsel', 'udh', 'threat', 'until' root ',' root ',' kapok ',' original ',' moved ',' operator ',' laen ',' kaga ',' danta ',' udh ',' telkom ', ""]")</f>
        <v>['Nyeselllllll', 'Bet', 'buy', 'Paketan', 'Telkomsel', 'Want', 'Patah', 'Patahin', 'card', 'slow', 'slow', 'Loading', ' continued ',' speed ',' network ',' stump ',' kbps', 'regret', 'kapokkkkkk', 'kaga', 'kaga', 'kaga', 'kaga', 'bli', 'paketan' , 'unlimited', 'GB', 'my computer', 'rich', 'kaga', 'my computer', 'slow', 'bngtttt', 'telkomsel', 'udh', 'threat', 'until' root ',' root ',' kapok ',' original ',' moved ',' operator ',' laen ',' kaga ',' danta ',' udh ',' telkom ', "]</v>
      </c>
      <c r="D512" s="3">
        <v>1.0</v>
      </c>
    </row>
    <row r="513" ht="15.75" customHeight="1">
      <c r="A513" s="1">
        <v>511.0</v>
      </c>
      <c r="B513" s="3" t="s">
        <v>514</v>
      </c>
      <c r="C513" s="3" t="str">
        <f>IFERROR(__xludf.DUMMYFUNCTION("GOOGLETRANSLATE(B513,""id"",""en"")"),"['Telkomsel', 'fraud', 'buy', 'package', 'gamemax', 'play', 'game', 'lied to', 'returned', 'minimal', 'use', 'play', ' Game ',' spend ',' fraud ',' telkom ']")</f>
        <v>['Telkomsel', 'fraud', 'buy', 'package', 'gamemax', 'play', 'game', 'lied to', 'returned', 'minimal', 'use', 'play', ' Game ',' spend ',' fraud ',' telkom ']</v>
      </c>
      <c r="D513" s="3">
        <v>1.0</v>
      </c>
    </row>
    <row r="514" ht="15.75" customHeight="1">
      <c r="A514" s="1">
        <v>512.0</v>
      </c>
      <c r="B514" s="3" t="s">
        <v>515</v>
      </c>
      <c r="C514" s="3" t="str">
        <f>IFERROR(__xludf.DUMMYFUNCTION("GOOGLETRANSLATE(B514,""id"",""en"")"),"['Application', 'Telkomsel', 'Wilaya', 'Kec', 'Mandiangin', 'Kab', 'Sarolangun', 'Jambi', 'Difficult', 'Access',' every time ',' Enter ',' application ',' ']")</f>
        <v>['Application', 'Telkomsel', 'Wilaya', 'Kec', 'Mandiangin', 'Kab', 'Sarolangun', 'Jambi', 'Difficult', 'Access',' every time ',' Enter ',' application ',' ']</v>
      </c>
      <c r="D514" s="3">
        <v>5.0</v>
      </c>
    </row>
    <row r="515" ht="15.75" customHeight="1">
      <c r="A515" s="1">
        <v>513.0</v>
      </c>
      <c r="B515" s="3" t="s">
        <v>516</v>
      </c>
      <c r="C515" s="3" t="str">
        <f>IFERROR(__xludf.DUMMYFUNCTION("GOOGLETRANSLATE(B515,""id"",""en"")"),"['Application', 'Disight', 'People', 'People', 'Telkomsel', 'Expensive', 'Doang', 'Network', 'Bad', 'Ancur', 'Orng', 'People', ' Download ',' Application ',' Most ',' Disappointed ',' Operator ',' Telkomsel ',' Just ',' Sorry ',' MAF ',' DNG ',' Fix ',' S"&amp;"evere ',' Ajh ' , 'Direct', 'Fix', 'Jngn', 'Most', 'Sorry', 'Ngerni', 'Operatos', 'Telkomsel']")</f>
        <v>['Application', 'Disight', 'People', 'People', 'Telkomsel', 'Expensive', 'Doang', 'Network', 'Bad', 'Ancur', 'Orng', 'People', ' Download ',' Application ',' Most ',' Disappointed ',' Operator ',' Telkomsel ',' Just ',' Sorry ',' MAF ',' DNG ',' Fix ',' Severe ',' Ajh ' , 'Direct', 'Fix', 'Jngn', 'Most', 'Sorry', 'Ngerni', 'Operatos', 'Telkomsel']</v>
      </c>
      <c r="D515" s="3">
        <v>1.0</v>
      </c>
    </row>
    <row r="516" ht="15.75" customHeight="1">
      <c r="A516" s="1">
        <v>514.0</v>
      </c>
      <c r="B516" s="3" t="s">
        <v>517</v>
      </c>
      <c r="C516" s="3" t="str">
        <f>IFERROR(__xludf.DUMMYFUNCTION("GOOGLETRANSLATE(B516,""id"",""en"")"),"['Hello', 'Telkomsel', 'KNPA', 'network', 'slow', 'bngt', 'package', 'GB', 'please', 'min', 'repaired', 'user', ' Telkomsel ',' disappointed ',' so ',' thank you ']")</f>
        <v>['Hello', 'Telkomsel', 'KNPA', 'network', 'slow', 'bngt', 'package', 'GB', 'please', 'min', 'repaired', 'user', ' Telkomsel ',' disappointed ',' so ',' thank you ']</v>
      </c>
      <c r="D516" s="3">
        <v>1.0</v>
      </c>
    </row>
    <row r="517" ht="15.75" customHeight="1">
      <c r="A517" s="1">
        <v>515.0</v>
      </c>
      <c r="B517" s="3" t="s">
        <v>518</v>
      </c>
      <c r="C517" s="3" t="str">
        <f>IFERROR(__xludf.DUMMYFUNCTION("GOOGLETRANSLATE(B517,""id"",""en"")"),"['update', 'program', 'daily', 'check', 'check', 'corruption', 'accelerated', 'quota', 'GB', 'deliberate', 'eliminated', ""]")</f>
        <v>['update', 'program', 'daily', 'check', 'check', 'corruption', 'accelerated', 'quota', 'GB', 'deliberate', 'eliminated', "]</v>
      </c>
      <c r="D517" s="3">
        <v>1.0</v>
      </c>
    </row>
    <row r="518" ht="15.75" customHeight="1">
      <c r="A518" s="1">
        <v>516.0</v>
      </c>
      <c r="B518" s="3" t="s">
        <v>519</v>
      </c>
      <c r="C518" s="3" t="str">
        <f>IFERROR(__xludf.DUMMYFUNCTION("GOOGLETRANSLATE(B518,""id"",""en"")"),"['Telkomsel', 'here', 'slow', 'Kya', 'network', 'tri', 'udh', 'package', 'data', 'package', 'write', 'price', ' discounts', 'Normal', 'BLI', 'Package', 'APK', 'Price', 'Normal', 'Discount', 'In', 'Halu', 'Baget', 'Kya', 'Lucinta' , 'Luna', 'network', 'kya"&amp;"', 'mending', 'use', 'kenceng', 'cheap', 'expensive', 'donk', 'sinya', 'good', 'abal', ' improve ',' Donk ',' disappointed ',' spent ',' pulses', 'ane', 'costmer', 'service', 'friendly', 'sekli', ""]")</f>
        <v>['Telkomsel', 'here', 'slow', 'Kya', 'network', 'tri', 'udh', 'package', 'data', 'package', 'write', 'price', ' discounts', 'Normal', 'BLI', 'Package', 'APK', 'Price', 'Normal', 'Discount', 'In', 'Halu', 'Baget', 'Kya', 'Lucinta' , 'Luna', 'network', 'kya', 'mending', 'use', 'kenceng', 'cheap', 'expensive', 'donk', 'sinya', 'good', 'abal', ' improve ',' Donk ',' disappointed ',' spent ',' pulses', 'ane', 'costmer', 'service', 'friendly', 'sekli', "]</v>
      </c>
      <c r="D518" s="3">
        <v>1.0</v>
      </c>
    </row>
    <row r="519" ht="15.75" customHeight="1">
      <c r="A519" s="1">
        <v>517.0</v>
      </c>
      <c r="B519" s="3" t="s">
        <v>520</v>
      </c>
      <c r="C519" s="3" t="str">
        <f>IFERROR(__xludf.DUMMYFUNCTION("GOOGLETRANSLATE(B519,""id"",""en"")"),"['Knp', 'Region', 'Code', 'Post', 'Network', 'Telkomsel', 'Bad', 'Region', 'Disturbed', 'Network', 'Indosat', 'Karn', ' Office ',' Network ',' Indosat ',' ']")</f>
        <v>['Knp', 'Region', 'Code', 'Post', 'Network', 'Telkomsel', 'Bad', 'Region', 'Disturbed', 'Network', 'Indosat', 'Karn', ' Office ',' Network ',' Indosat ',' ']</v>
      </c>
      <c r="D519" s="3">
        <v>5.0</v>
      </c>
    </row>
    <row r="520" ht="15.75" customHeight="1">
      <c r="A520" s="1">
        <v>518.0</v>
      </c>
      <c r="B520" s="3" t="s">
        <v>521</v>
      </c>
      <c r="C520" s="3" t="str">
        <f>IFERROR(__xludf.DUMMYFUNCTION("GOOGLETRANSLATE(B520,""id"",""en"")"),"['easy', 'buy', 'package', 'pulse', 'easy', 'in the area', 'signal', 'in the area', 'signal', 'cheic', 'easy', 'policy', ' Telkumsel ',' App ',' circles', 'area', 'network', 'Jeli']")</f>
        <v>['easy', 'buy', 'package', 'pulse', 'easy', 'in the area', 'signal', 'in the area', 'signal', 'cheic', 'easy', 'policy', ' Telkumsel ',' App ',' circles', 'area', 'network', 'Jeli']</v>
      </c>
      <c r="D520" s="3">
        <v>1.0</v>
      </c>
    </row>
    <row r="521" ht="15.75" customHeight="1">
      <c r="A521" s="1">
        <v>519.0</v>
      </c>
      <c r="B521" s="3" t="s">
        <v>522</v>
      </c>
      <c r="C521" s="3" t="str">
        <f>IFERROR(__xludf.DUMMYFUNCTION("GOOGLETRANSLATE(B521,""id"",""en"")"),"['card', 'people', 'rich', 'price', 'package', 'expensive', 'tissue', 'ugly', 'dead', 'lights',' outo ',' die ',' The network ',' data ',' App ',' times', 'Muter', 'Mulu', 'PAN', 'already', 'updated', 'app', 'Telkomsel', 'Please', 'Min' , 'Talikin', 'trus"&amp;"t', 'consumer']")</f>
        <v>['card', 'people', 'rich', 'price', 'package', 'expensive', 'tissue', 'ugly', 'dead', 'lights',' outo ',' die ',' The network ',' data ',' App ',' times', 'Muter', 'Mulu', 'PAN', 'already', 'updated', 'app', 'Telkomsel', 'Please', 'Min' , 'Talikin', 'trust', 'consumer']</v>
      </c>
      <c r="D521" s="3">
        <v>1.0</v>
      </c>
    </row>
    <row r="522" ht="15.75" customHeight="1">
      <c r="A522" s="1">
        <v>520.0</v>
      </c>
      <c r="B522" s="3" t="s">
        <v>523</v>
      </c>
      <c r="C522" s="3" t="str">
        <f>IFERROR(__xludf.DUMMYFUNCTION("GOOGLETRANSLATE(B522,""id"",""en"")"),"['Wear', 'card', 'Telkomsel', 'number', 'telephone', 'sudh', 'thousands',' pulse ',' fill ',' fill ',' pulse ',' sms', ' Points', 'right', 'Open', 'Apikasih', 'Sya', 'have', 'Points', ""]")</f>
        <v>['Wear', 'card', 'Telkomsel', 'number', 'telephone', 'sudh', 'thousands',' pulse ',' fill ',' fill ',' pulse ',' sms', ' Points', 'right', 'Open', 'Apikasih', 'Sya', 'have', 'Points', "]</v>
      </c>
      <c r="D522" s="3">
        <v>5.0</v>
      </c>
    </row>
    <row r="523" ht="15.75" customHeight="1">
      <c r="A523" s="1">
        <v>521.0</v>
      </c>
      <c r="B523" s="3" t="s">
        <v>524</v>
      </c>
      <c r="C523" s="3" t="str">
        <f>IFERROR(__xludf.DUMMYFUNCTION("GOOGLETRANSLATE(B523,""id"",""en"")"),"['Alhamdulillah', 'help', 'facilitate', 'fluency', 'communication', 'digging', 'information', 'technology', 'package', 'available', 'cheap', 'the fastest', ' The process', 'best', 'singer', '']")</f>
        <v>['Alhamdulillah', 'help', 'facilitate', 'fluency', 'communication', 'digging', 'information', 'technology', 'package', 'available', 'cheap', 'the fastest', ' The process', 'best', 'singer', '']</v>
      </c>
      <c r="D523" s="3">
        <v>5.0</v>
      </c>
    </row>
    <row r="524" ht="15.75" customHeight="1">
      <c r="A524" s="1">
        <v>522.0</v>
      </c>
      <c r="B524" s="3" t="s">
        <v>525</v>
      </c>
      <c r="C524" s="3" t="str">
        <f>IFERROR(__xludf.DUMMYFUNCTION("GOOGLETRANSLATE(B524,""id"",""en"")"),"['Telkomsel', 'broke', 'apartment', 'ivory', 'Mediterranean', 'coconut', 'ivory', 'along', 'road', 'work', 'stop', 'asmi', ' SDG ',' Kalideres', 'Signal', 'Weak', 'Dead', 'Quality', 'Hope', 'Repaired', 'Signal', 'Strong', ""]")</f>
        <v>['Telkomsel', 'broke', 'apartment', 'ivory', 'Mediterranean', 'coconut', 'ivory', 'along', 'road', 'work', 'stop', 'asmi', ' SDG ',' Kalideres', 'Signal', 'Weak', 'Dead', 'Quality', 'Hope', 'Repaired', 'Signal', 'Strong', "]</v>
      </c>
      <c r="D524" s="3">
        <v>2.0</v>
      </c>
    </row>
    <row r="525" ht="15.75" customHeight="1">
      <c r="A525" s="1">
        <v>523.0</v>
      </c>
      <c r="B525" s="3" t="s">
        <v>526</v>
      </c>
      <c r="C525" s="3" t="str">
        <f>IFERROR(__xludf.DUMMYFUNCTION("GOOGLETRANSLATE(B525,""id"",""en"")"),"['', 'Bener', 'BUMN', 'Credit', 'Lost', 'Complain', 'iPhone', 'iMessage', 'Move', 'Cart', 'Android', 'Lost', 'Pulse ',' complain ',' Ntar ',' Nyari ',' reason ',' severe ']")</f>
        <v>['', 'Bener', 'BUMN', 'Credit', 'Lost', 'Complain', 'iPhone', 'iMessage', 'Move', 'Cart', 'Android', 'Lost', 'Pulse ',' complain ',' Ntar ',' Nyari ',' reason ',' severe ']</v>
      </c>
      <c r="D525" s="3">
        <v>1.0</v>
      </c>
    </row>
    <row r="526" ht="15.75" customHeight="1">
      <c r="A526" s="1">
        <v>524.0</v>
      </c>
      <c r="B526" s="3" t="s">
        <v>527</v>
      </c>
      <c r="C526" s="3" t="str">
        <f>IFERROR(__xludf.DUMMYFUNCTION("GOOGLETRANSLATE(B526,""id"",""en"")"),"['Since', 'Tower', 'Telkomsel', 'Sinyal', 'MNJDI', 'Ugly', 'Bagusan', 'BTS', 'BTS', 'Vicallan', 'Ngadat', 'Open', ' ytb ',' muter ',' pegel ',' wait ',' feels', 'want', 'banting', '']")</f>
        <v>['Since', 'Tower', 'Telkomsel', 'Sinyal', 'MNJDI', 'Ugly', 'Bagusan', 'BTS', 'BTS', 'Vicallan', 'Ngadat', 'Open', ' ytb ',' muter ',' pegel ',' wait ',' feels', 'want', 'banting', '']</v>
      </c>
      <c r="D526" s="3">
        <v>1.0</v>
      </c>
    </row>
    <row r="527" ht="15.75" customHeight="1">
      <c r="A527" s="1">
        <v>525.0</v>
      </c>
      <c r="B527" s="3" t="s">
        <v>528</v>
      </c>
      <c r="C527" s="3" t="str">
        <f>IFERROR(__xludf.DUMMYFUNCTION("GOOGLETRANSLATE(B527,""id"",""en"")"),"['Operator', 'Richest', 'Telkomsel', 'Network', 'Bad', 'No', 'Stable', 'Kyak', 'Pokonya', 'Disappointing', 'Customer', 'Please', ' Fix ',' Network ',' Telkomsel ',' that's like ',' already ',' good ',' love ',' deh ']")</f>
        <v>['Operator', 'Richest', 'Telkomsel', 'Network', 'Bad', 'No', 'Stable', 'Kyak', 'Pokonya', 'Disappointing', 'Customer', 'Please', ' Fix ',' Network ',' Telkomsel ',' that's like ',' already ',' good ',' love ',' deh ']</v>
      </c>
      <c r="D527" s="3">
        <v>1.0</v>
      </c>
    </row>
    <row r="528" ht="15.75" customHeight="1">
      <c r="A528" s="1">
        <v>526.0</v>
      </c>
      <c r="B528" s="3" t="s">
        <v>529</v>
      </c>
      <c r="C528" s="3" t="str">
        <f>IFERROR(__xludf.DUMMYFUNCTION("GOOGLETRANSLATE(B528,""id"",""en"")"),"['Eeee', 'Telkomjing', 'quota', 'cave', 'signal', 'gift', 'ping', 'please', 'fix', 'for a while', 'launch', 'telkomjing', ' Gini ',' trs', 'network', 'Indonesia', 'proof', 'please', 'developer', 'serious',' work ', ""]")</f>
        <v>['Eeee', 'Telkomjing', 'quota', 'cave', 'signal', 'gift', 'ping', 'please', 'fix', 'for a while', 'launch', 'telkomjing', ' Gini ',' trs', 'network', 'Indonesia', 'proof', 'please', 'developer', 'serious',' work ', "]</v>
      </c>
      <c r="D528" s="3">
        <v>1.0</v>
      </c>
    </row>
    <row r="529" ht="15.75" customHeight="1">
      <c r="A529" s="1">
        <v>527.0</v>
      </c>
      <c r="B529" s="3" t="s">
        <v>530</v>
      </c>
      <c r="C529" s="3" t="str">
        <f>IFERROR(__xludf.DUMMYFUNCTION("GOOGLETRANSLATE(B529,""id"",""en"")"),"['Stay', 'City', 'Tangerang', 'South', 'Network', 'internet', 'bad', 'buy', 'quota', 'until', 'GB', 'difficult', ' signal ',' gnya ',' play ',' game ',' slow ',' really ',' move ',' telkomsel ',' ugly ',' ']")</f>
        <v>['Stay', 'City', 'Tangerang', 'South', 'Network', 'internet', 'bad', 'buy', 'quota', 'until', 'GB', 'difficult', ' signal ',' gnya ',' play ',' game ',' slow ',' really ',' move ',' telkomsel ',' ugly ',' ']</v>
      </c>
      <c r="D529" s="3">
        <v>1.0</v>
      </c>
    </row>
    <row r="530" ht="15.75" customHeight="1">
      <c r="A530" s="1">
        <v>528.0</v>
      </c>
      <c r="B530" s="3" t="s">
        <v>531</v>
      </c>
      <c r="C530" s="3" t="str">
        <f>IFERROR(__xludf.DUMMYFUNCTION("GOOGLETRANSLATE(B530,""id"",""en"")"),"['down', 'star', 'Telkomsel', 'expensive', 'quality', 'big', 'bad', 'play', 'games',' smooth ',' crowded ',' trlkomsel ',' expensive ',' slow ',' mending ',' moved ',' profider ',' ']")</f>
        <v>['down', 'star', 'Telkomsel', 'expensive', 'quality', 'big', 'bad', 'play', 'games',' smooth ',' crowded ',' trlkomsel ',' expensive ',' slow ',' mending ',' moved ',' profider ',' ']</v>
      </c>
      <c r="D530" s="3">
        <v>1.0</v>
      </c>
    </row>
    <row r="531" ht="15.75" customHeight="1">
      <c r="A531" s="1">
        <v>529.0</v>
      </c>
      <c r="B531" s="3" t="s">
        <v>532</v>
      </c>
      <c r="C531" s="3" t="str">
        <f>IFERROR(__xludf.DUMMYFUNCTION("GOOGLETRANSLATE(B531,""id"",""en"")"),"['Telfon', 'Call', 'Center', 'Telkomsel', 'right', 'Lift', 'Langsung', 'Turn Off', 'Win', 'Lottery', 'Telfon', ' Appointed ',' LGSG ',' turned off ',' Disappointed ']")</f>
        <v>['Telfon', 'Call', 'Center', 'Telkomsel', 'right', 'Lift', 'Langsung', 'Turn Off', 'Win', 'Lottery', 'Telfon', ' Appointed ',' LGSG ',' turned off ',' Disappointed ']</v>
      </c>
      <c r="D531" s="3">
        <v>5.0</v>
      </c>
    </row>
    <row r="532" ht="15.75" customHeight="1">
      <c r="A532" s="1">
        <v>530.0</v>
      </c>
      <c r="B532" s="3" t="s">
        <v>533</v>
      </c>
      <c r="C532" s="3" t="str">
        <f>IFERROR(__xludf.DUMMYFUNCTION("GOOGLETRANSLATE(B532,""id"",""en"")"),"['KPD', 'Telkomsel', 'Dear', 'Jjr', 'times',' disappointing ',' network ',' internet ',' getting worse ',' Trutama ',' Kampung ',' Where ',' Telkomsel ',' Dlu ',' Slalu ',' Encisses', 'Satisfaction', 'Kerada', 'Stiap', 'Planggar', 'Breaking', 'Card', 'Use"&amp;"r', 'Telkomsel' , 'THN', 'Change', 'card', 'TPI', 'TTP', 'TLKOMSEL', 'TPI', 'TIME', 'BENER', 'Bener', 'Disappointing', '']")</f>
        <v>['KPD', 'Telkomsel', 'Dear', 'Jjr', 'times',' disappointing ',' network ',' internet ',' getting worse ',' Trutama ',' Kampung ',' Where ',' Telkomsel ',' Dlu ',' Slalu ',' Encisses', 'Satisfaction', 'Kerada', 'Stiap', 'Planggar', 'Breaking', 'Card', 'User', 'Telkomsel' , 'THN', 'Change', 'card', 'TPI', 'TTP', 'TLKOMSEL', 'TPI', 'TIME', 'BENER', 'Bener', 'Disappointing', '']</v>
      </c>
      <c r="D532" s="3">
        <v>1.0</v>
      </c>
    </row>
    <row r="533" ht="15.75" customHeight="1">
      <c r="A533" s="1">
        <v>531.0</v>
      </c>
      <c r="B533" s="3" t="s">
        <v>534</v>
      </c>
      <c r="C533" s="3" t="str">
        <f>IFERROR(__xludf.DUMMYFUNCTION("GOOGLETRANSLATE(B533,""id"",""en"")"),"['SMS', 'Telkomsel', 'free', 'internet', 'telephone', 'sms',' quota ',' GB ',' price ',' thousand ',' activate ',' package ',' Combo ',' Sakti ',' Max ',' Telkomsel ',' Tsel ',' Outlet ',' SKB ',' Click ',' Bit ',' Max ',' Open ',' Link ',' Call ' , 'appe"&amp;"ars',' package ',' tsb ',' please ',' promotion ',' tantalizing ',' consumer ',' title ',' user ',' telkomsel ',' number ',' th ',' Please, 'Appreciation', 'User', 'Setia', 'Telkomsel', 'Package', 'Cheap']")</f>
        <v>['SMS', 'Telkomsel', 'free', 'internet', 'telephone', 'sms',' quota ',' GB ',' price ',' thousand ',' activate ',' package ',' Combo ',' Sakti ',' Max ',' Telkomsel ',' Tsel ',' Outlet ',' SKB ',' Click ',' Bit ',' Max ',' Open ',' Link ',' Call ' , 'appears',' package ',' tsb ',' please ',' promotion ',' tantalizing ',' consumer ',' title ',' user ',' telkomsel ',' number ',' th ',' Please, 'Appreciation', 'User', 'Setia', 'Telkomsel', 'Package', 'Cheap']</v>
      </c>
      <c r="D533" s="3">
        <v>1.0</v>
      </c>
    </row>
    <row r="534" ht="15.75" customHeight="1">
      <c r="A534" s="1">
        <v>532.0</v>
      </c>
      <c r="B534" s="3" t="s">
        <v>535</v>
      </c>
      <c r="C534" s="3" t="str">
        <f>IFERROR(__xludf.DUMMYFUNCTION("GOOGLETRANSLATE(B534,""id"",""en"")"),"['application', 'damn', 'mentang', 'blom', 'fill', 'credit', 'login', 'difficult', 'really', 'sms',' confirm ',' enter ',' Mendin ',' it's' 'good', 'application', 'garbage', 'rich', 'gini', 'add', 'garbage', 'ajj', 'please', 'convenience', 'consumer' , ''"&amp;"]")</f>
        <v>['application', 'damn', 'mentang', 'blom', 'fill', 'credit', 'login', 'difficult', 'really', 'sms',' confirm ',' enter ',' Mendin ',' it's' 'good', 'application', 'garbage', 'rich', 'gini', 'add', 'garbage', 'ajj', 'please', 'convenience', 'consumer' , '']</v>
      </c>
      <c r="D534" s="3">
        <v>1.0</v>
      </c>
    </row>
    <row r="535" ht="15.75" customHeight="1">
      <c r="A535" s="1">
        <v>533.0</v>
      </c>
      <c r="B535" s="3" t="s">
        <v>536</v>
      </c>
      <c r="C535" s="3" t="str">
        <f>IFERROR(__xludf.DUMMYFUNCTION("GOOGLETRANSLATE(B535,""id"",""en"")"),"['Decrease', 'gave', 'Bintang', 'already', 'picture', 'bring', 'disappointing', 'twiter', 'telegram', 'fix', 'direct', 'simple', ' Pay, 'Rupiah', 'comparable', 'service', 'Telkomsel', 'signal', 'slow', 'fast', 'responsive', 'loss', 'customer', 'loyal', """&amp;"]")</f>
        <v>['Decrease', 'gave', 'Bintang', 'already', 'picture', 'bring', 'disappointing', 'twiter', 'telegram', 'fix', 'direct', 'simple', ' Pay, 'Rupiah', 'comparable', 'service', 'Telkomsel', 'signal', 'slow', 'fast', 'responsive', 'loss', 'customer', 'loyal', "]</v>
      </c>
      <c r="D535" s="3">
        <v>1.0</v>
      </c>
    </row>
    <row r="536" ht="15.75" customHeight="1">
      <c r="A536" s="1">
        <v>534.0</v>
      </c>
      <c r="B536" s="3" t="s">
        <v>537</v>
      </c>
      <c r="C536" s="3" t="str">
        <f>IFERROR(__xludf.DUMMYFUNCTION("GOOGLETRANSLATE(B536,""id"",""en"")"),"['sucks', 'signal', 'down', 'application', 'MyTelkomsel', 'difficult', 'open', 'usage', 'current', 'electricity', 'how', ""]")</f>
        <v>['sucks', 'signal', 'down', 'application', 'MyTelkomsel', 'difficult', 'open', 'usage', 'current', 'electricity', 'how', "]</v>
      </c>
      <c r="D536" s="3">
        <v>1.0</v>
      </c>
    </row>
    <row r="537" ht="15.75" customHeight="1">
      <c r="A537" s="1">
        <v>535.0</v>
      </c>
      <c r="B537" s="3" t="s">
        <v>538</v>
      </c>
      <c r="C537" s="3" t="str">
        <f>IFERROR(__xludf.DUMMYFUNCTION("GOOGLETRANSLATE(B537,""id"",""en"")"),"['For', 'MyTelkomsel', 'Suggestion', 'Customer', 'Listen', 'Review', 'Platform', 'Hold', 'Event', 'Invite', 'Friend', 'Reward', ' MyTelkomsel ',' adopted ',' System ',' Reward ',' Point ',' Telkomsel ',' ']")</f>
        <v>['For', 'MyTelkomsel', 'Suggestion', 'Customer', 'Listen', 'Review', 'Platform', 'Hold', 'Event', 'Invite', 'Friend', 'Reward', ' MyTelkomsel ',' adopted ',' System ',' Reward ',' Point ',' Telkomsel ',' ']</v>
      </c>
      <c r="D537" s="3">
        <v>4.0</v>
      </c>
    </row>
    <row r="538" ht="15.75" customHeight="1">
      <c r="A538" s="1">
        <v>536.0</v>
      </c>
      <c r="B538" s="3" t="s">
        <v>539</v>
      </c>
      <c r="C538" s="3" t="str">
        <f>IFERROR(__xludf.DUMMYFUNCTION("GOOGLETRANSLATE(B538,""id"",""en"")"),"['already', 'list', 'Call', 'Committing', 'Telkomsel', 'already', 'Cut', 'pulses',' right ',' call ',' pulse ',' main ',' Abis', 'quota', 'call', 'use', 'please', 'fix', 'until', 'ngerugin', 'consumer']")</f>
        <v>['already', 'list', 'Call', 'Committing', 'Telkomsel', 'already', 'Cut', 'pulses',' right ',' call ',' pulse ',' main ',' Abis', 'quota', 'call', 'use', 'please', 'fix', 'until', 'ngerugin', 'consumer']</v>
      </c>
      <c r="D538" s="3">
        <v>1.0</v>
      </c>
    </row>
    <row r="539" ht="15.75" customHeight="1">
      <c r="A539" s="1">
        <v>537.0</v>
      </c>
      <c r="B539" s="3" t="s">
        <v>540</v>
      </c>
      <c r="C539" s="3" t="str">
        <f>IFERROR(__xludf.DUMMYFUNCTION("GOOGLETRANSLATE(B539,""id"",""en"")"),"['Make', 'Application', 'SMS', 'Banking', 'Easy', 'Network', 'Data', 'Outback', 'Network', 'Internet', '']")</f>
        <v>['Make', 'Application', 'SMS', 'Banking', 'Easy', 'Network', 'Data', 'Outback', 'Network', 'Internet', '']</v>
      </c>
      <c r="D539" s="3">
        <v>1.0</v>
      </c>
    </row>
    <row r="540" ht="15.75" customHeight="1">
      <c r="A540" s="1">
        <v>538.0</v>
      </c>
      <c r="B540" s="3" t="s">
        <v>541</v>
      </c>
      <c r="C540" s="3" t="str">
        <f>IFERROR(__xludf.DUMMYFUNCTION("GOOGLETRANSLATE(B540,""id"",""en"")"),"['complain', 'Package', 'Week', 'Yesterday', 'Aktipin', 'Package', 'Kaga', 'Package', 'already', 'apply', 'APL', 'Telkomsel']")</f>
        <v>['complain', 'Package', 'Week', 'Yesterday', 'Aktipin', 'Package', 'Kaga', 'Package', 'already', 'apply', 'APL', 'Telkomsel']</v>
      </c>
      <c r="D540" s="3">
        <v>1.0</v>
      </c>
    </row>
    <row r="541" ht="15.75" customHeight="1">
      <c r="A541" s="1">
        <v>539.0</v>
      </c>
      <c r="B541" s="3" t="s">
        <v>542</v>
      </c>
      <c r="C541" s="3" t="str">
        <f>IFERROR(__xludf.DUMMYFUNCTION("GOOGLETRANSLATE(B541,""id"",""en"")"),"['KNPA', 'Telkomsel', 'buy', 'package', 'Anlimitid', 'application', 'telponan', 'pulse', 'used', 'Please', 'help', ""]")</f>
        <v>['KNPA', 'Telkomsel', 'buy', 'package', 'Anlimitid', 'application', 'telponan', 'pulse', 'used', 'Please', 'help', "]</v>
      </c>
      <c r="D541" s="3">
        <v>5.0</v>
      </c>
    </row>
    <row r="542" ht="15.75" customHeight="1">
      <c r="A542" s="1">
        <v>540.0</v>
      </c>
      <c r="B542" s="3" t="s">
        <v>543</v>
      </c>
      <c r="C542" s="3" t="str">
        <f>IFERROR(__xludf.DUMMYFUNCTION("GOOGLETRANSLATE(B542,""id"",""en"")"),"['Telkomsel', 'HAPY', 'Dream', 'Gift', 'Telkomsel', 'Easy', 'Lottery', 'Amin', 'Jaya', 'Telkomsel', ""]")</f>
        <v>['Telkomsel', 'HAPY', 'Dream', 'Gift', 'Telkomsel', 'Easy', 'Lottery', 'Amin', 'Jaya', 'Telkomsel', "]</v>
      </c>
      <c r="D542" s="3">
        <v>5.0</v>
      </c>
    </row>
    <row r="543" ht="15.75" customHeight="1">
      <c r="A543" s="1">
        <v>541.0</v>
      </c>
      <c r="B543" s="3" t="s">
        <v>544</v>
      </c>
      <c r="C543" s="3" t="str">
        <f>IFERROR(__xludf.DUMMYFUNCTION("GOOGLETRANSLATE(B543,""id"",""en"")"),"['Bad', 'service', 'jng', 'deh', 'move', 'post', 'pay', 'coercion', 'name', 'grace', 'date', 'up', ' quota ',' msh ',' leftover ',' quota ',' anjin ', ""]")</f>
        <v>['Bad', 'service', 'jng', 'deh', 'move', 'post', 'pay', 'coercion', 'name', 'grace', 'date', 'up', ' quota ',' msh ',' leftover ',' quota ',' anjin ', "]</v>
      </c>
      <c r="D543" s="3">
        <v>1.0</v>
      </c>
    </row>
    <row r="544" ht="15.75" customHeight="1">
      <c r="A544" s="1">
        <v>542.0</v>
      </c>
      <c r="B544" s="3" t="s">
        <v>545</v>
      </c>
      <c r="C544" s="3" t="str">
        <f>IFERROR(__xludf.DUMMYFUNCTION("GOOGLETRANSLATE(B544,""id"",""en"")"),"['Bro', 'Your Application', 'Ancur', 'Abis',' Update ',' Out ',' Application ',' Benerin ',' Bro ',' Credit ',' People ',' Kampung ',' HARD ',' GARA ',' Your Application ',' Error ',' Gini ',' Kabarin ',' As soon as possible ',' Bro ',' Uda ',' Benerin ',"&amp;"' Cematiful ',' bro ']")</f>
        <v>['Bro', 'Your Application', 'Ancur', 'Abis',' Update ',' Out ',' Application ',' Benerin ',' Bro ',' Credit ',' People ',' Kampung ',' HARD ',' GARA ',' Your Application ',' Error ',' Gini ',' Kabarin ',' As soon as possible ',' Bro ',' Uda ',' Benerin ',' Cematiful ',' bro ']</v>
      </c>
      <c r="D544" s="3">
        <v>3.0</v>
      </c>
    </row>
    <row r="545" ht="15.75" customHeight="1">
      <c r="A545" s="1">
        <v>543.0</v>
      </c>
      <c r="B545" s="3" t="s">
        <v>546</v>
      </c>
      <c r="C545" s="3" t="str">
        <f>IFERROR(__xludf.DUMMYFUNCTION("GOOGLETRANSLATE(B545,""id"",""en"")"),"['Min', 'knapa', 'quota', 'unlimited', 'dipake', 'watch', 'youtube', 'open', 'sosmed', 'buak', 'games',' quota ',' unlinmited ',' like ',' gini ',' buy ',' Rp ',' watch ',' youtube ',' open ',' sosmed ',' basics', 'kawa', 'telkomse', ""]")</f>
        <v>['Min', 'knapa', 'quota', 'unlimited', 'dipake', 'watch', 'youtube', 'open', 'sosmed', 'buak', 'games',' quota ',' unlinmited ',' like ',' gini ',' buy ',' Rp ',' watch ',' youtube ',' open ',' sosmed ',' basics', 'kawa', 'telkomse', "]</v>
      </c>
      <c r="D545" s="3">
        <v>1.0</v>
      </c>
    </row>
    <row r="546" ht="15.75" customHeight="1">
      <c r="A546" s="1">
        <v>544.0</v>
      </c>
      <c r="B546" s="3" t="s">
        <v>547</v>
      </c>
      <c r="C546" s="3" t="str">
        <f>IFERROR(__xludf.DUMMYFUNCTION("GOOGLETRANSLATE(B546,""id"",""en"")"),"['mah', 'free', 'byk', 'your job', 'satisfied', 'move', '']")</f>
        <v>['mah', 'free', 'byk', 'your job', 'satisfied', 'move', '']</v>
      </c>
      <c r="D546" s="3">
        <v>3.0</v>
      </c>
    </row>
    <row r="547" ht="15.75" customHeight="1">
      <c r="A547" s="1">
        <v>545.0</v>
      </c>
      <c r="B547" s="3" t="s">
        <v>548</v>
      </c>
      <c r="C547" s="3" t="str">
        <f>IFERROR(__xludf.DUMMYFUNCTION("GOOGLETRANSLATE(B547,""id"",""en"")"),"['', 'buy', 'card', 'unlimited', 'udh', 'then', 'activated', 'yesterday', 'cook', 'active', 'until', 'Udh', 'email ',' Lined ',' internet ',' doang ',' unlimited ',' lined ',' then ',' active ',' card ',' until ',' loss', 'buy']")</f>
        <v>['', 'buy', 'card', 'unlimited', 'udh', 'then', 'activated', 'yesterday', 'cook', 'active', 'until', 'Udh', 'email ',' Lined ',' internet ',' doang ',' unlimited ',' lined ',' then ',' active ',' card ',' until ',' loss', 'buy']</v>
      </c>
      <c r="D547" s="3">
        <v>2.0</v>
      </c>
    </row>
    <row r="548" ht="15.75" customHeight="1">
      <c r="A548" s="1">
        <v>546.0</v>
      </c>
      <c r="B548" s="3" t="s">
        <v>549</v>
      </c>
      <c r="C548" s="3" t="str">
        <f>IFERROR(__xludf.DUMMYFUNCTION("GOOGLETRANSLATE(B548,""id"",""en"")"),"['Disappointed', 'Yesterday', 'Buy', 'Quota', 'Direct', 'GameSmax', 'Gold', 'Price', 'APK', 'Telkomsel', 'Successful', 'Quoto', ' The quota ',' Nggk ',' run ',' On ',' Kartuku ',' Kartuku ',' Nggk ',' send ',' photo ',' send ',' screenshot ',' Please ',' "&amp;"his help ' , 'quota', 'tsb', 'thank', 'love', '']")</f>
        <v>['Disappointed', 'Yesterday', 'Buy', 'Quota', 'Direct', 'GameSmax', 'Gold', 'Price', 'APK', 'Telkomsel', 'Successful', 'Quoto', ' The quota ',' Nggk ',' run ',' On ',' Kartuku ',' Kartuku ',' Nggk ',' send ',' photo ',' send ',' screenshot ',' Please ',' his help ' , 'quota', 'tsb', 'thank', 'love', '']</v>
      </c>
      <c r="D548" s="3">
        <v>1.0</v>
      </c>
    </row>
    <row r="549" ht="15.75" customHeight="1">
      <c r="A549" s="1">
        <v>547.0</v>
      </c>
      <c r="B549" s="3" t="s">
        <v>550</v>
      </c>
      <c r="C549" s="3" t="str">
        <f>IFERROR(__xludf.DUMMYFUNCTION("GOOGLETRANSLATE(B549,""id"",""en"")"),"['Hallo', 'application', 'Telkomsel', 'now', 'difficult', 'accessed', 'connection', 'stable', 'times',' enter ',' application ',' run ',' Seamless', 'here', 'bad', 'lazy', 'open', 'application', 'suggestion', 'future', 'please', 'repair', 'function', 'use"&amp;"r', 'comfortable' , 'Application', 'Thank you', ""]")</f>
        <v>['Hallo', 'application', 'Telkomsel', 'now', 'difficult', 'accessed', 'connection', 'stable', 'times',' enter ',' application ',' run ',' Seamless', 'here', 'bad', 'lazy', 'open', 'application', 'suggestion', 'future', 'please', 'repair', 'function', 'user', 'comfortable' , 'Application', 'Thank you', "]</v>
      </c>
      <c r="D549" s="3">
        <v>2.0</v>
      </c>
    </row>
    <row r="550" ht="15.75" customHeight="1">
      <c r="A550" s="1">
        <v>548.0</v>
      </c>
      <c r="B550" s="3" t="s">
        <v>551</v>
      </c>
      <c r="C550" s="3" t="str">
        <f>IFERROR(__xludf.DUMMYFUNCTION("GOOGLETRANSLATE(B550,""id"",""en"")"),"['pulseku', 'suck', 'woii', 'buy', 'package', 'thousand', 'pulse', 'inside', 'mytelkomsel', 'rb', 'right', 'buy', ' The package ',' APP ',' Mytekomsel ',' pulseku ',' sucked ',' stay ',' forced ',' deh ',' buy ',' package ',' package ',' rb ',' GB ' , 'Te"&amp;"lkomsel', 'user', 'Disaster', '']")</f>
        <v>['pulseku', 'suck', 'woii', 'buy', 'package', 'thousand', 'pulse', 'inside', 'mytelkomsel', 'rb', 'right', 'buy', ' The package ',' APP ',' Mytekomsel ',' pulseku ',' sucked ',' stay ',' forced ',' deh ',' buy ',' package ',' package ',' rb ',' GB ' , 'Telkomsel', 'user', 'Disaster', '']</v>
      </c>
      <c r="D550" s="3">
        <v>1.0</v>
      </c>
    </row>
    <row r="551" ht="15.75" customHeight="1">
      <c r="A551" s="1">
        <v>549.0</v>
      </c>
      <c r="B551" s="3" t="s">
        <v>552</v>
      </c>
      <c r="C551" s="3" t="str">
        <f>IFERROR(__xludf.DUMMYFUNCTION("GOOGLETRANSLATE(B551,""id"",""en"")"),"['unlimitid', 'ugly', 'really', 'promo', 'kenceng', 'already', 'price', 'good', 'slow', 'already', 'delete', 'package', ' Unlimited ',' UTU ',' Ngibul ',' Elangan ',' Kapok ', ""]")</f>
        <v>['unlimitid', 'ugly', 'really', 'promo', 'kenceng', 'already', 'price', 'good', 'slow', 'already', 'delete', 'package', ' Unlimited ',' UTU ',' Ngibul ',' Elangan ',' Kapok ', "]</v>
      </c>
      <c r="D551" s="3">
        <v>2.0</v>
      </c>
    </row>
    <row r="552" ht="15.75" customHeight="1">
      <c r="A552" s="1">
        <v>550.0</v>
      </c>
      <c r="B552" s="3" t="s">
        <v>553</v>
      </c>
      <c r="C552" s="3" t="str">
        <f>IFERROR(__xludf.DUMMYFUNCTION("GOOGLETRANSLATE(B552,""id"",""en"")"),"['stay', 'tour', 'visited', 'visitors',' feel ',' speed ',' internet ',' Telkomsel ',' drop ',' holiday ',' annoying ',' enhanced ',' No ',' Drop ',' tourists', 'boom', 'the rest', 'okay', 'gift', 'provided', 'daily', 'check', 'Telkomsel', 'Thanks',' ']")</f>
        <v>['stay', 'tour', 'visited', 'visitors',' feel ',' speed ',' internet ',' Telkomsel ',' drop ',' holiday ',' annoying ',' enhanced ',' No ',' Drop ',' tourists', 'boom', 'the rest', 'okay', 'gift', 'provided', 'daily', 'check', 'Telkomsel', 'Thanks',' ']</v>
      </c>
      <c r="D552" s="3">
        <v>4.0</v>
      </c>
    </row>
    <row r="553" ht="15.75" customHeight="1">
      <c r="A553" s="1">
        <v>551.0</v>
      </c>
      <c r="B553" s="3" t="s">
        <v>554</v>
      </c>
      <c r="C553" s="3" t="str">
        <f>IFERROR(__xludf.DUMMYFUNCTION("GOOGLETRANSLATE(B553,""id"",""en"")"),"['Service', 'Telkomsel', 'Hopefully', 'Maintain', 'Lottery', 'Customer', 'Glad', 'Wear', 'Network', 'Telkomsel', 'Success',' Telkomsel ',' Suwarno ',' Sulawesi ', ""]")</f>
        <v>['Service', 'Telkomsel', 'Hopefully', 'Maintain', 'Lottery', 'Customer', 'Glad', 'Wear', 'Network', 'Telkomsel', 'Success',' Telkomsel ',' Suwarno ',' Sulawesi ', "]</v>
      </c>
      <c r="D553" s="3">
        <v>5.0</v>
      </c>
    </row>
    <row r="554" ht="15.75" customHeight="1">
      <c r="A554" s="1">
        <v>552.0</v>
      </c>
      <c r="B554" s="3" t="s">
        <v>555</v>
      </c>
      <c r="C554" s="3" t="str">
        <f>IFERROR(__xludf.DUMMYFUNCTION("GOOGLETRANSLATE(B554,""id"",""en"")"),"['Telkomsel', 'Karuan', 'Network', 'Application', 'Opened', 'Andai', 'Troubled', 'Repair', 'Free', 'Gunain', 'Network', 'Kelean', ' Paid ',' Gosha ']")</f>
        <v>['Telkomsel', 'Karuan', 'Network', 'Application', 'Opened', 'Andai', 'Troubled', 'Repair', 'Free', 'Gunain', 'Network', 'Kelean', ' Paid ',' Gosha ']</v>
      </c>
      <c r="D554" s="3">
        <v>1.0</v>
      </c>
    </row>
    <row r="555" ht="15.75" customHeight="1">
      <c r="A555" s="1">
        <v>553.0</v>
      </c>
      <c r="B555" s="3" t="s">
        <v>556</v>
      </c>
      <c r="C555" s="3" t="str">
        <f>IFERROR(__xludf.DUMMYFUNCTION("GOOGLETRANSLATE(B555,""id"",""en"")"),"['Provider', 'Play', 'Game', 'NDK', 'Support', 'Red', 'That's',' Signal ',' Provider ',' NDK ',' Intention ',' Gini ',' Complement ',' Sorry ',' Sis', 'Hi', 'Sis',' NDK ',' Intention ',' Raiki ',' Signal ',' Price ',' Package ',' Expensive ',' Signal ' , "&amp;"'Bad', 'Mending', 'PKai', 'Provider', 'Reader', 'Telkomsel', 'Intention', 'Provider']")</f>
        <v>['Provider', 'Play', 'Game', 'NDK', 'Support', 'Red', 'That's',' Signal ',' Provider ',' NDK ',' Intention ',' Gini ',' Complement ',' Sorry ',' Sis', 'Hi', 'Sis',' NDK ',' Intention ',' Raiki ',' Signal ',' Price ',' Package ',' Expensive ',' Signal ' , 'Bad', 'Mending', 'PKai', 'Provider', 'Reader', 'Telkomsel', 'Intention', 'Provider']</v>
      </c>
      <c r="D555" s="3">
        <v>1.0</v>
      </c>
    </row>
    <row r="556" ht="15.75" customHeight="1">
      <c r="A556" s="1">
        <v>554.0</v>
      </c>
      <c r="B556" s="3" t="s">
        <v>557</v>
      </c>
      <c r="C556" s="3" t="str">
        <f>IFERROR(__xludf.DUMMYFUNCTION("GOOGLETRANSLATE(B556,""id"",""en"")"),"['Unlimited', 'Limit', 'Telkomsel', 'Silly', 'Mending', 'Move', 'Card', 'Thank you', 'Disappointing', '']")</f>
        <v>['Unlimited', 'Limit', 'Telkomsel', 'Silly', 'Mending', 'Move', 'Card', 'Thank you', 'Disappointing', '']</v>
      </c>
      <c r="D556" s="3">
        <v>1.0</v>
      </c>
    </row>
    <row r="557" ht="15.75" customHeight="1">
      <c r="A557" s="1">
        <v>555.0</v>
      </c>
      <c r="B557" s="3" t="s">
        <v>558</v>
      </c>
      <c r="C557" s="3" t="str">
        <f>IFERROR(__xludf.DUMMYFUNCTION("GOOGLETRANSLATE(B557,""id"",""en"")"),"['Honest', 'ngeluarin', 'UNEK', 'card', 'Telkomsel', 'signal', 'tlkomsel', 'slow', 'gatau', 'causes',' emang ',' skrng ',' Real ',' slow ',' download ',' APK ',' Playstore ',' size ',' MB ',' Luaaammmaaaaa ',' really ',' play ',' game ',' loading ',' real"&amp;"ly ' , 'Because', 'signal', 'Gastabil', 'expensive', 'yes', 'compared', 'card', 'Telkomsel', 'im', 'good', 'im', 'now' cheap ',' im ',' package ',' internet ',' GB ',' Telkomsel ',' rb ',' im ',' rb ',' udh ',' can ',' GB ',' Next ' , 'Gamakai', 'card', '"&amp;"lgi']")</f>
        <v>['Honest', 'ngeluarin', 'UNEK', 'card', 'Telkomsel', 'signal', 'tlkomsel', 'slow', 'gatau', 'causes',' emang ',' skrng ',' Real ',' slow ',' download ',' APK ',' Playstore ',' size ',' MB ',' Luaaammmaaaaa ',' really ',' play ',' game ',' loading ',' really ' , 'Because', 'signal', 'Gastabil', 'expensive', 'yes', 'compared', 'card', 'Telkomsel', 'im', 'good', 'im', 'now' cheap ',' im ',' package ',' internet ',' GB ',' Telkomsel ',' rb ',' im ',' rb ',' udh ',' can ',' GB ',' Next ' , 'Gamakai', 'card', 'lgi']</v>
      </c>
      <c r="D557" s="3">
        <v>1.0</v>
      </c>
    </row>
    <row r="558" ht="15.75" customHeight="1">
      <c r="A558" s="1">
        <v>556.0</v>
      </c>
      <c r="B558" s="3" t="s">
        <v>559</v>
      </c>
      <c r="C558" s="3" t="str">
        <f>IFERROR(__xludf.DUMMYFUNCTION("GOOGLETRANSLATE(B558,""id"",""en"")"),"['Please', 'really', 'already', 'March', 'network', 'down', 'please', 'play', 'game', 'the network', 'ilang', 'scolded', ' Friends', 'Team', 'really', 'Kek', 'Litu', 'PLIS', 'Corona', 'people', 'online', 'school', 'online', 'network', 'please' , 'The netw"&amp;"ork', 'repaired', 'person', 'dream', 'gamers', 'preparation', 'network', 'good', 'please', ""]")</f>
        <v>['Please', 'really', 'already', 'March', 'network', 'down', 'please', 'play', 'game', 'the network', 'ilang', 'scolded', ' Friends', 'Team', 'really', 'Kek', 'Litu', 'PLIS', 'Corona', 'people', 'online', 'school', 'online', 'network', 'please' , 'The network', 'repaired', 'person', 'dream', 'gamers', 'preparation', 'network', 'good', 'please', "]</v>
      </c>
      <c r="D558" s="3">
        <v>1.0</v>
      </c>
    </row>
    <row r="559" ht="15.75" customHeight="1">
      <c r="A559" s="1">
        <v>557.0</v>
      </c>
      <c r="B559" s="3" t="s">
        <v>560</v>
      </c>
      <c r="C559" s="3" t="str">
        <f>IFERROR(__xludf.DUMMYFUNCTION("GOOGLETRANSLATE(B559,""id"",""en"")"),"['Please', 'Telkomsel', 'Love', 'understood', 'complaints',' Bener ',' Bener ',' Disappointed ',' quota ',' right ',' Pair ',' Out ',' Dissedin ',' left ',' sleep ',' hose ',' tomorrow ',' buy ',' quota ',' right ',' PART ',' leftover ',' right ',' harmed"&amp;" ',' buy ' , 'buy', '']")</f>
        <v>['Please', 'Telkomsel', 'Love', 'understood', 'complaints',' Bener ',' Bener ',' Disappointed ',' quota ',' right ',' Pair ',' Out ',' Dissedin ',' left ',' sleep ',' hose ',' tomorrow ',' buy ',' quota ',' right ',' PART ',' leftover ',' right ',' harmed ',' buy ' , 'buy', '']</v>
      </c>
      <c r="D559" s="3">
        <v>1.0</v>
      </c>
    </row>
    <row r="560" ht="15.75" customHeight="1">
      <c r="A560" s="1">
        <v>558.0</v>
      </c>
      <c r="B560" s="3" t="s">
        <v>561</v>
      </c>
      <c r="C560" s="3" t="str">
        <f>IFERROR(__xludf.DUMMYFUNCTION("GOOGLETRANSLATE(B560,""id"",""en"")"),"['tired', 'Telkomsel', 'package', 'internet', 'expensive', 'network', 'slow', 'upset', 'until', 'slammed', 'Udh', 'report', ' Many ',' Call ',' Center ',' Change ',' Network ',' Mending ',' Move ',' Operator ',' Network ',' Good ',' Rates', 'Internet', 'S"&amp;"tandard' , '']")</f>
        <v>['tired', 'Telkomsel', 'package', 'internet', 'expensive', 'network', 'slow', 'upset', 'until', 'slammed', 'Udh', 'report', ' Many ',' Call ',' Center ',' Change ',' Network ',' Mending ',' Move ',' Operator ',' Network ',' Good ',' Rates', 'Internet', 'Standard' , '']</v>
      </c>
      <c r="D560" s="3">
        <v>1.0</v>
      </c>
    </row>
    <row r="561" ht="15.75" customHeight="1">
      <c r="A561" s="1">
        <v>559.0</v>
      </c>
      <c r="B561" s="3" t="s">
        <v>562</v>
      </c>
      <c r="C561" s="3" t="str">
        <f>IFERROR(__xludf.DUMMYFUNCTION("GOOGLETRANSLATE(B561,""id"",""en"")"),"['', 'Language', 'English', 'Hayo', 'Learning', 'Language', 'English', 'Unlimited', 'Limited', 'Language', 'English', 'Unlimited', 'GB ',' Language ',' Telkomsel ',' Ngakak ',' oath ',' Help ',' Move ',' Provider ']")</f>
        <v>['', 'Language', 'English', 'Hayo', 'Learning', 'Language', 'English', 'Unlimited', 'Limited', 'Language', 'English', 'Unlimited', 'GB ',' Language ',' Telkomsel ',' Ngakak ',' oath ',' Help ',' Move ',' Provider ']</v>
      </c>
      <c r="D561" s="3">
        <v>1.0</v>
      </c>
    </row>
    <row r="562" ht="15.75" customHeight="1">
      <c r="A562" s="1">
        <v>560.0</v>
      </c>
      <c r="B562" s="3" t="s">
        <v>563</v>
      </c>
      <c r="C562" s="3" t="str">
        <f>IFERROR(__xludf.DUMMYFUNCTION("GOOGLETRANSLATE(B562,""id"",""en"")"),"['Telkomsel', 'Loyal', 'user', 'given', 'promo', 'cheap', 'festive', 'user', 'price', 'package', 'combo', 'sakinya', ' Incredient ',' cave ',' buy ',' package ',' ']")</f>
        <v>['Telkomsel', 'Loyal', 'user', 'given', 'promo', 'cheap', 'festive', 'user', 'price', 'package', 'combo', 'sakinya', ' Incredient ',' cave ',' buy ',' package ',' ']</v>
      </c>
      <c r="D562" s="3">
        <v>1.0</v>
      </c>
    </row>
    <row r="563" ht="15.75" customHeight="1">
      <c r="A563" s="1">
        <v>561.0</v>
      </c>
      <c r="B563" s="3" t="s">
        <v>564</v>
      </c>
      <c r="C563" s="3" t="str">
        <f>IFERROR(__xludf.DUMMYFUNCTION("GOOGLETRANSLATE(B563,""id"",""en"")"),"['Say "",' unlimited ',' he knows ',' restrictions ',' quota ',' expensive ',' said ',' unlimited ',' a month ',' restrictions ',' quota ',' yesterday ',' rich ',' that's', 'yesterday', 'Masi', 'unlimited', 'a month', 'Telkomsel', 'good', 'disappointing',"&amp;" 'mending', 'replace', 'card', 'oath' , 'Telkomsel', 'Blood']")</f>
        <v>['Say ",' unlimited ',' he knows ',' restrictions ',' quota ',' expensive ',' said ',' unlimited ',' a month ',' restrictions ',' quota ',' yesterday ',' rich ',' that's', 'yesterday', 'Masi', 'unlimited', 'a month', 'Telkomsel', 'good', 'disappointing', 'mending', 'replace', 'card', 'oath' , 'Telkomsel', 'Blood']</v>
      </c>
      <c r="D563" s="3">
        <v>1.0</v>
      </c>
    </row>
    <row r="564" ht="15.75" customHeight="1">
      <c r="A564" s="1">
        <v>562.0</v>
      </c>
      <c r="B564" s="3" t="s">
        <v>565</v>
      </c>
      <c r="C564" s="3" t="str">
        <f>IFERROR(__xludf.DUMMYFUNCTION("GOOGLETRANSLATE(B564,""id"",""en"")"),"['here', 'trash', 'sympathy', 'ok', 'cave', 'willing', 'pay', 'expensive', 'emang', 'cave', 'muin', 'signal', ' Good ',' right ',' Bener ',' garbage ',' plus', 'like', 'sucked', 'pulse', 'quota', 'already', 'dying', 'pulse', 'cave' , 'Goceng', 'abis',' qu"&amp;"ota ',' cave ',' hundred ',' yes', 'pulse', 'first', 'sucked', 'until', 'abis',' quota ',' Really ',' really ',' trash ',' Simpaty ',' ']")</f>
        <v>['here', 'trash', 'sympathy', 'ok', 'cave', 'willing', 'pay', 'expensive', 'emang', 'cave', 'muin', 'signal', ' Good ',' right ',' Bener ',' garbage ',' plus', 'like', 'sucked', 'pulse', 'quota', 'already', 'dying', 'pulse', 'cave' , 'Goceng', 'abis',' quota ',' cave ',' hundred ',' yes', 'pulse', 'first', 'sucked', 'until', 'abis',' quota ',' Really ',' really ',' trash ',' Simpaty ',' ']</v>
      </c>
      <c r="D564" s="3">
        <v>1.0</v>
      </c>
    </row>
    <row r="565" ht="15.75" customHeight="1">
      <c r="A565" s="1">
        <v>563.0</v>
      </c>
      <c r="B565" s="3" t="s">
        <v>566</v>
      </c>
      <c r="C565" s="3" t="str">
        <f>IFERROR(__xludf.DUMMYFUNCTION("GOOGLETRANSLATE(B565,""id"",""en"")"),"['Please', 'Sorry', 'Quota', 'Game', 'Login', 'Game', 'Connection', 'Internet', 'Quota', 'Buy', 'Please', 'Very' Udh ',' difficult ',' buy ',' pulse ',' base ',' ngntod ']")</f>
        <v>['Please', 'Sorry', 'Quota', 'Game', 'Login', 'Game', 'Connection', 'Internet', 'Quota', 'Buy', 'Please', 'Very' Udh ',' difficult ',' buy ',' pulse ',' base ',' ngntod ']</v>
      </c>
      <c r="D565" s="3">
        <v>1.0</v>
      </c>
    </row>
    <row r="566" ht="15.75" customHeight="1">
      <c r="A566" s="1">
        <v>564.0</v>
      </c>
      <c r="B566" s="3" t="s">
        <v>567</v>
      </c>
      <c r="C566" s="3" t="str">
        <f>IFERROR(__xludf.DUMMYFUNCTION("GOOGLETRANSLATE(B566,""id"",""en"")"),"['Network', 'extra', 'ugly', 'package', 'offer', 'expensive', 'tasty', 'area', 'Java', 'package', 'better', 'Indonesia', ' East ',' sadistic ',' expensive ']")</f>
        <v>['Network', 'extra', 'ugly', 'package', 'offer', 'expensive', 'tasty', 'area', 'Java', 'package', 'better', 'Indonesia', ' East ',' sadistic ',' expensive ']</v>
      </c>
      <c r="D566" s="3">
        <v>1.0</v>
      </c>
    </row>
    <row r="567" ht="15.75" customHeight="1">
      <c r="A567" s="1">
        <v>565.0</v>
      </c>
      <c r="B567" s="3" t="s">
        <v>568</v>
      </c>
      <c r="C567" s="3" t="str">
        <f>IFERROR(__xludf.DUMMYFUNCTION("GOOGLETRANSLATE(B567,""id"",""en"")"),"['Min', 'buy', 'package', 'combo', 'last night', 'directly', 'abis',' disappointed ',' bnget ',' original ',' pdhal ',' lgi ',' Promo ',' combo ',' cheap ',' TPI ',' lngsung ',' abis', 'last night', 'pdhal', 'reading', 'beg', 'solution', 'gan', ""]")</f>
        <v>['Min', 'buy', 'package', 'combo', 'last night', 'directly', 'abis',' disappointed ',' bnget ',' original ',' pdhal ',' lgi ',' Promo ',' combo ',' cheap ',' TPI ',' lngsung ',' abis', 'last night', 'pdhal', 'reading', 'beg', 'solution', 'gan', "]</v>
      </c>
      <c r="D567" s="3">
        <v>1.0</v>
      </c>
    </row>
    <row r="568" ht="15.75" customHeight="1">
      <c r="A568" s="1">
        <v>566.0</v>
      </c>
      <c r="B568" s="3" t="s">
        <v>569</v>
      </c>
      <c r="C568" s="3" t="str">
        <f>IFERROR(__xludf.DUMMYFUNCTION("GOOGLETRANSLATE(B568,""id"",""en"")"),"['Help', 'unlimited', 'limit', 'Normal', 'rich', 'unlimited', 'jdi', 'package', 'main', 'run out', 'watch', ' Udh ',' watch ', ""]")</f>
        <v>['Help', 'unlimited', 'limit', 'Normal', 'rich', 'unlimited', 'jdi', 'package', 'main', 'run out', 'watch', ' Udh ',' watch ', "]</v>
      </c>
      <c r="D568" s="3">
        <v>1.0</v>
      </c>
    </row>
    <row r="569" ht="15.75" customHeight="1">
      <c r="A569" s="1">
        <v>567.0</v>
      </c>
      <c r="B569" s="3" t="s">
        <v>570</v>
      </c>
      <c r="C569" s="3" t="str">
        <f>IFERROR(__xludf.DUMMYFUNCTION("GOOGLETRANSLATE(B569,""id"",""en"")"),"['', 'Sunday', 'contents',' package ',' Smok ',' contents', 'package', 'contents',' severe ',' slow ',' internet ',' expends', 'package ',' uda ',' Sue ',' package ',' game ',' conect ',' right ',' play ',' game ',' codm ',' loss', 'buy', ""]")</f>
        <v>['', 'Sunday', 'contents',' package ',' Smok ',' contents', 'package', 'contents',' severe ',' slow ',' internet ',' expends', 'package ',' uda ',' Sue ',' package ',' game ',' conect ',' right ',' play ',' game ',' codm ',' loss', 'buy', "]</v>
      </c>
      <c r="D569" s="3">
        <v>1.0</v>
      </c>
    </row>
    <row r="570" ht="15.75" customHeight="1">
      <c r="A570" s="1">
        <v>568.0</v>
      </c>
      <c r="B570" s="3" t="s">
        <v>571</v>
      </c>
      <c r="C570" s="3" t="str">
        <f>IFERROR(__xludf.DUMMYFUNCTION("GOOGLETRANSLATE(B570,""id"",""en"")"),"['Please', 'fix', 'purchase', 'quota', 'application', 'Telkomsel', 'buy', 'promo', 'for you', 'failed', 'fail', 'return', ' Credit ',' loss', 'pulse', 'scorched', 'vain', 'vain', 'please', 'fix']")</f>
        <v>['Please', 'fix', 'purchase', 'quota', 'application', 'Telkomsel', 'buy', 'promo', 'for you', 'failed', 'fail', 'return', ' Credit ',' loss', 'pulse', 'scorched', 'vain', 'vain', 'please', 'fix']</v>
      </c>
      <c r="D570" s="3">
        <v>1.0</v>
      </c>
    </row>
    <row r="571" ht="15.75" customHeight="1">
      <c r="A571" s="1">
        <v>569.0</v>
      </c>
      <c r="B571" s="3" t="s">
        <v>572</v>
      </c>
      <c r="C571" s="3" t="str">
        <f>IFERROR(__xludf.DUMMYFUNCTION("GOOGLETRANSLATE(B571,""id"",""en"")"),"['Telkomsel', 'ugly', 'really', 'smooth', 'see', 'leftover', 'quota', 'said', 'network', 'network', 'good', 'comfortable', ' use ',' Telkomsel ',' please ',' repaired ',' consumer ',' comfortable ',' the application ',' thank ',' love ']")</f>
        <v>['Telkomsel', 'ugly', 'really', 'smooth', 'see', 'leftover', 'quota', 'said', 'network', 'network', 'good', 'comfortable', ' use ',' Telkomsel ',' please ',' repaired ',' consumer ',' comfortable ',' the application ',' thank ',' love ']</v>
      </c>
      <c r="D571" s="3">
        <v>1.0</v>
      </c>
    </row>
    <row r="572" ht="15.75" customHeight="1">
      <c r="A572" s="1">
        <v>570.0</v>
      </c>
      <c r="B572" s="3" t="s">
        <v>573</v>
      </c>
      <c r="C572" s="3" t="str">
        <f>IFERROR(__xludf.DUMMYFUNCTION("GOOGLETRANSLATE(B572,""id"",""en"")"),"['Buy', 'Package', 'Gamemax', 'Silver', 'Main', 'Game', 'MLBB', 'Network', 'Disconnected', 'Enter', 'Match', 'Gamenya', ' The computer ',' Hadeeh ']")</f>
        <v>['Buy', 'Package', 'Gamemax', 'Silver', 'Main', 'Game', 'MLBB', 'Network', 'Disconnected', 'Enter', 'Match', 'Gamenya', ' The computer ',' Hadeeh ']</v>
      </c>
      <c r="D572" s="3">
        <v>1.0</v>
      </c>
    </row>
    <row r="573" ht="15.75" customHeight="1">
      <c r="A573" s="1">
        <v>571.0</v>
      </c>
      <c r="B573" s="3" t="s">
        <v>574</v>
      </c>
      <c r="C573" s="3" t="str">
        <f>IFERROR(__xludf.DUMMYFUNCTION("GOOGLETRANSLATE(B573,""id"",""en"")"),"['as',' use ',' Telkomsel ',' comfortable ',' purchase ',' package ',' data ',' pdhl ',' pulse ',' sufficient ',' transaction ',' repeat ',' Transactions', 'Tlog', 'Fix', '']")</f>
        <v>['as',' use ',' Telkomsel ',' comfortable ',' purchase ',' package ',' data ',' pdhl ',' pulse ',' sufficient ',' transaction ',' repeat ',' Transactions', 'Tlog', 'Fix', '']</v>
      </c>
      <c r="D573" s="3">
        <v>3.0</v>
      </c>
    </row>
    <row r="574" ht="15.75" customHeight="1">
      <c r="A574" s="1">
        <v>572.0</v>
      </c>
      <c r="B574" s="3" t="s">
        <v>575</v>
      </c>
      <c r="C574" s="3" t="str">
        <f>IFERROR(__xludf.DUMMYFUNCTION("GOOGLETRANSLATE(B574,""id"",""en"")"),"['Telkomsel', 'rich', 'Telkomsel', 'tasty', 'skrng', 'network', 'ugly', 'then', 'signal', 'then', 'please', 'repaired', ' ']")</f>
        <v>['Telkomsel', 'rich', 'Telkomsel', 'tasty', 'skrng', 'network', 'ugly', 'then', 'signal', 'then', 'please', 'repaired', ' ']</v>
      </c>
      <c r="D574" s="3">
        <v>1.0</v>
      </c>
    </row>
    <row r="575" ht="15.75" customHeight="1">
      <c r="A575" s="1">
        <v>573.0</v>
      </c>
      <c r="B575" s="3" t="s">
        <v>576</v>
      </c>
      <c r="C575" s="3" t="str">
        <f>IFERROR(__xludf.DUMMYFUNCTION("GOOGLETRANSLATE(B575,""id"",""en"")"),"['application', 'written', 'unlimited', 'multimedia', 'tapidi', 'limit', 'user', 'NYS', 'already', 'tupaket', 'buknnya', 'kpasitas',' JDI ',' Reduced ',' Disappointed ',' ']")</f>
        <v>['application', 'written', 'unlimited', 'multimedia', 'tapidi', 'limit', 'user', 'NYS', 'already', 'tupaket', 'buknnya', 'kpasitas',' JDI ',' Reduced ',' Disappointed ',' ']</v>
      </c>
      <c r="D575" s="3">
        <v>1.0</v>
      </c>
    </row>
    <row r="576" ht="15.75" customHeight="1">
      <c r="A576" s="1">
        <v>574.0</v>
      </c>
      <c r="B576" s="3" t="s">
        <v>577</v>
      </c>
      <c r="C576" s="3" t="str">
        <f>IFERROR(__xludf.DUMMYFUNCTION("GOOGLETRANSLATE(B576,""id"",""en"")"),"['Telkomsel', 'Severe', 'customers',' loyal ',' Telkomsel ',' already ',' disappointed ',' heavy ',' network ',' slow ',' severe ',' open ',' YouTube ',' Loading ',' Mulu ',' Severe ',' Severe ',' Disappointed ',' Disappointed ',' Play ',' Pubg ',' Game '"&amp;",' Network ',' Lost ',' then ' , 'That's', 'then', 'smpe', 'play', 'game', 'win', 'disappointed', '']")</f>
        <v>['Telkomsel', 'Severe', 'customers',' loyal ',' Telkomsel ',' already ',' disappointed ',' heavy ',' network ',' slow ',' severe ',' open ',' YouTube ',' Loading ',' Mulu ',' Severe ',' Severe ',' Disappointed ',' Disappointed ',' Play ',' Pubg ',' Game ',' Network ',' Lost ',' then ' , 'That's', 'then', 'smpe', 'play', 'game', 'win', 'disappointed', '']</v>
      </c>
      <c r="D576" s="3">
        <v>1.0</v>
      </c>
    </row>
    <row r="577" ht="15.75" customHeight="1">
      <c r="A577" s="1">
        <v>575.0</v>
      </c>
      <c r="B577" s="3" t="s">
        <v>578</v>
      </c>
      <c r="C577" s="3" t="str">
        <f>IFERROR(__xludf.DUMMYFUNCTION("GOOGLETRANSLATE(B577,""id"",""en"")"),"['virtue', 'ugly', 'iyaa', 'number', 'cave', 'registered', 'emergency', 'automatic', 'jdi', 'pulse', 'buy', 'direct', ' Cut out ',' knowledge ',' ']")</f>
        <v>['virtue', 'ugly', 'iyaa', 'number', 'cave', 'registered', 'emergency', 'automatic', 'jdi', 'pulse', 'buy', 'direct', ' Cut out ',' knowledge ',' ']</v>
      </c>
      <c r="D577" s="3">
        <v>1.0</v>
      </c>
    </row>
    <row r="578" ht="15.75" customHeight="1">
      <c r="A578" s="1">
        <v>576.0</v>
      </c>
      <c r="B578" s="3" t="s">
        <v>579</v>
      </c>
      <c r="C578" s="3" t="str">
        <f>IFERROR(__xludf.DUMMYFUNCTION("GOOGLETRANSLATE(B578,""id"",""en"")"),"['signal', 'slow', 'active', 'active', 'contents',' pulse ',' adds', 'active', 'cheer', 'active', 'run out', 'operator', ' Best ',' worst ']")</f>
        <v>['signal', 'slow', 'active', 'active', 'contents',' pulse ',' adds', 'active', 'cheer', 'active', 'run out', 'operator', ' Best ',' worst ']</v>
      </c>
      <c r="D578" s="3">
        <v>1.0</v>
      </c>
    </row>
    <row r="579" ht="15.75" customHeight="1">
      <c r="A579" s="1">
        <v>577.0</v>
      </c>
      <c r="B579" s="3" t="s">
        <v>580</v>
      </c>
      <c r="C579" s="3" t="str">
        <f>IFERROR(__xludf.DUMMYFUNCTION("GOOGLETRANSLATE(B579,""id"",""en"")"),"['Thank you', 'present', 'application', 'benefits',' easy ',' use ',' hope ',' improvement ',' promo ',' service ',' increase ',' network ',' Strong ',' area ',' remote ',' countryside ',' ']")</f>
        <v>['Thank you', 'present', 'application', 'benefits',' easy ',' use ',' hope ',' improvement ',' promo ',' service ',' increase ',' network ',' Strong ',' area ',' remote ',' countryside ',' ']</v>
      </c>
      <c r="D579" s="3">
        <v>5.0</v>
      </c>
    </row>
    <row r="580" ht="15.75" customHeight="1">
      <c r="A580" s="1">
        <v>578.0</v>
      </c>
      <c r="B580" s="3" t="s">
        <v>581</v>
      </c>
      <c r="C580" s="3" t="str">
        <f>IFERROR(__xludf.DUMMYFUNCTION("GOOGLETRANSLATE(B580,""id"",""en"")"),"['Telkomsel', 'strange', 'buy', 'prime', 'unlimited', 'Telkomsel', 'use', 'quota', 'unlimited', 'spend', 'quota', 'main', ' Quota ',' main ',' run out ',' unlimited ',' used ',' rich ',' gini ',' mah ',' kasian ',' pelpa ',' loyal ',' Telkomsel ',' develo"&amp;"ping ' , 'Problems']")</f>
        <v>['Telkomsel', 'strange', 'buy', 'prime', 'unlimited', 'Telkomsel', 'use', 'quota', 'unlimited', 'spend', 'quota', 'main', ' Quota ',' main ',' run out ',' unlimited ',' used ',' rich ',' gini ',' mah ',' kasian ',' pelpa ',' loyal ',' Telkomsel ',' developing ' , 'Problems']</v>
      </c>
      <c r="D580" s="3">
        <v>1.0</v>
      </c>
    </row>
    <row r="581" ht="15.75" customHeight="1">
      <c r="A581" s="1">
        <v>579.0</v>
      </c>
      <c r="B581" s="3" t="s">
        <v>582</v>
      </c>
      <c r="C581" s="3" t="str">
        <f>IFERROR(__xludf.DUMMYFUNCTION("GOOGLETRANSLATE(B581,""id"",""en"")"),"['please', 'network', 'application', 'fix', 'already', 'update', 'slow', 'open', 'open', 'difficult', 'check', 'left', ' Quota ',' dizzy ',' ']")</f>
        <v>['please', 'network', 'application', 'fix', 'already', 'update', 'slow', 'open', 'open', 'difficult', 'check', 'left', ' Quota ',' dizzy ',' ']</v>
      </c>
      <c r="D581" s="3">
        <v>3.0</v>
      </c>
    </row>
    <row r="582" ht="15.75" customHeight="1">
      <c r="A582" s="1">
        <v>580.0</v>
      </c>
      <c r="B582" s="3" t="s">
        <v>583</v>
      </c>
      <c r="C582" s="3" t="str">
        <f>IFERROR(__xludf.DUMMYFUNCTION("GOOGLETRANSLATE(B582,""id"",""en"")"),"['Telkomsel', 'heart', 'quota', 'gamesmax', 'plusin', 'application', 'call', 'duty', 'ngalotak', 'little', 'quota', 'main', ' Mulu ',' Multimedia ',' Multimedia ',' Unemployed ',' Mulu ',' Pay ',' Expensive ',' Manchester ', ""]")</f>
        <v>['Telkomsel', 'heart', 'quota', 'gamesmax', 'plusin', 'application', 'call', 'duty', 'ngalotak', 'little', 'quota', 'main', ' Mulu ',' Multimedia ',' Multimedia ',' Unemployed ',' Mulu ',' Pay ',' Expensive ',' Manchester ', "]</v>
      </c>
      <c r="D582" s="3">
        <v>1.0</v>
      </c>
    </row>
    <row r="583" ht="15.75" customHeight="1">
      <c r="A583" s="1">
        <v>581.0</v>
      </c>
      <c r="B583" s="3" t="s">
        <v>584</v>
      </c>
      <c r="C583" s="3" t="str">
        <f>IFERROR(__xludf.DUMMYFUNCTION("GOOGLETRANSLATE(B583,""id"",""en"")"),"['Custumer', 'Telkomsel', 'Ngeluh', 'Love', 'Bintang', 'Kouta', 'Unlimited', 'Internet', 'Limit', 'Switch', 'Provider', ""]")</f>
        <v>['Custumer', 'Telkomsel', 'Ngeluh', 'Love', 'Bintang', 'Kouta', 'Unlimited', 'Internet', 'Limit', 'Switch', 'Provider', "]</v>
      </c>
      <c r="D583" s="3">
        <v>1.0</v>
      </c>
    </row>
    <row r="584" ht="15.75" customHeight="1">
      <c r="A584" s="1">
        <v>582.0</v>
      </c>
      <c r="B584" s="3" t="s">
        <v>585</v>
      </c>
      <c r="C584" s="3" t="str">
        <f>IFERROR(__xludf.DUMMYFUNCTION("GOOGLETRANSLATE(B584,""id"",""en"")"),"['Telkomsel', 'Telkomsel', 'Network', 'Talk', 'work', 'Luat', 'Telkomsel', 'Removing', 'Rindu', 'family', 'admin', 'Telkomsel', ' Have ',' People ']")</f>
        <v>['Telkomsel', 'Telkomsel', 'Network', 'Talk', 'work', 'Luat', 'Telkomsel', 'Removing', 'Rindu', 'family', 'admin', 'Telkomsel', ' Have ',' People ']</v>
      </c>
      <c r="D584" s="3">
        <v>5.0</v>
      </c>
    </row>
    <row r="585" ht="15.75" customHeight="1">
      <c r="A585" s="1">
        <v>583.0</v>
      </c>
      <c r="B585" s="3" t="s">
        <v>586</v>
      </c>
      <c r="C585" s="3" t="str">
        <f>IFERROR(__xludf.DUMMYFUNCTION("GOOGLETRANSLATE(B585,""id"",""en"")"),"['Hello', 'Telkomsel', 'the story', 'night', 'contents', 'pulse', 'times', 'credit', 'pulse', 'card', 'sympathy', 'later' check ',' application ',' pulseku ',' use ',' plan ',' take ',' package ',' internet ',' hrnya ',' tratata ',' pulse ',' ckup ',' pda"&amp;"hal ' , 'already', 'contents', 'forced', 'contents', 'pulse', 'counter', 'bru', 'times', 'disappointed', 'Telkomsel', ""]")</f>
        <v>['Hello', 'Telkomsel', 'the story', 'night', 'contents', 'pulse', 'times', 'credit', 'pulse', 'card', 'sympathy', 'later' check ',' application ',' pulseku ',' use ',' plan ',' take ',' package ',' internet ',' hrnya ',' tratata ',' pulse ',' ckup ',' pdahal ' , 'already', 'contents', 'forced', 'contents', 'pulse', 'counter', 'bru', 'times', 'disappointed', 'Telkomsel', "]</v>
      </c>
      <c r="D585" s="3">
        <v>2.0</v>
      </c>
    </row>
    <row r="586" ht="15.75" customHeight="1">
      <c r="A586" s="1">
        <v>584.0</v>
      </c>
      <c r="B586" s="3" t="s">
        <v>587</v>
      </c>
      <c r="C586" s="3" t="str">
        <f>IFERROR(__xludf.DUMMYFUNCTION("GOOGLETRANSLATE(B586,""id"",""en"")"),"['Application', 'ad', 'ad', 'ad', 'info', 'suck', 'quota', 'different', 'neighbor', 'next door', 'focused', 'service', ' pulse ',' quota ',' info ',' package ',' ']")</f>
        <v>['Application', 'ad', 'ad', 'ad', 'info', 'suck', 'quota', 'different', 'neighbor', 'next door', 'focused', 'service', ' pulse ',' quota ',' info ',' package ',' ']</v>
      </c>
      <c r="D586" s="3">
        <v>1.0</v>
      </c>
    </row>
    <row r="587" ht="15.75" customHeight="1">
      <c r="A587" s="1">
        <v>585.0</v>
      </c>
      <c r="B587" s="3" t="s">
        <v>588</v>
      </c>
      <c r="C587" s="3" t="str">
        <f>IFERROR(__xludf.DUMMYFUNCTION("GOOGLETRANSLATE(B587,""id"",""en"")"),"['Telkomsel', 'Ngilak', 'a little', 'Dakjal', 'sell', 'package', 'expensive', 'expensive', 'network', 'macem', 'taik', 'pig', ' Shame ',' little ',' person ',' Telkomsel ',' Kek ',' Taik ',' network ',' please ',' fix ',' disappointed ',' already ',' subs"&amp;"cription ',' many years' , '']")</f>
        <v>['Telkomsel', 'Ngilak', 'a little', 'Dakjal', 'sell', 'package', 'expensive', 'expensive', 'network', 'macem', 'taik', 'pig', ' Shame ',' little ',' person ',' Telkomsel ',' Kek ',' Taik ',' network ',' please ',' fix ',' disappointed ',' already ',' subscription ',' many years' , '']</v>
      </c>
      <c r="D587" s="3">
        <v>5.0</v>
      </c>
    </row>
    <row r="588" ht="15.75" customHeight="1">
      <c r="A588" s="1">
        <v>586.0</v>
      </c>
      <c r="B588" s="3" t="s">
        <v>589</v>
      </c>
      <c r="C588" s="3" t="str">
        <f>IFERROR(__xludf.DUMMYFUNCTION("GOOGLETRANSLATE(B588,""id"",""en"")"),"['Please', 'sorry', 'love', 'star', 'play', 'game', 'ping it', 'package', 'leftover', 'GB', 'network', 'Telkomsel', ' Leet ',' already ',' expensive ',' slow ',' disappointed ']")</f>
        <v>['Please', 'sorry', 'love', 'star', 'play', 'game', 'ping it', 'package', 'leftover', 'GB', 'network', 'Telkomsel', ' Leet ',' already ',' expensive ',' slow ',' disappointed ']</v>
      </c>
      <c r="D588" s="3">
        <v>2.0</v>
      </c>
    </row>
    <row r="589" ht="15.75" customHeight="1">
      <c r="A589" s="1">
        <v>587.0</v>
      </c>
      <c r="B589" s="3" t="s">
        <v>590</v>
      </c>
      <c r="C589" s="3" t="str">
        <f>IFERROR(__xludf.DUMMYFUNCTION("GOOGLETRANSLATE(B589,""id"",""en"")"),"['hope', 'application', 'information', 'version', 'please', 'Telkomsel', 'Dear', 'love', 'free', 'network', 'super', 'fast', ' anti ',' lag ',' thanks']")</f>
        <v>['hope', 'application', 'information', 'version', 'please', 'Telkomsel', 'Dear', 'love', 'free', 'network', 'super', 'fast', ' anti ',' lag ',' thanks']</v>
      </c>
      <c r="D589" s="3">
        <v>5.0</v>
      </c>
    </row>
    <row r="590" ht="15.75" customHeight="1">
      <c r="A590" s="1">
        <v>588.0</v>
      </c>
      <c r="B590" s="3" t="s">
        <v>591</v>
      </c>
      <c r="C590" s="3" t="str">
        <f>IFERROR(__xludf.DUMMYFUNCTION("GOOGLETRANSLATE(B590,""id"",""en"")"),"['quota', 'UDH', 'Login', 'get', 'quota', 'php', 'here', 'PHP', 'Telkomsel', 'cheating', 'Customer', '']")</f>
        <v>['quota', 'UDH', 'Login', 'get', 'quota', 'php', 'here', 'PHP', 'Telkomsel', 'cheating', 'Customer', '']</v>
      </c>
      <c r="D590" s="3">
        <v>1.0</v>
      </c>
    </row>
    <row r="591" ht="15.75" customHeight="1">
      <c r="A591" s="1">
        <v>589.0</v>
      </c>
      <c r="B591" s="3" t="s">
        <v>592</v>
      </c>
      <c r="C591" s="3" t="str">
        <f>IFERROR(__xludf.DUMMYFUNCTION("GOOGLETRANSLATE(B591,""id"",""en"")"),"['Open', 'Application', 'MyTelkomsel', 'Packagein', 'quota', 'Cut', 'Rb', 'Crazy', 'Figure', 'Credit', 'Belom', 'Dipake', ' Medsos', 'already', 'run out', 'pulses',' Damn ',' ']")</f>
        <v>['Open', 'Application', 'MyTelkomsel', 'Packagein', 'quota', 'Cut', 'Rb', 'Crazy', 'Figure', 'Credit', 'Belom', 'Dipake', ' Medsos', 'already', 'run out', 'pulses',' Damn ',' ']</v>
      </c>
      <c r="D591" s="3">
        <v>1.0</v>
      </c>
    </row>
    <row r="592" ht="15.75" customHeight="1">
      <c r="A592" s="1">
        <v>590.0</v>
      </c>
      <c r="B592" s="3" t="s">
        <v>593</v>
      </c>
      <c r="C592" s="3" t="str">
        <f>IFERROR(__xludf.DUMMYFUNCTION("GOOGLETRANSLATE(B592,""id"",""en"")"),"['network', 'slow', 'really', 'disappointed', 'really', 'Telkomsel', 'already', 'consistent', 'aduuh', 'just', 'disappointed', 'really', ' Check ',' quota ',' Telkomsel ',' Wait ',' really ',' until ',' bored ']")</f>
        <v>['network', 'slow', 'really', 'disappointed', 'really', 'Telkomsel', 'already', 'consistent', 'aduuh', 'just', 'disappointed', 'really', ' Check ',' quota ',' Telkomsel ',' Wait ',' really ',' until ',' bored ']</v>
      </c>
      <c r="D592" s="3">
        <v>1.0</v>
      </c>
    </row>
    <row r="593" ht="15.75" customHeight="1">
      <c r="A593" s="1">
        <v>591.0</v>
      </c>
      <c r="B593" s="3" t="s">
        <v>594</v>
      </c>
      <c r="C593" s="3" t="str">
        <f>IFERROR(__xludf.DUMMYFUNCTION("GOOGLETRANSLATE(B593,""id"",""en"")"),"['swear', 'like', 'really', 'smaa', 'Telkomsel', 'package', 'unlimited', 'limit', 'quota', 'expensive', 'tissue', 'slow', ' Confused ',' ntah ',' expensive ',' good ',' good ',' network ',' ']")</f>
        <v>['swear', 'like', 'really', 'smaa', 'Telkomsel', 'package', 'unlimited', 'limit', 'quota', 'expensive', 'tissue', 'slow', ' Confused ',' ntah ',' expensive ',' good ',' good ',' network ',' ']</v>
      </c>
      <c r="D593" s="3">
        <v>1.0</v>
      </c>
    </row>
    <row r="594" ht="15.75" customHeight="1">
      <c r="A594" s="1">
        <v>592.0</v>
      </c>
      <c r="B594" s="3" t="s">
        <v>595</v>
      </c>
      <c r="C594" s="3" t="str">
        <f>IFERROR(__xludf.DUMMYFUNCTION("GOOGLETRANSLATE(B594,""id"",""en"")"),"['Please', 'donk', 'Telkomsel', 'sympathy', 'social', 'media', 'quota', 'main', 'run out', 'severe', '']")</f>
        <v>['Please', 'donk', 'Telkomsel', 'sympathy', 'social', 'media', 'quota', 'main', 'run out', 'severe', '']</v>
      </c>
      <c r="D594" s="3">
        <v>1.0</v>
      </c>
    </row>
    <row r="595" ht="15.75" customHeight="1">
      <c r="A595" s="1">
        <v>593.0</v>
      </c>
      <c r="B595" s="3" t="s">
        <v>596</v>
      </c>
      <c r="C595" s="3" t="str">
        <f>IFERROR(__xludf.DUMMYFUNCTION("GOOGLETRANSLATE(B595,""id"",""en"")"),"['make', 'operator', 'Telkomsel', 'already', 'many years',' times', 'disappointed', 'network', 'slow', 'area', 'laen', 'smooth', ' gilirand ',' area ',' slow ',' really ',' gini ',' change ',' operator ',' laen ']")</f>
        <v>['make', 'operator', 'Telkomsel', 'already', 'many years',' times', 'disappointed', 'network', 'slow', 'area', 'laen', 'smooth', ' gilirand ',' area ',' slow ',' really ',' gini ',' change ',' operator ',' laen ']</v>
      </c>
      <c r="D595" s="3">
        <v>1.0</v>
      </c>
    </row>
    <row r="596" ht="15.75" customHeight="1">
      <c r="A596" s="1">
        <v>594.0</v>
      </c>
      <c r="B596" s="3" t="s">
        <v>597</v>
      </c>
      <c r="C596" s="3" t="str">
        <f>IFERROR(__xludf.DUMMYFUNCTION("GOOGLETRANSLATE(B596,""id"",""en"")"),"['Please', 'repaired', 'enter', 'into', 'application', 'difficult', 'entry', 'network', 'good', 'enter', 'into', 'application', ' difficult ',' check ',' package ',' contents', 'package', 'etc.', '']")</f>
        <v>['Please', 'repaired', 'enter', 'into', 'application', 'difficult', 'entry', 'network', 'good', 'enter', 'into', 'application', ' difficult ',' check ',' package ',' contents', 'package', 'etc.', '']</v>
      </c>
      <c r="D596" s="3">
        <v>2.0</v>
      </c>
    </row>
    <row r="597" ht="15.75" customHeight="1">
      <c r="A597" s="1">
        <v>595.0</v>
      </c>
      <c r="B597" s="3" t="s">
        <v>598</v>
      </c>
      <c r="C597" s="3" t="str">
        <f>IFERROR(__xludf.DUMMYFUNCTION("GOOGLETRANSLATE(B597,""id"",""en"")"),"['Contents',' Credit ',' Tomorrow ',' Ngechek ',' Credit ',' Credit ',' Called ',' Phone ',' SMS ',' Internet ',' Check ',' History ',' Use ',' notification ',' anything ',' Telkomsel ',' steal ',' notification ', ""]")</f>
        <v>['Contents',' Credit ',' Tomorrow ',' Ngechek ',' Credit ',' Credit ',' Called ',' Phone ',' SMS ',' Internet ',' Check ',' History ',' Use ',' notification ',' anything ',' Telkomsel ',' steal ',' notification ', "]</v>
      </c>
      <c r="D597" s="3">
        <v>1.0</v>
      </c>
    </row>
    <row r="598" ht="15.75" customHeight="1">
      <c r="A598" s="1">
        <v>596.0</v>
      </c>
      <c r="B598" s="3" t="s">
        <v>599</v>
      </c>
      <c r="C598" s="3" t="str">
        <f>IFERROR(__xludf.DUMMYFUNCTION("GOOGLETRANSLATE(B598,""id"",""en"")"),"['Star', 'Network', 'Telkomsel', 'Good', 'Network', 'Good', 'Network', 'Telkomsel', 'Good', 'Faithful', 'Telkomsel', 'Network', ' Telkomsel ',' Good ',' Bohongan ',' Telkomsel ']")</f>
        <v>['Star', 'Network', 'Telkomsel', 'Good', 'Network', 'Good', 'Network', 'Telkomsel', 'Good', 'Faithful', 'Telkomsel', 'Network', ' Telkomsel ',' Good ',' Bohongan ',' Telkomsel ']</v>
      </c>
      <c r="D598" s="3">
        <v>1.0</v>
      </c>
    </row>
    <row r="599" ht="15.75" customHeight="1">
      <c r="A599" s="1">
        <v>597.0</v>
      </c>
      <c r="B599" s="3" t="s">
        <v>600</v>
      </c>
      <c r="C599" s="3" t="str">
        <f>IFERROR(__xludf.DUMMYFUNCTION("GOOGLETRANSLATE(B599,""id"",""en"")"),"['APL', 'Tlkomsel', 'Most', 'connection', 'stable', 'open', 'APL', 'Loading', 'reset', 'speed', 'network', 'please', ' Repaired ']")</f>
        <v>['APL', 'Tlkomsel', 'Most', 'connection', 'stable', 'open', 'APL', 'Loading', 'reset', 'speed', 'network', 'please', ' Repaired ']</v>
      </c>
      <c r="D599" s="3">
        <v>3.0</v>
      </c>
    </row>
    <row r="600" ht="15.75" customHeight="1">
      <c r="A600" s="1">
        <v>598.0</v>
      </c>
      <c r="B600" s="3" t="s">
        <v>601</v>
      </c>
      <c r="C600" s="3" t="str">
        <f>IFERROR(__xludf.DUMMYFUNCTION("GOOGLETRANSLATE(B600,""id"",""en"")"),"['Telkomsel', 'most', 'eat', 'pig', 'network', 'slow', 'quality', 'expensive', 'slow', 'access',' apps', 'Telkomsel', ' Free ',' Network ',' Snail ',' Eat ',' Quota ',' Leut ']")</f>
        <v>['Telkomsel', 'most', 'eat', 'pig', 'network', 'slow', 'quality', 'expensive', 'slow', 'access',' apps', 'Telkomsel', ' Free ',' Network ',' Snail ',' Eat ',' Quota ',' Leut ']</v>
      </c>
      <c r="D600" s="3">
        <v>1.0</v>
      </c>
    </row>
    <row r="601" ht="15.75" customHeight="1">
      <c r="A601" s="1">
        <v>599.0</v>
      </c>
      <c r="B601" s="3" t="s">
        <v>602</v>
      </c>
      <c r="C601" s="3" t="str">
        <f>IFERROR(__xludf.DUMMYFUNCTION("GOOGLETRANSLATE(B601,""id"",""en"")"),"['Please', 'Fix', 'Signal', 'Bales',' Sorry ',' Maaaaaf ',' Doang ',' BRP ',' BNYK ',' People ',' Complaint ',' Network ',' slow ',' signal ',' quality ',' user ',' need ',' action ',' border ',' empty ', ""]")</f>
        <v>['Please', 'Fix', 'Signal', 'Bales',' Sorry ',' Maaaaaf ',' Doang ',' BRP ',' BNYK ',' People ',' Complaint ',' Network ',' slow ',' signal ',' quality ',' user ',' need ',' action ',' border ',' empty ', "]</v>
      </c>
      <c r="D601" s="3">
        <v>1.0</v>
      </c>
    </row>
    <row r="602" ht="15.75" customHeight="1">
      <c r="A602" s="1">
        <v>600.0</v>
      </c>
      <c r="B602" s="3" t="s">
        <v>603</v>
      </c>
      <c r="C602" s="3" t="str">
        <f>IFERROR(__xludf.DUMMYFUNCTION("GOOGLETRANSLATE(B602,""id"",""en"")"),"['Dih', 'apasi', 'Telkomsel', 'tempo', 'network', 'good', 'drop', 'already', 'unlimited', 'limit', 'quota', 'main', ' Lower ',' speed ',' disturbed ',' network ',' drop ',' speed ',' MB ',' down ',' drastic ',' grateful ',' speed ',' MB ',' Drop ' , '']")</f>
        <v>['Dih', 'apasi', 'Telkomsel', 'tempo', 'network', 'good', 'drop', 'already', 'unlimited', 'limit', 'quota', 'main', ' Lower ',' speed ',' disturbed ',' network ',' drop ',' speed ',' MB ',' down ',' drastic ',' grateful ',' speed ',' MB ',' Drop ' , '']</v>
      </c>
      <c r="D602" s="3">
        <v>1.0</v>
      </c>
    </row>
    <row r="603" ht="15.75" customHeight="1">
      <c r="A603" s="1">
        <v>601.0</v>
      </c>
      <c r="B603" s="3" t="s">
        <v>604</v>
      </c>
      <c r="C603" s="3" t="str">
        <f>IFERROR(__xludf.DUMMYFUNCTION("GOOGLETRANSLATE(B603,""id"",""en"")"),"['Telkomsel', 'Harii', 'BERES', 'Network', 'already', 'bad', 'network', 'down', 'get', 'pulse', 'gokillll', 'card', ' Inaulu ',' Gini ',' Kapok ',' Register ',' Package ',' Credit ',' Always', 'Tolling', 'Loss',' Bangett ',' Already ',' Network ',' ilang "&amp;"' , 'please', 'kaloo', 'gini', 'kapok', 'telkomsel', 'pulse', 'buy', 'money', 'telkomsel', 'play', 'cut', 'ajah', ' Notifications', 'Please', 'Gimanaa', 'Loss',' Thx ']")</f>
        <v>['Telkomsel', 'Harii', 'BERES', 'Network', 'already', 'bad', 'network', 'down', 'get', 'pulse', 'gokillll', 'card', ' Inaulu ',' Gini ',' Kapok ',' Register ',' Package ',' Credit ',' Always', 'Tolling', 'Loss',' Bangett ',' Already ',' Network ',' ilang ' , 'please', 'kaloo', 'gini', 'kapok', 'telkomsel', 'pulse', 'buy', 'money', 'telkomsel', 'play', 'cut', 'ajah', ' Notifications', 'Please', 'Gimanaa', 'Loss',' Thx ']</v>
      </c>
      <c r="D603" s="3">
        <v>1.0</v>
      </c>
    </row>
    <row r="604" ht="15.75" customHeight="1">
      <c r="A604" s="1">
        <v>602.0</v>
      </c>
      <c r="B604" s="3" t="s">
        <v>605</v>
      </c>
      <c r="C604" s="3" t="str">
        <f>IFERROR(__xludf.DUMMYFUNCTION("GOOGLETRANSLATE(B604,""id"",""en"")"),"['disappointing', 'buy', 'package', 'expensive', 'ehh', 'network', 'bad', 'please', 'Telkomsel', 'repaired', 'customer', 'disappointed', ' ']")</f>
        <v>['disappointing', 'buy', 'package', 'expensive', 'ehh', 'network', 'bad', 'please', 'Telkomsel', 'repaired', 'customer', 'disappointed', ' ']</v>
      </c>
      <c r="D604" s="3">
        <v>1.0</v>
      </c>
    </row>
    <row r="605" ht="15.75" customHeight="1">
      <c r="A605" s="1">
        <v>603.0</v>
      </c>
      <c r="B605" s="3" t="s">
        <v>606</v>
      </c>
      <c r="C605" s="3" t="str">
        <f>IFERROR(__xludf.DUMMYFUNCTION("GOOGLETRANSLATE(B605,""id"",""en"")"),"['application', 'strange', 'gajelas',' cave ',' pulse ',' buy ',' package ',' price ',' package ',' bought ',' GB ',' pulse ',' mustny ',' leftover ',' run out ',' Bangsaaattt ',' application ',' msh ',' ngebug ', ""]")</f>
        <v>['application', 'strange', 'gajelas',' cave ',' pulse ',' buy ',' package ',' price ',' package ',' bought ',' GB ',' pulse ',' mustny ',' leftover ',' run out ',' Bangsaaattt ',' application ',' msh ',' ngebug ', "]</v>
      </c>
      <c r="D605" s="3">
        <v>1.0</v>
      </c>
    </row>
    <row r="606" ht="15.75" customHeight="1">
      <c r="A606" s="1">
        <v>604.0</v>
      </c>
      <c r="B606" s="3" t="s">
        <v>607</v>
      </c>
      <c r="C606" s="3" t="str">
        <f>IFERROR(__xludf.DUMMYFUNCTION("GOOGLETRANSLATE(B606,""id"",""en"")"),"['Disappointed', 'Telkomsel', 'price', 'expensive', 'Telkomsel', 'please', 'low', 'price', 'auto', 'moved', 'im']")</f>
        <v>['Disappointed', 'Telkomsel', 'price', 'expensive', 'Telkomsel', 'please', 'low', 'price', 'auto', 'moved', 'im']</v>
      </c>
      <c r="D606" s="3">
        <v>1.0</v>
      </c>
    </row>
    <row r="607" ht="15.75" customHeight="1">
      <c r="A607" s="1">
        <v>605.0</v>
      </c>
      <c r="B607" s="3" t="s">
        <v>608</v>
      </c>
      <c r="C607" s="3" t="str">
        <f>IFERROR(__xludf.DUMMYFUNCTION("GOOGLETRANSLATE(B607,""id"",""en"")"),"['Mending', 'use', 'Indosat', 'Network', 'Telkomsel', 'bad', 'Severe', 'Detained', 'Determine', 'Use', 'Telkomsel', 'Moon', ' network ',' Selemot ',' hope ',' NNT ',' good ',' progress', 'beg', 'sorry', 'choose', 'change', 'provider', ""]")</f>
        <v>['Mending', 'use', 'Indosat', 'Network', 'Telkomsel', 'bad', 'Severe', 'Detained', 'Determine', 'Use', 'Telkomsel', 'Moon', ' network ',' Selemot ',' hope ',' NNT ',' good ',' progress', 'beg', 'sorry', 'choose', 'change', 'provider', "]</v>
      </c>
      <c r="D607" s="3">
        <v>1.0</v>
      </c>
    </row>
    <row r="608" ht="15.75" customHeight="1">
      <c r="A608" s="1">
        <v>606.0</v>
      </c>
      <c r="B608" s="3" t="s">
        <v>609</v>
      </c>
      <c r="C608" s="3" t="str">
        <f>IFERROR(__xludf.DUMMYFUNCTION("GOOGLETRANSLATE(B608,""id"",""en"")"),"['Signal', 'Best', 'Credit', 'Sumpot', 'Telkomsel', 'Lost', 'User']")</f>
        <v>['Signal', 'Best', 'Credit', 'Sumpot', 'Telkomsel', 'Lost', 'User']</v>
      </c>
      <c r="D608" s="3">
        <v>1.0</v>
      </c>
    </row>
    <row r="609" ht="15.75" customHeight="1">
      <c r="A609" s="1">
        <v>607.0</v>
      </c>
      <c r="B609" s="3" t="s">
        <v>610</v>
      </c>
      <c r="C609" s="3" t="str">
        <f>IFERROR(__xludf.DUMMYFUNCTION("GOOGLETRANSLATE(B609,""id"",""en"")"),"['network', 'Telkomsel', 'bad', 'play', 'game', 'ngeyoutube', 'etc.', 'loading', 'error', 'connection', 'Telkomsel', 'please', ' Fix ',' Network ',' ']")</f>
        <v>['network', 'Telkomsel', 'bad', 'play', 'game', 'ngeyoutube', 'etc.', 'loading', 'error', 'connection', 'Telkomsel', 'please', ' Fix ',' Network ',' ']</v>
      </c>
      <c r="D609" s="3">
        <v>1.0</v>
      </c>
    </row>
    <row r="610" ht="15.75" customHeight="1">
      <c r="A610" s="1">
        <v>608.0</v>
      </c>
      <c r="B610" s="3" t="s">
        <v>611</v>
      </c>
      <c r="C610" s="3" t="str">
        <f>IFERROR(__xludf.DUMMYFUNCTION("GOOGLETRANSLATE(B610,""id"",""en"")"),"['Woy', 'Telkomsel', 'as',' Peak ',' Treding ',' Operator ',' Indonesia ',' Please ',' Network ',' Enternet ',' Accelerate ',' Shy ',' OPT ',' Package ',' Inet ',' Cheap ',' Signal ',' Milan ',' Telkomsel ',' Next ',' Skadar ',' Suggestions', ""]")</f>
        <v>['Woy', 'Telkomsel', 'as',' Peak ',' Treding ',' Operator ',' Indonesia ',' Please ',' Network ',' Enternet ',' Accelerate ',' Shy ',' OPT ',' Package ',' Inet ',' Cheap ',' Signal ',' Milan ',' Telkomsel ',' Next ',' Skadar ',' Suggestions', "]</v>
      </c>
      <c r="D610" s="3">
        <v>2.0</v>
      </c>
    </row>
    <row r="611" ht="15.75" customHeight="1">
      <c r="A611" s="1">
        <v>609.0</v>
      </c>
      <c r="B611" s="3" t="s">
        <v>612</v>
      </c>
      <c r="C611" s="3" t="str">
        <f>IFERROR(__xludf.DUMMYFUNCTION("GOOGLETRANSLATE(B611,""id"",""en"")"),"['Come', 'bad', 'speed', 'slow', 'slow', 'promotion', 'klu', 'result', 'signal', 'speed', 'bad', 'package', ' unlimited ',' social ',' media ',' super ',' slow ']")</f>
        <v>['Come', 'bad', 'speed', 'slow', 'slow', 'promotion', 'klu', 'result', 'signal', 'speed', 'bad', 'package', ' unlimited ',' social ',' media ',' super ',' slow ']</v>
      </c>
      <c r="D611" s="3">
        <v>1.0</v>
      </c>
    </row>
    <row r="612" ht="15.75" customHeight="1">
      <c r="A612" s="1">
        <v>610.0</v>
      </c>
      <c r="B612" s="3" t="s">
        <v>613</v>
      </c>
      <c r="C612" s="3" t="str">
        <f>IFERROR(__xludf.DUMMYFUNCTION("GOOGLETRANSLATE(B612,""id"",""en"")"),"['user', 'Sometimes',' helped ',' tuk ',' service ',' internet ',' Telkomsel ',' affordable ',' network ',' broad ',' it's easy ',' users', ' Communicate ',' Regions', 'Indonesia', '']")</f>
        <v>['user', 'Sometimes',' helped ',' tuk ',' service ',' internet ',' Telkomsel ',' affordable ',' network ',' broad ',' it's easy ',' users', ' Communicate ',' Regions', 'Indonesia', '']</v>
      </c>
      <c r="D612" s="3">
        <v>5.0</v>
      </c>
    </row>
    <row r="613" ht="15.75" customHeight="1">
      <c r="A613" s="1">
        <v>611.0</v>
      </c>
      <c r="B613" s="3" t="s">
        <v>614</v>
      </c>
      <c r="C613" s="3" t="str">
        <f>IFERROR(__xludf.DUMMYFUNCTION("GOOGLETRANSLATE(B613,""id"",""en"")"),"['', 'price', 'package', 'unlimited', 'signal', 'ugly', 'quota', 'local', 'quota', 'internet', 'finished', 'stay', 'quota ',' unlimited ',' jdi ',' slow ',' signal ',' min ',' no ',' rich ',' dlu ',' quota ',' main ',' quota ',' local ', 'Abis',' TPI ',' "&amp;"quota ',' unlimited ',' signal ',' smooth ',' TPI ',' signal ',' ugly ',' dlu ',' recommendation ',' friend ',' Telkomsel ',' Price ',' quota ',' Not bad ',' TPI ',' Sinyal ',' Good ',' JDI ',' according to ',' price ',' TPI ',' Thinking ', ""]")</f>
        <v>['', 'price', 'package', 'unlimited', 'signal', 'ugly', 'quota', 'local', 'quota', 'internet', 'finished', 'stay', 'quota ',' unlimited ',' jdi ',' slow ',' signal ',' min ',' no ',' rich ',' dlu ',' quota ',' main ',' quota ',' local ', 'Abis',' TPI ',' quota ',' unlimited ',' signal ',' smooth ',' TPI ',' signal ',' ugly ',' dlu ',' recommendation ',' friend ',' Telkomsel ',' Price ',' quota ',' Not bad ',' TPI ',' Sinyal ',' Good ',' JDI ',' according to ',' price ',' TPI ',' Thinking ', "]</v>
      </c>
      <c r="D613" s="3">
        <v>2.0</v>
      </c>
    </row>
    <row r="614" ht="15.75" customHeight="1">
      <c r="A614" s="1">
        <v>612.0</v>
      </c>
      <c r="B614" s="3" t="s">
        <v>615</v>
      </c>
      <c r="C614" s="3" t="str">
        <f>IFERROR(__xludf.DUMMYFUNCTION("GOOGLETRANSLATE(B614,""id"",""en"")"),"['application', 'junk', 'uninstall', 'funny', 'application', 'take', 'bonus',' package ',' sample ',' package ',' price ',' pulses', ' right ',' take ',' package ',' description ',' pulse ',' then ',' frequency ',' package ',' telephone ',' pulse ',' ntah"&amp;" ',' tetep ',' stuff ' , 'strange', 'emang', 'org', 'moved', 'operator', 'laen', 'weve', 'provider', 'tetep', 'ngatur', 'Menkom', 'Telkomsel', ' Complain ',' Sorry ',' Make ',' Telkomsel ',' Cave ',' Out ']")</f>
        <v>['application', 'junk', 'uninstall', 'funny', 'application', 'take', 'bonus',' package ',' sample ',' package ',' price ',' pulses', ' right ',' take ',' package ',' description ',' pulse ',' then ',' frequency ',' package ',' telephone ',' pulse ',' ntah ',' tetep ',' stuff ' , 'strange', 'emang', 'org', 'moved', 'operator', 'laen', 'weve', 'provider', 'tetep', 'ngatur', 'Menkom', 'Telkomsel', ' Complain ',' Sorry ',' Make ',' Telkomsel ',' Cave ',' Out ']</v>
      </c>
      <c r="D614" s="3">
        <v>1.0</v>
      </c>
    </row>
    <row r="615" ht="15.75" customHeight="1">
      <c r="A615" s="1">
        <v>613.0</v>
      </c>
      <c r="B615" s="3" t="s">
        <v>616</v>
      </c>
      <c r="C615" s="3" t="str">
        <f>IFERROR(__xludf.DUMMYFUNCTION("GOOGLETRANSLATE(B615,""id"",""en"")"),"['Formerly', 'buy', 'Package', 'Combo', 'Price', 'Trijangka', 'skrng', 'person', 'rich', 'price', 'SDAH', 'above' disappointing']")</f>
        <v>['Formerly', 'buy', 'Package', 'Combo', 'Price', 'Trijangka', 'skrng', 'person', 'rich', 'price', 'SDAH', 'above' disappointing']</v>
      </c>
      <c r="D615" s="3">
        <v>2.0</v>
      </c>
    </row>
    <row r="616" ht="15.75" customHeight="1">
      <c r="A616" s="1">
        <v>614.0</v>
      </c>
      <c r="B616" s="3" t="s">
        <v>617</v>
      </c>
      <c r="C616" s="3" t="str">
        <f>IFERROR(__xludf.DUMMYFUNCTION("GOOGLETRANSLATE(B616,""id"",""en"")"),"['Gatau', 'use', 'card', 'Telkomsel', 'network', 'Nyan', 'Haduuuhh', 'dizziness', 'use', 'card', 'Telkomsel', ""]")</f>
        <v>['Gatau', 'use', 'card', 'Telkomsel', 'network', 'Nyan', 'Haduuuhh', 'dizziness', 'use', 'card', 'Telkomsel', "]</v>
      </c>
      <c r="D616" s="3">
        <v>1.0</v>
      </c>
    </row>
    <row r="617" ht="15.75" customHeight="1">
      <c r="A617" s="1">
        <v>615.0</v>
      </c>
      <c r="B617" s="3" t="s">
        <v>618</v>
      </c>
      <c r="C617" s="3" t="str">
        <f>IFERROR(__xludf.DUMMYFUNCTION("GOOGLETRANSLATE(B617,""id"",""en"")"),"['Yesterday', 'contents',' RB ',' Dipake ',' UDH ',' Cut ',' Rupiah ',' Internet ',' Telkomsel ',' work ',' System ',' what ',' Min ',' tlg ',' replied ',' email ']")</f>
        <v>['Yesterday', 'contents',' RB ',' Dipake ',' UDH ',' Cut ',' Rupiah ',' Internet ',' Telkomsel ',' work ',' System ',' what ',' Min ',' tlg ',' replied ',' email ']</v>
      </c>
      <c r="D617" s="3">
        <v>1.0</v>
      </c>
    </row>
    <row r="618" ht="15.75" customHeight="1">
      <c r="A618" s="1">
        <v>616.0</v>
      </c>
      <c r="B618" s="3" t="s">
        <v>619</v>
      </c>
      <c r="C618" s="3" t="str">
        <f>IFERROR(__xludf.DUMMYFUNCTION("GOOGLETRANSLATE(B618,""id"",""en"")"),"['Provider', 'Plat', 'Red', 'Pioner', 'Internet', 'Cheap', 'Quality', 'Free', 'Prosperity', 'People', 'Indonesia', 'expensive', ' Dri ',' Provider ',' Private ',' Kah ',' Negriku ',' ']")</f>
        <v>['Provider', 'Plat', 'Red', 'Pioner', 'Internet', 'Cheap', 'Quality', 'Free', 'Prosperity', 'People', 'Indonesia', 'expensive', ' Dri ',' Provider ',' Private ',' Kah ',' Negriku ',' ']</v>
      </c>
      <c r="D618" s="3">
        <v>3.0</v>
      </c>
    </row>
    <row r="619" ht="15.75" customHeight="1">
      <c r="A619" s="1">
        <v>617.0</v>
      </c>
      <c r="B619" s="3" t="s">
        <v>620</v>
      </c>
      <c r="C619" s="3" t="str">
        <f>IFERROR(__xludf.DUMMYFUNCTION("GOOGLETRANSLATE(B619,""id"",""en"")"),"['Please', 'Sorry', 'Buy', 'Quota', 'Unlimited', 'Telkomsel', 'GB', 'Open', 'Instagram', 'Tiktok', 'YouTube', 'Games',' Chat ',' Whattsapp ',' Story ',' WhatsApp ',' Network ',' Full ',' ']")</f>
        <v>['Please', 'Sorry', 'Buy', 'Quota', 'Unlimited', 'Telkomsel', 'GB', 'Open', 'Instagram', 'Tiktok', 'YouTube', 'Games',' Chat ',' Whattsapp ',' Story ',' WhatsApp ',' Network ',' Full ',' ']</v>
      </c>
      <c r="D619" s="3">
        <v>1.0</v>
      </c>
    </row>
    <row r="620" ht="15.75" customHeight="1">
      <c r="A620" s="1">
        <v>618.0</v>
      </c>
      <c r="B620" s="3" t="s">
        <v>621</v>
      </c>
      <c r="C620" s="3" t="str">
        <f>IFERROR(__xludf.DUMMYFUNCTION("GOOGLETRANSLATE(B620,""id"",""en"")"),"['Disappointed', 'Quality', 'Signal', 'Plosok', 'Village', 'Please', 'Improve', 'Kalanya', 'Hanging', 'Disruption', 'Whatever', 'resulted in' signal ',' plung ',' village ',' slow ',' kasian ',' person ',' lived ',' plobal ',' village ',' complain ',' Sua"&amp;"h ',' signal ',' Telkomsel ' ]")</f>
        <v>['Disappointed', 'Quality', 'Signal', 'Plosok', 'Village', 'Please', 'Improve', 'Kalanya', 'Hanging', 'Disruption', 'Whatever', 'resulted in' signal ',' plung ',' village ',' slow ',' kasian ',' person ',' lived ',' plobal ',' village ',' complain ',' Suah ',' signal ',' Telkomsel ' ]</v>
      </c>
      <c r="D620" s="3">
        <v>1.0</v>
      </c>
    </row>
    <row r="621" ht="15.75" customHeight="1">
      <c r="A621" s="1">
        <v>619.0</v>
      </c>
      <c r="B621" s="3" t="s">
        <v>622</v>
      </c>
      <c r="C621" s="3" t="str">
        <f>IFERROR(__xludf.DUMMYFUNCTION("GOOGLETRANSLATE(B621,""id"",""en"")"),"['Hi', 'Sis',' Impertness', 'Successful', 'Please', 'Sorry', 'Paketan', 'Expensive', 'Network', 'Standard', 'Telkomsel', 'Mending', ' established ',' network ',' fix ',' network ',' disruption ',' pity ',' customer ',' area ',' Maluku ',' network ',' just"&amp;" ',' Telkomsel ',' so ' , 'thank you']")</f>
        <v>['Hi', 'Sis',' Impertness', 'Successful', 'Please', 'Sorry', 'Paketan', 'Expensive', 'Network', 'Standard', 'Telkomsel', 'Mending', ' established ',' network ',' fix ',' network ',' disruption ',' pity ',' customer ',' area ',' Maluku ',' network ',' just ',' Telkomsel ',' so ' , 'thank you']</v>
      </c>
      <c r="D621" s="3">
        <v>1.0</v>
      </c>
    </row>
    <row r="622" ht="15.75" customHeight="1">
      <c r="A622" s="1">
        <v>620.0</v>
      </c>
      <c r="B622" s="3" t="s">
        <v>623</v>
      </c>
      <c r="C622" s="3" t="str">
        <f>IFERROR(__xludf.DUMMYFUNCTION("GOOGLETRANSLATE(B622,""id"",""en"")"),"['signal', 'severe', 'cuk', 'proud of', 'slow', 'ngeta', 'in', 'how', 'nihh', 'cave', 'must', 'change', ' cards', 'Taun', 'PKE', 'Telkomsel', '']")</f>
        <v>['signal', 'severe', 'cuk', 'proud of', 'slow', 'ngeta', 'in', 'how', 'nihh', 'cave', 'must', 'change', ' cards', 'Taun', 'PKE', 'Telkomsel', '']</v>
      </c>
      <c r="D622" s="3">
        <v>2.0</v>
      </c>
    </row>
    <row r="623" ht="15.75" customHeight="1">
      <c r="A623" s="1">
        <v>621.0</v>
      </c>
      <c r="B623" s="3" t="s">
        <v>624</v>
      </c>
      <c r="C623" s="3" t="str">
        <f>IFERROR(__xludf.DUMMYFUNCTION("GOOGLETRANSLATE(B623,""id"",""en"")"),"['signal', 'Ngadat', 'City', 'Surabaya', 'ugly', 'signal', 'already', 'expensive', 'Please', 'repaired', 'signal', 'streaming', ' Ngeegame ',' sosmed ',' buffring ']")</f>
        <v>['signal', 'Ngadat', 'City', 'Surabaya', 'ugly', 'signal', 'already', 'expensive', 'Please', 'repaired', 'signal', 'streaming', ' Ngeegame ',' sosmed ',' buffring ']</v>
      </c>
      <c r="D623" s="3">
        <v>1.0</v>
      </c>
    </row>
    <row r="624" ht="15.75" customHeight="1">
      <c r="A624" s="1">
        <v>622.0</v>
      </c>
      <c r="B624" s="3" t="s">
        <v>625</v>
      </c>
      <c r="C624" s="3" t="str">
        <f>IFERROR(__xludf.DUMMYFUNCTION("GOOGLETRANSLATE(B624,""id"",""en"")"),"['application', 'damaged', 'promo', 'internet', 'credit', 'buy', 'pulse', 'information', 'pulse', 'buy', 'pulse', 'statement', ' package ',' bought ',' Please ',' fix ',' pulse ',' run out ',' sucked ',' karenda ',' data ',' ']")</f>
        <v>['application', 'damaged', 'promo', 'internet', 'credit', 'buy', 'pulse', 'information', 'pulse', 'buy', 'pulse', 'statement', ' package ',' bought ',' Please ',' fix ',' pulse ',' run out ',' sucked ',' karenda ',' data ',' ']</v>
      </c>
      <c r="D624" s="3">
        <v>1.0</v>
      </c>
    </row>
    <row r="625" ht="15.75" customHeight="1">
      <c r="A625" s="1">
        <v>623.0</v>
      </c>
      <c r="B625" s="3" t="s">
        <v>626</v>
      </c>
      <c r="C625" s="3" t="str">
        <f>IFERROR(__xludf.DUMMYFUNCTION("GOOGLETRANSLATE(B625,""id"",""en"")"),"['Good', 'already', 'package', 'malem', 'package', 'sahur', 'held', 'gapapa', 'gb', 'rb', 'reasons',' extend ',' Card ',' Thanks', '']")</f>
        <v>['Good', 'already', 'package', 'malem', 'package', 'sahur', 'held', 'gapapa', 'gb', 'rb', 'reasons',' extend ',' Card ',' Thanks', '']</v>
      </c>
      <c r="D625" s="3">
        <v>4.0</v>
      </c>
    </row>
    <row r="626" ht="15.75" customHeight="1">
      <c r="A626" s="1">
        <v>624.0</v>
      </c>
      <c r="B626" s="3" t="s">
        <v>627</v>
      </c>
      <c r="C626" s="3" t="str">
        <f>IFERROR(__xludf.DUMMYFUNCTION("GOOGLETRANSLATE(B626,""id"",""en"")"),"['application', 'fraud', 'Yesterday', 'contents',' pulse ',' package ',' rb ',' application ',' package ',' run out ',' entry ',' sense ',' high school ',' SKLI ',' SLMA ',' ISI ',' Counter ',' Nearest ',' HBIS ',' Young ',' Han ',' Application ',' Defici"&amp;"ency ',' Consumers', ""]")</f>
        <v>['application', 'fraud', 'Yesterday', 'contents',' pulse ',' package ',' rb ',' application ',' package ',' run out ',' entry ',' sense ',' high school ',' SKLI ',' SLMA ',' ISI ',' Counter ',' Nearest ',' HBIS ',' Young ',' Han ',' Application ',' Deficiency ',' Consumers', "]</v>
      </c>
      <c r="D626" s="3">
        <v>1.0</v>
      </c>
    </row>
    <row r="627" ht="15.75" customHeight="1">
      <c r="A627" s="1">
        <v>625.0</v>
      </c>
      <c r="B627" s="3" t="s">
        <v>628</v>
      </c>
      <c r="C627" s="3" t="str">
        <f>IFERROR(__xludf.DUMMYFUNCTION("GOOGLETRANSLATE(B627,""id"",""en"")"),"['slow', 'contents',' pulse ',' then ',' buy ',' package ',' application ',' notif ',' package ',' active ',' chopped ',' pulse ',' Regular ',' quota ',' package ',' pulse ',' leftover ',' thank ',' love ',' mytelkomsel ']")</f>
        <v>['slow', 'contents',' pulse ',' then ',' buy ',' package ',' application ',' notif ',' package ',' active ',' chopped ',' pulse ',' Regular ',' quota ',' package ',' pulse ',' leftover ',' thank ',' love ',' mytelkomsel ']</v>
      </c>
      <c r="D627" s="3">
        <v>1.0</v>
      </c>
    </row>
    <row r="628" ht="15.75" customHeight="1">
      <c r="A628" s="1">
        <v>626.0</v>
      </c>
      <c r="B628" s="3" t="s">
        <v>629</v>
      </c>
      <c r="C628" s="3" t="str">
        <f>IFERROR(__xludf.DUMMYFUNCTION("GOOGLETRANSLATE(B628,""id"",""en"")"),"['Package', 'buy', 'activation', 'Mending', 'display', 'shopping', 'App', 'Telkomsel', 'already', 'Try', 'many', 'times',' Failed ',' Activation ',' Credit ',' Comfortable ',' Runyam ']")</f>
        <v>['Package', 'buy', 'activation', 'Mending', 'display', 'shopping', 'App', 'Telkomsel', 'already', 'Try', 'many', 'times',' Failed ',' Activation ',' Credit ',' Comfortable ',' Runyam ']</v>
      </c>
      <c r="D628" s="3">
        <v>3.0</v>
      </c>
    </row>
    <row r="629" ht="15.75" customHeight="1">
      <c r="A629" s="1">
        <v>627.0</v>
      </c>
      <c r="B629" s="3" t="s">
        <v>630</v>
      </c>
      <c r="C629" s="3" t="str">
        <f>IFERROR(__xludf.DUMMYFUNCTION("GOOGLETRANSLATE(B629,""id"",""en"")"),"['Network', 'Telkomsel', 'Jeeeellllleeeekkkkkk', 'gave', 'network', 'unlimited', 'unlimited', 'disappointing', '']")</f>
        <v>['Network', 'Telkomsel', 'Jeeeellllleeeekkkkkk', 'gave', 'network', 'unlimited', 'unlimited', 'disappointing', '']</v>
      </c>
      <c r="D629" s="3">
        <v>1.0</v>
      </c>
    </row>
    <row r="630" ht="15.75" customHeight="1">
      <c r="A630" s="1">
        <v>628.0</v>
      </c>
      <c r="B630" s="3" t="s">
        <v>631</v>
      </c>
      <c r="C630" s="3" t="str">
        <f>IFERROR(__xludf.DUMMYFUNCTION("GOOGLETRANSLATE(B630,""id"",""en"")"),"['card', 'already', 'a week', 'network', 'kayak', 'gini', 'mending', 'replace', 'card', 'Mahin', 'telkom']")</f>
        <v>['card', 'already', 'a week', 'network', 'kayak', 'gini', 'mending', 'replace', 'card', 'Mahin', 'telkom']</v>
      </c>
      <c r="D630" s="3">
        <v>1.0</v>
      </c>
    </row>
    <row r="631" ht="15.75" customHeight="1">
      <c r="A631" s="1">
        <v>629.0</v>
      </c>
      <c r="B631" s="3" t="s">
        <v>632</v>
      </c>
      <c r="C631" s="3" t="str">
        <f>IFERROR(__xludf.DUMMYFUNCTION("GOOGLETRANSLATE(B631,""id"",""en"")"),"['Most', 'promo', 'quality', 'network', 'plump', 'yesterday', 'repair', 'here', 'ugly', 'network', 'home', 'dapet', ' bar ',' just ',' got ',' bar ',' and then ',' sometimes', 'alternating', 'karuan', ""]")</f>
        <v>['Most', 'promo', 'quality', 'network', 'plump', 'yesterday', 'repair', 'here', 'ugly', 'network', 'home', 'dapet', ' bar ',' just ',' got ',' bar ',' and then ',' sometimes', 'alternating', 'karuan', "]</v>
      </c>
      <c r="D631" s="3">
        <v>1.0</v>
      </c>
    </row>
    <row r="632" ht="15.75" customHeight="1">
      <c r="A632" s="1">
        <v>630.0</v>
      </c>
      <c r="B632" s="3" t="s">
        <v>633</v>
      </c>
      <c r="C632" s="3" t="str">
        <f>IFERROR(__xludf.DUMMYFUNCTION("GOOGLETRANSLATE(B632,""id"",""en"")"),"['Telkomsel', 'network', 'extensive', 'reach out', 'area', 'remote', 'my place', 'urban', 'network', 'slow', 'intention', 'Telkomsel', ' Complaints', 'users',' already ',' already ',' network ',' repaired ',' ']")</f>
        <v>['Telkomsel', 'network', 'extensive', 'reach out', 'area', 'remote', 'my place', 'urban', 'network', 'slow', 'intention', 'Telkomsel', ' Complaints', 'users',' already ',' already ',' network ',' repaired ',' ']</v>
      </c>
      <c r="D632" s="3">
        <v>1.0</v>
      </c>
    </row>
    <row r="633" ht="15.75" customHeight="1">
      <c r="A633" s="1">
        <v>631.0</v>
      </c>
      <c r="B633" s="3" t="s">
        <v>634</v>
      </c>
      <c r="C633" s="3" t="str">
        <f>IFERROR(__xludf.DUMMYFUNCTION("GOOGLETRANSLATE(B633,""id"",""en"")"),"['Like', 'Service', 'GraPARI', 'Mall', 'Coconut', 'Gading', 'Counter', 'Gaze', 'Polite', 'Eyes',' Friendly ',' Customer ',' Faithful ',' Telkomsel ',' Kiss', 'Date', 'May', 'Hour', 'WIB', 'Offering', 'Products',' Different ',' Price ',' Application ',' My"&amp;"Telkomsel ' , '']")</f>
        <v>['Like', 'Service', 'GraPARI', 'Mall', 'Coconut', 'Gading', 'Counter', 'Gaze', 'Polite', 'Eyes',' Friendly ',' Customer ',' Faithful ',' Telkomsel ',' Kiss', 'Date', 'May', 'Hour', 'WIB', 'Offering', 'Products',' Different ',' Price ',' Application ',' MyTelkomsel ' , '']</v>
      </c>
      <c r="D633" s="3">
        <v>1.0</v>
      </c>
    </row>
    <row r="634" ht="15.75" customHeight="1">
      <c r="A634" s="1">
        <v>632.0</v>
      </c>
      <c r="B634" s="3" t="s">
        <v>635</v>
      </c>
      <c r="C634" s="3" t="str">
        <f>IFERROR(__xludf.DUMMYFUNCTION("GOOGLETRANSLATE(B634,""id"",""en"")"),"['kapok', 'deh', 'package', 'quota', 'telkomsel', 'already', 'price', 'expensive', 'quota', 'fast', 'finished', 'already', ' That's', 'Package', 'Abis',' Credit ',' Cut ',' Mending ',' Quota ',' Operator ',' Exhaustible ',' According to ',' Active ',' Cre"&amp;"dit ',' Cut ' ]")</f>
        <v>['kapok', 'deh', 'package', 'quota', 'telkomsel', 'already', 'price', 'expensive', 'quota', 'fast', 'finished', 'already', ' That's', 'Package', 'Abis',' Credit ',' Cut ',' Mending ',' Quota ',' Operator ',' Exhaustible ',' According to ',' Active ',' Credit ',' Cut ' ]</v>
      </c>
      <c r="D634" s="3">
        <v>1.0</v>
      </c>
    </row>
    <row r="635" ht="15.75" customHeight="1">
      <c r="A635" s="1">
        <v>633.0</v>
      </c>
      <c r="B635" s="3" t="s">
        <v>636</v>
      </c>
      <c r="C635" s="3" t="str">
        <f>IFERROR(__xludf.DUMMYFUNCTION("GOOGLETRANSLATE(B635,""id"",""en"")"),"['price', 'package', 'expensive', 'compared to', 'quality', 'bad', 'in', 'a day', 'network', 'ilang', 'once', 'GTU', ' network ',' pay ',' woooy ',' ']")</f>
        <v>['price', 'package', 'expensive', 'compared to', 'quality', 'bad', 'in', 'a day', 'network', 'ilang', 'once', 'GTU', ' network ',' pay ',' woooy ',' ']</v>
      </c>
      <c r="D635" s="3">
        <v>1.0</v>
      </c>
    </row>
    <row r="636" ht="15.75" customHeight="1">
      <c r="A636" s="1">
        <v>634.0</v>
      </c>
      <c r="B636" s="3" t="s">
        <v>637</v>
      </c>
      <c r="C636" s="3" t="str">
        <f>IFERROR(__xludf.DUMMYFUNCTION("GOOGLETRANSLATE(B636,""id"",""en"")"),"['Disappointed', 'Denga', 'Telkomsel', 'Sorry', 'Karna', 'Switch', 'Card', 'Hello', 'Imingi', 'Package', 'Package', ' unlimited ',' package ',' unlimited ',' package ',' run out ',' stake ',' then ',' worse ',' den ',' send ',' sorry ',' accept ',' accept"&amp;" ' , 'bid', 'change', 'Hallo', 'because', 'Tipu']")</f>
        <v>['Disappointed', 'Denga', 'Telkomsel', 'Sorry', 'Karna', 'Switch', 'Card', 'Hello', 'Imingi', 'Package', 'Package', ' unlimited ',' package ',' unlimited ',' package ',' run out ',' stake ',' then ',' worse ',' den ',' send ',' sorry ',' accept ',' accept ' , 'bid', 'change', 'Hallo', 'because', 'Tipu']</v>
      </c>
      <c r="D636" s="3">
        <v>1.0</v>
      </c>
    </row>
    <row r="637" ht="15.75" customHeight="1">
      <c r="A637" s="1">
        <v>635.0</v>
      </c>
      <c r="B637" s="3" t="s">
        <v>638</v>
      </c>
      <c r="C637" s="3" t="str">
        <f>IFERROR(__xludf.DUMMYFUNCTION("GOOGLETRANSLATE(B637,""id"",""en"")"),"['Please', 'Maap', 'Yak', 'Telkomsel', 'opened', 'The writing', 'APL', 'Optimized', 'device', 'Oppo', ""]")</f>
        <v>['Please', 'Maap', 'Yak', 'Telkomsel', 'opened', 'The writing', 'APL', 'Optimized', 'device', 'Oppo', "]</v>
      </c>
      <c r="D637" s="3">
        <v>1.0</v>
      </c>
    </row>
    <row r="638" ht="15.75" customHeight="1">
      <c r="A638" s="1">
        <v>636.0</v>
      </c>
      <c r="B638" s="3" t="s">
        <v>639</v>
      </c>
      <c r="C638" s="3" t="str">
        <f>IFERROR(__xludf.DUMMYFUNCTION("GOOGLETRANSLATE(B638,""id"",""en"")"),"['The application', 'good', 'open', 'application', 'like', 'log', 'out', 'must', 'enter', 'reset', 'type', 'number', ' The number ',' right ',' Log ',' installed ',' Different ',' DNG ',' Install ',' Application ',' MyTelkomsel ',' Please ',' News', 'Road"&amp;"', 'Out' , 'tksh']")</f>
        <v>['The application', 'good', 'open', 'application', 'like', 'log', 'out', 'must', 'enter', 'reset', 'type', 'number', ' The number ',' right ',' Log ',' installed ',' Different ',' DNG ',' Install ',' Application ',' MyTelkomsel ',' Please ',' News', 'Road', 'Out' , 'tksh']</v>
      </c>
      <c r="D638" s="3">
        <v>3.0</v>
      </c>
    </row>
    <row r="639" ht="15.75" customHeight="1">
      <c r="A639" s="1">
        <v>637.0</v>
      </c>
      <c r="B639" s="3" t="s">
        <v>640</v>
      </c>
      <c r="C639" s="3" t="str">
        <f>IFERROR(__xludf.DUMMYFUNCTION("GOOGLETRANSLATE(B639,""id"",""en"")"),"['Feature', 'good', 'transaction', 'smooth', 'application', 'stable', 'frontend', 'sometimes',' cellphone ',' nge ',' close ',' run out ',' Buy ',' Package ',' Direct ',' Update ',' Local ',' Fetch ',' reset ',' Refresh ',' ']")</f>
        <v>['Feature', 'good', 'transaction', 'smooth', 'application', 'stable', 'frontend', 'sometimes',' cellphone ',' nge ',' close ',' run out ',' Buy ',' Package ',' Direct ',' Update ',' Local ',' Fetch ',' reset ',' Refresh ',' ']</v>
      </c>
      <c r="D639" s="3">
        <v>3.0</v>
      </c>
    </row>
    <row r="640" ht="15.75" customHeight="1">
      <c r="A640" s="1">
        <v>638.0</v>
      </c>
      <c r="B640" s="3" t="s">
        <v>641</v>
      </c>
      <c r="C640" s="3" t="str">
        <f>IFERROR(__xludf.DUMMYFUNCTION("GOOGLETRANSLATE(B640,""id"",""en"")"),"['strange', 'package', 'unlimited', 'skrg', 'limit', 'reasonable', 'buy', 'unlimited', 'limit', 'now', 'already', 'gada', ' Min ',' trs', 'unlimited', 'skrg', 'limit', 'normal', 'run out', 'gabisa', 'open', 'network', 'strange', 'error', 'network' , 'Good"&amp;"', 'Disappointed']")</f>
        <v>['strange', 'package', 'unlimited', 'skrg', 'limit', 'reasonable', 'buy', 'unlimited', 'limit', 'now', 'already', 'gada', ' Min ',' trs', 'unlimited', 'skrg', 'limit', 'normal', 'run out', 'gabisa', 'open', 'network', 'strange', 'error', 'network' , 'Good', 'Disappointed']</v>
      </c>
      <c r="D640" s="3">
        <v>1.0</v>
      </c>
    </row>
    <row r="641" ht="15.75" customHeight="1">
      <c r="A641" s="1">
        <v>639.0</v>
      </c>
      <c r="B641" s="3" t="s">
        <v>642</v>
      </c>
      <c r="C641" s="3" t="str">
        <f>IFERROR(__xludf.DUMMYFUNCTION("GOOGLETRANSLATE(B641,""id"",""en"")"),"['Come here', 'rates',' expensive ',' pls', 'data', 'abis',' notif ',' signal ',' sometimes', 'ilang', 'hail', 'buy', ' package ',' better ',' smartfren ',' signal ',' strong ',' price ',' steady ', ""]")</f>
        <v>['Come here', 'rates',' expensive ',' pls', 'data', 'abis',' notif ',' signal ',' sometimes', 'ilang', 'hail', 'buy', ' package ',' better ',' smartfren ',' signal ',' strong ',' price ',' steady ', "]</v>
      </c>
      <c r="D641" s="3">
        <v>1.0</v>
      </c>
    </row>
    <row r="642" ht="15.75" customHeight="1">
      <c r="A642" s="1">
        <v>640.0</v>
      </c>
      <c r="B642" s="3" t="s">
        <v>643</v>
      </c>
      <c r="C642" s="3" t="str">
        <f>IFERROR(__xludf.DUMMYFUNCTION("GOOGLETRANSLATE(B642,""id"",""en"")"),"['Telkomsel', 'really', 'ngeyoutube', 'kayak', 'smooth', 'ngeyoutube', 'purpose', 'cave', 'buy', 'card', 'Telkomsel', 'delicious',' Ngeyoutube ',' smooth ',' defective ',' anjink ']")</f>
        <v>['Telkomsel', 'really', 'ngeyoutube', 'kayak', 'smooth', 'ngeyoutube', 'purpose', 'cave', 'buy', 'card', 'Telkomsel', 'delicious',' Ngeyoutube ',' smooth ',' defective ',' anjink ']</v>
      </c>
      <c r="D642" s="3">
        <v>1.0</v>
      </c>
    </row>
    <row r="643" ht="15.75" customHeight="1">
      <c r="A643" s="1">
        <v>641.0</v>
      </c>
      <c r="B643" s="3" t="s">
        <v>644</v>
      </c>
      <c r="C643" s="3" t="str">
        <f>IFERROR(__xludf.DUMMYFUNCTION("GOOGLETRANSLATE(B643,""id"",""en"")"),"['please', 'open', 'application', 'connection', 'stable', 'buy', 'package', 'transaction', 'process', 'quota', 'enter', 'enter']")</f>
        <v>['please', 'open', 'application', 'connection', 'stable', 'buy', 'package', 'transaction', 'process', 'quota', 'enter', 'enter']</v>
      </c>
      <c r="D643" s="3">
        <v>1.0</v>
      </c>
    </row>
    <row r="644" ht="15.75" customHeight="1">
      <c r="A644" s="1">
        <v>642.0</v>
      </c>
      <c r="B644" s="3" t="s">
        <v>645</v>
      </c>
      <c r="C644" s="3" t="str">
        <f>IFERROR(__xludf.DUMMYFUNCTION("GOOGLETRANSLATE(B644,""id"",""en"")"),"['error', 'application', 'Telkomsel', 'connection', 'stable', 'kerangannya', 'close', 'etc.', 'please', 'fix', 'the application', 'dumped', ' Many ',' Features', 'BIKK', 'Slow']")</f>
        <v>['error', 'application', 'Telkomsel', 'connection', 'stable', 'kerangannya', 'close', 'etc.', 'please', 'fix', 'the application', 'dumped', ' Many ',' Features', 'BIKK', 'Slow']</v>
      </c>
      <c r="D644" s="3">
        <v>2.0</v>
      </c>
    </row>
    <row r="645" ht="15.75" customHeight="1">
      <c r="A645" s="1">
        <v>643.0</v>
      </c>
      <c r="B645" s="3" t="s">
        <v>646</v>
      </c>
      <c r="C645" s="3" t="str">
        <f>IFERROR(__xludf.DUMMYFUNCTION("GOOGLETRANSLATE(B645,""id"",""en"")"),"['Network', 'skrg', 'ugly', 'for a while', 'appeared', 'for a while', 'ilang', 'klu', 'already', 'magrib', 'atw', 'rain', ' Severe ',' customers', 'network', 'skrg', 'dlu', 'name', 'good', 'quality', 'ilang']")</f>
        <v>['Network', 'skrg', 'ugly', 'for a while', 'appeared', 'for a while', 'ilang', 'klu', 'already', 'magrib', 'atw', 'rain', ' Severe ',' customers', 'network', 'skrg', 'dlu', 'name', 'good', 'quality', 'ilang']</v>
      </c>
      <c r="D645" s="3">
        <v>1.0</v>
      </c>
    </row>
    <row r="646" ht="15.75" customHeight="1">
      <c r="A646" s="1">
        <v>644.0</v>
      </c>
      <c r="B646" s="3" t="s">
        <v>647</v>
      </c>
      <c r="C646" s="3" t="str">
        <f>IFERROR(__xludf.DUMMYFUNCTION("GOOGLETRANSLATE(B646,""id"",""en"")"),"['package', 'OMG', 'dilapidated', 'quota', 'quota', 'local', 'multimedia', 'kepakai', 'severe', '']")</f>
        <v>['package', 'OMG', 'dilapidated', 'quota', 'quota', 'local', 'multimedia', 'kepakai', 'severe', '']</v>
      </c>
      <c r="D646" s="3">
        <v>1.0</v>
      </c>
    </row>
    <row r="647" ht="15.75" customHeight="1">
      <c r="A647" s="1">
        <v>645.0</v>
      </c>
      <c r="B647" s="3" t="s">
        <v>648</v>
      </c>
      <c r="C647" s="3" t="str">
        <f>IFERROR(__xludf.DUMMYFUNCTION("GOOGLETRANSLATE(B647,""id"",""en"")"),"['wifi', 'home', 'fill', 'package', 'package', 'run out', 'direct', 'missing', 'leftover', 'pulse', 'notification', 'sms',' rates', 'non', 'package', 'pulses',' already ',' rupiah ',' given ',' really ',' like ',' gini ',' forgetful ',' clock ',' leftover"&amp;" ' , 'pulse', 'notification', '']")</f>
        <v>['wifi', 'home', 'fill', 'package', 'package', 'run out', 'direct', 'missing', 'leftover', 'pulse', 'notification', 'sms',' rates', 'non', 'package', 'pulses',' already ',' rupiah ',' given ',' really ',' like ',' gini ',' forgetful ',' clock ',' leftover ' , 'pulse', 'notification', '']</v>
      </c>
      <c r="D647" s="3">
        <v>1.0</v>
      </c>
    </row>
    <row r="648" ht="15.75" customHeight="1">
      <c r="A648" s="1">
        <v>646.0</v>
      </c>
      <c r="B648" s="3" t="s">
        <v>649</v>
      </c>
      <c r="C648" s="3" t="str">
        <f>IFERROR(__xludf.DUMMYFUNCTION("GOOGLETRANSLATE(B648,""id"",""en"")"),"['Migration', 'alternating', 'Need', 'number', 'clarity', 'post', 'pay', 'nominal', 'BLM', 'PPN', 'disappointed', ""]")</f>
        <v>['Migration', 'alternating', 'Need', 'number', 'clarity', 'post', 'pay', 'nominal', 'BLM', 'PPN', 'disappointed', "]</v>
      </c>
      <c r="D648" s="3">
        <v>1.0</v>
      </c>
    </row>
    <row r="649" ht="15.75" customHeight="1">
      <c r="A649" s="1">
        <v>647.0</v>
      </c>
      <c r="B649" s="3" t="s">
        <v>650</v>
      </c>
      <c r="C649" s="3" t="str">
        <f>IFERROR(__xludf.DUMMYFUNCTION("GOOGLETRANSLATE(B649,""id"",""en"")"),"['Please', 'Region', 'Taliabu', 'Village', 'Jorjoga', 'Increases',' Network ',' Telkomsel ',' Difficult ',' Network ',' Telkomsel ',' Karnakan ',' The tower ',' reach ',' network ',' trimakasih ']")</f>
        <v>['Please', 'Region', 'Taliabu', 'Village', 'Jorjoga', 'Increases',' Network ',' Telkomsel ',' Difficult ',' Network ',' Telkomsel ',' Karnakan ',' The tower ',' reach ',' network ',' trimakasih ']</v>
      </c>
      <c r="D649" s="3">
        <v>4.0</v>
      </c>
    </row>
    <row r="650" ht="15.75" customHeight="1">
      <c r="A650" s="1">
        <v>648.0</v>
      </c>
      <c r="B650" s="3" t="s">
        <v>651</v>
      </c>
      <c r="C650" s="3" t="str">
        <f>IFERROR(__xludf.DUMMYFUNCTION("GOOGLETRANSLATE(B650,""id"",""en"")"),"['Telkomsel', 'severe', 'destroyed', 'quality', 'signal', 'slow', 'quota', 'destroyed', 'package', 'unlimited', 'apps',' limited ',' Quota ',' Sorry ',' Sorry ',' Kayak ',' Gini ',' Mending ',' Change ',' Card ']")</f>
        <v>['Telkomsel', 'severe', 'destroyed', 'quality', 'signal', 'slow', 'quota', 'destroyed', 'package', 'unlimited', 'apps',' limited ',' Quota ',' Sorry ',' Sorry ',' Kayak ',' Gini ',' Mending ',' Change ',' Card ']</v>
      </c>
      <c r="D650" s="3">
        <v>1.0</v>
      </c>
    </row>
    <row r="651" ht="15.75" customHeight="1">
      <c r="A651" s="1">
        <v>649.0</v>
      </c>
      <c r="B651" s="3" t="s">
        <v>652</v>
      </c>
      <c r="C651" s="3" t="str">
        <f>IFERROR(__xludf.DUMMYFUNCTION("GOOGLETRANSLATE(B651,""id"",""en"")"),"['Please', 'min', 'network', 'Telkomsel', 'bad', 'unlimited', 'quota', 'janringan', 'bad', 'call', 'difficult', 'play', ' games', 'territory', 'crowded', 'population', 'quota', 'unlimited', 'speed', 'Mbps',' reality ',' lie ',' thank you ', ""]")</f>
        <v>['Please', 'min', 'network', 'Telkomsel', 'bad', 'unlimited', 'quota', 'janringan', 'bad', 'call', 'difficult', 'play', ' games', 'territory', 'crowded', 'population', 'quota', 'unlimited', 'speed', 'Mbps',' reality ',' lie ',' thank you ', "]</v>
      </c>
      <c r="D651" s="3">
        <v>1.0</v>
      </c>
    </row>
    <row r="652" ht="15.75" customHeight="1">
      <c r="A652" s="1">
        <v>650.0</v>
      </c>
      <c r="B652" s="3" t="s">
        <v>653</v>
      </c>
      <c r="C652" s="3" t="str">
        <f>IFERROR(__xludf.DUMMYFUNCTION("GOOGLETRANSLATE(B652,""id"",""en"")"),"['The application', 'good', 'help', 'user', 'card', 'Telkomsel', 'star', 'application', 'shortcomings',' network ',' Telkomsel ',' data ',' stable ',' clock ',' activity ',' disconnected ',' Lost ',' conection ',' Telkomsel ',' triumphed ',' Indonesia ','"&amp;" Overcome ',' thank ',' love ', ""]")</f>
        <v>['The application', 'good', 'help', 'user', 'card', 'Telkomsel', 'star', 'application', 'shortcomings',' network ',' Telkomsel ',' data ',' stable ',' clock ',' activity ',' disconnected ',' Lost ',' conection ',' Telkomsel ',' triumphed ',' Indonesia ',' Overcome ',' thank ',' love ', "]</v>
      </c>
      <c r="D652" s="3">
        <v>5.0</v>
      </c>
    </row>
    <row r="653" ht="15.75" customHeight="1">
      <c r="A653" s="1">
        <v>651.0</v>
      </c>
      <c r="B653" s="3" t="s">
        <v>654</v>
      </c>
      <c r="C653" s="3" t="str">
        <f>IFERROR(__xludf.DUMMYFUNCTION("GOOGLETRANSLATE(B653,""id"",""en"")"),"['Network', 'at home', 'good', 'internet', 'broke', 'choice', 'offer', 'package', 'interesting', 'plus', 'choice', ""]")</f>
        <v>['Network', 'at home', 'good', 'internet', 'broke', 'choice', 'offer', 'package', 'interesting', 'plus', 'choice', "]</v>
      </c>
      <c r="D653" s="3">
        <v>3.0</v>
      </c>
    </row>
    <row r="654" ht="15.75" customHeight="1">
      <c r="A654" s="1">
        <v>652.0</v>
      </c>
      <c r="B654" s="3" t="s">
        <v>655</v>
      </c>
      <c r="C654" s="3" t="str">
        <f>IFERROR(__xludf.DUMMYFUNCTION("GOOGLETRANSLATE(B654,""id"",""en"")"),"['Good', 'Network', 'Telkomsel', 'Lost', 'Network', 'Sometimes',' Please ',' Fix ',' Network ',' Already ',' Pay ',' Package ',' expensive ',' network ',' like ',' that's', 'please', 'disappointing', 'customer', 'thank you', '']")</f>
        <v>['Good', 'Network', 'Telkomsel', 'Lost', 'Network', 'Sometimes',' Please ',' Fix ',' Network ',' Already ',' Pay ',' Package ',' expensive ',' network ',' like ',' that's', 'please', 'disappointing', 'customer', 'thank you', '']</v>
      </c>
      <c r="D654" s="3">
        <v>1.0</v>
      </c>
    </row>
    <row r="655" ht="15.75" customHeight="1">
      <c r="A655" s="1">
        <v>653.0</v>
      </c>
      <c r="B655" s="3" t="s">
        <v>656</v>
      </c>
      <c r="C655" s="3" t="str">
        <f>IFERROR(__xludf.DUMMYFUNCTION("GOOGLETRANSLATE(B655,""id"",""en"")"),"['Telkomsel', 'play', 'game', 'online', 'signal', 'down', 'turn', 'play', 'game', 'online', 'signal', 'smooth', ' Please ',' fix ',' package ',' expensive ',' signal ',' according to ',' price ',' package ',' play ',' game ',' down ',' signal ', ""]")</f>
        <v>['Telkomsel', 'play', 'game', 'online', 'signal', 'down', 'turn', 'play', 'game', 'online', 'signal', 'smooth', ' Please ',' fix ',' package ',' expensive ',' signal ',' according to ',' price ',' package ',' play ',' game ',' down ',' signal ', "]</v>
      </c>
      <c r="D655" s="3">
        <v>1.0</v>
      </c>
    </row>
    <row r="656" ht="15.75" customHeight="1">
      <c r="A656" s="1">
        <v>654.0</v>
      </c>
      <c r="B656" s="3" t="s">
        <v>657</v>
      </c>
      <c r="C656" s="3" t="str">
        <f>IFERROR(__xludf.DUMMYFUNCTION("GOOGLETRANSLATE(B656,""id"",""en"")"),"['Stay', 'Island', 'Java', 'Address',' Sendang ',' Kec ',' Sudden ',' Kab ',' Batang ',' Java ',' Network ',' Place ',' bar ',' because ',' so far ',' Tower ',' BTS ',' Telkomsel ',' please ',' pairs', 'tower', 'stable', 'data', 'sad' , 'Hilly', 'Tower', "&amp;"'majority', 'already', 'pke', 'internet', 'noon', 'speed', 'kbps',' watch ',' youtube ',' ngelag ',' bufring ',' bad ',' internet ',' telephone ',' doang ',' if ',' born ',' city ', ""]")</f>
        <v>['Stay', 'Island', 'Java', 'Address',' Sendang ',' Kec ',' Sudden ',' Kab ',' Batang ',' Java ',' Network ',' Place ',' bar ',' because ',' so far ',' Tower ',' BTS ',' Telkomsel ',' please ',' pairs', 'tower', 'stable', 'data', 'sad' , 'Hilly', 'Tower', 'majority', 'already', 'pke', 'internet', 'noon', 'speed', 'kbps',' watch ',' youtube ',' ngelag ',' bufring ',' bad ',' internet ',' telephone ',' doang ',' if ',' born ',' city ', "]</v>
      </c>
      <c r="D656" s="3">
        <v>1.0</v>
      </c>
    </row>
    <row r="657" ht="15.75" customHeight="1">
      <c r="A657" s="1">
        <v>655.0</v>
      </c>
      <c r="B657" s="3" t="s">
        <v>658</v>
      </c>
      <c r="C657" s="3" t="str">
        <f>IFERROR(__xludf.DUMMYFUNCTION("GOOGLETRANSLATE(B657,""id"",""en"")"),"['Please', 'min', 'signal', 'lost', 'information', 'Telkomsel', 'enhanced', 'information', 'user', 'min', '']")</f>
        <v>['Please', 'min', 'signal', 'lost', 'information', 'Telkomsel', 'enhanced', 'information', 'user', 'min', '']</v>
      </c>
      <c r="D657" s="3">
        <v>1.0</v>
      </c>
    </row>
    <row r="658" ht="15.75" customHeight="1">
      <c r="A658" s="1">
        <v>656.0</v>
      </c>
      <c r="B658" s="3" t="s">
        <v>659</v>
      </c>
      <c r="C658" s="3" t="str">
        <f>IFERROR(__xludf.DUMMYFUNCTION("GOOGLETRANSLATE(B658,""id"",""en"")"),"['', 'Jam', 'Read', 'Comments', 'Planggaran', 'Telkomsel', 'Disappointed', 'Disappointed', 'Disappointed', 'Stepping', 'step "",' spitting ',' pissing ',' TPI ',' Treat ',' Luka ',' Heart ',' because ',' Package ',' Data ',' Buy ',' Package ',' Padahaling"&amp;"an ',' How good ',' good ', 'Telkomsel', 'Learning', 'Neighbors', '']")</f>
        <v>['', 'Jam', 'Read', 'Comments', 'Planggaran', 'Telkomsel', 'Disappointed', 'Disappointed', 'Disappointed', 'Stepping', 'step ",' spitting ',' pissing ',' TPI ',' Treat ',' Luka ',' Heart ',' because ',' Package ',' Data ',' Buy ',' Package ',' Padahalingan ',' How good ',' good ', 'Telkomsel', 'Learning', 'Neighbors', '']</v>
      </c>
      <c r="D658" s="3">
        <v>1.0</v>
      </c>
    </row>
    <row r="659" ht="15.75" customHeight="1">
      <c r="A659" s="1">
        <v>657.0</v>
      </c>
      <c r="B659" s="3" t="s">
        <v>660</v>
      </c>
      <c r="C659" s="3" t="str">
        <f>IFERROR(__xludf.DUMMYFUNCTION("GOOGLETRANSLATE(B659,""id"",""en"")"),"['application', 'muter', 'me', 'search', 'menu', 'stop', 'package', 'mecca', 'already', 'haji', 'me', 'application', ' NEMEMU ',' STOP ',' subscribe ',' seed ',' complicated ',' ama ',' provider ',' already ',' hundreds', 'thousand', 'me', 'buy', 'package"&amp;"' , 'Except', 'Stub', ""]")</f>
        <v>['application', 'muter', 'me', 'search', 'menu', 'stop', 'package', 'mecca', 'already', 'haji', 'me', 'application', ' NEMEMU ',' STOP ',' subscribe ',' seed ',' complicated ',' ama ',' provider ',' already ',' hundreds', 'thousand', 'me', 'buy', 'package' , 'Except', 'Stub', "]</v>
      </c>
      <c r="D659" s="3">
        <v>1.0</v>
      </c>
    </row>
    <row r="660" ht="15.75" customHeight="1">
      <c r="A660" s="1">
        <v>658.0</v>
      </c>
      <c r="B660" s="3" t="s">
        <v>661</v>
      </c>
      <c r="C660" s="3" t="str">
        <f>IFERROR(__xludf.DUMMYFUNCTION("GOOGLETRANSLATE(B660,""id"",""en"")"),"['Error', 'Signal', 'Full', 'replaced', 'Hello', 'Maxstrem', 'LBH', 'Severe', 'Review', 'Bintang', '']")</f>
        <v>['Error', 'Signal', 'Full', 'replaced', 'Hello', 'Maxstrem', 'LBH', 'Severe', 'Review', 'Bintang', '']</v>
      </c>
      <c r="D660" s="3">
        <v>1.0</v>
      </c>
    </row>
    <row r="661" ht="15.75" customHeight="1">
      <c r="A661" s="1">
        <v>659.0</v>
      </c>
      <c r="B661" s="3" t="s">
        <v>662</v>
      </c>
      <c r="C661" s="3" t="str">
        <f>IFERROR(__xludf.DUMMYFUNCTION("GOOGLETRANSLATE(B661,""id"",""en"")"),"['LIGHT', 'Disappointed', 'DLUNGU', 'Buy', 'Package', 'Unlimited', 'Package', 'Main', 'Out', 'Access',' Internet ',' Package ',' The main ',' run out ',' NGK ',' access', 'internet', 'buy', 'package', 'unlimited', 'NGK', 'consistent', ""]")</f>
        <v>['LIGHT', 'Disappointed', 'DLUNGU', 'Buy', 'Package', 'Unlimited', 'Package', 'Main', 'Out', 'Access',' Internet ',' Package ',' The main ',' run out ',' NGK ',' access', 'internet', 'buy', 'package', 'unlimited', 'NGK', 'consistent', "]</v>
      </c>
      <c r="D661" s="3">
        <v>1.0</v>
      </c>
    </row>
    <row r="662" ht="15.75" customHeight="1">
      <c r="A662" s="1">
        <v>660.0</v>
      </c>
      <c r="B662" s="3" t="s">
        <v>663</v>
      </c>
      <c r="C662" s="3" t="str">
        <f>IFERROR(__xludf.DUMMYFUNCTION("GOOGLETRANSLATE(B662,""id"",""en"")"),"['Developer', 'Sorry', 'error', 'error', 'System', 'Untum', 'Loading', 'Quota', 'Please', 'Fix', 'Do', 'APK', ' walk', '']")</f>
        <v>['Developer', 'Sorry', 'error', 'error', 'System', 'Untum', 'Loading', 'Quota', 'Please', 'Fix', 'Do', 'APK', ' walk', '']</v>
      </c>
      <c r="D662" s="3">
        <v>1.0</v>
      </c>
    </row>
    <row r="663" ht="15.75" customHeight="1">
      <c r="A663" s="1">
        <v>661.0</v>
      </c>
      <c r="B663" s="3" t="s">
        <v>664</v>
      </c>
      <c r="C663" s="3" t="str">
        <f>IFERROR(__xludf.DUMMYFUNCTION("GOOGLETRANSLATE(B663,""id"",""en"")"),"['Please', 'Telkomsel', 'already', 'signal', 'area', 'Kalbar', 'missing', 'missing', 'please', 'fixed', 'Karna', 'Telkomsel', ' network ',' entry ',' area ',' network ',' enter ',' here ',' network ',' Telkomsel ',' fixed ',' stop ',' subscribe ',' Telkom"&amp;"sel ',' honest ' , 'Customer', 'Network', 'Telkomsel', 'promises', '']")</f>
        <v>['Please', 'Telkomsel', 'already', 'signal', 'area', 'Kalbar', 'missing', 'missing', 'please', 'fixed', 'Karna', 'Telkomsel', ' network ',' entry ',' area ',' network ',' enter ',' here ',' network ',' Telkomsel ',' fixed ',' stop ',' subscribe ',' Telkomsel ',' honest ' , 'Customer', 'Network', 'Telkomsel', 'promises', '']</v>
      </c>
      <c r="D663" s="3">
        <v>1.0</v>
      </c>
    </row>
    <row r="664" ht="15.75" customHeight="1">
      <c r="A664" s="1">
        <v>662.0</v>
      </c>
      <c r="B664" s="3" t="s">
        <v>665</v>
      </c>
      <c r="C664" s="3" t="str">
        <f>IFERROR(__xludf.DUMMYFUNCTION("GOOGLETRANSLATE(B664,""id"",""en"")"),"['Telkomsel', 'pulses', 'buy', 'package', 'night', 'price', 'leftover', 'where', ""]")</f>
        <v>['Telkomsel', 'pulses', 'buy', 'package', 'night', 'price', 'leftover', 'where', "]</v>
      </c>
      <c r="D664" s="3">
        <v>1.0</v>
      </c>
    </row>
    <row r="665" ht="15.75" customHeight="1">
      <c r="A665" s="1">
        <v>663.0</v>
      </c>
      <c r="B665" s="3" t="s">
        <v>666</v>
      </c>
      <c r="C665" s="3" t="str">
        <f>IFERROR(__xludf.DUMMYFUNCTION("GOOGLETRANSLATE(B665,""id"",""en"")"),"['Unlimited', 'mah', 'Limit', 'Combo', 'Sakti', 'Unlimited', 'name', 'limit', ""]")</f>
        <v>['Unlimited', 'mah', 'Limit', 'Combo', 'Sakti', 'Unlimited', 'name', 'limit', "]</v>
      </c>
      <c r="D665" s="3">
        <v>2.0</v>
      </c>
    </row>
    <row r="666" ht="15.75" customHeight="1">
      <c r="A666" s="1">
        <v>664.0</v>
      </c>
      <c r="B666" s="3" t="s">
        <v>667</v>
      </c>
      <c r="C666" s="3" t="str">
        <f>IFERROR(__xludf.DUMMYFUNCTION("GOOGLETRANSLATE(B666,""id"",""en"")"),"['love', 'star', 'buwat', 'Telkomsel', 'network', 'believe', 'quota', 'knapa', 'buwat', 'play', 'games',' buwat ',' Read ',' Story ',' Difficult ',' Telkomsel ',' Disappointing ',' Discard ',' Card ',' Telkomsel ',' Change ',' Card ',' Network ', ""]")</f>
        <v>['love', 'star', 'buwat', 'Telkomsel', 'network', 'believe', 'quota', 'knapa', 'buwat', 'play', 'games',' buwat ',' Read ',' Story ',' Difficult ',' Telkomsel ',' Disappointing ',' Discard ',' Card ',' Telkomsel ',' Change ',' Card ',' Network ', "]</v>
      </c>
      <c r="D666" s="3">
        <v>1.0</v>
      </c>
    </row>
    <row r="667" ht="15.75" customHeight="1">
      <c r="A667" s="1">
        <v>665.0</v>
      </c>
      <c r="B667" s="3" t="s">
        <v>668</v>
      </c>
      <c r="C667" s="3" t="str">
        <f>IFERROR(__xludf.DUMMYFUNCTION("GOOGLETRANSLATE(B667,""id"",""en"")"),"['Unlimited', 'combo', 'limit', 'Naturally', 'use', 'unlimited', 'smartfren', 'disappointed', 'mah', 'tasty', 'unlimited', 'combo', ' Package ',' main ',' Out ',' Open ',' WhatsApp ',' Tik ',' Tok ',' Instagram ',' YouTube ',' Ngelag ',' Really ',' Disapp"&amp;"ointing ',' ']")</f>
        <v>['Unlimited', 'combo', 'limit', 'Naturally', 'use', 'unlimited', 'smartfren', 'disappointed', 'mah', 'tasty', 'unlimited', 'combo', ' Package ',' main ',' Out ',' Open ',' WhatsApp ',' Tik ',' Tok ',' Instagram ',' YouTube ',' Ngelag ',' Really ',' Disappointing ',' ']</v>
      </c>
      <c r="D667" s="3">
        <v>1.0</v>
      </c>
    </row>
    <row r="668" ht="15.75" customHeight="1">
      <c r="A668" s="1">
        <v>666.0</v>
      </c>
      <c r="B668" s="3" t="s">
        <v>669</v>
      </c>
      <c r="C668" s="3" t="str">
        <f>IFERROR(__xludf.DUMMYFUNCTION("GOOGLETRANSLATE(B668,""id"",""en"")"),"['Network', 'LTE', 'The widest', 'Signal', 'Lost', 'Ngelag', 'Disruption', 'Package', 'Quota', 'Remnant', 'Fear', 'Pulses',' Take ',' yaudah ',' buy ',' package ',' quota ',' knapa ',' kepakakan ',' package ',' quota ',' new ',' expends']")</f>
        <v>['Network', 'LTE', 'The widest', 'Signal', 'Lost', 'Ngelag', 'Disruption', 'Package', 'Quota', 'Remnant', 'Fear', 'Pulses',' Take ',' yaudah ',' buy ',' package ',' quota ',' knapa ',' kepakakan ',' package ',' quota ',' new ',' expends']</v>
      </c>
      <c r="D668" s="3">
        <v>1.0</v>
      </c>
    </row>
    <row r="669" ht="15.75" customHeight="1">
      <c r="A669" s="1">
        <v>667.0</v>
      </c>
      <c r="B669" s="3" t="s">
        <v>670</v>
      </c>
      <c r="C669" s="3" t="str">
        <f>IFERROR(__xludf.DUMMYFUNCTION("GOOGLETRANSLATE(B669,""id"",""en"")"),"['', 'My internet', 'fast', 'run out', 'GB', 'a month', 'Masi', 'the rest', 'run out', 'disappointed', 'subscription', ""]")</f>
        <v>['', 'My internet', 'fast', 'run out', 'GB', 'a month', 'Masi', 'the rest', 'run out', 'disappointed', 'subscription', "]</v>
      </c>
      <c r="D669" s="3">
        <v>1.0</v>
      </c>
    </row>
    <row r="670" ht="15.75" customHeight="1">
      <c r="A670" s="1">
        <v>668.0</v>
      </c>
      <c r="B670" s="3" t="s">
        <v>671</v>
      </c>
      <c r="C670" s="3" t="str">
        <f>IFERROR(__xludf.DUMMYFUNCTION("GOOGLETRANSLATE(B670,""id"",""en"")"),"['Please', 'Sorry', 'Split', 'Like', 'Policy', 'Harm', 'Customer', 'Price', 'Quality', 'Burns',' Customer ',' Personal ',' The issue ',' package ',' internet ',' getting ',' Fupdan ',' network ',' weak ',' Thank you ',' accompany ', ""]")</f>
        <v>['Please', 'Sorry', 'Split', 'Like', 'Policy', 'Harm', 'Customer', 'Price', 'Quality', 'Burns',' Customer ',' Personal ',' The issue ',' package ',' internet ',' getting ',' Fupdan ',' network ',' weak ',' Thank you ',' accompany ', "]</v>
      </c>
      <c r="D670" s="3">
        <v>1.0</v>
      </c>
    </row>
    <row r="671" ht="15.75" customHeight="1">
      <c r="A671" s="1">
        <v>669.0</v>
      </c>
      <c r="B671" s="3" t="s">
        <v>672</v>
      </c>
      <c r="C671" s="3" t="str">
        <f>IFERROR(__xludf.DUMMYFUNCTION("GOOGLETRANSLATE(B671,""id"",""en"")"),"['burglary', 'data', 'top', 'game', 'wrong', 'oeprator', 'smpi', 'tnya', 'center', 'purchase', 'seague', 'google', ' Play ',' Store ',' emng ',' purchase ',' failed ',' TPI ',' pulses', 'sudh', 'already', 'sucked', 'blame', 'sea', 'games' , 'Wait', 'date'"&amp;", 'play', 'tks']")</f>
        <v>['burglary', 'data', 'top', 'game', 'wrong', 'oeprator', 'smpi', 'tnya', 'center', 'purchase', 'seague', 'google', ' Play ',' Store ',' emng ',' purchase ',' failed ',' TPI ',' pulses', 'sudh', 'already', 'sucked', 'blame', 'sea', 'games' , 'Wait', 'date', 'play', 'tks']</v>
      </c>
      <c r="D671" s="3">
        <v>1.0</v>
      </c>
    </row>
    <row r="672" ht="15.75" customHeight="1">
      <c r="A672" s="1">
        <v>670.0</v>
      </c>
      <c r="B672" s="3" t="s">
        <v>673</v>
      </c>
      <c r="C672" s="3" t="str">
        <f>IFERROR(__xludf.DUMMYFUNCTION("GOOGLETRANSLATE(B672,""id"",""en"")"),"['Bintang', 'buy', 'pulse', 'date', 'May', 'MyTelkomsel', 'use', 'Shopeepay', 'accept', 'cashback', 'promised', 'Telkomsel', ' Promo ',' May ',' Package ',' Combo ',' Sakti ',' Application ',' Telkomsel ',' Rates', 'Internet', 'Offered', 'Expensive', ""]")</f>
        <v>['Bintang', 'buy', 'pulse', 'date', 'May', 'MyTelkomsel', 'use', 'Shopeepay', 'accept', 'cashback', 'promised', 'Telkomsel', ' Promo ',' May ',' Package ',' Combo ',' Sakti ',' Application ',' Telkomsel ',' Rates', 'Internet', 'Offered', 'Expensive', "]</v>
      </c>
      <c r="D672" s="3">
        <v>1.0</v>
      </c>
    </row>
    <row r="673" ht="15.75" customHeight="1">
      <c r="A673" s="1">
        <v>671.0</v>
      </c>
      <c r="B673" s="3" t="s">
        <v>674</v>
      </c>
      <c r="C673" s="3" t="str">
        <f>IFERROR(__xludf.DUMMYFUNCTION("GOOGLETRANSLATE(B673,""id"",""en"")"),"['Telkomsel', 'buy', 'quota', 'unlimited', 'failed', 'obstacle', 'system', 'sometimes',' signal ',' trouble ',' plis', 'believe', ' disappointed ',' work ',' use ',' internet ',' hampered ', ""]")</f>
        <v>['Telkomsel', 'buy', 'quota', 'unlimited', 'failed', 'obstacle', 'system', 'sometimes',' signal ',' trouble ',' plis', 'believe', ' disappointed ',' work ',' use ',' internet ',' hampered ', "]</v>
      </c>
      <c r="D673" s="3">
        <v>2.0</v>
      </c>
    </row>
    <row r="674" ht="15.75" customHeight="1">
      <c r="A674" s="1">
        <v>672.0</v>
      </c>
      <c r="B674" s="3" t="s">
        <v>675</v>
      </c>
      <c r="C674" s="3" t="str">
        <f>IFERROR(__xludf.DUMMYFUNCTION("GOOGLETRANSLATE(B674,""id"",""en"")"),"['wuoy', 'bang', 'return', 'package', 'unlimited', 'masyrakat', 'poor', 'already', 'comfortable', 'really', 'because', 'package', ' Unlimited ',' Please ',' Dongg ',' Restore ',' Unlimited ',' GB ',' Please ',' Restore ',' Package ',' Unlimited ',' Mendin"&amp;"g ',' Move ',' Card ' ]")</f>
        <v>['wuoy', 'bang', 'return', 'package', 'unlimited', 'masyrakat', 'poor', 'already', 'comfortable', 'really', 'because', 'package', ' Unlimited ',' Please ',' Dongg ',' Restore ',' Unlimited ',' GB ',' Please ',' Restore ',' Package ',' Unlimited ',' Mending ',' Move ',' Card ' ]</v>
      </c>
      <c r="D674" s="3">
        <v>1.0</v>
      </c>
    </row>
    <row r="675" ht="15.75" customHeight="1">
      <c r="A675" s="1">
        <v>673.0</v>
      </c>
      <c r="B675" s="3" t="s">
        <v>676</v>
      </c>
      <c r="C675" s="3" t="str">
        <f>IFERROR(__xludf.DUMMYFUNCTION("GOOGLETRANSLATE(B675,""id"",""en"")"),"['make it difficult', 'transaction', 'promo', 'cheerful', 'active', 'activation', 'recommendation', 'friend', 'friend', 'work']")</f>
        <v>['make it difficult', 'transaction', 'promo', 'cheerful', 'active', 'activation', 'recommendation', 'friend', 'friend', 'work']</v>
      </c>
      <c r="D675" s="3">
        <v>1.0</v>
      </c>
    </row>
    <row r="676" ht="15.75" customHeight="1">
      <c r="A676" s="1">
        <v>674.0</v>
      </c>
      <c r="B676" s="3" t="s">
        <v>677</v>
      </c>
      <c r="C676" s="3" t="str">
        <f>IFERROR(__xludf.DUMMYFUNCTION("GOOGLETRANSLATE(B676,""id"",""en"")"),"['Forced', 'gave', 'star', 'ngak', 'worth', 'love', 'disappointed', 'really', 'ama', 'Telkomsel', 'poor', 'service', ' SMA ',' Skali ',' ignores', 'satisfaction', 'Customer', 'Combo', 'Sakti', 'Unlimited', 'quota', 'GB', 'Abis',' delicious', 'use' , 'Inte"&amp;"rnet', 'Skrng', 'Combo', 'Sakti', 'GB', 'OMDO', 'GB', 'Abis',' GB ',' Seok ',' Use ',' Internet ',' Mending ',' Search ',' Yellow ',' Ngertiin ',' Pouch ',' People ',' Kyak ',' Sya ',' Thank ', ""]")</f>
        <v>['Forced', 'gave', 'star', 'ngak', 'worth', 'love', 'disappointed', 'really', 'ama', 'Telkomsel', 'poor', 'service', ' SMA ',' Skali ',' ignores', 'satisfaction', 'Customer', 'Combo', 'Sakti', 'Unlimited', 'quota', 'GB', 'Abis',' delicious', 'use' , 'Internet', 'Skrng', 'Combo', 'Sakti', 'GB', 'OMDO', 'GB', 'Abis',' GB ',' Seok ',' Use ',' Internet ',' Mending ',' Search ',' Yellow ',' Ngertiin ',' Pouch ',' People ',' Kyak ',' Sya ',' Thank ', "]</v>
      </c>
      <c r="D676" s="3">
        <v>1.0</v>
      </c>
    </row>
    <row r="677" ht="15.75" customHeight="1">
      <c r="A677" s="1">
        <v>675.0</v>
      </c>
      <c r="B677" s="3" t="s">
        <v>678</v>
      </c>
      <c r="C677" s="3" t="str">
        <f>IFERROR(__xludf.DUMMYFUNCTION("GOOGLETRANSLATE(B677,""id"",""en"")"),"['Star', 'collapsed', 'signal', 'difficult', 'package', 'expensive', 'expensive', 'signal', 'good', 'mah', 'mah', ' signal ',' difficult ',' kecawidity ',' Telkomsel ']")</f>
        <v>['Star', 'collapsed', 'signal', 'difficult', 'package', 'expensive', 'expensive', 'signal', 'good', 'mah', 'mah', ' signal ',' difficult ',' kecawidity ',' Telkomsel ']</v>
      </c>
      <c r="D677" s="3">
        <v>2.0</v>
      </c>
    </row>
    <row r="678" ht="15.75" customHeight="1">
      <c r="A678" s="1">
        <v>676.0</v>
      </c>
      <c r="B678" s="3" t="s">
        <v>679</v>
      </c>
      <c r="C678" s="3" t="str">
        <f>IFERROR(__xludf.DUMMYFUNCTION("GOOGLETRANSLATE(B678,""id"",""en"")"),"['difficult', 'network', 'play', 'mobile', 'LEAGEND', 'difficult', 'really', 'connection', 'village', 'difficult', 'play', 'gatau', ' cards', 'simPATI', 'use', 'play', 'mobile', 'LEAGEND', 'Destroy', 'mashed', 'stone', 'poor', 'poor', 'poor']")</f>
        <v>['difficult', 'network', 'play', 'mobile', 'LEAGEND', 'difficult', 'really', 'connection', 'village', 'difficult', 'play', 'gatau', ' cards', 'simPATI', 'use', 'play', 'mobile', 'LEAGEND', 'Destroy', 'mashed', 'stone', 'poor', 'poor', 'poor']</v>
      </c>
      <c r="D678" s="3">
        <v>1.0</v>
      </c>
    </row>
    <row r="679" ht="15.75" customHeight="1">
      <c r="A679" s="1">
        <v>677.0</v>
      </c>
      <c r="B679" s="3" t="s">
        <v>680</v>
      </c>
      <c r="C679" s="3" t="str">
        <f>IFERROR(__xludf.DUMMYFUNCTION("GOOGLETRANSLATE(B679,""id"",""en"")"),"['Sorry', 'search', 'use', 'bhs',' English ',' bhs', 'English', 'rating', 'star', 'application', 'delete', 'use', ' Ngerni ',' BHS ',' English ',' ']")</f>
        <v>['Sorry', 'search', 'use', 'bhs',' English ',' bhs', 'English', 'rating', 'star', 'application', 'delete', 'use', ' Ngerni ',' BHS ',' English ',' ']</v>
      </c>
      <c r="D679" s="3">
        <v>1.0</v>
      </c>
    </row>
    <row r="680" ht="15.75" customHeight="1">
      <c r="A680" s="1">
        <v>678.0</v>
      </c>
      <c r="B680" s="3" t="s">
        <v>681</v>
      </c>
      <c r="C680" s="3" t="str">
        <f>IFERROR(__xludf.DUMMYFUNCTION("GOOGLETRANSLATE(B680,""id"",""en"")"),"['Telkomsel', 'crazy', 'network', 'Full', 'quota', 'difficult', 'connection', 'internet', 'rich', 'fix', 'performance', ""]")</f>
        <v>['Telkomsel', 'crazy', 'network', 'Full', 'quota', 'difficult', 'connection', 'internet', 'rich', 'fix', 'performance', "]</v>
      </c>
      <c r="D680" s="3">
        <v>1.0</v>
      </c>
    </row>
    <row r="681" ht="15.75" customHeight="1">
      <c r="A681" s="1">
        <v>679.0</v>
      </c>
      <c r="B681" s="3" t="s">
        <v>682</v>
      </c>
      <c r="C681" s="3" t="str">
        <f>IFERROR(__xludf.DUMMYFUNCTION("GOOGLETRANSLATE(B681,""id"",""en"")"),"['Talikin', 'quota', 'Telkomsel', 'unlimited', 'lazy', 'really', 'quota', 'unlimited', 'because', 'restrictions',' quota ',' quota ',' the limit ',' use ',' run out ',' open ',' tiktok ',' facebook ',' susa ',' slow ',' severe ',' quota ',' unlimited ',' "&amp;"restricted ',' disappointed ' , 'Telkomsel', 'already', 'Telkomsel', '']")</f>
        <v>['Talikin', 'quota', 'Telkomsel', 'unlimited', 'lazy', 'really', 'quota', 'unlimited', 'because', 'restrictions',' quota ',' quota ',' the limit ',' use ',' run out ',' open ',' tiktok ',' facebook ',' susa ',' slow ',' severe ',' quota ',' unlimited ',' restricted ',' disappointed ' , 'Telkomsel', 'already', 'Telkomsel', '']</v>
      </c>
      <c r="D681" s="3">
        <v>1.0</v>
      </c>
    </row>
    <row r="682" ht="15.75" customHeight="1">
      <c r="A682" s="1">
        <v>680.0</v>
      </c>
      <c r="B682" s="3" t="s">
        <v>683</v>
      </c>
      <c r="C682" s="3" t="str">
        <f>IFERROR(__xludf.DUMMYFUNCTION("GOOGLETRANSLATE(B682,""id"",""en"")"),"['difficult', 'right', 'check', 'pulse', 'tetep', 'difficult', 'call', 'center', 'called', 'sms',' sent ',' pulse ',' active ',' network ',' good ',' restart ',' check ',' smsc ',' teek ',' click ',' mode ',' plane ',' search ',' tutorial ',' googl ' , 'f"&amp;"ail']")</f>
        <v>['difficult', 'right', 'check', 'pulse', 'tetep', 'difficult', 'call', 'center', 'called', 'sms',' sent ',' pulse ',' active ',' network ',' good ',' restart ',' check ',' smsc ',' teek ',' click ',' mode ',' plane ',' search ',' tutorial ',' googl ' , 'fail']</v>
      </c>
      <c r="D682" s="3">
        <v>1.0</v>
      </c>
    </row>
    <row r="683" ht="15.75" customHeight="1">
      <c r="A683" s="1">
        <v>681.0</v>
      </c>
      <c r="B683" s="3" t="s">
        <v>684</v>
      </c>
      <c r="C683" s="3" t="str">
        <f>IFERROR(__xludf.DUMMYFUNCTION("GOOGLETRANSLATE(B683,""id"",""en"")"),"['Fix', 'please', 'network', 'lag', 'severe', 'please', 'week', 'network', 'area', 'problem', 'thank you']")</f>
        <v>['Fix', 'please', 'network', 'lag', 'severe', 'please', 'week', 'network', 'area', 'problem', 'thank you']</v>
      </c>
      <c r="D683" s="3">
        <v>1.0</v>
      </c>
    </row>
    <row r="684" ht="15.75" customHeight="1">
      <c r="A684" s="1">
        <v>682.0</v>
      </c>
      <c r="B684" s="3" t="s">
        <v>685</v>
      </c>
      <c r="C684" s="3" t="str">
        <f>IFERROR(__xludf.DUMMYFUNCTION("GOOGLETRANSLATE(B684,""id"",""en"")"),"['', 'Telkomsel', 'fast', 'responsive', 'community', 'needs',' masatatakat ',' related ',' communication ',' online ',' affordable ',' smooth ',' easy ',' hopefully ',' cyke ',' good ',' service ',' communication ',' online ',' ']")</f>
        <v>['', 'Telkomsel', 'fast', 'responsive', 'community', 'needs',' masatatakat ',' related ',' communication ',' online ',' affordable ',' smooth ',' easy ',' hopefully ',' cyke ',' good ',' service ',' communication ',' online ',' ']</v>
      </c>
      <c r="D684" s="3">
        <v>5.0</v>
      </c>
    </row>
    <row r="685" ht="15.75" customHeight="1">
      <c r="A685" s="1">
        <v>683.0</v>
      </c>
      <c r="B685" s="3" t="s">
        <v>686</v>
      </c>
      <c r="C685" s="3" t="str">
        <f>IFERROR(__xludf.DUMMYFUNCTION("GOOGLETRANSLATE(B685,""id"",""en"")"),"['Package', 'Internet', 'expensive', 'quality', 'network', 'LTE', 'Season', 'location', 'home', 'urban', 'supports',' network ',' LTE ','A', 'Sorry', 'Disappointed', 'Telkomsel', 'Provider', 'Next to', 'Options', 'Current', 'Transaction', 'Etc.', 'Fix', '"&amp;"Maintenance' , 'expensive', 'obstacles', 'network', '']")</f>
        <v>['Package', 'Internet', 'expensive', 'quality', 'network', 'LTE', 'Season', 'location', 'home', 'urban', 'supports',' network ',' LTE ','A', 'Sorry', 'Disappointed', 'Telkomsel', 'Provider', 'Next to', 'Options', 'Current', 'Transaction', 'Etc.', 'Fix', 'Maintenance' , 'expensive', 'obstacles', 'network', '']</v>
      </c>
      <c r="D685" s="3">
        <v>1.0</v>
      </c>
    </row>
    <row r="686" ht="15.75" customHeight="1">
      <c r="A686" s="1">
        <v>684.0</v>
      </c>
      <c r="B686" s="3" t="s">
        <v>687</v>
      </c>
      <c r="C686" s="3" t="str">
        <f>IFERROR(__xludf.DUMMYFUNCTION("GOOGLETRANSLATE(B686,""id"",""en"")"),"['', 'Area', 'Lampung', 'Subdistrict', 'Rajabasa', 'Telkomsel', 'Lemot', 'Kayak', 'Snail', 'Cook', 'Mode', 'Really', 'Disappointing ',' ']")</f>
        <v>['', 'Area', 'Lampung', 'Subdistrict', 'Rajabasa', 'Telkomsel', 'Lemot', 'Kayak', 'Snail', 'Cook', 'Mode', 'Really', 'Disappointing ',' ']</v>
      </c>
      <c r="D686" s="3">
        <v>1.0</v>
      </c>
    </row>
    <row r="687" ht="15.75" customHeight="1">
      <c r="A687" s="1">
        <v>685.0</v>
      </c>
      <c r="B687" s="3" t="s">
        <v>688</v>
      </c>
      <c r="C687" s="3" t="str">
        <f>IFERROR(__xludf.DUMMYFUNCTION("GOOGLETRANSLATE(B687,""id"",""en"")"),"['already', 'followed up', 'review', 'edited', 'Thank you', 'buy', 'pulse', 'MyTelkomsel', 'Pay', 'Shopeepay', 'transaction', 'SUCCESS', ' Balance ',' Shopeepay ',' Reduced ',' Credit ',' Increases', 'Very', 'The Victim', 'Admin', 'MyTelkomsel', 'Respondi"&amp;"ng', 'Helping', ""]")</f>
        <v>['already', 'followed up', 'review', 'edited', 'Thank you', 'buy', 'pulse', 'MyTelkomsel', 'Pay', 'Shopeepay', 'transaction', 'SUCCESS', ' Balance ',' Shopeepay ',' Reduced ',' Credit ',' Increases', 'Very', 'The Victim', 'Admin', 'MyTelkomsel', 'Responding', 'Helping', "]</v>
      </c>
      <c r="D687" s="3">
        <v>4.0</v>
      </c>
    </row>
    <row r="688" ht="15.75" customHeight="1">
      <c r="A688" s="1">
        <v>686.0</v>
      </c>
      <c r="B688" s="3" t="s">
        <v>689</v>
      </c>
      <c r="C688" s="3" t="str">
        <f>IFERROR(__xludf.DUMMYFUNCTION("GOOGLETRANSLATE(B688,""id"",""en"")"),"['Provider', 'Trusted', 'Society', 'Indonesia', 'like', 'Ngecewain', 'For example', 'quota', 'unlimited', 'max', 'price', 'Jadu', ' Changed ',' Full ',' Unlimited ',' FUP ',' Really ',' Nihh ',' Nihh ',' Where ',' Expensive ',' Reduced ',' Chat ',' Accoun"&amp;"t ',' Telkomsel ' , 'Official', 'answered', 'Bott', '']")</f>
        <v>['Provider', 'Trusted', 'Society', 'Indonesia', 'like', 'Ngecewain', 'For example', 'quota', 'unlimited', 'max', 'price', 'Jadu', ' Changed ',' Full ',' Unlimited ',' FUP ',' Really ',' Nihh ',' Nihh ',' Where ',' Expensive ',' Reduced ',' Chat ',' Account ',' Telkomsel ' , 'Official', 'answered', 'Bott', '']</v>
      </c>
      <c r="D688" s="3">
        <v>1.0</v>
      </c>
    </row>
    <row r="689" ht="15.75" customHeight="1">
      <c r="A689" s="1">
        <v>687.0</v>
      </c>
      <c r="B689" s="3" t="s">
        <v>690</v>
      </c>
      <c r="C689" s="3" t="str">
        <f>IFERROR(__xludf.DUMMYFUNCTION("GOOGLETRANSLATE(B689,""id"",""en"")"),"['The application', 'good', 'easy', 'use', 'entry', 'application', 'signal', 'reload', 'the application', 'good', 'easy', 'menu', ' ']")</f>
        <v>['The application', 'good', 'easy', 'use', 'entry', 'application', 'signal', 'reload', 'the application', 'good', 'easy', 'menu', ' ']</v>
      </c>
      <c r="D689" s="3">
        <v>4.0</v>
      </c>
    </row>
    <row r="690" ht="15.75" customHeight="1">
      <c r="A690" s="1">
        <v>688.0</v>
      </c>
      <c r="B690" s="3" t="s">
        <v>691</v>
      </c>
      <c r="C690" s="3" t="str">
        <f>IFERROR(__xludf.DUMMYFUNCTION("GOOGLETRANSLATE(B690,""id"",""en"")"),"['Sorry', 'deliberate', 'Sya', 'Download', 'Sya', 'I've played', 'mobile', 'Legend', 'signal', 'red', 'lag', ' annoying ',' signal ',' Telkomsel ',' please ',' thank ',' love ', ""]")</f>
        <v>['Sorry', 'deliberate', 'Sya', 'Download', 'Sya', 'I've played', 'mobile', 'Legend', 'signal', 'red', 'lag', ' annoying ',' signal ',' Telkomsel ',' please ',' thank ',' love ', "]</v>
      </c>
      <c r="D690" s="3">
        <v>1.0</v>
      </c>
    </row>
    <row r="691" ht="15.75" customHeight="1">
      <c r="A691" s="1">
        <v>689.0</v>
      </c>
      <c r="B691" s="3" t="s">
        <v>692</v>
      </c>
      <c r="C691" s="3" t="str">
        <f>IFERROR(__xludf.DUMMYFUNCTION("GOOGLETRANSLATE(B691,""id"",""en"")"),"['Telkomsel', 'abandoned', 'network', 'internet', 'slow', 'sorry', 'Telkomsel', 'moved', 'provider', 'terbima', 'love', 'provider' Mainstay ',' ']")</f>
        <v>['Telkomsel', 'abandoned', 'network', 'internet', 'slow', 'sorry', 'Telkomsel', 'moved', 'provider', 'terbima', 'love', 'provider' Mainstay ',' ']</v>
      </c>
      <c r="D691" s="3">
        <v>1.0</v>
      </c>
    </row>
    <row r="692" ht="15.75" customHeight="1">
      <c r="A692" s="1">
        <v>690.0</v>
      </c>
      <c r="B692" s="3" t="s">
        <v>693</v>
      </c>
      <c r="C692" s="3" t="str">
        <f>IFERROR(__xludf.DUMMYFUNCTION("GOOGLETRANSLATE(B692,""id"",""en"")"),"['Telkomsel', 'promo', 'quota', 'affordable', 'circles', 'medium', 'down', 'activities', 'system', 'online', 'thank you']")</f>
        <v>['Telkomsel', 'promo', 'quota', 'affordable', 'circles', 'medium', 'down', 'activities', 'system', 'online', 'thank you']</v>
      </c>
      <c r="D692" s="3">
        <v>3.0</v>
      </c>
    </row>
    <row r="693" ht="15.75" customHeight="1">
      <c r="A693" s="1">
        <v>691.0</v>
      </c>
      <c r="B693" s="3" t="s">
        <v>694</v>
      </c>
      <c r="C693" s="3" t="str">
        <f>IFERROR(__xludf.DUMMYFUNCTION("GOOGLETRANSLATE(B693,""id"",""en"")"),"['signal', 'Telkomsel', 'bad', 'quota', 'expensive', 'draw', 'signal', 'interest', 'Makai', 'Telkomsel', 'quality', 'guaranteed', ' Disappointed ',' Gara ',' Gara ',' Signal ',' Weak ',' ']")</f>
        <v>['signal', 'Telkomsel', 'bad', 'quota', 'expensive', 'draw', 'signal', 'interest', 'Makai', 'Telkomsel', 'quality', 'guaranteed', ' Disappointed ',' Gara ',' Gara ',' Signal ',' Weak ',' ']</v>
      </c>
      <c r="D693" s="3">
        <v>1.0</v>
      </c>
    </row>
    <row r="694" ht="15.75" customHeight="1">
      <c r="A694" s="1">
        <v>692.0</v>
      </c>
      <c r="B694" s="3" t="s">
        <v>695</v>
      </c>
      <c r="C694" s="3" t="str">
        <f>IFERROR(__xludf.DUMMYFUNCTION("GOOGLETRANSLATE(B694,""id"",""en"")"),"['Application', 'MyTelkomsel', 'Network', 'Top', 'Alhamdulillah', 'Hopefully', 'Moving', 'Telkomsel', 'Suggestions',' Try ',' Telkomsel ',' Kek ',' Axis', 'Price', 'Cheap', 'Network', 'Not bad', 'Fast', 'Director', 'Telkomsel', 'Price', 'Package', 'Try', "&amp;"'Located', 'a little' , 'Kasian', 'community', 'company', 'BUMN', 'price', 'exorbitant', 'evil', 'for example', 'in place', 'Aceh', 'southeast', 'network', ' brokenkkkkkkkkkkkkkkkkkkkkk ',' udh ',' expensive ',' again ',' astaghfirullah ',' tiplet ',' bro"&amp;"o ',' repent ']")</f>
        <v>['Application', 'MyTelkomsel', 'Network', 'Top', 'Alhamdulillah', 'Hopefully', 'Moving', 'Telkomsel', 'Suggestions',' Try ',' Telkomsel ',' Kek ',' Axis', 'Price', 'Cheap', 'Network', 'Not bad', 'Fast', 'Director', 'Telkomsel', 'Price', 'Package', 'Try', 'Located', 'a little' , 'Kasian', 'community', 'company', 'BUMN', 'price', 'exorbitant', 'evil', 'for example', 'in place', 'Aceh', 'southeast', 'network', ' brokenkkkkkkkkkkkkkkkkkkkkk ',' udh ',' expensive ',' again ',' astaghfirullah ',' tiplet ',' broo ',' repent ']</v>
      </c>
      <c r="D694" s="3">
        <v>4.0</v>
      </c>
    </row>
    <row r="695" ht="15.75" customHeight="1">
      <c r="A695" s="1">
        <v>693.0</v>
      </c>
      <c r="B695" s="3" t="s">
        <v>696</v>
      </c>
      <c r="C695" s="3" t="str">
        <f>IFERROR(__xludf.DUMMYFUNCTION("GOOGLETRANSLATE(B695,""id"",""en"")"),"['min', 'unlimited', 'fox', 'open', 'there', 'printed', 'kbs', 'kbs', 'kbs', 'kbs', 'min', '']")</f>
        <v>['min', 'unlimited', 'fox', 'open', 'there', 'printed', 'kbs', 'kbs', 'kbs', 'kbs', 'min', '']</v>
      </c>
      <c r="D695" s="3">
        <v>2.0</v>
      </c>
    </row>
    <row r="696" ht="15.75" customHeight="1">
      <c r="A696" s="1">
        <v>694.0</v>
      </c>
      <c r="B696" s="3" t="s">
        <v>697</v>
      </c>
      <c r="C696" s="3" t="str">
        <f>IFERROR(__xludf.DUMMYFUNCTION("GOOGLETRANSLATE(B696,""id"",""en"")"),"['package', 'card', 'Different', 'price', 'package', 'difference', 'price', 'package', 'in each', 'area', 'in the area', 'package', ' Different ',' example ',' sympathy ',' loop ',' loop ',' user ',' buy ',' package ',' internet ',' fast ',' package ',' r"&amp;"aised ',' price ' , 'loop', 'user', 'ngak', 'buy', 'package', 'internet', 'price', 'package', 'normal', 'cheap', 'package', 'learn', ' Provider ',' Telkomsel ',' price ',' package ',' expensive ',' quota ',' thin ', ""]")</f>
        <v>['package', 'card', 'Different', 'price', 'package', 'difference', 'price', 'package', 'in each', 'area', 'in the area', 'package', ' Different ',' example ',' sympathy ',' loop ',' loop ',' user ',' buy ',' package ',' internet ',' fast ',' package ',' raised ',' price ' , 'loop', 'user', 'ngak', 'buy', 'package', 'internet', 'price', 'package', 'normal', 'cheap', 'package', 'learn', ' Provider ',' Telkomsel ',' price ',' package ',' expensive ',' quota ',' thin ', "]</v>
      </c>
      <c r="D696" s="3">
        <v>3.0</v>
      </c>
    </row>
    <row r="697" ht="15.75" customHeight="1">
      <c r="A697" s="1">
        <v>695.0</v>
      </c>
      <c r="B697" s="3" t="s">
        <v>698</v>
      </c>
      <c r="C697" s="3" t="str">
        <f>IFERROR(__xludf.DUMMYFUNCTION("GOOGLETRANSLATE(B697,""id"",""en"")"),"['GMN', 'Min', 'Repair', 'Fix', 'Network', 'Telkomsel', 'Gamer', 'Comfortable', 'Connection', 'Network', 'Lemot', 'Package', ' Data ',' Play ',' Game ',' Online ',' Greetings', 'Gemer', 'City', 'Bima', 'Hopefully', 'Fast', 'Fix', 'Network', 'Telkomsel' , "&amp;"'TRIMS']")</f>
        <v>['GMN', 'Min', 'Repair', 'Fix', 'Network', 'Telkomsel', 'Gamer', 'Comfortable', 'Connection', 'Network', 'Lemot', 'Package', ' Data ',' Play ',' Game ',' Online ',' Greetings', 'Gemer', 'City', 'Bima', 'Hopefully', 'Fast', 'Fix', 'Network', 'Telkomsel' , 'TRIMS']</v>
      </c>
      <c r="D697" s="3">
        <v>1.0</v>
      </c>
    </row>
    <row r="698" ht="15.75" customHeight="1">
      <c r="A698" s="1">
        <v>696.0</v>
      </c>
      <c r="B698" s="3" t="s">
        <v>699</v>
      </c>
      <c r="C698" s="3" t="str">
        <f>IFERROR(__xludf.DUMMYFUNCTION("GOOGLETRANSLATE(B698,""id"",""en"")"),"['', 'application', 'MyTelkomsel', 'already', 'heavy', 'slow', 'chaotic', 'claims',' bonus', 'results',' check ',' said ',' point ',' sufficient ',' application ',' contents', 'products',' KOQ ',' LEG ',' Toko ',' Online ',' SPT ',' Toped ',' Bukalapak ',"&amp;"' etc. ']")</f>
        <v>['', 'application', 'MyTelkomsel', 'already', 'heavy', 'slow', 'chaotic', 'claims',' bonus', 'results',' check ',' said ',' point ',' sufficient ',' application ',' contents', 'products',' KOQ ',' LEG ',' Toko ',' Online ',' SPT ',' Toped ',' Bukalapak ',' etc. ']</v>
      </c>
      <c r="D698" s="3">
        <v>1.0</v>
      </c>
    </row>
    <row r="699" ht="15.75" customHeight="1">
      <c r="A699" s="1">
        <v>697.0</v>
      </c>
      <c r="B699" s="3" t="s">
        <v>700</v>
      </c>
      <c r="C699" s="3" t="str">
        <f>IFERROR(__xludf.DUMMYFUNCTION("GOOGLETRANSLATE(B699,""id"",""en"")"),"['Open', 'Application', 'Check', 'Credit', 'Quota', 'Written', 'Connection', 'Stable', 'Promo', 'Below', 'Appear', 'Claim', ' gifts', 'quota', 'daily', 'check', 'no', 'enter', 'pulse', 'point', 'already', 'cut', 'waduhhh', 'severe', 'expensive' , 'package"&amp;"', 'data', 'Telkomsel', 'really', 'mah', '']")</f>
        <v>['Open', 'Application', 'Check', 'Credit', 'Quota', 'Written', 'Connection', 'Stable', 'Promo', 'Below', 'Appear', 'Claim', ' gifts', 'quota', 'daily', 'check', 'no', 'enter', 'pulse', 'point', 'already', 'cut', 'waduhhh', 'severe', 'expensive' , 'package', 'data', 'Telkomsel', 'really', 'mah', '']</v>
      </c>
      <c r="D699" s="3">
        <v>1.0</v>
      </c>
    </row>
    <row r="700" ht="15.75" customHeight="1">
      <c r="A700" s="1">
        <v>698.0</v>
      </c>
      <c r="B700" s="3" t="s">
        <v>701</v>
      </c>
      <c r="C700" s="3" t="str">
        <f>IFERROR(__xludf.DUMMYFUNCTION("GOOGLETRANSLATE(B700,""id"",""en"")"),"['Policy', 'Combo', 'Sakti', 'Unlimited', 'FUP', 'Unlimited', 'YouTube', 'Unlimited', 'Game', 'Max', 'Tips',' etc. ',' Boro ',' Unlimited ',' Open ',' Facebook ',' Send ',' Massage ',' Message ',' Already ',' Leet ',' Keeper ',' Send ',' Chat ',' Open ' ,"&amp;" 'Lho', 'slow', 'Took', 'Unlimited', 'YouTube', 'Games', 'Tiktok', 'Etc.', ""]")</f>
        <v>['Policy', 'Combo', 'Sakti', 'Unlimited', 'FUP', 'Unlimited', 'YouTube', 'Unlimited', 'Game', 'Max', 'Tips',' etc. ',' Boro ',' Unlimited ',' Open ',' Facebook ',' Send ',' Massage ',' Message ',' Already ',' Leet ',' Keeper ',' Send ',' Chat ',' Open ' , 'Lho', 'slow', 'Took', 'Unlimited', 'YouTube', 'Games', 'Tiktok', 'Etc.', "]</v>
      </c>
      <c r="D700" s="3">
        <v>1.0</v>
      </c>
    </row>
    <row r="701" ht="15.75" customHeight="1">
      <c r="A701" s="1">
        <v>699.0</v>
      </c>
      <c r="B701" s="3" t="s">
        <v>702</v>
      </c>
      <c r="C701" s="3" t="str">
        <f>IFERROR(__xludf.DUMMYFUNCTION("GOOGLETRANSLATE(B701,""id"",""en"")"),"['Telkomsel', 'Package', 'Unlimited', 'Chat', 'Sosmed', 'Tiktok', 'now', 'Limit', 'Normal', 'Loved it', 'Forced', 'Skrg', ' move']")</f>
        <v>['Telkomsel', 'Package', 'Unlimited', 'Chat', 'Sosmed', 'Tiktok', 'now', 'Limit', 'Normal', 'Loved it', 'Forced', 'Skrg', ' move']</v>
      </c>
      <c r="D701" s="3">
        <v>1.0</v>
      </c>
    </row>
    <row r="702" ht="15.75" customHeight="1">
      <c r="A702" s="1">
        <v>700.0</v>
      </c>
      <c r="B702" s="3" t="s">
        <v>703</v>
      </c>
      <c r="C702" s="3" t="str">
        <f>IFERROR(__xludf.DUMMYFUNCTION("GOOGLETRANSLATE(B702,""id"",""en"")"),"['Please', 'repay', 'network', 'see', 'tick', 'tok', 'kouta', 'please', 'fix', 'as soon as possible,' ajah ',' hope ',' Fix ',' in the future ',' all ',' trimakasih ', ""]")</f>
        <v>['Please', 'repay', 'network', 'see', 'tick', 'tok', 'kouta', 'please', 'fix', 'as soon as possible,' ajah ',' hope ',' Fix ',' in the future ',' all ',' trimakasih ', "]</v>
      </c>
      <c r="D702" s="3">
        <v>2.0</v>
      </c>
    </row>
    <row r="703" ht="15.75" customHeight="1">
      <c r="A703" s="1">
        <v>701.0</v>
      </c>
      <c r="B703" s="3" t="s">
        <v>704</v>
      </c>
      <c r="C703" s="3" t="str">
        <f>IFERROR(__xludf.DUMMYFUNCTION("GOOGLETRANSLATE(B703,""id"",""en"")"),"['Yess', 'Please', 'Sorry', 'Telkomsel', 'Love', 'Bintang', 'Karna', 'Combo', 'Sakti', 'Unlimited', 'already', 'according to' What is it, 'Named', 'Combo', 'Sakti', 'Unlimited', 'Limit', 'Rich', 'Social', 'Media', 'Limit', 'Kouta', 'Main', 'Out' , 'Move',"&amp;" 'card', 'Telkomsel', 'oiiii']")</f>
        <v>['Yess', 'Please', 'Sorry', 'Telkomsel', 'Love', 'Bintang', 'Karna', 'Combo', 'Sakti', 'Unlimited', 'already', 'according to' What is it, 'Named', 'Combo', 'Sakti', 'Unlimited', 'Limit', 'Rich', 'Social', 'Media', 'Limit', 'Kouta', 'Main', 'Out' , 'Move', 'card', 'Telkomsel', 'oiiii']</v>
      </c>
      <c r="D703" s="3">
        <v>1.0</v>
      </c>
    </row>
    <row r="704" ht="15.75" customHeight="1">
      <c r="A704" s="1">
        <v>702.0</v>
      </c>
      <c r="B704" s="3" t="s">
        <v>705</v>
      </c>
      <c r="C704" s="3" t="str">
        <f>IFERROR(__xludf.DUMMYFUNCTION("GOOGLETRANSLATE(B704,""id"",""en"")"),"['Telkomsel', 'slow', 'masyallah', 'already', 'difficult', 'really', 'signal', 'already', 'buy', 'package', 'expensive', ' gmeet ',' what ',' whyaaa ']")</f>
        <v>['Telkomsel', 'slow', 'masyallah', 'already', 'difficult', 'really', 'signal', 'already', 'buy', 'package', 'expensive', ' gmeet ',' what ',' whyaaa ']</v>
      </c>
      <c r="D704" s="3">
        <v>2.0</v>
      </c>
    </row>
    <row r="705" ht="15.75" customHeight="1">
      <c r="A705" s="1">
        <v>703.0</v>
      </c>
      <c r="B705" s="3" t="s">
        <v>706</v>
      </c>
      <c r="C705" s="3" t="str">
        <f>IFERROR(__xludf.DUMMYFUNCTION("GOOGLETRANSLATE(B705,""id"",""en"")"),"['Telkomsel', 'cheating', 'quota', 'internet', 'pulse', 'spent', 'quota', 'different', 'berakumpuns',' sucked ',' quota ',' actip ',' AKTIP ',' short ',' disappointing ',' ']")</f>
        <v>['Telkomsel', 'cheating', 'quota', 'internet', 'pulse', 'spent', 'quota', 'different', 'berakumpuns',' sucked ',' quota ',' actip ',' AKTIP ',' short ',' disappointing ',' ']</v>
      </c>
      <c r="D705" s="3">
        <v>1.0</v>
      </c>
    </row>
    <row r="706" ht="15.75" customHeight="1">
      <c r="A706" s="1">
        <v>704.0</v>
      </c>
      <c r="B706" s="3" t="s">
        <v>707</v>
      </c>
      <c r="C706" s="3" t="str">
        <f>IFERROR(__xludf.DUMMYFUNCTION("GOOGLETRANSLATE(B706,""id"",""en"")"),"['Telkomsel', 'Sometimes',' smooth ',' sometimes', 'lag', 'shocked', 'mslh', 'price', 'quota', 'cmn', 'please', 'price', ' quota ',' quality ',' network ',' service ',' price ',' daitamain ',' forget ',' quality ',' network ']")</f>
        <v>['Telkomsel', 'Sometimes',' smooth ',' sometimes', 'lag', 'shocked', 'mslh', 'price', 'quota', 'cmn', 'please', 'price', ' quota ',' quality ',' network ',' service ',' price ',' daitamain ',' forget ',' quality ',' network ']</v>
      </c>
      <c r="D706" s="3">
        <v>3.0</v>
      </c>
    </row>
    <row r="707" ht="15.75" customHeight="1">
      <c r="A707" s="1">
        <v>705.0</v>
      </c>
      <c r="B707" s="3" t="s">
        <v>708</v>
      </c>
      <c r="C707" s="3" t="str">
        <f>IFERROR(__xludf.DUMMYFUNCTION("GOOGLETRANSLATE(B707,""id"",""en"")"),"['Dear', 'Telkomsel', 'Yesterday', 'buy', 'quota', 'lapse', 'youtube', 'watch', 'youtube', 'ngelag', 'signal', 'moved', ' Developer ',' ']")</f>
        <v>['Dear', 'Telkomsel', 'Yesterday', 'buy', 'quota', 'lapse', 'youtube', 'watch', 'youtube', 'ngelag', 'signal', 'moved', ' Developer ',' ']</v>
      </c>
      <c r="D707" s="3">
        <v>2.0</v>
      </c>
    </row>
    <row r="708" ht="15.75" customHeight="1">
      <c r="A708" s="1">
        <v>706.0</v>
      </c>
      <c r="B708" s="3" t="s">
        <v>709</v>
      </c>
      <c r="C708" s="3" t="str">
        <f>IFERROR(__xludf.DUMMYFUNCTION("GOOGLETRANSLATE(B708,""id"",""en"")"),"['mantep', 'network', 'download', 'game', 'GB', 'clock', 'already', 'finished', 'severe', 'spirit', 'consumer', 'disappointed', ' ']")</f>
        <v>['mantep', 'network', 'download', 'game', 'GB', 'clock', 'already', 'finished', 'severe', 'spirit', 'consumer', 'disappointed', ' ']</v>
      </c>
      <c r="D708" s="3">
        <v>1.0</v>
      </c>
    </row>
    <row r="709" ht="15.75" customHeight="1">
      <c r="A709" s="1">
        <v>707.0</v>
      </c>
      <c r="B709" s="3" t="s">
        <v>710</v>
      </c>
      <c r="C709" s="3" t="str">
        <f>IFERROR(__xludf.DUMMYFUNCTION("GOOGLETRANSLATE(B709,""id"",""en"")"),"['WOI', 'Telkomsel', 'bonus',' quota ',' internet ',' claims', 'bonus',' chek ',' daily ',' claimed ',' bonus', 'Hadeh', ' "", 'Tipu', 'already', 'APK', 'Lemot', 'Bener',""]")</f>
        <v>['WOI', 'Telkomsel', 'bonus',' quota ',' internet ',' claims', 'bonus',' chek ',' daily ',' claimed ',' bonus', 'Hadeh', ' ", 'Tipu', 'already', 'APK', 'Lemot', 'Bener',"]</v>
      </c>
      <c r="D709" s="3">
        <v>2.0</v>
      </c>
    </row>
    <row r="710" ht="15.75" customHeight="1">
      <c r="A710" s="1">
        <v>708.0</v>
      </c>
      <c r="B710" s="3" t="s">
        <v>711</v>
      </c>
      <c r="C710" s="3" t="str">
        <f>IFERROR(__xludf.DUMMYFUNCTION("GOOGLETRANSLATE(B710,""id"",""en"")"),"['signal', 'Telkomsel', 'ugly', 'really', 'tasty', 'tasty', 'play', 'game', 'signal', 'ngilan', 'bkan', 'times',' Atwa ',' times', 'TPI', 'Please', 'Fix', 'already', 'Lmyan', 'PKE', 'Telkomsel', 'TPI', 'Skrang', 'Kya', 'Gini' , 'Lemot', 'CPAT', 'BNGET', '"&amp;"']")</f>
        <v>['signal', 'Telkomsel', 'ugly', 'really', 'tasty', 'tasty', 'play', 'game', 'signal', 'ngilan', 'bkan', 'times',' Atwa ',' times', 'TPI', 'Please', 'Fix', 'already', 'Lmyan', 'PKE', 'Telkomsel', 'TPI', 'Skrang', 'Kya', 'Gini' , 'Lemot', 'CPAT', 'BNGET', '']</v>
      </c>
      <c r="D710" s="3">
        <v>1.0</v>
      </c>
    </row>
    <row r="711" ht="15.75" customHeight="1">
      <c r="A711" s="1">
        <v>709.0</v>
      </c>
      <c r="B711" s="3" t="s">
        <v>712</v>
      </c>
      <c r="C711" s="3" t="str">
        <f>IFERROR(__xludf.DUMMYFUNCTION("GOOGLETRANSLATE(B711,""id"",""en"")"),"['Telkomsel', 'as fast', 'application', 'Telkomsel', 'printed', 'package', 'cheerful', 'bought', 'progress',' aka ',' status', 'pending', ' buy']")</f>
        <v>['Telkomsel', 'as fast', 'application', 'Telkomsel', 'printed', 'package', 'cheerful', 'bought', 'progress',' aka ',' status', 'pending', ' buy']</v>
      </c>
      <c r="D711" s="3">
        <v>1.0</v>
      </c>
    </row>
    <row r="712" ht="15.75" customHeight="1">
      <c r="A712" s="1">
        <v>710.0</v>
      </c>
      <c r="B712" s="3" t="s">
        <v>713</v>
      </c>
      <c r="C712" s="3" t="str">
        <f>IFERROR(__xludf.DUMMYFUNCTION("GOOGLETRANSLATE(B712,""id"",""en"")"),"['Exchange', 'Points', 'Voucher', 'Food', 'GrabFood', 'Confirm', 'Cashier', 'Service', 'Grabfood', 'Direct', 'restaurant', 'idiot']")</f>
        <v>['Exchange', 'Points', 'Voucher', 'Food', 'GrabFood', 'Confirm', 'Cashier', 'Service', 'Grabfood', 'Direct', 'restaurant', 'idiot']</v>
      </c>
      <c r="D712" s="3">
        <v>1.0</v>
      </c>
    </row>
    <row r="713" ht="15.75" customHeight="1">
      <c r="A713" s="1">
        <v>711.0</v>
      </c>
      <c r="B713" s="3" t="s">
        <v>714</v>
      </c>
      <c r="C713" s="3" t="str">
        <f>IFERROR(__xludf.DUMMYFUNCTION("GOOGLETRANSLATE(B713,""id"",""en"")"),"['expensive', 'doank', 'network', 'bad', 'decent', 'provider', 'provider', 'next door', 'cheap', 'connection', 'smooth', '']")</f>
        <v>['expensive', 'doank', 'network', 'bad', 'decent', 'provider', 'provider', 'next door', 'cheap', 'connection', 'smooth', '']</v>
      </c>
      <c r="D713" s="3">
        <v>1.0</v>
      </c>
    </row>
    <row r="714" ht="15.75" customHeight="1">
      <c r="A714" s="1">
        <v>712.0</v>
      </c>
      <c r="B714" s="3" t="s">
        <v>715</v>
      </c>
      <c r="C714" s="3" t="str">
        <f>IFERROR(__xludf.DUMMYFUNCTION("GOOGLETRANSLATE(B714,""id"",""en"")"),"['Please', 'Fix', 'Quality', 'signal', 'internet', 'ugly', 'symbol', 'stable', 'connection', 'ugly', 'disconnected', 'broke', ' Position ',' wherever ',' a year ',' good ',' the property ',' declined ',' ugly ',' price ',' expensive ',' operator ',' cellu"&amp;"lar ',' next door ',' cheap ' , 'quality', 'good', 'building', 'concrete', 'bully', 'activity', 'effort', 'moved', 'Please', 'Pehatian', ""]")</f>
        <v>['Please', 'Fix', 'Quality', 'signal', 'internet', 'ugly', 'symbol', 'stable', 'connection', 'ugly', 'disconnected', 'broke', ' Position ',' wherever ',' a year ',' good ',' the property ',' declined ',' ugly ',' price ',' expensive ',' operator ',' cellular ',' next door ',' cheap ' , 'quality', 'good', 'building', 'concrete', 'bully', 'activity', 'effort', 'moved', 'Please', 'Pehatian', "]</v>
      </c>
      <c r="D714" s="3">
        <v>1.0</v>
      </c>
    </row>
    <row r="715" ht="15.75" customHeight="1">
      <c r="A715" s="1">
        <v>713.0</v>
      </c>
      <c r="B715" s="3" t="s">
        <v>716</v>
      </c>
      <c r="C715" s="3" t="str">
        <f>IFERROR(__xludf.DUMMYFUNCTION("GOOGLETRANSLATE(B715,""id"",""en"")"),"['buy', 'package', 'counter', 'price', 'package', 'unlimited', 'abis',' quota ',' main ',' package ',' unlimited ',' just ',' WhatsApp ',' gini ',' already ',' different ',' package ',' chat ',' a month ',' just ',' hope ',' fast ',' fix ']")</f>
        <v>['buy', 'package', 'counter', 'price', 'package', 'unlimited', 'abis',' quota ',' main ',' package ',' unlimited ',' just ',' WhatsApp ',' gini ',' already ',' different ',' package ',' chat ',' a month ',' just ',' hope ',' fast ',' fix ']</v>
      </c>
      <c r="D715" s="3">
        <v>1.0</v>
      </c>
    </row>
    <row r="716" ht="15.75" customHeight="1">
      <c r="A716" s="1">
        <v>714.0</v>
      </c>
      <c r="B716" s="3" t="s">
        <v>717</v>
      </c>
      <c r="C716" s="3" t="str">
        <f>IFERROR(__xludf.DUMMYFUNCTION("GOOGLETRANSLATE(B716,""id"",""en"")"),"['problem', 'display', 'menu', 'connection', 'stable', 'refresh', 'reset', 'enter', 'mytelkomsel', 'times',' stable ',' and that ',' Please, 'repaired', 'noticed', 'server', '']")</f>
        <v>['problem', 'display', 'menu', 'connection', 'stable', 'refresh', 'reset', 'enter', 'mytelkomsel', 'times',' stable ',' and that ',' Please, 'repaired', 'noticed', 'server', '']</v>
      </c>
      <c r="D716" s="3">
        <v>1.0</v>
      </c>
    </row>
    <row r="717" ht="15.75" customHeight="1">
      <c r="A717" s="1">
        <v>715.0</v>
      </c>
      <c r="B717" s="3" t="s">
        <v>718</v>
      </c>
      <c r="C717" s="3" t="str">
        <f>IFERROR(__xludf.DUMMYFUNCTION("GOOGLETRANSLATE(B717,""id"",""en"")"),"['Ngasih', 'Review', 'Bad', 'Telkomsel', 'Bankrupt', 'Sampe', 'Contents',' Review ',' Products', 'Provider', 'Gada', 'Kanya', ' Jorjoran ',' in all ',' media ',' obstacles', 'Telkomsel', 'doubt', ""]")</f>
        <v>['Ngasih', 'Review', 'Bad', 'Telkomsel', 'Bankrupt', 'Sampe', 'Contents',' Review ',' Products', 'Provider', 'Gada', 'Kanya', ' Jorjoran ',' in all ',' media ',' obstacles', 'Telkomsel', 'doubt', "]</v>
      </c>
      <c r="D717" s="3">
        <v>1.0</v>
      </c>
    </row>
    <row r="718" ht="15.75" customHeight="1">
      <c r="A718" s="1">
        <v>716.0</v>
      </c>
      <c r="B718" s="3" t="s">
        <v>719</v>
      </c>
      <c r="C718" s="3" t="str">
        <f>IFERROR(__xludf.DUMMYFUNCTION("GOOGLETRANSLATE(B718,""id"",""en"")"),"['package', 'saktinya', 'already', 'ngak', 'karuan', 'list', 'a week', 'already', 'ngilan', 'limit', 'registration', 'run out', ' Date ',' Lost ',' Package ',' Nyampe ',' Pas', 'Buru', 'BLI', 'Credit', 'Want', 'Register', 'Ehh', 'already', 'getting' , 'Pa"&amp;"ckage', 'Dehh', 'weird']")</f>
        <v>['package', 'saktinya', 'already', 'ngak', 'karuan', 'list', 'a week', 'already', 'ngilan', 'limit', 'registration', 'run out', ' Date ',' Lost ',' Package ',' Nyampe ',' Pas', 'Buru', 'BLI', 'Credit', 'Want', 'Register', 'Ehh', 'already', 'getting' , 'Package', 'Dehh', 'weird']</v>
      </c>
      <c r="D718" s="3">
        <v>1.0</v>
      </c>
    </row>
    <row r="719" ht="15.75" customHeight="1">
      <c r="A719" s="1">
        <v>717.0</v>
      </c>
      <c r="B719" s="3" t="s">
        <v>720</v>
      </c>
      <c r="C719" s="3" t="str">
        <f>IFERROR(__xludf.DUMMYFUNCTION("GOOGLETRANSLATE(B719,""id"",""en"")"),"['Network', 'bad', 'play', 'game', 'name', 'doang', 'Telkomsel', 'good', 'network', 'yield', 'nil', 'expensive', ' Doang ',' Bales', 'Chat', 'Benerin', 'Network', 'Telkom', 'Cave', 'Pabuaran', 'Bogor']")</f>
        <v>['Network', 'bad', 'play', 'game', 'name', 'doang', 'Telkomsel', 'good', 'network', 'yield', 'nil', 'expensive', ' Doang ',' Bales', 'Chat', 'Benerin', 'Network', 'Telkom', 'Cave', 'Pabuaran', 'Bogor']</v>
      </c>
      <c r="D719" s="3">
        <v>1.0</v>
      </c>
    </row>
    <row r="720" ht="15.75" customHeight="1">
      <c r="A720" s="1">
        <v>718.0</v>
      </c>
      <c r="B720" s="3" t="s">
        <v>721</v>
      </c>
      <c r="C720" s="3" t="str">
        <f>IFERROR(__xludf.DUMMYFUNCTION("GOOGLETRANSLATE(B720,""id"",""en"")"),"['Network', 'slow', 'price', 'package', 'expensive', 'basically', 'deh', 'pakek', 'Telkomsel', 'moved', 'provider', 'next door', ' Price ',' Package ',' Affordable ',' Network ',' Setabil ']")</f>
        <v>['Network', 'slow', 'price', 'package', 'expensive', 'basically', 'deh', 'pakek', 'Telkomsel', 'moved', 'provider', 'next door', ' Price ',' Package ',' Affordable ',' Network ',' Setabil ']</v>
      </c>
      <c r="D720" s="3">
        <v>1.0</v>
      </c>
    </row>
    <row r="721" ht="15.75" customHeight="1">
      <c r="A721" s="1">
        <v>719.0</v>
      </c>
      <c r="B721" s="3" t="s">
        <v>722</v>
      </c>
      <c r="C721" s="3" t="str">
        <f>IFERROR(__xludf.DUMMYFUNCTION("GOOGLETRANSLATE(B721,""id"",""en"")"),"['Hello', 'Assalamu', 'Alaikum', 'Telkomsel', 'Please', 'Donk', 'Network', 'Repaired', 'Wear', 'Card', 'Telkomsel', 'Wrong', ' Xixi ',' times', 'experience', 'network', 'bad', 'Please', 'repaired', 'Ngab', 'okay', ""]")</f>
        <v>['Hello', 'Assalamu', 'Alaikum', 'Telkomsel', 'Please', 'Donk', 'Network', 'Repaired', 'Wear', 'Card', 'Telkomsel', 'Wrong', ' Xixi ',' times', 'experience', 'network', 'bad', 'Please', 'repaired', 'Ngab', 'okay', "]</v>
      </c>
      <c r="D721" s="3">
        <v>5.0</v>
      </c>
    </row>
    <row r="722" ht="15.75" customHeight="1">
      <c r="A722" s="1">
        <v>720.0</v>
      </c>
      <c r="B722" s="3" t="s">
        <v>723</v>
      </c>
      <c r="C722" s="3" t="str">
        <f>IFERROR(__xludf.DUMMYFUNCTION("GOOGLETRANSLATE(B722,""id"",""en"")"),"['difficult', 'access', 'Place', 'Network', 'Telkomsel', 'Dulunnya', 'number', 'Login', 'MyTelkomsel', 'Indosat', 'smooth', 'Jaya']")</f>
        <v>['difficult', 'access', 'Place', 'Network', 'Telkomsel', 'Dulunnya', 'number', 'Login', 'MyTelkomsel', 'Indosat', 'smooth', 'Jaya']</v>
      </c>
      <c r="D722" s="3">
        <v>1.0</v>
      </c>
    </row>
    <row r="723" ht="15.75" customHeight="1">
      <c r="A723" s="1">
        <v>721.0</v>
      </c>
      <c r="B723" s="3" t="s">
        <v>724</v>
      </c>
      <c r="C723" s="3" t="str">
        <f>IFERROR(__xludf.DUMMYFUNCTION("GOOGLETRANSLATE(B723,""id"",""en"")"),"['Love', 'Bintang', 'Raying', 'Change', 'Star', 'Disappointing', 'Points',' Tukerin ',' Pulse ',' Paketan ',' Telkomsel ',' Actual ',' uda ',' good ',' uda ',' kayak ',' dlu ',' network ',' no ',' skrg ',' network ',' ']")</f>
        <v>['Love', 'Bintang', 'Raying', 'Change', 'Star', 'Disappointing', 'Points',' Tukerin ',' Pulse ',' Paketan ',' Telkomsel ',' Actual ',' uda ',' good ',' uda ',' kayak ',' dlu ',' network ',' no ',' skrg ',' network ',' ']</v>
      </c>
      <c r="D723" s="3">
        <v>1.0</v>
      </c>
    </row>
    <row r="724" ht="15.75" customHeight="1">
      <c r="A724" s="1">
        <v>722.0</v>
      </c>
      <c r="B724" s="3" t="s">
        <v>725</v>
      </c>
      <c r="C724" s="3" t="str">
        <f>IFERROR(__xludf.DUMMYFUNCTION("GOOGLETRANSLATE(B724,""id"",""en"")"),"['Hold', 'promo', 'quota', 'big', 'price', 'cheap', 'active', 'example', 'GB', 'price', 'check', 'thank', ' love']")</f>
        <v>['Hold', 'promo', 'quota', 'big', 'price', 'cheap', 'active', 'example', 'GB', 'price', 'check', 'thank', ' love']</v>
      </c>
      <c r="D724" s="3">
        <v>5.0</v>
      </c>
    </row>
    <row r="725" ht="15.75" customHeight="1">
      <c r="A725" s="1">
        <v>723.0</v>
      </c>
      <c r="B725" s="3" t="s">
        <v>726</v>
      </c>
      <c r="C725" s="3" t="str">
        <f>IFERROR(__xludf.DUMMYFUNCTION("GOOGLETRANSLATE(B725,""id"",""en"")"),"['pace', 'card', 'prime', 'expensive', 'giga', 'tuk', 'contents',' giga ',' unlimited ',' price ',' gasoline ',' premium ',' Dor ',' get ',' Tipu ',' Patters', 'Sue', 'Telkomsel', 'That's']")</f>
        <v>['pace', 'card', 'prime', 'expensive', 'giga', 'tuk', 'contents',' giga ',' unlimited ',' price ',' gasoline ',' premium ',' Dor ',' get ',' Tipu ',' Patters', 'Sue', 'Telkomsel', 'That's']</v>
      </c>
      <c r="D725" s="3">
        <v>2.0</v>
      </c>
    </row>
    <row r="726" ht="15.75" customHeight="1">
      <c r="A726" s="1">
        <v>724.0</v>
      </c>
      <c r="B726" s="3" t="s">
        <v>727</v>
      </c>
      <c r="C726" s="3" t="str">
        <f>IFERROR(__xludf.DUMMYFUNCTION("GOOGLETRANSLATE(B726,""id"",""en"")"),"['real', 'bro', 'since' Since ',' IM ',' drastic ',' Telkomsel ',' moved ',' IM ',' Package ',' cheap ',' network ',' Strong ',' hobbies', 'play', 'games',' online ',' learn ',' online ',' home ',' thank ',' love ',' im ',' package ',' drain ' , 'money', "&amp;"'']")</f>
        <v>['real', 'bro', 'since' Since ',' IM ',' drastic ',' Telkomsel ',' moved ',' IM ',' Package ',' cheap ',' network ',' Strong ',' hobbies', 'play', 'games',' online ',' learn ',' online ',' home ',' thank ',' love ',' im ',' package ',' drain ' , 'money', '']</v>
      </c>
      <c r="D726" s="3">
        <v>1.0</v>
      </c>
    </row>
    <row r="727" ht="15.75" customHeight="1">
      <c r="A727" s="1">
        <v>725.0</v>
      </c>
      <c r="B727" s="3" t="s">
        <v>728</v>
      </c>
      <c r="C727" s="3" t="str">
        <f>IFERROR(__xludf.DUMMYFUNCTION("GOOGLETRANSLATE(B727,""id"",""en"")"),"['Feature', 'lock', 'pulse', 'provider', 'pulse', 'user', 'bablas',' package ',' internet ',' contents', 'pulse', 'forget', ' Turn off ',' package ',' as fast ',' light ',' pulse ',' direct ',' bablas', 'please', 'Telkomsel', ""]")</f>
        <v>['Feature', 'lock', 'pulse', 'provider', 'pulse', 'user', 'bablas',' package ',' internet ',' contents', 'pulse', 'forget', ' Turn off ',' package ',' as fast ',' light ',' pulse ',' direct ',' bablas', 'please', 'Telkomsel', "]</v>
      </c>
      <c r="D727" s="3">
        <v>1.0</v>
      </c>
    </row>
    <row r="728" ht="15.75" customHeight="1">
      <c r="A728" s="1">
        <v>726.0</v>
      </c>
      <c r="B728" s="3" t="s">
        <v>729</v>
      </c>
      <c r="C728" s="3" t="str">
        <f>IFERROR(__xludf.DUMMYFUNCTION("GOOGLETRANSLATE(B728,""id"",""en"")"),"['satisfying', 'SLAMA', 'APL', 'MyTelkomsel', 'mbantu', 'in', 'Sgala', 'Service', 'Thank you', 'Telkomsel', 'Hope', 'Slalu', ' Success', 'In the future', ""]")</f>
        <v>['satisfying', 'SLAMA', 'APL', 'MyTelkomsel', 'mbantu', 'in', 'Sgala', 'Service', 'Thank you', 'Telkomsel', 'Hope', 'Slalu', ' Success', 'In the future', "]</v>
      </c>
      <c r="D728" s="3">
        <v>5.0</v>
      </c>
    </row>
    <row r="729" ht="15.75" customHeight="1">
      <c r="A729" s="1">
        <v>727.0</v>
      </c>
      <c r="B729" s="3" t="s">
        <v>730</v>
      </c>
      <c r="C729" s="3" t="str">
        <f>IFERROR(__xludf.DUMMYFUNCTION("GOOGLETRANSLATE(B729,""id"",""en"")"),"['Signal', 'Tsel', 'good', 'repairs', 'special', 'signal', 'threat', ""]")</f>
        <v>['Signal', 'Tsel', 'good', 'repairs', 'special', 'signal', 'threat', "]</v>
      </c>
      <c r="D729" s="3">
        <v>1.0</v>
      </c>
    </row>
    <row r="730" ht="15.75" customHeight="1">
      <c r="A730" s="1">
        <v>728.0</v>
      </c>
      <c r="B730" s="3" t="s">
        <v>731</v>
      </c>
      <c r="C730" s="3" t="str">
        <f>IFERROR(__xludf.DUMMYFUNCTION("GOOGLETRANSLATE(B730,""id"",""en"")"),"['Ibuk', 'Telkomsel', 'Dear', 'Please', 'explanation', 'here', 'Telkomsel', 'pulse', 'sucked', 'gada', 'subscription', 'anything', ' data ',' live ',' bad ',' service ',' Telkomsel ',' contents', 'pulse', 'sucked', 'tip', 'fill in', 'pulse', 'original', '"&amp;"disappointed' , 'really', 'Telkomsel', 'already', 'package', 'expensive', 'network', 'bad', 'moved', 'oprator', 'nihhh']")</f>
        <v>['Ibuk', 'Telkomsel', 'Dear', 'Please', 'explanation', 'here', 'Telkomsel', 'pulse', 'sucked', 'gada', 'subscription', 'anything', ' data ',' live ',' bad ',' service ',' Telkomsel ',' contents', 'pulse', 'sucked', 'tip', 'fill in', 'pulse', 'original', 'disappointed' , 'really', 'Telkomsel', 'already', 'package', 'expensive', 'network', 'bad', 'moved', 'oprator', 'nihhh']</v>
      </c>
      <c r="D730" s="3">
        <v>1.0</v>
      </c>
    </row>
    <row r="731" ht="15.75" customHeight="1">
      <c r="A731" s="1">
        <v>729.0</v>
      </c>
      <c r="B731" s="3" t="s">
        <v>732</v>
      </c>
      <c r="C731" s="3" t="str">
        <f>IFERROR(__xludf.DUMMYFUNCTION("GOOGLETRANSLATE(B731,""id"",""en"")"),"['signal', 'Telkomsel', 'lag', 'already', 'open', 'tick', 'tok', 'game', 'really', 'loading', 'surprised', 'network', ' Telkomsel ',' Please ',' Fix ',' Comfortable ',' Internet ',' Buy ',' Kouta ',' Expensive ',' Network ',' Rich ',' Nga ']")</f>
        <v>['signal', 'Telkomsel', 'lag', 'already', 'open', 'tick', 'tok', 'game', 'really', 'loading', 'surprised', 'network', ' Telkomsel ',' Please ',' Fix ',' Comfortable ',' Internet ',' Buy ',' Kouta ',' Expensive ',' Network ',' Rich ',' Nga ']</v>
      </c>
      <c r="D731" s="3">
        <v>1.0</v>
      </c>
    </row>
    <row r="732" ht="15.75" customHeight="1">
      <c r="A732" s="1">
        <v>730.0</v>
      </c>
      <c r="B732" s="3" t="s">
        <v>733</v>
      </c>
      <c r="C732" s="3" t="str">
        <f>IFERROR(__xludf.DUMMYFUNCTION("GOOGLETRANSLATE(B732,""id"",""en"")"),"['What's', 'Increases', 'Bad', 'Dead', 'Network', 'Gimqna', 'Switch', 'Bad', 'Payah']")</f>
        <v>['What's', 'Increases', 'Bad', 'Dead', 'Network', 'Gimqna', 'Switch', 'Bad', 'Payah']</v>
      </c>
      <c r="D732" s="3">
        <v>1.0</v>
      </c>
    </row>
    <row r="733" ht="15.75" customHeight="1">
      <c r="A733" s="1">
        <v>731.0</v>
      </c>
      <c r="B733" s="3" t="s">
        <v>734</v>
      </c>
      <c r="C733" s="3" t="str">
        <f>IFERROR(__xludf.DUMMYFUNCTION("GOOGLETRANSLATE(B733,""id"",""en"")"),"['Please', 'Restore', 'Unlimited', 'Description', 'Doank', 'Unlimited', 'Quotes', 'Divided', 'Upset', 'Already', 'Buy', 'Kt' unlimited ',' TPI ',' right ',' quota ',' regular ',' run out ',' unlimited ',' Fun ',' public ',' name ',' BKN ',' unlimited ',' "&amp;"Mhon ' , 'Changed', 'Nm', 'fooling', 'Telkomsel', 'Severe', 'bnget']")</f>
        <v>['Please', 'Restore', 'Unlimited', 'Description', 'Doank', 'Unlimited', 'Quotes', 'Divided', 'Upset', 'Already', 'Buy', 'Kt' unlimited ',' TPI ',' right ',' quota ',' regular ',' run out ',' unlimited ',' Fun ',' public ',' name ',' BKN ',' unlimited ',' Mhon ' , 'Changed', 'Nm', 'fooling', 'Telkomsel', 'Severe', 'bnget']</v>
      </c>
      <c r="D733" s="3">
        <v>1.0</v>
      </c>
    </row>
    <row r="734" ht="15.75" customHeight="1">
      <c r="A734" s="1">
        <v>732.0</v>
      </c>
      <c r="B734" s="3" t="s">
        <v>735</v>
      </c>
      <c r="C734" s="3" t="str">
        <f>IFERROR(__xludf.DUMMYFUNCTION("GOOGLETRANSLATE(B734,""id"",""en"")"),"['app', 'tapiiii', 'darling', 'skarang', 'no', 'morning', 'noon', 'night', 'night', 'signal', 'Telkomsel', 'parrraaaahhhhhhhhhhhhhhhhhhhhhhhhhhhhhhhhhhhhhhhhhhhhhhhhhhhhhhhhhhhhhhhhhhhhhh Soak ',' pay attention ',' customers', 'sell', 'quota', 'doang']")</f>
        <v>['app', 'tapiiii', 'darling', 'skarang', 'no', 'morning', 'noon', 'night', 'night', 'signal', 'Telkomsel', 'parrraaaahhhhhhhhhhhhhhhhhhhhhhhhhhhhhhhhhhhhhhhhhhhhhhhhhhhhhhhhhhhhhhhhhhhhhh Soak ',' pay attention ',' customers', 'sell', 'quota', 'doang']</v>
      </c>
      <c r="D734" s="3">
        <v>1.0</v>
      </c>
    </row>
    <row r="735" ht="15.75" customHeight="1">
      <c r="A735" s="1">
        <v>733.0</v>
      </c>
      <c r="B735" s="3" t="s">
        <v>736</v>
      </c>
      <c r="C735" s="3" t="str">
        <f>IFERROR(__xludf.DUMMYFUNCTION("GOOGLETRANSLATE(B735,""id"",""en"")"),"['ugly', 'package', 'sucked', 'pulse', 'trs',' ngak ',' prioritize ',' package ',' run out ',' night ',' pakek ',' package ',' active ',' package ',' run out ',' automatic ',' pakek ',' pulse ',' sms', 'notification', 'late', 'pulse', 'already', 'run out'"&amp;", 'sendin' , 'SMS', 'notification']")</f>
        <v>['ugly', 'package', 'sucked', 'pulse', 'trs',' ngak ',' prioritize ',' package ',' run out ',' night ',' pakek ',' package ',' active ',' package ',' run out ',' automatic ',' pakek ',' pulse ',' sms', 'notification', 'late', 'pulse', 'already', 'run out', 'sendin' , 'SMS', 'notification']</v>
      </c>
      <c r="D735" s="3">
        <v>1.0</v>
      </c>
    </row>
    <row r="736" ht="15.75" customHeight="1">
      <c r="A736" s="1">
        <v>734.0</v>
      </c>
      <c r="B736" s="3" t="s">
        <v>737</v>
      </c>
      <c r="C736" s="3" t="str">
        <f>IFERROR(__xludf.DUMMYFUNCTION("GOOGLETRANSLATE(B736,""id"",""en"")"),"['Please', 'Telkomsel', 'Customer', 'Telkomsel', 'Really', 'Fun', 'Please', 'Fix', 'Promo', 'Signal', 'Internet', 'Normal', ' Download ',' Watch ',' Entertainment ',' Open ',' Web ',' Play ',' Games', 'Signal', 'Drop', 'Stable', 'Please', 'Repaired', 'Tel"&amp;"komsel' , '']")</f>
        <v>['Please', 'Telkomsel', 'Customer', 'Telkomsel', 'Really', 'Fun', 'Please', 'Fix', 'Promo', 'Signal', 'Internet', 'Normal', ' Download ',' Watch ',' Entertainment ',' Open ',' Web ',' Play ',' Games', 'Signal', 'Drop', 'Stable', 'Please', 'Repaired', 'Telkomsel' , '']</v>
      </c>
      <c r="D736" s="3">
        <v>2.0</v>
      </c>
    </row>
    <row r="737" ht="15.75" customHeight="1">
      <c r="A737" s="1">
        <v>735.0</v>
      </c>
      <c r="B737" s="3" t="s">
        <v>738</v>
      </c>
      <c r="C737" s="3" t="str">
        <f>IFERROR(__xludf.DUMMYFUNCTION("GOOGLETRANSLATE(B737,""id"",""en"")"),"['Disappointed', 'Customer', 'The Vendor', 'Please', 'Enhanced', 'Optimized', 'Buy', 'Credit', 'Telkomsel', 'Byar', 'Pakek', 'Shopepay', ' balance ',' Cut ',' pulse ',' enter ',' sampek ',' story ', ""]")</f>
        <v>['Disappointed', 'Customer', 'The Vendor', 'Please', 'Enhanced', 'Optimized', 'Buy', 'Credit', 'Telkomsel', 'Byar', 'Pakek', 'Shopepay', ' balance ',' Cut ',' pulse ',' enter ',' sampek ',' story ', "]</v>
      </c>
      <c r="D737" s="3">
        <v>2.0</v>
      </c>
    </row>
    <row r="738" ht="15.75" customHeight="1">
      <c r="A738" s="1">
        <v>736.0</v>
      </c>
      <c r="B738" s="3" t="s">
        <v>739</v>
      </c>
      <c r="C738" s="3" t="str">
        <f>IFERROR(__xludf.DUMMYFUNCTION("GOOGLETRANSLATE(B738,""id"",""en"")"),"['Damaged', 'Telkomsel', 'already', 'package', 'expensive', 'network', 'PUMINSS', 'EAT', 'MONEY', 'Haram', 'woi', 'weve', ' Users', 'Indonesia', '']")</f>
        <v>['Damaged', 'Telkomsel', 'already', 'package', 'expensive', 'network', 'PUMINSS', 'EAT', 'MONEY', 'Haram', 'woi', 'weve', ' Users', 'Indonesia', '']</v>
      </c>
      <c r="D738" s="3">
        <v>1.0</v>
      </c>
    </row>
    <row r="739" ht="15.75" customHeight="1">
      <c r="A739" s="1">
        <v>737.0</v>
      </c>
      <c r="B739" s="3" t="s">
        <v>740</v>
      </c>
      <c r="C739" s="3" t="str">
        <f>IFERROR(__xludf.DUMMYFUNCTION("GOOGLETRANSLATE(B739,""id"",""en"")"),"['Exchange', 'Points', 'Application', 'Difficult', 'Exchange', 'Points', 'Lottery', 'Prize', ""]")</f>
        <v>['Exchange', 'Points', 'Application', 'Difficult', 'Exchange', 'Points', 'Lottery', 'Prize', "]</v>
      </c>
      <c r="D739" s="3">
        <v>1.0</v>
      </c>
    </row>
    <row r="740" ht="15.75" customHeight="1">
      <c r="A740" s="1">
        <v>738.0</v>
      </c>
      <c r="B740" s="3" t="s">
        <v>741</v>
      </c>
      <c r="C740" s="3" t="str">
        <f>IFERROR(__xludf.DUMMYFUNCTION("GOOGLETRANSLATE(B740,""id"",""en"")"),"['Difficult', 'Mantau', 'person', 'old', 'distance', 'times',' used ',' logout ',' need ',' verification ',' link ',' org ',' old ',' confused ',' kah ',' logout ',' times', '']")</f>
        <v>['Difficult', 'Mantau', 'person', 'old', 'distance', 'times',' used ',' logout ',' need ',' verification ',' link ',' org ',' old ',' confused ',' kah ',' logout ',' times', '']</v>
      </c>
      <c r="D740" s="3">
        <v>1.0</v>
      </c>
    </row>
    <row r="741" ht="15.75" customHeight="1">
      <c r="A741" s="1">
        <v>739.0</v>
      </c>
      <c r="B741" s="3" t="s">
        <v>742</v>
      </c>
      <c r="C741" s="3" t="str">
        <f>IFERROR(__xludf.DUMMYFUNCTION("GOOGLETRANSLATE(B741,""id"",""en"")"),"['Credit', 'Reduced', 'RB', 'Rupiah', 'Price', 'Paketan', 'Expensive', 'Expensive', 'Expensive', 'Complaining', 'Karna', 'Bot', ' ']")</f>
        <v>['Credit', 'Reduced', 'RB', 'Rupiah', 'Price', 'Paketan', 'Expensive', 'Expensive', 'Expensive', 'Complaining', 'Karna', 'Bot', ' ']</v>
      </c>
      <c r="D741" s="3">
        <v>1.0</v>
      </c>
    </row>
    <row r="742" ht="15.75" customHeight="1">
      <c r="A742" s="1">
        <v>740.0</v>
      </c>
      <c r="B742" s="3" t="s">
        <v>743</v>
      </c>
      <c r="C742" s="3" t="str">
        <f>IFERROR(__xludf.DUMMYFUNCTION("GOOGLETRANSLATE(B742,""id"",""en"")"),"['here', 'signal', 'good', 'package', 'expensive', 'expensive', 'provider', 'sympathy', 'signal', 'good', 'disappointed', 'customer', ' ']")</f>
        <v>['here', 'signal', 'good', 'package', 'expensive', 'expensive', 'provider', 'sympathy', 'signal', 'good', 'disappointed', 'customer', ' ']</v>
      </c>
      <c r="D742" s="3">
        <v>1.0</v>
      </c>
    </row>
    <row r="743" ht="15.75" customHeight="1">
      <c r="A743" s="1">
        <v>741.0</v>
      </c>
      <c r="B743" s="3" t="s">
        <v>744</v>
      </c>
      <c r="C743" s="3" t="str">
        <f>IFERROR(__xludf.DUMMYFUNCTION("GOOGLETRANSLATE(B743,""id"",""en"")"),"['Thn', 'users',' Telkomsel ',' Satisfied ',' Service ',' Telkomsel ',' Hopefully ',' Times', 'Lucky', 'Gift', 'Telkomsel', ' Success', 'Telkomsel', 'triumphed', 'In the future', 'Aammiin', 'Yra', ""]")</f>
        <v>['Thn', 'users',' Telkomsel ',' Satisfied ',' Service ',' Telkomsel ',' Hopefully ',' Times', 'Lucky', 'Gift', 'Telkomsel', ' Success', 'Telkomsel', 'triumphed', 'In the future', 'Aammiin', 'Yra', "]</v>
      </c>
      <c r="D743" s="3">
        <v>5.0</v>
      </c>
    </row>
    <row r="744" ht="15.75" customHeight="1">
      <c r="A744" s="1">
        <v>742.0</v>
      </c>
      <c r="B744" s="3" t="s">
        <v>745</v>
      </c>
      <c r="C744" s="3" t="str">
        <f>IFERROR(__xludf.DUMMYFUNCTION("GOOGLETRANSLATE(B744,""id"",""en"")"),"['card', 'expensive', 'signal', 'BURIK', 'Telkomsel', 'boss',' network ',' ugly ',' really ',' oath ',' boong ',' want ',' burn ',' signal ',' fix ',' border ',' empty ',' doang ',' mah ',' already ',' delete ',' card ',' Telkomsel ',' also ',' signal ' ,"&amp;" 'What', 'ugly', 'really', 'already', 'price', 'expensive', 'according to', 'service', 'hah', 'card', 'best', 'card', ' Worst ',' Masaia ',' report ',' Ribett ',' really ',' hand ',' border ',' empty ',' doang ',' Telkomsel ',' poor ', ""]")</f>
        <v>['card', 'expensive', 'signal', 'BURIK', 'Telkomsel', 'boss',' network ',' ugly ',' really ',' oath ',' boong ',' want ',' burn ',' signal ',' fix ',' border ',' empty ',' doang ',' mah ',' already ',' delete ',' card ',' Telkomsel ',' also ',' signal ' , 'What', 'ugly', 'really', 'already', 'price', 'expensive', 'according to', 'service', 'hah', 'card', 'best', 'card', ' Worst ',' Masaia ',' report ',' Ribett ',' really ',' hand ',' border ',' empty ',' doang ',' Telkomsel ',' poor ', "]</v>
      </c>
      <c r="D744" s="3">
        <v>1.0</v>
      </c>
    </row>
    <row r="745" ht="15.75" customHeight="1">
      <c r="A745" s="1">
        <v>743.0</v>
      </c>
      <c r="B745" s="3" t="s">
        <v>746</v>
      </c>
      <c r="C745" s="3" t="str">
        <f>IFERROR(__xludf.DUMMYFUNCTION("GOOGLETRANSLATE(B745,""id"",""en"")"),"['package', 'doang', 'expensive', 'network', 'cheap', 'maen', 'game', 'lag', 'lost', 'three', 'package', 'cheap', ' network ',' good ',' gabisa ',' gave ',' quality ',' kah ',' Telkomsel ',' ']")</f>
        <v>['package', 'doang', 'expensive', 'network', 'cheap', 'maen', 'game', 'lag', 'lost', 'three', 'package', 'cheap', ' network ',' good ',' gabisa ',' gave ',' quality ',' kah ',' Telkomsel ',' ']</v>
      </c>
      <c r="D745" s="3">
        <v>1.0</v>
      </c>
    </row>
    <row r="746" ht="15.75" customHeight="1">
      <c r="A746" s="1">
        <v>744.0</v>
      </c>
      <c r="B746" s="3" t="s">
        <v>747</v>
      </c>
      <c r="C746" s="3" t="str">
        <f>IFERROR(__xludf.DUMMYFUNCTION("GOOGLETRANSLATE(B746,""id"",""en"")"),"['Telkomsel', 'network', 'good', 'disappointing', 'rule', 'mah', 'already', 'good', 'increase', 'disappointing', 'user', 'tlkmsl', ' feeling ',' yesterday ',' package ',' unlimited ',' limit ',' reasonable ',' limit ',' reasonable ',' reason ',' speed ','"&amp;" user ',' smooth ',' smooth ' , 'Matamuu', 'unlimited', 'Stop', 'Telkomsel', 'fix', 'so', 'thank', 'loss', ""]")</f>
        <v>['Telkomsel', 'network', 'good', 'disappointing', 'rule', 'mah', 'already', 'good', 'increase', 'disappointing', 'user', 'tlkmsl', ' feeling ',' yesterday ',' package ',' unlimited ',' limit ',' reasonable ',' limit ',' reasonable ',' reason ',' speed ',' user ',' smooth ',' smooth ' , 'Matamuu', 'unlimited', 'Stop', 'Telkomsel', 'fix', 'so', 'thank', 'loss', "]</v>
      </c>
      <c r="D746" s="3">
        <v>1.0</v>
      </c>
    </row>
    <row r="747" ht="15.75" customHeight="1">
      <c r="A747" s="1">
        <v>745.0</v>
      </c>
      <c r="B747" s="3" t="s">
        <v>748</v>
      </c>
      <c r="C747" s="3" t="str">
        <f>IFERROR(__xludf.DUMMYFUNCTION("GOOGLETRANSLATE(B747,""id"",""en"")"),"['Sorry', 'buy', 'package', 'cheerful', 'appears',' purchase ',' process', 'really', 'already', 'try', 'repeated', 'reset', ' "", 'pulse', 'run out', 'take', 'Please', 'fix', 'purchase', 'smooth']")</f>
        <v>['Sorry', 'buy', 'package', 'cheerful', 'appears',' purchase ',' process', 'really', 'already', 'try', 'repeated', 'reset', ' ", 'pulse', 'run out', 'take', 'Please', 'fix', 'purchase', 'smooth']</v>
      </c>
      <c r="D747" s="3">
        <v>2.0</v>
      </c>
    </row>
    <row r="748" ht="15.75" customHeight="1">
      <c r="A748" s="1">
        <v>746.0</v>
      </c>
      <c r="B748" s="3" t="s">
        <v>749</v>
      </c>
      <c r="C748" s="3" t="str">
        <f>IFERROR(__xludf.DUMMYFUNCTION("GOOGLETRANSLATE(B748,""id"",""en"")"),"['asuuuu', 'network', 'stable', 'play', 'game', 'already', 'quota', 'expensive', 'speed', 'comparable', 'price', 'bangkeee', ' Love ',' Bintang ',' ']")</f>
        <v>['asuuuu', 'network', 'stable', 'play', 'game', 'already', 'quota', 'expensive', 'speed', 'comparable', 'price', 'bangkeee', ' Love ',' Bintang ',' ']</v>
      </c>
      <c r="D748" s="3">
        <v>1.0</v>
      </c>
    </row>
    <row r="749" ht="15.75" customHeight="1">
      <c r="A749" s="1">
        <v>747.0</v>
      </c>
      <c r="B749" s="3" t="s">
        <v>750</v>
      </c>
      <c r="C749" s="3" t="str">
        <f>IFERROR(__xludf.DUMMYFUNCTION("GOOGLETRANSLATE(B749,""id"",""en"")"),"['Telkomsel', 'ugly', 'really', 'umpsecuch', 'time', 'disorder', 'network', 'please', 'really', 'signal', 'already', 'package', ' expensive ',' internet ',' slow ',' have ',' ']")</f>
        <v>['Telkomsel', 'ugly', 'really', 'umpsecuch', 'time', 'disorder', 'network', 'please', 'really', 'signal', 'already', 'package', ' expensive ',' internet ',' slow ',' have ',' ']</v>
      </c>
      <c r="D749" s="3">
        <v>1.0</v>
      </c>
    </row>
    <row r="750" ht="15.75" customHeight="1">
      <c r="A750" s="1">
        <v>748.0</v>
      </c>
      <c r="B750" s="3" t="s">
        <v>751</v>
      </c>
      <c r="C750" s="3" t="str">
        <f>IFERROR(__xludf.DUMMYFUNCTION("GOOGLETRANSLATE(B750,""id"",""en"")"),"['Card', 'promo', 'right', 'buy', 'min', 'situ', 'his writing', 'Terbasaki', 'succeed', 'process',' enter ',' try ',' Many ', the' results', 'enter', 'package', 'Please', 'repair', 'Min', ""]")</f>
        <v>['Card', 'promo', 'right', 'buy', 'min', 'situ', 'his writing', 'Terbasaki', 'succeed', 'process',' enter ',' try ',' Many ', the' results', 'enter', 'package', 'Please', 'repair', 'Min', "]</v>
      </c>
      <c r="D750" s="3">
        <v>1.0</v>
      </c>
    </row>
    <row r="751" ht="15.75" customHeight="1">
      <c r="A751" s="1">
        <v>749.0</v>
      </c>
      <c r="B751" s="3" t="s">
        <v>752</v>
      </c>
      <c r="C751" s="3" t="str">
        <f>IFERROR(__xludf.DUMMYFUNCTION("GOOGLETRANSLATE(B751,""id"",""en"")"),"['signal', 'Internet', 'Region', 'Cirebon', 'Upload', 'Download', 'Content', 'Weather', 'Overcast', 'Out', 'Rain', 'Dead', ' Lights', 'Signal', 'Internet', 'Data', 'Down', 'Drastic', 'Please', 'Increase', 'Quality', 'Service', 'Public', 'Easy', 'Satisfyin"&amp;"g' ]")</f>
        <v>['signal', 'Internet', 'Region', 'Cirebon', 'Upload', 'Download', 'Content', 'Weather', 'Overcast', 'Out', 'Rain', 'Dead', ' Lights', 'Signal', 'Internet', 'Data', 'Down', 'Drastic', 'Please', 'Increase', 'Quality', 'Service', 'Public', 'Easy', 'Satisfying' ]</v>
      </c>
      <c r="D751" s="3">
        <v>4.0</v>
      </c>
    </row>
    <row r="752" ht="15.75" customHeight="1">
      <c r="A752" s="1">
        <v>750.0</v>
      </c>
      <c r="B752" s="3" t="s">
        <v>753</v>
      </c>
      <c r="C752" s="3" t="str">
        <f>IFERROR(__xludf.DUMMYFUNCTION("GOOGLETRANSLATE(B752,""id"",""en"")"),"['application', 'missing', 'pulse', 'night', 'contents',' Rp ',' open ',' application ',' telkomsel ',' run out ',' pulses', 'kayak', ' Gini ',' ']")</f>
        <v>['application', 'missing', 'pulse', 'night', 'contents',' Rp ',' open ',' application ',' telkomsel ',' run out ',' pulses', 'kayak', ' Gini ',' ']</v>
      </c>
      <c r="D752" s="3">
        <v>2.0</v>
      </c>
    </row>
    <row r="753" ht="15.75" customHeight="1">
      <c r="A753" s="1">
        <v>751.0</v>
      </c>
      <c r="B753" s="3" t="s">
        <v>754</v>
      </c>
      <c r="C753" s="3" t="str">
        <f>IFERROR(__xludf.DUMMYFUNCTION("GOOGLETRANSLATE(B753,""id"",""en"")"),"['Telkomsel', 'right', 'activated', 'voucher', 'writing', 'sorry', 'voucher', 'regional', 'please', 'Telkomsel', 'Please', 'help']")</f>
        <v>['Telkomsel', 'right', 'activated', 'voucher', 'writing', 'sorry', 'voucher', 'regional', 'please', 'Telkomsel', 'Please', 'help']</v>
      </c>
      <c r="D753" s="3">
        <v>2.0</v>
      </c>
    </row>
    <row r="754" ht="15.75" customHeight="1">
      <c r="A754" s="1">
        <v>752.0</v>
      </c>
      <c r="B754" s="3" t="s">
        <v>755</v>
      </c>
      <c r="C754" s="3" t="str">
        <f>IFERROR(__xludf.DUMMYFUNCTION("GOOGLETRANSLATE(B754,""id"",""en"")"),"['Telkomsel', 'rich', 'thief', 'forget', 'packagein', 'pulses',' udh ',' disappear ',' pdahal ',' that's', 'package', 'activated', ' Internet ',' Stop ',' Block ',' ']")</f>
        <v>['Telkomsel', 'rich', 'thief', 'forget', 'packagein', 'pulses',' udh ',' disappear ',' pdahal ',' that's', 'package', 'activated', ' Internet ',' Stop ',' Block ',' ']</v>
      </c>
      <c r="D754" s="3">
        <v>1.0</v>
      </c>
    </row>
    <row r="755" ht="15.75" customHeight="1">
      <c r="A755" s="1">
        <v>753.0</v>
      </c>
      <c r="B755" s="3" t="s">
        <v>756</v>
      </c>
      <c r="C755" s="3" t="str">
        <f>IFERROR(__xludf.DUMMYFUNCTION("GOOGLETRANSLATE(B755,""id"",""en"")"),"['relevant', 'price', 'try', 'price', 'quota', 'Telkomsel', 'expensive', 'compared', 'operator', 'signal', 'beg', 'quota', ' Unlimited ',' Reader ',' Review ',' Suggestions', 'Move', 'Provider', 'Telkomsel', 'Roll', 'Mat', 'Jamin', ""]")</f>
        <v>['relevant', 'price', 'try', 'price', 'quota', 'Telkomsel', 'expensive', 'compared', 'operator', 'signal', 'beg', 'quota', ' Unlimited ',' Reader ',' Review ',' Suggestions', 'Move', 'Provider', 'Telkomsel', 'Roll', 'Mat', 'Jamin', "]</v>
      </c>
      <c r="D755" s="3">
        <v>1.0</v>
      </c>
    </row>
    <row r="756" ht="15.75" customHeight="1">
      <c r="A756" s="1">
        <v>754.0</v>
      </c>
      <c r="B756" s="3" t="s">
        <v>757</v>
      </c>
      <c r="C756" s="3" t="str">
        <f>IFERROR(__xludf.DUMMYFUNCTION("GOOGLETRANSLATE(B756,""id"",""en"")"),"['strange', 'pulse', 'cut', 'quota', 'run out', 'commitment', 'plate', 'red', 'honest', 'transparent', 'in', 'keep', ' Trust ',' Customer ',' Amenities', 'Customers',' Running Out ',' Kouta ',' Data ',' Reach ',' Limit ',' Use ',' Package ',' Quota ',' Di"&amp;"rect ' , 'Cutting', 'Automatism', 'Customer', 'run out', 'quota', 'data', 'reach', 'boundary', 'usage', 'package', 'quota', 'please', ' Improved ',' Service ',' ']")</f>
        <v>['strange', 'pulse', 'cut', 'quota', 'run out', 'commitment', 'plate', 'red', 'honest', 'transparent', 'in', 'keep', ' Trust ',' Customer ',' Amenities', 'Customers',' Running Out ',' Kouta ',' Data ',' Reach ',' Limit ',' Use ',' Package ',' Quota ',' Direct ' , 'Cutting', 'Automatism', 'Customer', 'run out', 'quota', 'data', 'reach', 'boundary', 'usage', 'package', 'quota', 'please', ' Improved ',' Service ',' ']</v>
      </c>
      <c r="D756" s="3">
        <v>2.0</v>
      </c>
    </row>
    <row r="757" ht="15.75" customHeight="1">
      <c r="A757" s="1">
        <v>755.0</v>
      </c>
      <c r="B757" s="3" t="s">
        <v>758</v>
      </c>
      <c r="C757" s="3" t="str">
        <f>IFERROR(__xludf.DUMMYFUNCTION("GOOGLETRANSLATE(B757,""id"",""en"")"),"['', 'package', 'sahur', 'disabled', 'package', 'sahur', 'read', 'description', 'buy it', 'exposed', 'scam', 'description', 'printed ',' Price ',' Reduced ',' Check ',' MyTelkomsel ',' Package ',' Written ',' There ',' Disappointed ',' Sepele ', ""]")</f>
        <v>['', 'package', 'sahur', 'disabled', 'package', 'sahur', 'read', 'description', 'buy it', 'exposed', 'scam', 'description', 'printed ',' Price ',' Reduced ',' Check ',' MyTelkomsel ',' Package ',' Written ',' There ',' Disappointed ',' Sepele ', "]</v>
      </c>
      <c r="D757" s="3">
        <v>1.0</v>
      </c>
    </row>
    <row r="758" ht="15.75" customHeight="1">
      <c r="A758" s="1">
        <v>756.0</v>
      </c>
      <c r="B758" s="3" t="s">
        <v>759</v>
      </c>
      <c r="C758" s="3" t="str">
        <f>IFERROR(__xludf.DUMMYFUNCTION("GOOGLETRANSLATE(B758,""id"",""en"")"),"['rights', 'reason', 'system', 'busy', 'price', 'according to', 'zone', 'oppressor', 'community', 'producer', 'bring', '']")</f>
        <v>['rights', 'reason', 'system', 'busy', 'price', 'according to', 'zone', 'oppressor', 'community', 'producer', 'bring', '']</v>
      </c>
      <c r="D758" s="3">
        <v>1.0</v>
      </c>
    </row>
    <row r="759" ht="15.75" customHeight="1">
      <c r="A759" s="1">
        <v>757.0</v>
      </c>
      <c r="B759" s="3" t="s">
        <v>760</v>
      </c>
      <c r="C759" s="3" t="str">
        <f>IFERROR(__xludf.DUMMYFUNCTION("GOOGLETRANSLATE(B759,""id"",""en"")"),"['Telkomsel', 'backward', 'Points',' Reward ',' Shared ',' Credit ',' Quota ',' Nambah ',' Silver ',' Giga ',' Apply ',' Add ',' thousand ',' buy ',' quota ',' switch ',' ']")</f>
        <v>['Telkomsel', 'backward', 'Points',' Reward ',' Shared ',' Credit ',' Quota ',' Nambah ',' Silver ',' Giga ',' Apply ',' Add ',' thousand ',' buy ',' quota ',' switch ',' ']</v>
      </c>
      <c r="D759" s="3">
        <v>1.0</v>
      </c>
    </row>
    <row r="760" ht="15.75" customHeight="1">
      <c r="A760" s="1">
        <v>758.0</v>
      </c>
      <c r="B760" s="3" t="s">
        <v>761</v>
      </c>
      <c r="C760" s="3" t="str">
        <f>IFERROR(__xludf.DUMMYFUNCTION("GOOGLETRANSLATE(B760,""id"",""en"")"),"['Not bad', 'dear', 'decreases',' quality ',' signal ',' suggest ',' brother ',' friend ',' wear ',' signal ',' good ',' offering ',' Use ',' Telkomsel ',' Hope ',' Happy ',' Repaired ',' User ',' Telkomsel ',' Wear ',' Offers', ""]")</f>
        <v>['Not bad', 'dear', 'decreases',' quality ',' signal ',' suggest ',' brother ',' friend ',' wear ',' signal ',' good ',' offering ',' Use ',' Telkomsel ',' Hope ',' Happy ',' Repaired ',' User ',' Telkomsel ',' Wear ',' Offers', "]</v>
      </c>
      <c r="D760" s="3">
        <v>3.0</v>
      </c>
    </row>
    <row r="761" ht="15.75" customHeight="1">
      <c r="A761" s="1">
        <v>759.0</v>
      </c>
      <c r="B761" s="3" t="s">
        <v>762</v>
      </c>
      <c r="C761" s="3" t="str">
        <f>IFERROR(__xludf.DUMMYFUNCTION("GOOGLETRANSLATE(B761,""id"",""en"")"),"['Sympathy', 'Unlimited', 'YouTube', 'Soschat', 'Tiktok', 'GameSmax', 'Quota', 'Main', 'Out', 'Quota', 'Unlimited', 'Really', ' unlimited ',' application ',' above ',' limit ',' usage ',' normal ',' already ',' abis', 'speed', 'diurunkam', 'kbps',' unlimi"&amp;"ted ',' kbps' , 'YouTube', 'page', 'loading', 'terosss',' emang ',' that's', 'kbps',' kbps', 'kek', 'name', 'doang', 'unlimited', ' Quota ',' Naturally ',' Abis', 'Speed', 'Kbps',' Ereats', 'Buy', 'Cart']")</f>
        <v>['Sympathy', 'Unlimited', 'YouTube', 'Soschat', 'Tiktok', 'GameSmax', 'Quota', 'Main', 'Out', 'Quota', 'Unlimited', 'Really', ' unlimited ',' application ',' above ',' limit ',' usage ',' normal ',' already ',' abis', 'speed', 'diurunkam', 'kbps',' unlimited ',' kbps' , 'YouTube', 'page', 'loading', 'terosss',' emang ',' that's', 'kbps',' kbps', 'kek', 'name', 'doang', 'unlimited', ' Quota ',' Naturally ',' Abis', 'Speed', 'Kbps',' Ereats', 'Buy', 'Cart']</v>
      </c>
      <c r="D761" s="3">
        <v>1.0</v>
      </c>
    </row>
    <row r="762" ht="15.75" customHeight="1">
      <c r="A762" s="1">
        <v>760.0</v>
      </c>
      <c r="B762" s="3" t="s">
        <v>763</v>
      </c>
      <c r="C762" s="3" t="str">
        <f>IFERROR(__xludf.DUMMYFUNCTION("GOOGLETRANSLATE(B762,""id"",""en"")"),"['clay', 'unlimited', 'sosmed', 'active', 'package', 'clock', 'second', 'minute', 'finished', 'clock', 'tomorrow', 'day', ' cheated ',' please ',' Telkomsel ',' love ',' package ']")</f>
        <v>['clay', 'unlimited', 'sosmed', 'active', 'package', 'clock', 'second', 'minute', 'finished', 'clock', 'tomorrow', 'day', ' cheated ',' please ',' Telkomsel ',' love ',' package ']</v>
      </c>
      <c r="D762" s="3">
        <v>1.0</v>
      </c>
    </row>
    <row r="763" ht="15.75" customHeight="1">
      <c r="A763" s="1">
        <v>761.0</v>
      </c>
      <c r="B763" s="3" t="s">
        <v>764</v>
      </c>
      <c r="C763" s="3" t="str">
        <f>IFERROR(__xludf.DUMMYFUNCTION("GOOGLETRANSLATE(B763,""id"",""en"")"),"['quota', 'you', 'expensive', 'network', 'ugly', 'severe', 'my house', 'kota', 'like', 'gini', 'how', 'lubricated', ' Fix ',' Quality ',' chasing ',' delicious', 'Customer', 'Satisfied', 'Performance', 'Telkomsel', 'Change', 'Card', 'Gini', ""]")</f>
        <v>['quota', 'you', 'expensive', 'network', 'ugly', 'severe', 'my house', 'kota', 'like', 'gini', 'how', 'lubricated', ' Fix ',' Quality ',' chasing ',' delicious', 'Customer', 'Satisfied', 'Performance', 'Telkomsel', 'Change', 'Card', 'Gini', "]</v>
      </c>
      <c r="D763" s="3">
        <v>1.0</v>
      </c>
    </row>
    <row r="764" ht="15.75" customHeight="1">
      <c r="A764" s="1">
        <v>762.0</v>
      </c>
      <c r="B764" s="3" t="s">
        <v>765</v>
      </c>
      <c r="C764" s="3" t="str">
        <f>IFERROR(__xludf.DUMMYFUNCTION("GOOGLETRANSLATE(B764,""id"",""en"")"),"['Whatever', 'Ngellag', 'Bangett', 'Unlimited', 'Intagram', 'YouTube', 'Etc.', 'Ngelag', 'KersaS', 'because', 'Get', 'Message', ' The limit ',' reasonable ',' quota ',' etc. ',' unlimited ',' limit ',' sihh ',' whastapp ',' prudest ',' story ',' bngtt ','"&amp;" see ',' story ' , 'Ngelag', 'Video', 'Open', 'Disappointed', 'Very', 'Sumpahhh', 'Turnover', 'Telkomsel', 'Thank you', ""]")</f>
        <v>['Whatever', 'Ngellag', 'Bangett', 'Unlimited', 'Intagram', 'YouTube', 'Etc.', 'Ngelag', 'KersaS', 'because', 'Get', 'Message', ' The limit ',' reasonable ',' quota ',' etc. ',' unlimited ',' limit ',' sihh ',' whastapp ',' prudest ',' story ',' bngtt ',' see ',' story ' , 'Ngelag', 'Video', 'Open', 'Disappointed', 'Very', 'Sumpahhh', 'Turnover', 'Telkomsel', 'Thank you', "]</v>
      </c>
      <c r="D764" s="3">
        <v>1.0</v>
      </c>
    </row>
    <row r="765" ht="15.75" customHeight="1">
      <c r="A765" s="1">
        <v>763.0</v>
      </c>
      <c r="B765" s="3" t="s">
        <v>766</v>
      </c>
      <c r="C765" s="3" t="str">
        <f>IFERROR(__xludf.DUMMYFUNCTION("GOOGLETRANSLATE(B765,""id"",""en"")"),"['application', 'garbage', 'class',' Telkomsel ',' application ',' rich ',' gini ',' slow ',' emotion ',' check ',' pulse ',' error ',' Teross', 'The application', 'as good', 'Indosat', 'MyM', 'buy', 'quota', 'check', 'credit', 'slow', 'expensive', ""]")</f>
        <v>['application', 'garbage', 'class',' Telkomsel ',' application ',' rich ',' gini ',' slow ',' emotion ',' check ',' pulse ',' error ',' Teross', 'The application', 'as good', 'Indosat', 'MyM', 'buy', 'quota', 'check', 'credit', 'slow', 'expensive', "]</v>
      </c>
      <c r="D765" s="3">
        <v>1.0</v>
      </c>
    </row>
    <row r="766" ht="15.75" customHeight="1">
      <c r="A766" s="1">
        <v>764.0</v>
      </c>
      <c r="B766" s="3" t="s">
        <v>767</v>
      </c>
      <c r="C766" s="3" t="str">
        <f>IFERROR(__xludf.DUMMYFUNCTION("GOOGLETRANSLATE(B766,""id"",""en"")"),"['network', 'slow', 'really', 'already', 'rich', 'even though', 'expensive', 'make', 'Telkomsel', 'ugly', 'really', 'network', ' Already ',' Males', 'Card', 'Telkomsel', 'Come', 'Telkomsel', 'Souses',' Maximized ',' Network ',' Internet ',' Decline ']")</f>
        <v>['network', 'slow', 'really', 'already', 'rich', 'even though', 'expensive', 'make', 'Telkomsel', 'ugly', 'really', 'network', ' Already ',' Males', 'Card', 'Telkomsel', 'Come', 'Telkomsel', 'Souses',' Maximized ',' Network ',' Internet ',' Decline ']</v>
      </c>
      <c r="D766" s="3">
        <v>1.0</v>
      </c>
    </row>
    <row r="767" ht="15.75" customHeight="1">
      <c r="A767" s="1">
        <v>765.0</v>
      </c>
      <c r="B767" s="3" t="s">
        <v>768</v>
      </c>
      <c r="C767" s="3" t="str">
        <f>IFERROR(__xludf.DUMMYFUNCTION("GOOGLETRANSLATE(B767,""id"",""en"")"),"['The problem', 'Gini', 'There', 'Written', 'Package', 'Unlimited', 'PAS', 'Package', 'Main', 'Out', 'Used', 'Internet', ' times', 'buy', 'package', 'chat', 'disorder', 'gini', 'buy', 'package', 'unlimited', 'neighbor', 'ngelamin', 'kek', 'gini' , 'Packag"&amp;"e', 'main', 'run out', 'used', 'network', 'in place', 'package', 'problematic', '']")</f>
        <v>['The problem', 'Gini', 'There', 'Written', 'Package', 'Unlimited', 'PAS', 'Package', 'Main', 'Out', 'Used', 'Internet', ' times', 'buy', 'package', 'chat', 'disorder', 'gini', 'buy', 'package', 'unlimited', 'neighbor', 'ngelamin', 'kek', 'gini' , 'Package', 'main', 'run out', 'used', 'network', 'in place', 'package', 'problematic', '']</v>
      </c>
      <c r="D767" s="3">
        <v>1.0</v>
      </c>
    </row>
    <row r="768" ht="15.75" customHeight="1">
      <c r="A768" s="1">
        <v>766.0</v>
      </c>
      <c r="B768" s="3" t="s">
        <v>769</v>
      </c>
      <c r="C768" s="3" t="str">
        <f>IFERROR(__xludf.DUMMYFUNCTION("GOOGLETRANSLATE(B768,""id"",""en"")"),"['Top for', 'Min', 'on duty', 'enthusiasm', 'Live', 'Tasks', 'Disappointed', 'Telkomsel', 'deteriorates', 'feel "",' Please ',' repaired ',' Consumers', 'comfortable', 'Satisfied', 'said', '']")</f>
        <v>['Top for', 'Min', 'on duty', 'enthusiasm', 'Live', 'Tasks', 'Disappointed', 'Telkomsel', 'deteriorates', 'feel ",' Please ',' repaired ',' Consumers', 'comfortable', 'Satisfied', 'said', '']</v>
      </c>
      <c r="D768" s="3">
        <v>1.0</v>
      </c>
    </row>
    <row r="769" ht="15.75" customHeight="1">
      <c r="A769" s="1">
        <v>767.0</v>
      </c>
      <c r="B769" s="3" t="s">
        <v>770</v>
      </c>
      <c r="C769" s="3" t="str">
        <f>IFERROR(__xludf.DUMMYFUNCTION("GOOGLETRANSLATE(B769,""id"",""en"")"),"['Please', 'Network', 'Fix', 'Village', 'Sinararcang', 'Subdistrict', 'Mundu', 'Cirebon', 'Cirebon', 'Slalu', 'Bad', ' appears', 'always',' slow ',' internet ',' call ',' angry ',' run out ',' quota ',' pulse ',' take ',' attention ',' rich ',' next door "&amp;"' , 'Notification', 'take', 'pulse']")</f>
        <v>['Please', 'Network', 'Fix', 'Village', 'Sinararcang', 'Subdistrict', 'Mundu', 'Cirebon', 'Cirebon', 'Slalu', 'Bad', ' appears', 'always',' slow ',' internet ',' call ',' angry ',' run out ',' quota ',' pulse ',' take ',' attention ',' rich ',' next door ' , 'Notification', 'take', 'pulse']</v>
      </c>
      <c r="D769" s="3">
        <v>1.0</v>
      </c>
    </row>
    <row r="770" ht="15.75" customHeight="1">
      <c r="A770" s="1">
        <v>768.0</v>
      </c>
      <c r="B770" s="3" t="s">
        <v>771</v>
      </c>
      <c r="C770" s="3" t="str">
        <f>IFERROR(__xludf.DUMMYFUNCTION("GOOGLETRANSLATE(B770,""id"",""en"")"),"['gave', 'star', 'healthy', 'sense', 'value', 'signal', 'pulp', 'signal', 'network', 'kayak', 'taik', 'cat', ' Paketan ',' expensive ',' promo ',' love ',' star ',' broken ',' sense ',' healthy ']")</f>
        <v>['gave', 'star', 'healthy', 'sense', 'value', 'signal', 'pulp', 'signal', 'network', 'kayak', 'taik', 'cat', ' Paketan ',' expensive ',' promo ',' love ',' star ',' broken ',' sense ',' healthy ']</v>
      </c>
      <c r="D770" s="3">
        <v>1.0</v>
      </c>
    </row>
    <row r="771" ht="15.75" customHeight="1">
      <c r="A771" s="1">
        <v>769.0</v>
      </c>
      <c r="B771" s="3" t="s">
        <v>772</v>
      </c>
      <c r="C771" s="3" t="str">
        <f>IFERROR(__xludf.DUMMYFUNCTION("GOOGLETRANSLATE(B771,""id"",""en"")"),"['application', 'ugly', 'really', 'application', 'good']")</f>
        <v>['application', 'ugly', 'really', 'application', 'good']</v>
      </c>
      <c r="D771" s="3">
        <v>5.0</v>
      </c>
    </row>
    <row r="772" ht="15.75" customHeight="1">
      <c r="A772" s="1">
        <v>770.0</v>
      </c>
      <c r="B772" s="3" t="s">
        <v>773</v>
      </c>
      <c r="C772" s="3" t="str">
        <f>IFERROR(__xludf.DUMMYFUNCTION("GOOGLETRANSLATE(B772,""id"",""en"")"),"['hanging out', 'Telkomsel', 'skrg', 'package', 'expensive', 'expensive', 'signal', 'ilang', 'ilang', 'signal', 'please', 'fix', ' His network ',' Thank you ', ""]")</f>
        <v>['hanging out', 'Telkomsel', 'skrg', 'package', 'expensive', 'expensive', 'signal', 'ilang', 'ilang', 'signal', 'please', 'fix', ' His network ',' Thank you ', "]</v>
      </c>
      <c r="D772" s="3">
        <v>2.0</v>
      </c>
    </row>
    <row r="773" ht="15.75" customHeight="1">
      <c r="A773" s="1">
        <v>771.0</v>
      </c>
      <c r="B773" s="3" t="s">
        <v>774</v>
      </c>
      <c r="C773" s="3" t="str">
        <f>IFERROR(__xludf.DUMMYFUNCTION("GOOGLETRANSLATE(B773,""id"",""en"")"),"['Please', 'Telkomsel', 'Sintang', 'Kecamatan', 'Ketungau', 'Hulu', 'Satisfied', 'Signal', 'Telkomsel', 'Please', 'Checked', 'Dear', ' quota ',' wasted ',' vain ',' vain ',' consequently ',' signal ',' most ',' loss', '']")</f>
        <v>['Please', 'Telkomsel', 'Sintang', 'Kecamatan', 'Ketungau', 'Hulu', 'Satisfied', 'Signal', 'Telkomsel', 'Please', 'Checked', 'Dear', ' quota ',' wasted ',' vain ',' vain ',' consequently ',' signal ',' most ',' loss', '']</v>
      </c>
      <c r="D773" s="3">
        <v>5.0</v>
      </c>
    </row>
    <row r="774" ht="15.75" customHeight="1">
      <c r="A774" s="1">
        <v>772.0</v>
      </c>
      <c r="B774" s="3" t="s">
        <v>775</v>
      </c>
      <c r="C774" s="3" t="str">
        <f>IFERROR(__xludf.DUMMYFUNCTION("GOOGLETRANSLATE(B774,""id"",""en"")"),"['Bro', 'Package', 'Unlimited', 'NGAI', 'Speed', 'Customize', 'Package', 'Main', 'Out', 'Ngakak', 'Open', 'Sosmed', ' Loading ',' video ',' ama ',' photo ',' a year ',' COK ',' ']")</f>
        <v>['Bro', 'Package', 'Unlimited', 'NGAI', 'Speed', 'Customize', 'Package', 'Main', 'Out', 'Ngakak', 'Open', 'Sosmed', ' Loading ',' video ',' ama ',' photo ',' a year ',' COK ',' ']</v>
      </c>
      <c r="D774" s="3">
        <v>1.0</v>
      </c>
    </row>
    <row r="775" ht="15.75" customHeight="1">
      <c r="A775" s="1">
        <v>773.0</v>
      </c>
      <c r="B775" s="3" t="s">
        <v>776</v>
      </c>
      <c r="C775" s="3" t="str">
        <f>IFERROR(__xludf.DUMMYFUNCTION("GOOGLETRANSLATE(B775,""id"",""en"")"),"['Min', 'Adin', 'Lock', 'Lock', 'Credit', 'Napa', 'Contents',' Credit ',' TRS ',' Buy ',' Paketan ',' Telkomsel ',' Quota ',' TRS ',' Login ',' Telkomsel ',' Doang ',' Rb ',' ilang ',' Males', 'min', 'gini', 'mah', 'loss',' min ' , 'God', '']")</f>
        <v>['Min', 'Adin', 'Lock', 'Lock', 'Credit', 'Napa', 'Contents',' Credit ',' TRS ',' Buy ',' Paketan ',' Telkomsel ',' Quota ',' TRS ',' Login ',' Telkomsel ',' Doang ',' Rb ',' ilang ',' Males', 'min', 'gini', 'mah', 'loss',' min ' , 'God', '']</v>
      </c>
      <c r="D775" s="3">
        <v>1.0</v>
      </c>
    </row>
    <row r="776" ht="15.75" customHeight="1">
      <c r="A776" s="1">
        <v>774.0</v>
      </c>
      <c r="B776" s="3" t="s">
        <v>777</v>
      </c>
      <c r="C776" s="3" t="str">
        <f>IFERROR(__xludf.DUMMYFUNCTION("GOOGLETRANSLATE(B776,""id"",""en"")"),"['You', 'sell', 'package', 'expensive', 'quality', 'signal', 'you', 'lose', 'card', 'bahah', 'price', 'package', ' cheap ',' you ',' price ',' package ',' according to ',' with ',' quality ',' signal ',' please ',' you ',' understand ',' feeling ',' user "&amp;"' , 'Telkomsel', '']")</f>
        <v>['You', 'sell', 'package', 'expensive', 'quality', 'signal', 'you', 'lose', 'card', 'bahah', 'price', 'package', ' cheap ',' you ',' price ',' package ',' according to ',' with ',' quality ',' signal ',' please ',' you ',' understand ',' feeling ',' user ' , 'Telkomsel', '']</v>
      </c>
      <c r="D776" s="3">
        <v>1.0</v>
      </c>
    </row>
    <row r="777" ht="15.75" customHeight="1">
      <c r="A777" s="1">
        <v>775.0</v>
      </c>
      <c r="B777" s="3" t="s">
        <v>778</v>
      </c>
      <c r="C777" s="3" t="str">
        <f>IFERROR(__xludf.DUMMYFUNCTION("GOOGLETRANSLATE(B777,""id"",""en"")"),"['unlimited', 'open', 'status',' whats', 'slow', 'forgiveness',' no ',' kek ',' gini ',' telkom ',' ngeselin ',' no ',' Love ',' Star ',' unlimited ',' returned ',' trimaxi ']")</f>
        <v>['unlimited', 'open', 'status',' whats', 'slow', 'forgiveness',' no ',' kek ',' gini ',' telkom ',' ngeselin ',' no ',' Love ',' Star ',' unlimited ',' returned ',' trimaxi ']</v>
      </c>
      <c r="D777" s="3">
        <v>1.0</v>
      </c>
    </row>
    <row r="778" ht="15.75" customHeight="1">
      <c r="A778" s="1">
        <v>776.0</v>
      </c>
      <c r="B778" s="3" t="s">
        <v>779</v>
      </c>
      <c r="C778" s="3" t="str">
        <f>IFERROR(__xludf.DUMMYFUNCTION("GOOGLETRANSLATE(B778,""id"",""en"")"),"['Please', 'magnitude', 'Telkomsel', 'fix', 'network', 'internet', 'village', 'disappointed', 'network', 'internet', 'Telkomsel', 'village', ' Telkomsel ',' famous', 'slogan', 'network', 'internet', 'widest', 'the fastest', 'reality', 'village', 'difficul"&amp;"t', 'access',' network ',' internet ' , 'Please', 'Action', 'Continue', 'Customer', 'Faithful', 'Telkomsel', 'Disappointed', 'Impascent', 'Safety', ""]")</f>
        <v>['Please', 'magnitude', 'Telkomsel', 'fix', 'network', 'internet', 'village', 'disappointed', 'network', 'internet', 'Telkomsel', 'village', ' Telkomsel ',' famous', 'slogan', 'network', 'internet', 'widest', 'the fastest', 'reality', 'village', 'difficult', 'access',' network ',' internet ' , 'Please', 'Action', 'Continue', 'Customer', 'Faithful', 'Telkomsel', 'Disappointed', 'Impascent', 'Safety', "]</v>
      </c>
      <c r="D778" s="3">
        <v>1.0</v>
      </c>
    </row>
    <row r="779" ht="15.75" customHeight="1">
      <c r="A779" s="1">
        <v>777.0</v>
      </c>
      <c r="B779" s="3" t="s">
        <v>780</v>
      </c>
      <c r="C779" s="3" t="str">
        <f>IFERROR(__xludf.DUMMYFUNCTION("GOOGLETRANSLATE(B779,""id"",""en"")"),"['Disappointed', 'Telkomsel', 'Customer', 'Service', 'TLVN', 'Offers',' Package ',' Templied ',' Kudahan ',' Save ',' Rates', 'Cards',' hello ',' people ',' lay ',' understand ',' agree ',' offer ',' disappointed ',' before ',' agree ',' offer ',' sesui '"&amp;",' kbutuh ',' replace ' , 'operator', 'JAWAH', 'email', 'smpai', 'Rejagakan', 'card', 'Off']")</f>
        <v>['Disappointed', 'Telkomsel', 'Customer', 'Service', 'TLVN', 'Offers',' Package ',' Templied ',' Kudahan ',' Save ',' Rates', 'Cards',' hello ',' people ',' lay ',' understand ',' agree ',' offer ',' disappointed ',' before ',' agree ',' offer ',' sesui ',' kbutuh ',' replace ' , 'operator', 'JAWAH', 'email', 'smpai', 'Rejagakan', 'card', 'Off']</v>
      </c>
      <c r="D779" s="3">
        <v>1.0</v>
      </c>
    </row>
    <row r="780" ht="15.75" customHeight="1">
      <c r="A780" s="1">
        <v>778.0</v>
      </c>
      <c r="B780" s="3" t="s">
        <v>781</v>
      </c>
      <c r="C780" s="3" t="str">
        <f>IFERROR(__xludf.DUMMYFUNCTION("GOOGLETRANSLATE(B780,""id"",""en"")"),"['given', 'star', 'love', 'deh', 'star', 'ntah', 'telkomsel', 'network', 'severe', 'causes',' notif ',' disappointed ',' Heavy ',' Network ',' Telkomsel ',' Buy ',' Package ',' Internet ',' Dipake ',' ']")</f>
        <v>['given', 'star', 'love', 'deh', 'star', 'ntah', 'telkomsel', 'network', 'severe', 'causes',' notif ',' disappointed ',' Heavy ',' Network ',' Telkomsel ',' Buy ',' Package ',' Internet ',' Dipake ',' ']</v>
      </c>
      <c r="D780" s="3">
        <v>1.0</v>
      </c>
    </row>
    <row r="781" ht="15.75" customHeight="1">
      <c r="A781" s="1">
        <v>779.0</v>
      </c>
      <c r="B781" s="3" t="s">
        <v>782</v>
      </c>
      <c r="C781" s="3" t="str">
        <f>IFERROR(__xludf.DUMMYFUNCTION("GOOGLETRANSLATE(B781,""id"",""en"")"),"['Hello', 'complaints',' card ',' peket ',' GB ',' unlimited ',' dipake ',' GB ',' package ',' internet ',' main ',' abih ',' PDAH ',' WKTU ',' buy ',' Posts', 'Unlimited', 'Please', 'Fix', 'Network', 'No', 'Stable', 'Package', 'Unlimited', 'Tlong' , 'Hel"&amp;"p', 'kudoakan', 'Telkomsel', 'interest', 'reduced', 'amen', 'except', 'already', 'lined', ""]")</f>
        <v>['Hello', 'complaints',' card ',' peket ',' GB ',' unlimited ',' dipake ',' GB ',' package ',' internet ',' main ',' abih ',' PDAH ',' WKTU ',' buy ',' Posts', 'Unlimited', 'Please', 'Fix', 'Network', 'No', 'Stable', 'Package', 'Unlimited', 'Tlong' , 'Help', 'kudoakan', 'Telkomsel', 'interest', 'reduced', 'amen', 'except', 'already', 'lined', "]</v>
      </c>
      <c r="D781" s="3">
        <v>2.0</v>
      </c>
    </row>
    <row r="782" ht="15.75" customHeight="1">
      <c r="A782" s="1">
        <v>780.0</v>
      </c>
      <c r="B782" s="3" t="s">
        <v>783</v>
      </c>
      <c r="C782" s="3" t="str">
        <f>IFERROR(__xludf.DUMMYFUNCTION("GOOGLETRANSLATE(B782,""id"",""en"")"),"['improvement', 'jringan', 'person', 'buy', 'MHL', 'package', 'provided', 'ama', 'Telkomsel', 'TPI', 'fix', 'Jgk', ' JRANKAN ',' Sampe ',' Consumers', 'protest', 'users',' Telkomsel ',' Disappointed ',' Jringn ',' KDNG ',' Down ',' Pakek ',' Please ',' No"&amp;"tified ' , 'Head', 'Director', 'Tower', 'What's',' Jringn ',' Stable ',' Consumer ',' Sepeti ',' Disappointed ',' Jringn ',' Card ',' Package ',' Data ',' Telkomsel ',' Launch ',' Consumers', 'Hima', ""]")</f>
        <v>['improvement', 'jringan', 'person', 'buy', 'MHL', 'package', 'provided', 'ama', 'Telkomsel', 'TPI', 'fix', 'Jgk', ' JRANKAN ',' Sampe ',' Consumers', 'protest', 'users',' Telkomsel ',' Disappointed ',' Jringn ',' KDNG ',' Down ',' Pakek ',' Please ',' Notified ' , 'Head', 'Director', 'Tower', 'What's',' Jringn ',' Stable ',' Consumer ',' Sepeti ',' Disappointed ',' Jringn ',' Card ',' Package ',' Data ',' Telkomsel ',' Launch ',' Consumers', 'Hima', "]</v>
      </c>
      <c r="D782" s="3">
        <v>5.0</v>
      </c>
    </row>
    <row r="783" ht="15.75" customHeight="1">
      <c r="A783" s="1">
        <v>781.0</v>
      </c>
      <c r="B783" s="3" t="s">
        <v>784</v>
      </c>
      <c r="C783" s="3" t="str">
        <f>IFERROR(__xludf.DUMMYFUNCTION("GOOGLETRANSLATE(B783,""id"",""en"")"),"['ktny', 'provider', 'number', 'network', 'telkm', 'good', 'bngt', 'smpe', 'go', 'dri', 'internet', 'skrng', ' Bathing ',' Wait ',' Wait ',' Send ',' Recommended ',' Read ',' Mending ',' Indosat ',' Ooredo ',' Genk ',' Kekny ',' Provider ',' Noh ' , 'netw"&amp;"ork', 'clock', 'network', 'anti', 'lag', 'minimal', 'sped', 'internet', 'max', 'smpe', 'crazy', 'in my opinion' ']")</f>
        <v>['ktny', 'provider', 'number', 'network', 'telkm', 'good', 'bngt', 'smpe', 'go', 'dri', 'internet', 'skrng', ' Bathing ',' Wait ',' Wait ',' Send ',' Recommended ',' Read ',' Mending ',' Indosat ',' Ooredo ',' Genk ',' Kekny ',' Provider ',' Noh ' , 'network', 'clock', 'network', 'anti', 'lag', 'minimal', 'sped', 'internet', 'max', 'smpe', 'crazy', 'in my opinion' ']</v>
      </c>
      <c r="D783" s="3">
        <v>1.0</v>
      </c>
    </row>
    <row r="784" ht="15.75" customHeight="1">
      <c r="A784" s="1">
        <v>782.0</v>
      </c>
      <c r="B784" s="3" t="s">
        <v>785</v>
      </c>
      <c r="C784" s="3" t="str">
        <f>IFERROR(__xludf.DUMMYFUNCTION("GOOGLETRANSLATE(B784,""id"",""en"")"),"['What', 'quota', 'Msih', 'Giga', 'BSA', 'Main', 'Game', 'Turn', 'Tiktok', 'Current', 'really', 'emg', ' right ',' open ',' tiktok ',' bsa ',' smpe ',' timid ',' right ',' change ',' game ',' direct ',' really ',' telkom ',' please ' , 'fix', 'signal', ''"&amp;"]")</f>
        <v>['What', 'quota', 'Msih', 'Giga', 'BSA', 'Main', 'Game', 'Turn', 'Tiktok', 'Current', 'really', 'emg', ' right ',' open ',' tiktok ',' bsa ',' smpe ',' timid ',' right ',' change ',' game ',' direct ',' really ',' telkom ',' please ' , 'fix', 'signal', '']</v>
      </c>
      <c r="D784" s="3">
        <v>1.0</v>
      </c>
    </row>
    <row r="785" ht="15.75" customHeight="1">
      <c r="A785" s="1">
        <v>783.0</v>
      </c>
      <c r="B785" s="3" t="s">
        <v>786</v>
      </c>
      <c r="C785" s="3" t="str">
        <f>IFERROR(__xludf.DUMMYFUNCTION("GOOGLETRANSLATE(B785,""id"",""en"")"),"['package', 'expensive', 'signal', 'bad', 'Bohongan', 'fast', 'mode', 'doank', 'nipipin', 'people', ""]")</f>
        <v>['package', 'expensive', 'signal', 'bad', 'Bohongan', 'fast', 'mode', 'doank', 'nipipin', 'people', "]</v>
      </c>
      <c r="D785" s="3">
        <v>1.0</v>
      </c>
    </row>
    <row r="786" ht="15.75" customHeight="1">
      <c r="A786" s="1">
        <v>784.0</v>
      </c>
      <c r="B786" s="3" t="s">
        <v>787</v>
      </c>
      <c r="C786" s="3" t="str">
        <f>IFERROR(__xludf.DUMMYFUNCTION("GOOGLETRANSLATE(B786,""id"",""en"")"),"['Sulu', 'Telkomsel', 'mainstay', 'number', 'Dail', 'because of' problem ',' slow ',' connection ',' clarity ',' repair ',' Please ',' excuse me', '']")</f>
        <v>['Sulu', 'Telkomsel', 'mainstay', 'number', 'Dail', 'because of' problem ',' slow ',' connection ',' clarity ',' repair ',' Please ',' excuse me', '']</v>
      </c>
      <c r="D786" s="3">
        <v>1.0</v>
      </c>
    </row>
    <row r="787" ht="15.75" customHeight="1">
      <c r="A787" s="1">
        <v>785.0</v>
      </c>
      <c r="B787" s="3" t="s">
        <v>788</v>
      </c>
      <c r="C787" s="3" t="str">
        <f>IFERROR(__xludf.DUMMYFUNCTION("GOOGLETRANSLATE(B787,""id"",""en"")"),"['why', 'network', 'ngeleg', 'Maen', 'Game', 'please', 'repair', 'already', 'times',' gini ',' Lohh ',' Please ',' Bangett ',' repair ',' buy ',' card ',' Telkomsel ',' Maen ',' Network ',' Leg ',' really ', ""]")</f>
        <v>['why', 'network', 'ngeleg', 'Maen', 'Game', 'please', 'repair', 'already', 'times',' gini ',' Lohh ',' Please ',' Bangett ',' repair ',' buy ',' card ',' Telkomsel ',' Maen ',' Network ',' Leg ',' really ', "]</v>
      </c>
      <c r="D787" s="3">
        <v>1.0</v>
      </c>
    </row>
    <row r="788" ht="15.75" customHeight="1">
      <c r="A788" s="1">
        <v>786.0</v>
      </c>
      <c r="B788" s="3" t="s">
        <v>789</v>
      </c>
      <c r="C788" s="3" t="str">
        <f>IFERROR(__xludf.DUMMYFUNCTION("GOOGLETRANSLATE(B788,""id"",""en"")"),"['buy', 'kouta', 'unlimited', 'disappointed', 'Telkomsel', 'unlimited', 'limit', 'normal', 'use', 'tricks',' name ',' unlimited ',' The limit ',' Naturally ',' Kecizi ',' Out ',' Use ']")</f>
        <v>['buy', 'kouta', 'unlimited', 'disappointed', 'Telkomsel', 'unlimited', 'limit', 'normal', 'use', 'tricks',' name ',' unlimited ',' The limit ',' Naturally ',' Kecizi ',' Out ',' Use ']</v>
      </c>
      <c r="D788" s="3">
        <v>1.0</v>
      </c>
    </row>
    <row r="789" ht="15.75" customHeight="1">
      <c r="A789" s="1">
        <v>787.0</v>
      </c>
      <c r="B789" s="3" t="s">
        <v>790</v>
      </c>
      <c r="C789" s="3" t="str">
        <f>IFERROR(__xludf.DUMMYFUNCTION("GOOGLETRANSLATE(B789,""id"",""en"")"),"['Hello', 'admin', 'MyTelkomsel', 'just', 'gave', 'suggestion', 'Try', 'Telkomsel', 'point', 'plus',' exchange ',' item ',' Diamond ',' game ',' in demand ',' circles', 'community', 'mudamudi', 'exchanges',' circles', 'medium', 'and above', 'Telkomsel', '"&amp;"enthusiasts',' thank you ' , '']")</f>
        <v>['Hello', 'admin', 'MyTelkomsel', 'just', 'gave', 'suggestion', 'Try', 'Telkomsel', 'point', 'plus',' exchange ',' item ',' Diamond ',' game ',' in demand ',' circles', 'community', 'mudamudi', 'exchanges',' circles', 'medium', 'and above', 'Telkomsel', 'enthusiasts',' thank you ' , '']</v>
      </c>
      <c r="D789" s="3">
        <v>5.0</v>
      </c>
    </row>
    <row r="790" ht="15.75" customHeight="1">
      <c r="A790" s="1">
        <v>788.0</v>
      </c>
      <c r="B790" s="3" t="s">
        <v>791</v>
      </c>
      <c r="C790" s="3" t="str">
        <f>IFERROR(__xludf.DUMMYFUNCTION("GOOGLETRANSLATE(B790,""id"",""en"")"),"['Please', 'Center', 'Note', 'principal', 'area', 'Gara', 'Gara', 'connection', 'internet', 'stable', 'experience', 'loss',' Tower ',' Telkomsel ',' Help ',' bad ',' already ',' Kouta ',' expensive ',' network ',' internet ',' stable ', ""]")</f>
        <v>['Please', 'Center', 'Note', 'principal', 'area', 'Gara', 'Gara', 'connection', 'internet', 'stable', 'experience', 'loss',' Tower ',' Telkomsel ',' Help ',' bad ',' already ',' Kouta ',' expensive ',' network ',' internet ',' stable ', "]</v>
      </c>
      <c r="D790" s="3">
        <v>1.0</v>
      </c>
    </row>
    <row r="791" ht="15.75" customHeight="1">
      <c r="A791" s="1">
        <v>789.0</v>
      </c>
      <c r="B791" s="3" t="s">
        <v>792</v>
      </c>
      <c r="C791" s="3" t="str">
        <f>IFERROR(__xludf.DUMMYFUNCTION("GOOGLETRANSLATE(B791,""id"",""en"")"),"['Telkomsel', 'disappointing', 'Network', 'Karuan', 'Sometimes',' Network ',' Tibang ',' Lost ',' Speed ​​',' Internet ',' Slow ',' Quota ',' Unlimited ',' already ',' Limit ',' Use ',' Ceppu ',' Internet ',' Decreases', 'Drastic', 'Wear', 'Network', 'Unl"&amp;"imited', 'Please', 'Reflect' , 'Speed', 'Internet', 'inhibits', 'Activities', 'Students', 'Student', 'Blouse', 'Speed', 'Internet']")</f>
        <v>['Telkomsel', 'disappointing', 'Network', 'Karuan', 'Sometimes',' Network ',' Tibang ',' Lost ',' Speed ​​',' Internet ',' Slow ',' Quota ',' Unlimited ',' already ',' Limit ',' Use ',' Ceppu ',' Internet ',' Decreases', 'Drastic', 'Wear', 'Network', 'Unlimited', 'Please', 'Reflect' , 'Speed', 'Internet', 'inhibits', 'Activities', 'Students', 'Student', 'Blouse', 'Speed', 'Internet']</v>
      </c>
      <c r="D791" s="3">
        <v>1.0</v>
      </c>
    </row>
    <row r="792" ht="15.75" customHeight="1">
      <c r="A792" s="1">
        <v>790.0</v>
      </c>
      <c r="B792" s="3" t="s">
        <v>793</v>
      </c>
      <c r="C792" s="3" t="str">
        <f>IFERROR(__xludf.DUMMYFUNCTION("GOOGLETRANSLATE(B792,""id"",""en"")"),"['bad', 'pulse', 'lost', 'Gara', 'daily', 'check', 'bonus',' quota ',' loss', 'use', 'App', 'next', ' Males', 'Dutin', 'Daily', 'Check', 'Bonus',' Quota ',' Daily ',' Check ',' Out ',' Credit ',' Keep ',' Quota ',' Internet ' , 'Byk', 'drained', 'pulses',"&amp;" '']")</f>
        <v>['bad', 'pulse', 'lost', 'Gara', 'daily', 'check', 'bonus',' quota ',' loss', 'use', 'App', 'next', ' Males', 'Dutin', 'Daily', 'Check', 'Bonus',' Quota ',' Daily ',' Check ',' Out ',' Credit ',' Keep ',' Quota ',' Internet ' , 'Byk', 'drained', 'pulses', '']</v>
      </c>
      <c r="D792" s="3">
        <v>1.0</v>
      </c>
    </row>
    <row r="793" ht="15.75" customHeight="1">
      <c r="A793" s="1">
        <v>791.0</v>
      </c>
      <c r="B793" s="3" t="s">
        <v>794</v>
      </c>
      <c r="C793" s="3" t="str">
        <f>IFERROR(__xludf.DUMMYFUNCTION("GOOGLETRANSLATE(B793,""id"",""en"")"),"['The', 'Real', 'cards',' stingy ',' quota ',' price ',' discount ',' lose ',' price ',' naek ',' price ',' anjg ',' "", 'Kostumer', 'Ngeluh', 'Have', 'Twitter', 'explained']")</f>
        <v>['The', 'Real', 'cards',' stingy ',' quota ',' price ',' discount ',' lose ',' price ',' naek ',' price ',' anjg ',' ", 'Kostumer', 'Ngeluh', 'Have', 'Twitter', 'explained']</v>
      </c>
      <c r="D793" s="3">
        <v>1.0</v>
      </c>
    </row>
    <row r="794" ht="15.75" customHeight="1">
      <c r="A794" s="1">
        <v>792.0</v>
      </c>
      <c r="B794" s="3" t="s">
        <v>795</v>
      </c>
      <c r="C794" s="3" t="str">
        <f>IFERROR(__xludf.DUMMYFUNCTION("GOOGLETRANSLATE(B794,""id"",""en"")"),"['users',' Telkomsel ',' Wear ',' Telkomsel ',' Package ',' GB ',' Unlimited ',' Yesterday ',' quota ',' Main ',' Out ',' Wear ',' quota ',' usage ',' reasonable ',' smooth ',' jaya ',' open ',' youtube ',' game ',' dikuota ',' main ',' sometimes', 'slow'"&amp;", 'right' , 'entering', 'quota', 'usage', 'reasonable', 'unlimited', 'severe', 'open', 'game', 'open', 'google', 'map', 'slow', ' quota ',' usage ',' reasonable ',' msh ',' class', 'Telkomsel', 'selemot', ""]")</f>
        <v>['users',' Telkomsel ',' Wear ',' Telkomsel ',' Package ',' GB ',' Unlimited ',' Yesterday ',' quota ',' Main ',' Out ',' Wear ',' quota ',' usage ',' reasonable ',' smooth ',' jaya ',' open ',' youtube ',' game ',' dikuota ',' main ',' sometimes', 'slow', 'right' , 'entering', 'quota', 'usage', 'reasonable', 'unlimited', 'severe', 'open', 'game', 'open', 'google', 'map', 'slow', ' quota ',' usage ',' reasonable ',' msh ',' class', 'Telkomsel', 'selemot', "]</v>
      </c>
      <c r="D794" s="3">
        <v>1.0</v>
      </c>
    </row>
    <row r="795" ht="15.75" customHeight="1">
      <c r="A795" s="1">
        <v>793.0</v>
      </c>
      <c r="B795" s="3" t="s">
        <v>796</v>
      </c>
      <c r="C795" s="3" t="str">
        <f>IFERROR(__xludf.DUMMYFUNCTION("GOOGLETRANSLATE(B795,""id"",""en"")"),"['The problem', 'service', 'package', 'emergency', 'Telkomsel', 'fill', 'reset', 'pulse', 'direct', 'sms',' repayment ',' package ',' emergency ',' please ',' please ',' really ',' customer ',' disappointed ',' service ',' annoyed ',' credit ',' taken ','"&amp;" service ',' package ',' emergency ' , 'thank you', '']")</f>
        <v>['The problem', 'service', 'package', 'emergency', 'Telkomsel', 'fill', 'reset', 'pulse', 'direct', 'sms',' repayment ',' package ',' emergency ',' please ',' please ',' really ',' customer ',' disappointed ',' service ',' annoyed ',' credit ',' taken ',' service ',' package ',' emergency ' , 'thank you', '']</v>
      </c>
      <c r="D795" s="3">
        <v>1.0</v>
      </c>
    </row>
    <row r="796" ht="15.75" customHeight="1">
      <c r="A796" s="1">
        <v>794.0</v>
      </c>
      <c r="B796" s="3" t="s">
        <v>797</v>
      </c>
      <c r="C796" s="3" t="str">
        <f>IFERROR(__xludf.DUMMYFUNCTION("GOOGLETRANSLATE(B796,""id"",""en"")"),"['Sorry', 'Min', 'Kog', 'Download', 'Application', 'Telkomsel', 'Perna', 'Use', 'Skarang', 'Download', 'Application', 'Posts',' Application ',' according to ',' device ',' mean ',' use ',' ']")</f>
        <v>['Sorry', 'Min', 'Kog', 'Download', 'Application', 'Telkomsel', 'Perna', 'Use', 'Skarang', 'Download', 'Application', 'Posts',' Application ',' according to ',' device ',' mean ',' use ',' ']</v>
      </c>
      <c r="D796" s="3">
        <v>2.0</v>
      </c>
    </row>
    <row r="797" ht="15.75" customHeight="1">
      <c r="A797" s="1">
        <v>795.0</v>
      </c>
      <c r="B797" s="3" t="s">
        <v>798</v>
      </c>
      <c r="C797" s="3" t="str">
        <f>IFERROR(__xludf.DUMMYFUNCTION("GOOGLETRANSLATE(B797,""id"",""en"")"),"['Disappointed', 'contents',' reset ',' pulse ',' thousand ',' banking ',' already ',' let ',' banking ',' burden ',' pulse ',' already ',' Direct ',' replace ',' provider ',' disappointed ',' really ',' ']")</f>
        <v>['Disappointed', 'contents',' reset ',' pulse ',' thousand ',' banking ',' already ',' let ',' banking ',' burden ',' pulse ',' already ',' Direct ',' replace ',' provider ',' disappointed ',' really ',' ']</v>
      </c>
      <c r="D797" s="3">
        <v>1.0</v>
      </c>
    </row>
    <row r="798" ht="15.75" customHeight="1">
      <c r="A798" s="1">
        <v>796.0</v>
      </c>
      <c r="B798" s="3" t="s">
        <v>799</v>
      </c>
      <c r="C798" s="3" t="str">
        <f>IFERROR(__xludf.DUMMYFUNCTION("GOOGLETRANSLATE(B798,""id"",""en"")"),"['Telkomsel', 'pig', 'connection', 'internet', 'bad', 'difference', 'please', 'feel', 'love', 'star', 'understand', 'what', ' Connection ',' Internet ',' Lost ',' ']")</f>
        <v>['Telkomsel', 'pig', 'connection', 'internet', 'bad', 'difference', 'please', 'feel', 'love', 'star', 'understand', 'what', ' Connection ',' Internet ',' Lost ',' ']</v>
      </c>
      <c r="D798" s="3">
        <v>1.0</v>
      </c>
    </row>
    <row r="799" ht="15.75" customHeight="1">
      <c r="A799" s="1">
        <v>797.0</v>
      </c>
      <c r="B799" s="3" t="s">
        <v>800</v>
      </c>
      <c r="C799" s="3" t="str">
        <f>IFERROR(__xludf.DUMMYFUNCTION("GOOGLETRANSLATE(B799,""id"",""en"")"),"['Star', 'application', 'Telkomsel', 'disappointing', 'buy', 'package', 'cheerful', 'GB', 'date', 'date', 'succeed', 'statement', ' Process', 'pulse']")</f>
        <v>['Star', 'application', 'Telkomsel', 'disappointing', 'buy', 'package', 'cheerful', 'GB', 'date', 'date', 'succeed', 'statement', ' Process', 'pulse']</v>
      </c>
      <c r="D799" s="3">
        <v>1.0</v>
      </c>
    </row>
    <row r="800" ht="15.75" customHeight="1">
      <c r="A800" s="1">
        <v>798.0</v>
      </c>
      <c r="B800" s="3" t="s">
        <v>801</v>
      </c>
      <c r="C800" s="3" t="str">
        <f>IFERROR(__xludf.DUMMYFUNCTION("GOOGLETRANSLATE(B800,""id"",""en"")"),"['UDH', 'Kali', 'Change', 'card', 'Karna', 'buy', 'quota', 'kek', 'thousand', 'GB', 'unlimited', 'border', ' network ',' ugly ',' really ',' kek ',' disappointed ',' really ',' name ',' card ',' expensive ',' change ',' replace ',' ']")</f>
        <v>['UDH', 'Kali', 'Change', 'card', 'Karna', 'buy', 'quota', 'kek', 'thousand', 'GB', 'unlimited', 'border', ' network ',' ugly ',' really ',' kek ',' disappointed ',' really ',' name ',' card ',' expensive ',' change ',' replace ',' ']</v>
      </c>
      <c r="D800" s="3">
        <v>1.0</v>
      </c>
    </row>
    <row r="801" ht="15.75" customHeight="1">
      <c r="A801" s="1">
        <v>799.0</v>
      </c>
      <c r="B801" s="3" t="s">
        <v>802</v>
      </c>
      <c r="C801" s="3" t="str">
        <f>IFERROR(__xludf.DUMMYFUNCTION("GOOGLETRANSLATE(B801,""id"",""en"")"),"['buy', 'package', 'etc.', 'network', 'stable', 'customer', 'a month', 'network', 'area', 'experience', ""]")</f>
        <v>['buy', 'package', 'etc.', 'network', 'stable', 'customer', 'a month', 'network', 'area', 'experience', "]</v>
      </c>
      <c r="D801" s="3">
        <v>1.0</v>
      </c>
    </row>
    <row r="802" ht="15.75" customHeight="1">
      <c r="A802" s="1">
        <v>800.0</v>
      </c>
      <c r="B802" s="3" t="s">
        <v>803</v>
      </c>
      <c r="C802" s="3" t="str">
        <f>IFERROR(__xludf.DUMMYFUNCTION("GOOGLETRANSLATE(B802,""id"",""en"")"),"['Disappointed', 'promotion', 'combo', 'unlimited', 'there', 'separate', 'multimedia', 'internet', 'GB', 'internet', 'GB', 'multimedia', ' TTP ',' quota ',' truncated ',' until ',' internet ',' trs', 'sdk', 'multimedia', 'msh', 'intact', 'GB', 'separate',"&amp;" 'please' , 'Rules', 'Kink']")</f>
        <v>['Disappointed', 'promotion', 'combo', 'unlimited', 'there', 'separate', 'multimedia', 'internet', 'GB', 'internet', 'GB', 'multimedia', ' TTP ',' quota ',' truncated ',' until ',' internet ',' trs', 'sdk', 'multimedia', 'msh', 'intact', 'GB', 'separate', 'please' , 'Rules', 'Kink']</v>
      </c>
      <c r="D802" s="3">
        <v>1.0</v>
      </c>
    </row>
    <row r="803" ht="15.75" customHeight="1">
      <c r="A803" s="1">
        <v>801.0</v>
      </c>
      <c r="B803" s="3" t="s">
        <v>804</v>
      </c>
      <c r="C803" s="3" t="str">
        <f>IFERROR(__xludf.DUMMYFUNCTION("GOOGLETRANSLATE(B803,""id"",""en"")"),"['MSLH', 'classic', 'pulse', 'truncated', 'use', 'data', 'internet', 'GPP', 'Min', 'relax', 'Slamama', 'Telkomsel', ' Msh ',' The widest ',' its network ',' ugly ',' kyk ',' anything ',' msh ',' bnyak ',' sorry ',' min ',' ']")</f>
        <v>['MSLH', 'classic', 'pulse', 'truncated', 'use', 'data', 'internet', 'GPP', 'Min', 'relax', 'Slamama', 'Telkomsel', ' Msh ',' The widest ',' its network ',' ugly ',' kyk ',' anything ',' msh ',' bnyak ',' sorry ',' min ',' ']</v>
      </c>
      <c r="D803" s="3">
        <v>1.0</v>
      </c>
    </row>
    <row r="804" ht="15.75" customHeight="1">
      <c r="A804" s="1">
        <v>802.0</v>
      </c>
      <c r="B804" s="3" t="s">
        <v>805</v>
      </c>
      <c r="C804" s="3" t="str">
        <f>IFERROR(__xludf.DUMMYFUNCTION("GOOGLETRANSLATE(B804,""id"",""en"")"),"['confused', 'Telkomsel', 'buy', 'package', 'internet', 'active', 'smpe', 'June', 'GB', 'right', 'Kouta', 'Kemendikbud', ' DTG ',' GB ',' On ',' SMPE ',' June ',' EEH ',' Suck ',' first ',' quota ',' Ministry of Education and Culture ',' Atu ',' Paketan '"&amp;",' Internet ' , 'Abisin', 'first', 'sucked', 'quota', 'Ministry of Education and Culture', 'Wonder', 'Dehh', 'Please', 'Package', 'first', 'On', 'use', ' Udh ',' Abis', 'sucked', 'Package', 'Data', 'Ministry of Education and Culture', 'Ank', 'BLM', 'Enter"&amp;"', 'school']")</f>
        <v>['confused', 'Telkomsel', 'buy', 'package', 'internet', 'active', 'smpe', 'June', 'GB', 'right', 'Kouta', 'Kemendikbud', ' DTG ',' GB ',' On ',' SMPE ',' June ',' EEH ',' Suck ',' first ',' quota ',' Ministry of Education and Culture ',' Atu ',' Paketan ',' Internet ' , 'Abisin', 'first', 'sucked', 'quota', 'Ministry of Education and Culture', 'Wonder', 'Dehh', 'Please', 'Package', 'first', 'On', 'use', ' Udh ',' Abis', 'sucked', 'Package', 'Data', 'Ministry of Education and Culture', 'Ank', 'BLM', 'Enter', 'school']</v>
      </c>
      <c r="D804" s="3">
        <v>2.0</v>
      </c>
    </row>
    <row r="805" ht="15.75" customHeight="1">
      <c r="A805" s="1">
        <v>803.0</v>
      </c>
      <c r="B805" s="3" t="s">
        <v>806</v>
      </c>
      <c r="C805" s="3" t="str">
        <f>IFERROR(__xludf.DUMMYFUNCTION("GOOGLETRANSLATE(B805,""id"",""en"")"),"['', 'spirit', 'limit', 'Naturally', 'like', 'expect', 'unlimited', 'according to', 'date', 'heart', 'unlimited', 'Udh', 'run out ']")</f>
        <v>['', 'spirit', 'limit', 'Naturally', 'like', 'expect', 'unlimited', 'according to', 'date', 'heart', 'unlimited', 'Udh', 'run out ']</v>
      </c>
      <c r="D805" s="3">
        <v>1.0</v>
      </c>
    </row>
    <row r="806" ht="15.75" customHeight="1">
      <c r="A806" s="1">
        <v>804.0</v>
      </c>
      <c r="B806" s="3" t="s">
        <v>807</v>
      </c>
      <c r="C806" s="3" t="str">
        <f>IFERROR(__xludf.DUMMYFUNCTION("GOOGLETRANSLATE(B806,""id"",""en"")"),"['Telkomsel', 'expensive', 'network', 'Severe', 'really', 'watch', 'video', 'youtube', 'difficult', 'kebangeretan', 'please', 'fast', ' repaired ',' quota ',' kebeli ',' expensive ',' useful ',' redundant ',' repaired ',' ']")</f>
        <v>['Telkomsel', 'expensive', 'network', 'Severe', 'really', 'watch', 'video', 'youtube', 'difficult', 'kebangeretan', 'please', 'fast', ' repaired ',' quota ',' kebeli ',' expensive ',' useful ',' redundant ',' repaired ',' ']</v>
      </c>
      <c r="D806" s="3">
        <v>1.0</v>
      </c>
    </row>
    <row r="807" ht="15.75" customHeight="1">
      <c r="A807" s="1">
        <v>805.0</v>
      </c>
      <c r="B807" s="3" t="s">
        <v>808</v>
      </c>
      <c r="C807" s="3" t="str">
        <f>IFERROR(__xludf.DUMMYFUNCTION("GOOGLETRANSLATE(B807,""id"",""en"")"),"['Disappointed', 'message', 'promo', 'buy', 'pulse', 'cashback', 'through', 'Telkomsel', 'buy', 'ordered', 'information', 'cashback', ' right ',' check ',' yaa ',' disappointed ']")</f>
        <v>['Disappointed', 'message', 'promo', 'buy', 'pulse', 'cashback', 'through', 'Telkomsel', 'buy', 'ordered', 'information', 'cashback', ' right ',' check ',' yaa ',' disappointed ']</v>
      </c>
      <c r="D807" s="3">
        <v>1.0</v>
      </c>
    </row>
    <row r="808" ht="15.75" customHeight="1">
      <c r="A808" s="1">
        <v>806.0</v>
      </c>
      <c r="B808" s="3" t="s">
        <v>809</v>
      </c>
      <c r="C808" s="3" t="str">
        <f>IFERROR(__xludf.DUMMYFUNCTION("GOOGLETRANSLATE(B808,""id"",""en"")"),"['Network', 'ugly', 'moved', 'Telkomsel', 'Karna', 'network', 'clock', 'top', 'disappointing', 'replace', 'operator']")</f>
        <v>['Network', 'ugly', 'moved', 'Telkomsel', 'Karna', 'network', 'clock', 'top', 'disappointing', 'replace', 'operator']</v>
      </c>
      <c r="D808" s="3">
        <v>1.0</v>
      </c>
    </row>
    <row r="809" ht="15.75" customHeight="1">
      <c r="A809" s="1">
        <v>807.0</v>
      </c>
      <c r="B809" s="3" t="s">
        <v>810</v>
      </c>
      <c r="C809" s="3" t="str">
        <f>IFERROR(__xludf.DUMMYFUNCTION("GOOGLETRANSLATE(B809,""id"",""en"")"),"['Telkomsel', 'ugly', 'network', 'please', 'Murah', 'network', 'person', 'kapok', 'times',' package ',' internet ',' cheap ',' network ',' ugly ',' already ',' expensive ',' ngelag ',' then ',' kapok ',' really ',' uninstall ',' bye ',' ']")</f>
        <v>['Telkomsel', 'ugly', 'network', 'please', 'Murah', 'network', 'person', 'kapok', 'times',' package ',' internet ',' cheap ',' network ',' ugly ',' already ',' expensive ',' ngelag ',' then ',' kapok ',' really ',' uninstall ',' bye ',' ']</v>
      </c>
      <c r="D809" s="3">
        <v>1.0</v>
      </c>
    </row>
    <row r="810" ht="15.75" customHeight="1">
      <c r="A810" s="1">
        <v>808.0</v>
      </c>
      <c r="B810" s="3" t="s">
        <v>811</v>
      </c>
      <c r="C810" s="3" t="str">
        <f>IFERROR(__xludf.DUMMYFUNCTION("GOOGLETRANSLATE(B810,""id"",""en"")"),"['COMMENT', 'Change', 'loss',' already ',' natural ',' honest ',' hit ',' ite ',' pollution ',' name ',' let ',' hereafter ',' his business', 'brave', 'do', 'brave', 'accept', 'consequently', ""]")</f>
        <v>['COMMENT', 'Change', 'loss',' already ',' natural ',' honest ',' hit ',' ite ',' pollution ',' name ',' let ',' hereafter ',' his business', 'brave', 'do', 'brave', 'accept', 'consequently', "]</v>
      </c>
      <c r="D810" s="3">
        <v>1.0</v>
      </c>
    </row>
    <row r="811" ht="15.75" customHeight="1">
      <c r="A811" s="1">
        <v>809.0</v>
      </c>
      <c r="B811" s="3" t="s">
        <v>812</v>
      </c>
      <c r="C811" s="3" t="str">
        <f>IFERROR(__xludf.DUMMYFUNCTION("GOOGLETRANSLATE(B811,""id"",""en"")"),"['Fill', 'voucher', 'network', 'busy', 'reply', 'like', 'that's',' buy ',' package ',' expensive ',' dlu ',' recommended ',' The network ',' fix ',' replace ',' operator ',' direct ',' ']")</f>
        <v>['Fill', 'voucher', 'network', 'busy', 'reply', 'like', 'that's',' buy ',' package ',' expensive ',' dlu ',' recommended ',' The network ',' fix ',' replace ',' operator ',' direct ',' ']</v>
      </c>
      <c r="D811" s="3">
        <v>1.0</v>
      </c>
    </row>
    <row r="812" ht="15.75" customHeight="1">
      <c r="A812" s="1">
        <v>810.0</v>
      </c>
      <c r="B812" s="3" t="s">
        <v>813</v>
      </c>
      <c r="C812" s="3" t="str">
        <f>IFERROR(__xludf.DUMMYFUNCTION("GOOGLETRANSLATE(B812,""id"",""en"")"),"['Network', 'Telkomsel', 'slow', 'play', 'game', 'network', 'lag', 'Benerrrr', 'Please', 'fix it', 'network', 'application', ' Game ',' Facebook ',' YouTube ',' Instagram ',' The network ',' Destroyed ',' Ask ',' Developer ',' Act ',' As soon as', 'Custom"&amp;"er', 'Satisfied', 'Thank you' , '']")</f>
        <v>['Network', 'Telkomsel', 'slow', 'play', 'game', 'network', 'lag', 'Benerrrr', 'Please', 'fix it', 'network', 'application', ' Game ',' Facebook ',' YouTube ',' Instagram ',' The network ',' Destroyed ',' Ask ',' Developer ',' Act ',' As soon as', 'Customer', 'Satisfied', 'Thank you' , '']</v>
      </c>
      <c r="D812" s="3">
        <v>1.0</v>
      </c>
    </row>
    <row r="813" ht="15.75" customHeight="1">
      <c r="A813" s="1">
        <v>811.0</v>
      </c>
      <c r="B813" s="3" t="s">
        <v>814</v>
      </c>
      <c r="C813" s="3" t="str">
        <f>IFERROR(__xludf.DUMMYFUNCTION("GOOGLETRANSLATE(B813,""id"",""en"")"),"['quota', 'internet', 'SMS', 'use', 'pulse', 'internet', 'pulse', 'non', 'tariff', 'pulse', 'run out', 'quota', ' Strategy ',' Suck ',' Credit ',' Nieh ', ""]")</f>
        <v>['quota', 'internet', 'SMS', 'use', 'pulse', 'internet', 'pulse', 'non', 'tariff', 'pulse', 'run out', 'quota', ' Strategy ',' Suck ',' Credit ',' Nieh ', "]</v>
      </c>
      <c r="D813" s="3">
        <v>1.0</v>
      </c>
    </row>
    <row r="814" ht="15.75" customHeight="1">
      <c r="A814" s="1">
        <v>812.0</v>
      </c>
      <c r="B814" s="3" t="s">
        <v>815</v>
      </c>
      <c r="C814" s="3" t="str">
        <f>IFERROR(__xludf.DUMMYFUNCTION("GOOGLETRANSLATE(B814,""id"",""en"")"),"['quota', 'internet', 'active', 'first', 'cut', 'quota', 'kemendikbud', 'msh', 'active', 'first', 'cut', 'search', ' Fortunately ',' Dzolim ',' name ',' ']")</f>
        <v>['quota', 'internet', 'active', 'first', 'cut', 'quota', 'kemendikbud', 'msh', 'active', 'first', 'cut', 'search', ' Fortunately ',' Dzolim ',' name ',' ']</v>
      </c>
      <c r="D814" s="3">
        <v>1.0</v>
      </c>
    </row>
    <row r="815" ht="15.75" customHeight="1">
      <c r="A815" s="1">
        <v>813.0</v>
      </c>
      <c r="B815" s="3" t="s">
        <v>816</v>
      </c>
      <c r="C815" s="3" t="str">
        <f>IFERROR(__xludf.DUMMYFUNCTION("GOOGLETRANSLATE(B815,""id"",""en"")"),"['Sorry', 'cheating', 'provider', 'data', 'internet', 'nomer', 'already', 'dozens',' package ',' GB ',' price ',' rb ',' Provider ',' GB ',' already ',' price ',' rb ',' plus', 'unlimited', 'sosmed', 'streaming', 'youtube', 'requirements',' loss', 'cut' ,"&amp;" 'Data', 'main', 'activation', 'package', '']")</f>
        <v>['Sorry', 'cheating', 'provider', 'data', 'internet', 'nomer', 'already', 'dozens',' package ',' GB ',' price ',' rb ',' Provider ',' GB ',' already ',' price ',' rb ',' plus', 'unlimited', 'sosmed', 'streaming', 'youtube', 'requirements',' loss', 'cut' , 'Data', 'main', 'activation', 'package', '']</v>
      </c>
      <c r="D815" s="3">
        <v>1.0</v>
      </c>
    </row>
    <row r="816" ht="15.75" customHeight="1">
      <c r="A816" s="1">
        <v>814.0</v>
      </c>
      <c r="B816" s="3" t="s">
        <v>817</v>
      </c>
      <c r="C816" s="3" t="str">
        <f>IFERROR(__xludf.DUMMYFUNCTION("GOOGLETRANSLATE(B816,""id"",""en"")"),"['Network', 'Signal', 'Nasea', 'How', 'Contact', 'Customer', 'Service', 'Difficult', 'Network', 'Signal', 'Kaga', 'Stable', ' Hadeehhhhhh ',' ']")</f>
        <v>['Network', 'Signal', 'Nasea', 'How', 'Contact', 'Customer', 'Service', 'Difficult', 'Network', 'Signal', 'Kaga', 'Stable', ' Hadeehhhhhh ',' ']</v>
      </c>
      <c r="D816" s="3">
        <v>1.0</v>
      </c>
    </row>
    <row r="817" ht="15.75" customHeight="1">
      <c r="A817" s="1">
        <v>815.0</v>
      </c>
      <c r="B817" s="3" t="s">
        <v>818</v>
      </c>
      <c r="C817" s="3" t="str">
        <f>IFERROR(__xludf.DUMMYFUNCTION("GOOGLETRANSLATE(B817,""id"",""en"")"),"['In the area', 'Win', 'Lottery', 'Telkomsel', 'Win', 'Lottery', 'Prize', 'Telkomsel', 'Society', 'Wear', 'Card', 'Telkomsel', ' Thank you ',' Telkomsel ',' ']")</f>
        <v>['In the area', 'Win', 'Lottery', 'Telkomsel', 'Win', 'Lottery', 'Prize', 'Telkomsel', 'Society', 'Wear', 'Card', 'Telkomsel', ' Thank you ',' Telkomsel ',' ']</v>
      </c>
      <c r="D817" s="3">
        <v>5.0</v>
      </c>
    </row>
    <row r="818" ht="15.75" customHeight="1">
      <c r="A818" s="1">
        <v>816.0</v>
      </c>
      <c r="B818" s="3" t="s">
        <v>819</v>
      </c>
      <c r="C818" s="3" t="str">
        <f>IFERROR(__xludf.DUMMYFUNCTION("GOOGLETRANSLATE(B818,""id"",""en"")"),"['network', 'here', 'gajelas',' play ',' game ',' broken ',' broken ',' ping ',' full ',' disappointed ',' udh ',' buy ',' GB ', the' results', 'like', 'gini', 'mending', 'replace', 'card', 'here', 'bad', 'extra', 'already', 'buy', 'expensive' , 'expensiv"&amp;"e', 'bates',' unlimited ',' Naturally ',' limit ',' ugly ',' really ',' network ',' watch ',' YouTube ',' Severe ',' lag ',' Really ',' UDH ',' buy ',' expensive ',' expensive ',' disappointed ']")</f>
        <v>['network', 'here', 'gajelas',' play ',' game ',' broken ',' broken ',' ping ',' full ',' disappointed ',' udh ',' buy ',' GB ', the' results', 'like', 'gini', 'mending', 'replace', 'card', 'here', 'bad', 'extra', 'already', 'buy', 'expensive' , 'expensive', 'bates',' unlimited ',' Naturally ',' limit ',' ugly ',' really ',' network ',' watch ',' YouTube ',' Severe ',' lag ',' Really ',' UDH ',' buy ',' expensive ',' expensive ',' disappointed ']</v>
      </c>
      <c r="D818" s="3">
        <v>1.0</v>
      </c>
    </row>
    <row r="819" ht="15.75" customHeight="1">
      <c r="A819" s="1">
        <v>817.0</v>
      </c>
      <c r="B819" s="3" t="s">
        <v>820</v>
      </c>
      <c r="C819" s="3" t="str">
        <f>IFERROR(__xludf.DUMMYFUNCTION("GOOGLETRANSLATE(B819,""id"",""en"")"),"['Telkomsel', 'hosted', 'please', 'deh', 'disappointing', 'network', 'internet', 'bad', 'really', 'city', 'facility', 'network', ' Good ',' remote ',' land ',' water ', ""]")</f>
        <v>['Telkomsel', 'hosted', 'please', 'deh', 'disappointing', 'network', 'internet', 'bad', 'really', 'city', 'facility', 'network', ' Good ',' remote ',' land ',' water ', "]</v>
      </c>
      <c r="D819" s="3">
        <v>1.0</v>
      </c>
    </row>
    <row r="820" ht="15.75" customHeight="1">
      <c r="A820" s="1">
        <v>818.0</v>
      </c>
      <c r="B820" s="3" t="s">
        <v>821</v>
      </c>
      <c r="C820" s="3" t="str">
        <f>IFERROR(__xludf.DUMMYFUNCTION("GOOGLETRANSLATE(B820,""id"",""en"")"),"['Internet', 'substance', 'people', 'problems', 'purchase', 'package', 'lower', 'price', 'according to', 'economy', 'community', 'unemployed']")</f>
        <v>['Internet', 'substance', 'people', 'problems', 'purchase', 'package', 'lower', 'price', 'according to', 'economy', 'community', 'unemployed']</v>
      </c>
      <c r="D820" s="3">
        <v>1.0</v>
      </c>
    </row>
    <row r="821" ht="15.75" customHeight="1">
      <c r="A821" s="1">
        <v>819.0</v>
      </c>
      <c r="B821" s="3" t="s">
        <v>822</v>
      </c>
      <c r="C821" s="3" t="str">
        <f>IFERROR(__xludf.DUMMYFUNCTION("GOOGLETRANSLATE(B821,""id"",""en"")"),"['complaints',' community ',' buy ',' quota ',' GB ',' right ',' quota ',' main ',' run out ',' network ',' Telkomsel ',' plump ',' Kya ',' gini ',' please ',' repaired ',' trusted ',' ugly ',' network ']")</f>
        <v>['complaints',' community ',' buy ',' quota ',' GB ',' right ',' quota ',' main ',' run out ',' network ',' Telkomsel ',' plump ',' Kya ',' gini ',' please ',' repaired ',' trusted ',' ugly ',' network ']</v>
      </c>
      <c r="D821" s="3">
        <v>1.0</v>
      </c>
    </row>
    <row r="822" ht="15.75" customHeight="1">
      <c r="A822" s="1">
        <v>820.0</v>
      </c>
      <c r="B822" s="3" t="s">
        <v>823</v>
      </c>
      <c r="C822" s="3" t="str">
        <f>IFERROR(__xludf.DUMMYFUNCTION("GOOGLETRANSLATE(B822,""id"",""en"")"),"['ugly', 'service', 'Telkomsel', 'connection', 'slow', 'Telkomsel', 'make it difficult', 'customer', 'disappointed', 'Lower', 'star']")</f>
        <v>['ugly', 'service', 'Telkomsel', 'connection', 'slow', 'Telkomsel', 'make it difficult', 'customer', 'disappointed', 'Lower', 'star']</v>
      </c>
      <c r="D822" s="3">
        <v>1.0</v>
      </c>
    </row>
    <row r="823" ht="15.75" customHeight="1">
      <c r="A823" s="1">
        <v>821.0</v>
      </c>
      <c r="B823" s="3" t="s">
        <v>824</v>
      </c>
      <c r="C823" s="3" t="str">
        <f>IFERROR(__xludf.DUMMYFUNCTION("GOOGLETRANSLATE(B823,""id"",""en"")"),"['Please', 'contact', 'Custumer', 'Twitter', 'Telkomsel', 'Good', 'Smart', 'Frenn', 'Package', 'Unlimitite', 'pure', 'Tlkomsel', ' regret ',' replace ',' card ',' Telkomsel ',' buy ',' expensive ',' fraud ']")</f>
        <v>['Please', 'contact', 'Custumer', 'Twitter', 'Telkomsel', 'Good', 'Smart', 'Frenn', 'Package', 'Unlimitite', 'pure', 'Tlkomsel', ' regret ',' replace ',' card ',' Telkomsel ',' buy ',' expensive ',' fraud ']</v>
      </c>
      <c r="D823" s="3">
        <v>1.0</v>
      </c>
    </row>
    <row r="824" ht="15.75" customHeight="1">
      <c r="A824" s="1">
        <v>822.0</v>
      </c>
      <c r="B824" s="3" t="s">
        <v>825</v>
      </c>
      <c r="C824" s="3" t="str">
        <f>IFERROR(__xludf.DUMMYFUNCTION("GOOGLETRANSLATE(B824,""id"",""en"")"),"['Network', 'slow', 'the application', 'update', 'slow', 'Load', 'reset', 'satisfying', '']")</f>
        <v>['Network', 'slow', 'the application', 'update', 'slow', 'Load', 'reset', 'satisfying', '']</v>
      </c>
      <c r="D824" s="3">
        <v>1.0</v>
      </c>
    </row>
    <row r="825" ht="15.75" customHeight="1">
      <c r="A825" s="1">
        <v>823.0</v>
      </c>
      <c r="B825" s="3" t="s">
        <v>826</v>
      </c>
      <c r="C825" s="3" t="str">
        <f>IFERROR(__xludf.DUMMYFUNCTION("GOOGLETRANSLATE(B825,""id"",""en"")"),"['TELKOMSEL', 'SIH', 'Cool', 'Package', 'Unlimited', 'Burik', 'Gini', 'Suggestions',' Pelangement ',' Change ',' Provider ',' Unlimited ',' hoax ',' strategy ',' marketing ',' teler ']")</f>
        <v>['TELKOMSEL', 'SIH', 'Cool', 'Package', 'Unlimited', 'Burik', 'Gini', 'Suggestions',' Pelangement ',' Change ',' Provider ',' Unlimited ',' hoax ',' strategy ',' marketing ',' teler ']</v>
      </c>
      <c r="D825" s="3">
        <v>1.0</v>
      </c>
    </row>
    <row r="826" ht="15.75" customHeight="1">
      <c r="A826" s="1">
        <v>824.0</v>
      </c>
      <c r="B826" s="3" t="s">
        <v>827</v>
      </c>
      <c r="C826" s="3" t="str">
        <f>IFERROR(__xludf.DUMMYFUNCTION("GOOGLETRANSLATE(B826,""id"",""en"")"),"['Severe', 'Severe', 'Network', 'ilang', 'then', 'Baske', 'already', 'Belain', 'buy', 'package', 'expensive', 'expensive', ' network ',' taik ',' stable ',' provider ']")</f>
        <v>['Severe', 'Severe', 'Network', 'ilang', 'then', 'Baske', 'already', 'Belain', 'buy', 'package', 'expensive', 'expensive', ' network ',' taik ',' stable ',' provider ']</v>
      </c>
      <c r="D826" s="3">
        <v>1.0</v>
      </c>
    </row>
    <row r="827" ht="15.75" customHeight="1">
      <c r="A827" s="1">
        <v>825.0</v>
      </c>
      <c r="B827" s="3" t="s">
        <v>828</v>
      </c>
      <c r="C827" s="3" t="str">
        <f>IFERROR(__xludf.DUMMYFUNCTION("GOOGLETRANSLATE(B827,""id"",""en"")"),"['yes',' unlimited ',' GB ',' KCPTN ',' Fikir ',' child ',' kcptn ',' happ ',' open ',' mending ',' love ',' Its', ' Not ',' About ',' Money ',' You ',' Know ',' Disappointment ',' Ehh ',' Mbak ',' Mas', 'Mr.', 'emang', 'loss',' Kasi ' , 'Full', 'Example'"&amp;", 'Provider', 'NGK', 'Terms',' Dont ',' Know ',' Whats', 'Going', 'Here', 'But', 'You', ' Know ',' What ',' Mean ',' Mean ',' Thanks', ""]")</f>
        <v>['yes',' unlimited ',' GB ',' KCPTN ',' Fikir ',' child ',' kcptn ',' happ ',' open ',' mending ',' love ',' Its', ' Not ',' About ',' Money ',' You ',' Know ',' Disappointment ',' Ehh ',' Mbak ',' Mas', 'Mr.', 'emang', 'loss',' Kasi ' , 'Full', 'Example', 'Provider', 'NGK', 'Terms',' Dont ',' Know ',' Whats', 'Going', 'Here', 'But', 'You', ' Know ',' What ',' Mean ',' Mean ',' Thanks', "]</v>
      </c>
      <c r="D827" s="3">
        <v>1.0</v>
      </c>
    </row>
    <row r="828" ht="15.75" customHeight="1">
      <c r="A828" s="1">
        <v>826.0</v>
      </c>
      <c r="B828" s="3" t="s">
        <v>829</v>
      </c>
      <c r="C828" s="3" t="str">
        <f>IFERROR(__xludf.DUMMYFUNCTION("GOOGLETRANSLATE(B828,""id"",""en"")"),"['Astagaaaa', 'kirain', 'error', 'contents',' package ',' slow ',' chek ',' friend ',' friend ',' disappointing ',' improvement ',' min ',' Via ',' Twitter ',' Email ',' Hedeeeh ',' Kuy ',' Change ',' Provider ',' Change ',' Edit ', ""]")</f>
        <v>['Astagaaaa', 'kirain', 'error', 'contents',' package ',' slow ',' chek ',' friend ',' friend ',' disappointing ',' improvement ',' min ',' Via ',' Twitter ',' Email ',' Hedeeeh ',' Kuy ',' Change ',' Provider ',' Change ',' Edit ', "]</v>
      </c>
      <c r="D828" s="3">
        <v>1.0</v>
      </c>
    </row>
    <row r="829" ht="15.75" customHeight="1">
      <c r="A829" s="1">
        <v>827.0</v>
      </c>
      <c r="B829" s="3" t="s">
        <v>830</v>
      </c>
      <c r="C829" s="3" t="str">
        <f>IFERROR(__xludf.DUMMYFUNCTION("GOOGLETRANSLATE(B829,""id"",""en"")"),"['gimasih', 'threat', 'operator', 'ngakunya', 'signal', 'knapa', 'paketan', 'telkomse', 'expensive', 'operator', 'quality', 'its network', ' Good ',' Dri ',' Operator ',' JDI ',' Fair ',' Paketan ',' Expensive ',' Preeeet ',' Network ',' Telkomsel ',' Anc"&amp;"ur ',' Contact ',' Customer ' , 'service', 'trouble', 'repairs', 'have', 'already', 'answer', 'like', 'so', 'Hadeh', 'severe']")</f>
        <v>['gimasih', 'threat', 'operator', 'ngakunya', 'signal', 'knapa', 'paketan', 'telkomse', 'expensive', 'operator', 'quality', 'its network', ' Good ',' Dri ',' Operator ',' JDI ',' Fair ',' Paketan ',' Expensive ',' Preeeet ',' Network ',' Telkomsel ',' Ancur ',' Contact ',' Customer ' , 'service', 'trouble', 'repairs', 'have', 'already', 'answer', 'like', 'so', 'Hadeh', 'severe']</v>
      </c>
      <c r="D829" s="3">
        <v>1.0</v>
      </c>
    </row>
    <row r="830" ht="15.75" customHeight="1">
      <c r="A830" s="1">
        <v>828.0</v>
      </c>
      <c r="B830" s="3" t="s">
        <v>831</v>
      </c>
      <c r="C830" s="3" t="str">
        <f>IFERROR(__xludf.DUMMYFUNCTION("GOOGLETRANSLATE(B830,""id"",""en"")"),"['Telkomsel', 'please', 'Paketan', 'Udh', 'Abis',' take ',' pulse ',' knowledge ',' leftover ',' pulse ',' rb ',' right ',' Abis', 'it's on', 'minutes',' wifi ',' package ',' data ',' last night ',' strange ',' really ',' pulse ',' disappear ',' so ',' do"&amp;"nk ' , 'please', 'policy', 'Telkomsel', 'choice', 'pulse', 'data', 'gini', 'disappointed', '']")</f>
        <v>['Telkomsel', 'please', 'Paketan', 'Udh', 'Abis',' take ',' pulse ',' knowledge ',' leftover ',' pulse ',' rb ',' right ',' Abis', 'it's on', 'minutes',' wifi ',' package ',' data ',' last night ',' strange ',' really ',' pulse ',' disappear ',' so ',' donk ' , 'please', 'policy', 'Telkomsel', 'choice', 'pulse', 'data', 'gini', 'disappointed', '']</v>
      </c>
      <c r="D830" s="3">
        <v>1.0</v>
      </c>
    </row>
    <row r="831" ht="15.75" customHeight="1">
      <c r="A831" s="1">
        <v>829.0</v>
      </c>
      <c r="B831" s="3" t="s">
        <v>832</v>
      </c>
      <c r="C831" s="3" t="str">
        <f>IFERROR(__xludf.DUMMYFUNCTION("GOOGLETRANSLATE(B831,""id"",""en"")"),"['said', 'unlimited', 'TPI', 'right', 'quota', 'main', 'abis',' bsa ',' internet ',' lgi ',' pdhl ',' right ',' DLU ',' quota ',' internet ',' abis', 'msh', 'can', 'use', 'price', 'expensive', 'GB', 'skrng', 'jdi', 'GB' , 'Network', 'used to', 'hour', 'LN"&amp;"CR', 'skrng', 'CMA', 'BSA', 'PGI', 'noon', 'doang', 'lag', 'lag', ' right ',' quota ',' main ',' udh ',' abis', 'download', 'apk', 'msh', 'bsa', 'skrng', 'quota', 'main', 'abis' , 'Download', 'APK', 'Live', 'BBR', 'LGI', 'TBA', 'Cancel', 'CPE', 'Wait', 'M"&amp;"LH', 'Cancel', 'Please', ' disappointed', '']")</f>
        <v>['said', 'unlimited', 'TPI', 'right', 'quota', 'main', 'abis',' bsa ',' internet ',' lgi ',' pdhl ',' right ',' DLU ',' quota ',' internet ',' abis', 'msh', 'can', 'use', 'price', 'expensive', 'GB', 'skrng', 'jdi', 'GB' , 'Network', 'used to', 'hour', 'LNCR', 'skrng', 'CMA', 'BSA', 'PGI', 'noon', 'doang', 'lag', 'lag', ' right ',' quota ',' main ',' udh ',' abis', 'download', 'apk', 'msh', 'bsa', 'skrng', 'quota', 'main', 'abis' , 'Download', 'APK', 'Live', 'BBR', 'LGI', 'TBA', 'Cancel', 'CPE', 'Wait', 'MLH', 'Cancel', 'Please', ' disappointed', '']</v>
      </c>
      <c r="D831" s="3">
        <v>1.0</v>
      </c>
    </row>
    <row r="832" ht="15.75" customHeight="1">
      <c r="A832" s="1">
        <v>830.0</v>
      </c>
      <c r="B832" s="3" t="s">
        <v>833</v>
      </c>
      <c r="C832" s="3" t="str">
        <f>IFERROR(__xludf.DUMMYFUNCTION("GOOGLETRANSLATE(B832,""id"",""en"")"),"['quota', 'Telkomsel', 'GB', 'open', 'signal', 'garbage', 'loss',' buy ',' card ',' package ',' expensive ',' Telkomsel ',' Fortunately ',' GB ',' spend ',' thousand ',' buy ',' package ',' signal ',' garbage ']")</f>
        <v>['quota', 'Telkomsel', 'GB', 'open', 'signal', 'garbage', 'loss',' buy ',' card ',' package ',' expensive ',' Telkomsel ',' Fortunately ',' GB ',' spend ',' thousand ',' buy ',' package ',' signal ',' garbage ']</v>
      </c>
      <c r="D832" s="3">
        <v>1.0</v>
      </c>
    </row>
    <row r="833" ht="15.75" customHeight="1">
      <c r="A833" s="1">
        <v>831.0</v>
      </c>
      <c r="B833" s="3" t="s">
        <v>834</v>
      </c>
      <c r="C833" s="3" t="str">
        <f>IFERROR(__xludf.DUMMYFUNCTION("GOOGLETRANSLATE(B833,""id"",""en"")"),"['disappointed', 'bngt', 'signal', 'good', 'city', 'doang', 'village', 'pay', 'package', 'data', 'paying', 'signal', ' Village ',' weak ',' really ']")</f>
        <v>['disappointed', 'bngt', 'signal', 'good', 'city', 'doang', 'village', 'pay', 'package', 'data', 'paying', 'signal', ' Village ',' weak ',' really ']</v>
      </c>
      <c r="D833" s="3">
        <v>1.0</v>
      </c>
    </row>
    <row r="834" ht="15.75" customHeight="1">
      <c r="A834" s="1">
        <v>832.0</v>
      </c>
      <c r="B834" s="3" t="s">
        <v>835</v>
      </c>
      <c r="C834" s="3" t="str">
        <f>IFERROR(__xludf.DUMMYFUNCTION("GOOGLETRANSLATE(B834,""id"",""en"")"),"['Holla', 'Telkomsel', 'Dear', 'users',' loyal ',' Telkomsel ',' quality ',' signal ',' city ',' disappointed ',' rules', 'limit', ' Use ',' Fair ',' quota ',' unlimited ',' according to ',' name ',' unlimited ',' limit ',' seteleh ',' quota ',' main ',' "&amp;"run out ',' lie ' , 'Ngprank', 'Stop', 'user', 'Telkomsel', 'already', 'cool', 'disappointed', '']")</f>
        <v>['Holla', 'Telkomsel', 'Dear', 'users',' loyal ',' Telkomsel ',' quality ',' signal ',' city ',' disappointed ',' rules', 'limit', ' Use ',' Fair ',' quota ',' unlimited ',' according to ',' name ',' unlimited ',' limit ',' seteleh ',' quota ',' main ',' run out ',' lie ' , 'Ngprank', 'Stop', 'user', 'Telkomsel', 'already', 'cool', 'disappointed', '']</v>
      </c>
      <c r="D834" s="3">
        <v>1.0</v>
      </c>
    </row>
    <row r="835" ht="15.75" customHeight="1">
      <c r="A835" s="1">
        <v>833.0</v>
      </c>
      <c r="B835" s="3" t="s">
        <v>836</v>
      </c>
      <c r="C835" s="3" t="str">
        <f>IFERROR(__xludf.DUMMYFUNCTION("GOOGLETRANSLATE(B835,""id"",""en"")"),"['Hello', 'Telkomsel', 'Honest', 'Disappointed', 'Subscribe', 'Hold', 'Believe', 'Telkomsel', 'Bonafit', 'Quality', 'Decline', 'The Network', ' "", 'YouTube', 'open', 'complete', 'Task', 'Lecture', 'Open', 'Zoom', 'Please', 'Repaired', 'Harm', 'Thank you'"&amp;"]")</f>
        <v>['Hello', 'Telkomsel', 'Honest', 'Disappointed', 'Subscribe', 'Hold', 'Believe', 'Telkomsel', 'Bonafit', 'Quality', 'Decline', 'The Network', ' ", 'YouTube', 'open', 'complete', 'Task', 'Lecture', 'Open', 'Zoom', 'Please', 'Repaired', 'Harm', 'Thank you']</v>
      </c>
      <c r="D835" s="3">
        <v>1.0</v>
      </c>
    </row>
    <row r="836" ht="15.75" customHeight="1">
      <c r="A836" s="1">
        <v>834.0</v>
      </c>
      <c r="B836" s="3" t="s">
        <v>837</v>
      </c>
      <c r="C836" s="3" t="str">
        <f>IFERROR(__xludf.DUMMYFUNCTION("GOOGLETRANSLATE(B836,""id"",""en"")"),"['buy', 'promo', 'package', 'enter', 'enter', 'mulu', 'kouta', 'already', 'times',' try ',' fail ',' person ',' people ',' stop ',' Makai ',' card ',' Telkomsel ',' please ',' fix ']")</f>
        <v>['buy', 'promo', 'package', 'enter', 'enter', 'mulu', 'kouta', 'already', 'times',' try ',' fail ',' person ',' people ',' stop ',' Makai ',' card ',' Telkomsel ',' please ',' fix ']</v>
      </c>
      <c r="D836" s="3">
        <v>1.0</v>
      </c>
    </row>
    <row r="837" ht="15.75" customHeight="1">
      <c r="A837" s="1">
        <v>835.0</v>
      </c>
      <c r="B837" s="3" t="s">
        <v>838</v>
      </c>
      <c r="C837" s="3" t="str">
        <f>IFERROR(__xludf.DUMMYFUNCTION("GOOGLETRANSLATE(B837,""id"",""en"")"),"['knapa', 'promo', 'unlimited', 'hope', 'people', 'Indonesia', 'enjoy', 'network', 'Telkomsel', 'slow', ""]")</f>
        <v>['knapa', 'promo', 'unlimited', 'hope', 'people', 'Indonesia', 'enjoy', 'network', 'Telkomsel', 'slow', "]</v>
      </c>
      <c r="D837" s="3">
        <v>5.0</v>
      </c>
    </row>
    <row r="838" ht="15.75" customHeight="1">
      <c r="A838" s="1">
        <v>836.0</v>
      </c>
      <c r="B838" s="3" t="s">
        <v>839</v>
      </c>
      <c r="C838" s="3" t="str">
        <f>IFERROR(__xludf.DUMMYFUNCTION("GOOGLETRANSLATE(B838,""id"",""en"")"),"['Contents',' pulse ',' thousand ',' run out ',' last night ',' package ',' registered ',' data ',' on ',' activate ',' quota ',' internet ',' Fill ',' pulse ',' thousand ',' count ',' minutes', 'stay', 'thousands',' ']")</f>
        <v>['Contents',' pulse ',' thousand ',' run out ',' last night ',' package ',' registered ',' data ',' on ',' activate ',' quota ',' internet ',' Fill ',' pulse ',' thousand ',' count ',' minutes', 'stay', 'thousands',' ']</v>
      </c>
      <c r="D838" s="3">
        <v>1.0</v>
      </c>
    </row>
    <row r="839" ht="15.75" customHeight="1">
      <c r="A839" s="1">
        <v>837.0</v>
      </c>
      <c r="B839" s="3" t="s">
        <v>840</v>
      </c>
      <c r="C839" s="3" t="str">
        <f>IFERROR(__xludf.DUMMYFUNCTION("GOOGLETRANSLATE(B839,""id"",""en"")"),"['Nice', 'emotions',' provide ',' help ',' info ',' no ',' ending ',' no ',' package ',' turn ',' suck ',' pulse ',' told to ',' Wait ',' notification ',' I ',' Wait ',' until ',' tomorrow ',' not ',' notification ',' enter ',' no ',' intention ',' mendin"&amp;"g ' , 'no', 'Cape', 'gini', 'php', '']")</f>
        <v>['Nice', 'emotions',' provide ',' help ',' info ',' no ',' ending ',' no ',' package ',' turn ',' suck ',' pulse ',' told to ',' Wait ',' notification ',' I ',' Wait ',' until ',' tomorrow ',' not ',' notification ',' enter ',' no ',' intention ',' mending ' , 'no', 'Cape', 'gini', 'php', '']</v>
      </c>
      <c r="D839" s="3">
        <v>1.0</v>
      </c>
    </row>
    <row r="840" ht="15.75" customHeight="1">
      <c r="A840" s="1">
        <v>838.0</v>
      </c>
      <c r="B840" s="3" t="s">
        <v>841</v>
      </c>
      <c r="C840" s="3" t="str">
        <f>IFERROR(__xludf.DUMMYFUNCTION("GOOGLETRANSLATE(B840,""id"",""en"")"),"['Telkomsel', 'Service', 'Package', 'Good', 'Please', 'Increase', 'Network', 'Internet', 'Special', 'Region', 'District', 'Bungbulang', ' Regency ',' Garut ',' Customer ',' Faithful ',' Telkomsel ',' Dozens', 'Orng', 'Move', 'Provider', 'Because', 'Networ"&amp;"k', 'Lemot', 'Please' , 'Increases',' Network ',' Region ',' Subdistrict ',' Bungbulang ',' Customer ',' Telkomsel ',' Moving ',' Provider ',' Revenue ',' Tsel ',' Good ',' ']")</f>
        <v>['Telkomsel', 'Service', 'Package', 'Good', 'Please', 'Increase', 'Network', 'Internet', 'Special', 'Region', 'District', 'Bungbulang', ' Regency ',' Garut ',' Customer ',' Faithful ',' Telkomsel ',' Dozens', 'Orng', 'Move', 'Provider', 'Because', 'Network', 'Lemot', 'Please' , 'Increases',' Network ',' Region ',' Subdistrict ',' Bungbulang ',' Customer ',' Telkomsel ',' Moving ',' Provider ',' Revenue ',' Tsel ',' Good ',' ']</v>
      </c>
      <c r="D840" s="3">
        <v>5.0</v>
      </c>
    </row>
    <row r="841" ht="15.75" customHeight="1">
      <c r="A841" s="1">
        <v>839.0</v>
      </c>
      <c r="B841" s="3" t="s">
        <v>842</v>
      </c>
      <c r="C841" s="3" t="str">
        <f>IFERROR(__xludf.DUMMYFUNCTION("GOOGLETRANSLATE(B841,""id"",""en"")"),"['quotes', 'expensive', 'speed', 'slow', 'improve', 'internet', 'nyedot', 'pulse', 'paketan', 'pulse', 'run out', ""]")</f>
        <v>['quotes', 'expensive', 'speed', 'slow', 'improve', 'internet', 'nyedot', 'pulse', 'paketan', 'pulse', 'run out', "]</v>
      </c>
      <c r="D841" s="3">
        <v>2.0</v>
      </c>
    </row>
    <row r="842" ht="15.75" customHeight="1">
      <c r="A842" s="1">
        <v>840.0</v>
      </c>
      <c r="B842" s="3" t="s">
        <v>843</v>
      </c>
      <c r="C842" s="3" t="str">
        <f>IFERROR(__xludf.DUMMYFUNCTION("GOOGLETRANSLATE(B842,""id"",""en"")"),"['Yesterday', 'star', 'love', 'star', 'internet', 'smooth', 'application', 'Connect', 'internet', 'refresh', 'hadeuh', ""]")</f>
        <v>['Yesterday', 'star', 'love', 'star', 'internet', 'smooth', 'application', 'Connect', 'internet', 'refresh', 'hadeuh', "]</v>
      </c>
      <c r="D842" s="3">
        <v>1.0</v>
      </c>
    </row>
    <row r="843" ht="15.75" customHeight="1">
      <c r="A843" s="1">
        <v>841.0</v>
      </c>
      <c r="B843" s="3" t="s">
        <v>844</v>
      </c>
      <c r="C843" s="3" t="str">
        <f>IFERROR(__xludf.DUMMYFUNCTION("GOOGLETRANSLATE(B843,""id"",""en"")"),"['Service', 'Quality', 'Telkomsel', 'Decreases',' Signal ',' KDG ',' Difficult ',' Sring ',' Delay ',' PDHL ',' Udh ',' restart ',' Provider ',' Kenceng ',' Sya ',' Chat ',' Veronika ',' Email ',' Response ',' Fameline ',' User ',' Telkomsel ',' Wonder ',"&amp;"' PDA ',' DPT ' , 'Combo', 'Sakti', 'sdgkan', 'number', 'sya', 'user', 'dapet', 'pdhal', 'use', 'smpe', 'rb', 'a month', ' The hope is', 'Pgen', 'Ngrasain', 'Combo', 'Sakti']")</f>
        <v>['Service', 'Quality', 'Telkomsel', 'Decreases',' Signal ',' KDG ',' Difficult ',' Sring ',' Delay ',' PDHL ',' Udh ',' restart ',' Provider ',' Kenceng ',' Sya ',' Chat ',' Veronika ',' Email ',' Response ',' Fameline ',' User ',' Telkomsel ',' Wonder ',' PDA ',' DPT ' , 'Combo', 'Sakti', 'sdgkan', 'number', 'sya', 'user', 'dapet', 'pdhal', 'use', 'smpe', 'rb', 'a month', ' The hope is', 'Pgen', 'Ngrasain', 'Combo', 'Sakti']</v>
      </c>
      <c r="D843" s="3">
        <v>1.0</v>
      </c>
    </row>
    <row r="844" ht="15.75" customHeight="1">
      <c r="A844" s="1">
        <v>842.0</v>
      </c>
      <c r="B844" s="3" t="s">
        <v>845</v>
      </c>
      <c r="C844" s="3" t="str">
        <f>IFERROR(__xludf.DUMMYFUNCTION("GOOGLETRANSLATE(B844,""id"",""en"")"),"['Function', 'good', 'knapa', 'update', 'application', 'Telkomsel', 'difficult', 'open', 'connection', 'network', 'full', 'for' Download ',' Good ',' Open ',' Application ',' Telkomsel ',' Difficult ', ""]")</f>
        <v>['Function', 'good', 'knapa', 'update', 'application', 'Telkomsel', 'difficult', 'open', 'connection', 'network', 'full', 'for' Download ',' Good ',' Open ',' Application ',' Telkomsel ',' Difficult ', "]</v>
      </c>
      <c r="D844" s="3">
        <v>3.0</v>
      </c>
    </row>
    <row r="845" ht="15.75" customHeight="1">
      <c r="A845" s="1">
        <v>843.0</v>
      </c>
      <c r="B845" s="3" t="s">
        <v>846</v>
      </c>
      <c r="C845" s="3" t="str">
        <f>IFERROR(__xludf.DUMMYFUNCTION("GOOGLETRANSLATE(B845,""id"",""en"")"),"['', 'Telkomsel', 'Please', 'Price', 'Promo', 'Package', 'Combo', 'Sakti', 'Kasi', 'Down', 'Price', 'Package', 'Data ',' price ',' down ',' price ',' customer ',' happy ',' kasi ',' ']")</f>
        <v>['', 'Telkomsel', 'Please', 'Price', 'Promo', 'Package', 'Combo', 'Sakti', 'Kasi', 'Down', 'Price', 'Package', 'Data ',' price ',' down ',' price ',' customer ',' happy ',' kasi ',' ']</v>
      </c>
      <c r="D845" s="3">
        <v>1.0</v>
      </c>
    </row>
    <row r="846" ht="15.75" customHeight="1">
      <c r="A846" s="1">
        <v>844.0</v>
      </c>
      <c r="B846" s="3" t="s">
        <v>847</v>
      </c>
      <c r="C846" s="3" t="str">
        <f>IFERROR(__xludf.DUMMYFUNCTION("GOOGLETRANSLATE(B846,""id"",""en"")"),"['application', 'improved', 'user', 'easy', 'purchase', 'package', 'product', 'Telkomsel', 'practical', 'error', 'repaired', 'fast', ' ']")</f>
        <v>['application', 'improved', 'user', 'easy', 'purchase', 'package', 'product', 'Telkomsel', 'practical', 'error', 'repaired', 'fast', ' ']</v>
      </c>
      <c r="D846" s="3">
        <v>4.0</v>
      </c>
    </row>
    <row r="847" ht="15.75" customHeight="1">
      <c r="A847" s="1">
        <v>845.0</v>
      </c>
      <c r="B847" s="3" t="s">
        <v>848</v>
      </c>
      <c r="C847" s="3" t="str">
        <f>IFERROR(__xludf.DUMMYFUNCTION("GOOGLETRANSLATE(B847,""id"",""en"")"),"['application', 'bad', 'open', 'error', 'ngelag', 'bug', 'check', 'info', 'account', 'buy', 'package', 'appears',' connection ',' stable ',' open ',' application ',' speed ',' mbps', 'smooth', 'application', 'quality']")</f>
        <v>['application', 'bad', 'open', 'error', 'ngelag', 'bug', 'check', 'info', 'account', 'buy', 'package', 'appears',' connection ',' stable ',' open ',' application ',' speed ',' mbps', 'smooth', 'application', 'quality']</v>
      </c>
      <c r="D847" s="3">
        <v>1.0</v>
      </c>
    </row>
    <row r="848" ht="15.75" customHeight="1">
      <c r="A848" s="1">
        <v>846.0</v>
      </c>
      <c r="B848" s="3" t="s">
        <v>849</v>
      </c>
      <c r="C848" s="3" t="str">
        <f>IFERROR(__xludf.DUMMYFUNCTION("GOOGLETRANSLATE(B848,""id"",""en"")"),"['point', 'use', 'Kirain', 'buy', 'package', 'point', 'emergency', 'date', 'old', 'ehh', 'must', 'pulses',' Medit ',' Very ',' Telkomsel ',' Point ',' Collect ',' Help ',' Boss', 'Telkomsel', ""]")</f>
        <v>['point', 'use', 'Kirain', 'buy', 'package', 'point', 'emergency', 'date', 'old', 'ehh', 'must', 'pulses',' Medit ',' Very ',' Telkomsel ',' Point ',' Collect ',' Help ',' Boss', 'Telkomsel', "]</v>
      </c>
      <c r="D848" s="3">
        <v>1.0</v>
      </c>
    </row>
    <row r="849" ht="15.75" customHeight="1">
      <c r="A849" s="1">
        <v>847.0</v>
      </c>
      <c r="B849" s="3" t="s">
        <v>850</v>
      </c>
      <c r="C849" s="3" t="str">
        <f>IFERROR(__xludf.DUMMYFUNCTION("GOOGLETRANSLATE(B849,""id"",""en"")"),"['Please', 'Increase', 'Network', 'Internet', 'District', 'Subdistrict', 'Panai', 'Hilir', 'County', 'Labuhan', 'Stone', 'Province', ' Sumatra ',' North ',' Network ',' Internet ',' Severe ',' Provider ',' Please ',' Level ',' Respond ',' Donk ',' Complai"&amp;"nts', 'Customer', 'Wear' , 'Telkomsel', 'Improved', 'Quality']")</f>
        <v>['Please', 'Increase', 'Network', 'Internet', 'District', 'Subdistrict', 'Panai', 'Hilir', 'County', 'Labuhan', 'Stone', 'Province', ' Sumatra ',' North ',' Network ',' Internet ',' Severe ',' Provider ',' Please ',' Level ',' Respond ',' Donk ',' Complaints', 'Customer', 'Wear' , 'Telkomsel', 'Improved', 'Quality']</v>
      </c>
      <c r="D849" s="3">
        <v>1.0</v>
      </c>
    </row>
    <row r="850" ht="15.75" customHeight="1">
      <c r="A850" s="1">
        <v>848.0</v>
      </c>
      <c r="B850" s="3" t="s">
        <v>851</v>
      </c>
      <c r="C850" s="3" t="str">
        <f>IFERROR(__xludf.DUMMYFUNCTION("GOOGLETRANSLATE(B850,""id"",""en"")"),"['application', 'loading', 'click', 'Wait', 'a minute', 'go', 'no', 'complicated', 'complicated', 'look', 'slow', 'pool', ' Open ',' Lola ',' Change ',' menu ',' already ',' Wait ',' Ngelagnya ',' Hadehh ']")</f>
        <v>['application', 'loading', 'click', 'Wait', 'a minute', 'go', 'no', 'complicated', 'complicated', 'look', 'slow', 'pool', ' Open ',' Lola ',' Change ',' menu ',' already ',' Wait ',' Ngelagnya ',' Hadehh ']</v>
      </c>
      <c r="D850" s="3">
        <v>1.0</v>
      </c>
    </row>
    <row r="851" ht="15.75" customHeight="1">
      <c r="A851" s="1">
        <v>849.0</v>
      </c>
      <c r="B851" s="3" t="s">
        <v>852</v>
      </c>
      <c r="C851" s="3" t="str">
        <f>IFERROR(__xludf.DUMMYFUNCTION("GOOGLETRANSLATE(B851,""id"",""en"")"),"['unlimited', 'restricted', 'unlimited', 'name', 'what', 'already', 'pay', 'expensive', 'feeling', 'provider', 'cheap', 'yaa', ' ']")</f>
        <v>['unlimited', 'restricted', 'unlimited', 'name', 'what', 'already', 'pay', 'expensive', 'feeling', 'provider', 'cheap', 'yaa', ' ']</v>
      </c>
      <c r="D851" s="3">
        <v>1.0</v>
      </c>
    </row>
    <row r="852" ht="15.75" customHeight="1">
      <c r="A852" s="1">
        <v>850.0</v>
      </c>
      <c r="B852" s="3" t="s">
        <v>853</v>
      </c>
      <c r="C852" s="3" t="str">
        <f>IFERROR(__xludf.DUMMYFUNCTION("GOOGLETRANSLATE(B852,""id"",""en"")"),"['Unlimited', 'Unlimited', 'Limit', 'Normal', 'Open', 'Status',' Loss', 'Buy', 'Package', 'Telkomsel', 'Student', 'Lecture', ' Online ',' 'is', 'Bener', 'Bener', 'Package', 'Unlimited', 'Gini', 'Thinking', 'Money', 'Buy', 'Package', 'Please', 'Telkomsel' "&amp;", '']")</f>
        <v>['Unlimited', 'Unlimited', 'Limit', 'Normal', 'Open', 'Status',' Loss', 'Buy', 'Package', 'Telkomsel', 'Student', 'Lecture', ' Online ',' 'is', 'Bener', 'Bener', 'Package', 'Unlimited', 'Gini', 'Thinking', 'Money', 'Buy', 'Package', 'Please', 'Telkomsel' , '']</v>
      </c>
      <c r="D852" s="3">
        <v>1.0</v>
      </c>
    </row>
    <row r="853" ht="15.75" customHeight="1">
      <c r="A853" s="1">
        <v>851.0</v>
      </c>
      <c r="B853" s="3" t="s">
        <v>854</v>
      </c>
      <c r="C853" s="3" t="str">
        <f>IFERROR(__xludf.DUMMYFUNCTION("GOOGLETRANSLATE(B853,""id"",""en"")"),"['Combo', 'Sakti', 'already', 'Sakti', 'skrg', 'name', 'unlimited', 'reality', 'unlimited', 'unlimited', 'distinguish', 'unlimited', ' picnic ',' kah ',' distinguish ',' unlimited ',' google ']")</f>
        <v>['Combo', 'Sakti', 'already', 'Sakti', 'skrg', 'name', 'unlimited', 'reality', 'unlimited', 'unlimited', 'distinguish', 'unlimited', ' picnic ',' kah ',' distinguish ',' unlimited ',' google ']</v>
      </c>
      <c r="D853" s="3">
        <v>1.0</v>
      </c>
    </row>
    <row r="854" ht="15.75" customHeight="1">
      <c r="A854" s="1">
        <v>852.0</v>
      </c>
      <c r="B854" s="3" t="s">
        <v>855</v>
      </c>
      <c r="C854" s="3" t="str">
        <f>IFERROR(__xludf.DUMMYFUNCTION("GOOGLETRANSLATE(B854,""id"",""en"")"),"['', 'home', 'network', 'messed', 'no', 'used', 'neighbor', 'good', 'already', 'reported', 'result', 'response', 'sorry ', 'star', '']")</f>
        <v>['', 'home', 'network', 'messed', 'no', 'used', 'neighbor', 'good', 'already', 'reported', 'result', 'response', 'sorry ', 'star', '']</v>
      </c>
      <c r="D854" s="3">
        <v>1.0</v>
      </c>
    </row>
    <row r="855" ht="15.75" customHeight="1">
      <c r="A855" s="1">
        <v>853.0</v>
      </c>
      <c r="B855" s="3" t="s">
        <v>856</v>
      </c>
      <c r="C855" s="3" t="str">
        <f>IFERROR(__xludf.DUMMYFUNCTION("GOOGLETRANSLATE(B855,""id"",""en"")"),"['Telkomsel', 'Not bad', 'AGA', 'signal', 'Not bad', 'good', 'just', 'package', 'super', 'expensive', 'medicine', 'please', ' Min ',' Glooms', 'Paketan']")</f>
        <v>['Telkomsel', 'Not bad', 'AGA', 'signal', 'Not bad', 'good', 'just', 'package', 'super', 'expensive', 'medicine', 'please', ' Min ',' Glooms', 'Paketan']</v>
      </c>
      <c r="D855" s="3">
        <v>3.0</v>
      </c>
    </row>
    <row r="856" ht="15.75" customHeight="1">
      <c r="A856" s="1">
        <v>854.0</v>
      </c>
      <c r="B856" s="3" t="s">
        <v>857</v>
      </c>
      <c r="C856" s="3" t="str">
        <f>IFERROR(__xludf.DUMMYFUNCTION("GOOGLETRANSLATE(B856,""id"",""en"")"),"['Dih', 'likes',' version ',' Formerly ',' Install ',' Uninstall ',' Application ',' How ',' Try ',' Login ',' Do it ',' Install ',' uninstall ',' open ',' google ',' open ',' google ',' problematic ',' package ',' run out ',' wear ',' wifi ',' told ',' d"&amp;"ownload ',' application ' , 'like', '']")</f>
        <v>['Dih', 'likes',' version ',' Formerly ',' Install ',' Uninstall ',' Application ',' How ',' Try ',' Login ',' Do it ',' Install ',' uninstall ',' open ',' google ',' open ',' google ',' problematic ',' package ',' run out ',' wear ',' wifi ',' told ',' download ',' application ' , 'like', '']</v>
      </c>
      <c r="D856" s="3">
        <v>1.0</v>
      </c>
    </row>
    <row r="857" ht="15.75" customHeight="1">
      <c r="A857" s="1">
        <v>855.0</v>
      </c>
      <c r="B857" s="3" t="s">
        <v>858</v>
      </c>
      <c r="C857" s="3" t="str">
        <f>IFERROR(__xludf.DUMMYFUNCTION("GOOGLETRANSLATE(B857,""id"",""en"")"),"['Come', 'Bad', 'Update', 'Version', 'Latest', 'Confused', 'Search', 'Feature', 'Daily', 'Check', 'Where', 'Located', ' Appearing ',' Home ',' News', 'Regarding', 'World', 'Games']")</f>
        <v>['Come', 'Bad', 'Update', 'Version', 'Latest', 'Confused', 'Search', 'Feature', 'Daily', 'Check', 'Where', 'Located', ' Appearing ',' Home ',' News', 'Regarding', 'World', 'Games']</v>
      </c>
      <c r="D857" s="3">
        <v>3.0</v>
      </c>
    </row>
    <row r="858" ht="15.75" customHeight="1">
      <c r="A858" s="1">
        <v>856.0</v>
      </c>
      <c r="B858" s="3" t="s">
        <v>859</v>
      </c>
      <c r="C858" s="3" t="str">
        <f>IFERROR(__xludf.DUMMYFUNCTION("GOOGLETRANSLATE(B858,""id"",""en"")"),"['network', 'city', 'line', 'down', 'package', 'kouta', 'expensive', 'card', 'a month', 'rb', 'use', 'package', ' Internet ',' Calls', 'Telkomsel', 'buy', 'Package', 'Call', 'Call', 'Minutes',' Abis', 'Credit', 'Call', 'Card', 'Expensive' , 'tariff', 'pul"&amp;"ses', 'wasted', 'Different', 'really', 'really', 'disappointing', 'use', 'Telkomsel', 'business', 'banking']")</f>
        <v>['network', 'city', 'line', 'down', 'package', 'kouta', 'expensive', 'card', 'a month', 'rb', 'use', 'package', ' Internet ',' Calls', 'Telkomsel', 'buy', 'Package', 'Call', 'Call', 'Minutes',' Abis', 'Credit', 'Call', 'Card', 'Expensive' , 'tariff', 'pulses', 'wasted', 'Different', 'really', 'really', 'disappointing', 'use', 'Telkomsel', 'business', 'banking']</v>
      </c>
      <c r="D858" s="3">
        <v>2.0</v>
      </c>
    </row>
    <row r="859" ht="15.75" customHeight="1">
      <c r="A859" s="1">
        <v>857.0</v>
      </c>
      <c r="B859" s="3" t="s">
        <v>860</v>
      </c>
      <c r="C859" s="3" t="str">
        <f>IFERROR(__xludf.DUMMYFUNCTION("GOOGLETRANSLATE(B859,""id"",""en"")"),"['The application', 'slow', 'promo', 'daily', 'sign', 'access',' app ',' hard ',' provider ',' access', 'app', 'like', ' slow ',' severe ',' check ',' package ',' data ',' told ',' donlot ',' mytelkomsel ',' access', 'difficult', '']")</f>
        <v>['The application', 'slow', 'promo', 'daily', 'sign', 'access',' app ',' hard ',' provider ',' access', 'app', 'like', ' slow ',' severe ',' check ',' package ',' data ',' told ',' donlot ',' mytelkomsel ',' access', 'difficult', '']</v>
      </c>
      <c r="D859" s="3">
        <v>1.0</v>
      </c>
    </row>
    <row r="860" ht="15.75" customHeight="1">
      <c r="A860" s="1">
        <v>858.0</v>
      </c>
      <c r="B860" s="3" t="s">
        <v>861</v>
      </c>
      <c r="C860" s="3" t="str">
        <f>IFERROR(__xludf.DUMMYFUNCTION("GOOGLETRANSLATE(B860,""id"",""en"")"),"['package', 'combo', 'unlimited', 'use', 'watch', 'youtube', 'spend', 'quota', 'main', 'quota', 'multimedia', 'used', ' His statement ',' chat ',' sosmed ',' youtube ',' quota ',' according to ',' description ',' promotion ',' quota ',' main ',' needs']")</f>
        <v>['package', 'combo', 'unlimited', 'use', 'watch', 'youtube', 'spend', 'quota', 'main', 'quota', 'multimedia', 'used', ' His statement ',' chat ',' sosmed ',' youtube ',' quota ',' according to ',' description ',' promotion ',' quota ',' main ',' needs']</v>
      </c>
      <c r="D860" s="3">
        <v>1.0</v>
      </c>
    </row>
    <row r="861" ht="15.75" customHeight="1">
      <c r="A861" s="1">
        <v>859.0</v>
      </c>
      <c r="B861" s="3" t="s">
        <v>862</v>
      </c>
      <c r="C861" s="3" t="str">
        <f>IFERROR(__xludf.DUMMYFUNCTION("GOOGLETRANSLATE(B861,""id"",""en"")"),"['Dooked', 'difficult', 'price', 'quota', 'company', 'Telkomsel', 'help', 'people', 'activity', 'checkemic', 'use', ' Quota ',' Child ',' Learning ',' Online ',' ']")</f>
        <v>['Dooked', 'difficult', 'price', 'quota', 'company', 'Telkomsel', 'help', 'people', 'activity', 'checkemic', 'use', ' Quota ',' Child ',' Learning ',' Online ',' ']</v>
      </c>
      <c r="D861" s="3">
        <v>1.0</v>
      </c>
    </row>
    <row r="862" ht="15.75" customHeight="1">
      <c r="A862" s="1">
        <v>860.0</v>
      </c>
      <c r="B862" s="3" t="s">
        <v>863</v>
      </c>
      <c r="C862" s="3" t="str">
        <f>IFERROR(__xludf.DUMMYFUNCTION("GOOGLETRANSLATE(B862,""id"",""en"")"),"['Thank you', 'Telkomsel', 'blessings',' disappointed ',' limit ',' use ',' quota ',' unlimited ',' name ',' unlimited ',' unlimited ',' limiting ',' Use ',' max ',' kbps', 'please', 'ride', 'pity', 'network', 'difficult', 'difficult', 'add', 'difficult',"&amp;" ""]")</f>
        <v>['Thank you', 'Telkomsel', 'blessings',' disappointed ',' limit ',' use ',' quota ',' unlimited ',' name ',' unlimited ',' unlimited ',' limiting ',' Use ',' max ',' kbps', 'please', 'ride', 'pity', 'network', 'difficult', 'difficult', 'add', 'difficult', "]</v>
      </c>
      <c r="D862" s="3">
        <v>2.0</v>
      </c>
    </row>
    <row r="863" ht="15.75" customHeight="1">
      <c r="A863" s="1">
        <v>861.0</v>
      </c>
      <c r="B863" s="3" t="s">
        <v>864</v>
      </c>
      <c r="C863" s="3" t="str">
        <f>IFERROR(__xludf.DUMMYFUNCTION("GOOGLETRANSLATE(B863,""id"",""en"")"),"['Please', 'Restore', 'Paketan', 'Quota', 'Unlimited', 'Max', 'Duluru', 'Unlimited', 'Limited', 'GB', 'Doang', 'Unlimited', ' his name ',' price ',' unlimited ',' max ',' cheap ',' thousand ',' unlimited ',' unlimited ',' name ',' please ',' return ',' Di"&amp;"sappointing ' , 'customer', '']")</f>
        <v>['Please', 'Restore', 'Paketan', 'Quota', 'Unlimited', 'Max', 'Duluru', 'Unlimited', 'Limited', 'GB', 'Doang', 'Unlimited', ' his name ',' price ',' unlimited ',' max ',' cheap ',' thousand ',' unlimited ',' unlimited ',' name ',' please ',' return ',' Disappointing ' , 'customer', '']</v>
      </c>
      <c r="D863" s="3">
        <v>1.0</v>
      </c>
    </row>
    <row r="864" ht="15.75" customHeight="1">
      <c r="A864" s="1">
        <v>862.0</v>
      </c>
      <c r="B864" s="3" t="s">
        <v>865</v>
      </c>
      <c r="C864" s="3" t="str">
        <f>IFERROR(__xludf.DUMMYFUNCTION("GOOGLETRANSLATE(B864,""id"",""en"")"),"['here', 'slow', 'network', 'browser', 'slow', 'forgiveness',' then ',' package ',' unlimited ',' already ',' restricted ',' unlimited ',' His name ']")</f>
        <v>['here', 'slow', 'network', 'browser', 'slow', 'forgiveness',' then ',' package ',' unlimited ',' already ',' restricted ',' unlimited ',' His name ']</v>
      </c>
      <c r="D864" s="3">
        <v>1.0</v>
      </c>
    </row>
    <row r="865" ht="15.75" customHeight="1">
      <c r="A865" s="1">
        <v>863.0</v>
      </c>
      <c r="B865" s="3" t="s">
        <v>866</v>
      </c>
      <c r="C865" s="3" t="str">
        <f>IFERROR(__xludf.DUMMYFUNCTION("GOOGLETRANSLATE(B865,""id"",""en"")"),"['Love', 'star', 'Telkomsel', 'disappointing', 'buy', 'pulses', 'put together', 'taken', 'oath', 'Gasuka', 'card', 'Telkomsel']")</f>
        <v>['Love', 'star', 'Telkomsel', 'disappointing', 'buy', 'pulses', 'put together', 'taken', 'oath', 'Gasuka', 'card', 'Telkomsel']</v>
      </c>
      <c r="D865" s="3">
        <v>1.0</v>
      </c>
    </row>
    <row r="866" ht="15.75" customHeight="1">
      <c r="A866" s="1">
        <v>864.0</v>
      </c>
      <c r="B866" s="3" t="s">
        <v>867</v>
      </c>
      <c r="C866" s="3" t="str">
        <f>IFERROR(__xludf.DUMMYFUNCTION("GOOGLETRANSLATE(B866,""id"",""en"")"),"['noon', 'fill', 'quota', 'CMA', 'MB', 'night', 'quota', 'disappear', 'sya', 'tggu', 'explanation', 'Telkomsel', ' proof ',' number ',' purchase ',' package ',' thank ',' love ']")</f>
        <v>['noon', 'fill', 'quota', 'CMA', 'MB', 'night', 'quota', 'disappear', 'sya', 'tggu', 'explanation', 'Telkomsel', ' proof ',' number ',' purchase ',' package ',' thank ',' love ']</v>
      </c>
      <c r="D866" s="3">
        <v>1.0</v>
      </c>
    </row>
    <row r="867" ht="15.75" customHeight="1">
      <c r="A867" s="1">
        <v>865.0</v>
      </c>
      <c r="B867" s="3" t="s">
        <v>868</v>
      </c>
      <c r="C867" s="3" t="str">
        <f>IFERROR(__xludf.DUMMYFUNCTION("GOOGLETRANSLATE(B867,""id"",""en"")"),"['Bad', 'app', 'quota', 'expensive', 'quality', 'enhanced', 'person', 'old', 'understand', 'internet', 'etc.', 'use', ' TLKMSEL ',' drained ',' pulses', '']")</f>
        <v>['Bad', 'app', 'quota', 'expensive', 'quality', 'enhanced', 'person', 'old', 'understand', 'internet', 'etc.', 'use', ' TLKMSEL ',' drained ',' pulses', '']</v>
      </c>
      <c r="D867" s="3">
        <v>1.0</v>
      </c>
    </row>
    <row r="868" ht="15.75" customHeight="1">
      <c r="A868" s="1">
        <v>866.0</v>
      </c>
      <c r="B868" s="3" t="s">
        <v>869</v>
      </c>
      <c r="C868" s="3" t="str">
        <f>IFERROR(__xludf.DUMMYFUNCTION("GOOGLETRANSLATE(B868,""id"",""en"")"),"['Sorry', 'love', 'star', 'Telkomsel', 'signal', 'disorder', 'sometimes',' like ',' plus', 'price', 'quota', 'mulu', ' his signal ',' Sorry ',' really ',' mah ']")</f>
        <v>['Sorry', 'love', 'star', 'Telkomsel', 'signal', 'disorder', 'sometimes',' like ',' plus', 'price', 'quota', 'mulu', ' his signal ',' Sorry ',' really ',' mah ']</v>
      </c>
      <c r="D868" s="3">
        <v>2.0</v>
      </c>
    </row>
    <row r="869" ht="15.75" customHeight="1">
      <c r="A869" s="1">
        <v>867.0</v>
      </c>
      <c r="B869" s="3" t="s">
        <v>870</v>
      </c>
      <c r="C869" s="3" t="str">
        <f>IFERROR(__xludf.DUMMYFUNCTION("GOOGLETRANSLATE(B869,""id"",""en"")"),"['limit', 'reasonable', 'quota', 'application', 'run out', 'worn', 'adjustment', 'speed', 'internet', 'restore', 'unlimated', 'unlimated', ' unlimated ',' name ',' disappointed ']")</f>
        <v>['limit', 'reasonable', 'quota', 'application', 'run out', 'worn', 'adjustment', 'speed', 'internet', 'restore', 'unlimated', 'unlimated', ' unlimated ',' name ',' disappointed ']</v>
      </c>
      <c r="D869" s="3">
        <v>1.0</v>
      </c>
    </row>
    <row r="870" ht="15.75" customHeight="1">
      <c r="A870" s="1">
        <v>868.0</v>
      </c>
      <c r="B870" s="3" t="s">
        <v>871</v>
      </c>
      <c r="C870" s="3" t="str">
        <f>IFERROR(__xludf.DUMMYFUNCTION("GOOGLETRANSLATE(B870,""id"",""en"")"),"['Application', 'help', 'needs', 'a day', 'promo', 'interesting', 'get', 'user', 'card', 'Telkomsel', ""]")</f>
        <v>['Application', 'help', 'needs', 'a day', 'promo', 'interesting', 'get', 'user', 'card', 'Telkomsel', "]</v>
      </c>
      <c r="D870" s="3">
        <v>5.0</v>
      </c>
    </row>
    <row r="871" ht="15.75" customHeight="1">
      <c r="A871" s="1">
        <v>869.0</v>
      </c>
      <c r="B871" s="3" t="s">
        <v>872</v>
      </c>
      <c r="C871" s="3" t="str">
        <f>IFERROR(__xludf.DUMMYFUNCTION("GOOGLETRANSLATE(B871,""id"",""en"")"),"['Telkomsel', 'bad', 'signal', 'Telkomsel', 'sell', 'name', 'convenience', 'consumer', 'ignore', 'price', 'package', 'exorbitant', ' quality ',' network ',' bad ']")</f>
        <v>['Telkomsel', 'bad', 'signal', 'Telkomsel', 'sell', 'name', 'convenience', 'consumer', 'ignore', 'price', 'package', 'exorbitant', ' quality ',' network ',' bad ']</v>
      </c>
      <c r="D871" s="3">
        <v>1.0</v>
      </c>
    </row>
    <row r="872" ht="15.75" customHeight="1">
      <c r="A872" s="1">
        <v>870.0</v>
      </c>
      <c r="B872" s="3" t="s">
        <v>873</v>
      </c>
      <c r="C872" s="3" t="str">
        <f>IFERROR(__xludf.DUMMYFUNCTION("GOOGLETRANSLATE(B872,""id"",""en"")"),"['user', 'disappointed', 'really', 'Telkomsel', 'menu', 'package', 'rich', 'really', 'right', 'list', 'package', 'error', ' Mulu ',' Greget ',' Suggestion ',' Telkomsel ',' Please ',' Repaired ',' Error ',' Mulu ', ""]")</f>
        <v>['user', 'disappointed', 'really', 'Telkomsel', 'menu', 'package', 'rich', 'really', 'right', 'list', 'package', 'error', ' Mulu ',' Greget ',' Suggestion ',' Telkomsel ',' Please ',' Repaired ',' Error ',' Mulu ', "]</v>
      </c>
      <c r="D872" s="3">
        <v>3.0</v>
      </c>
    </row>
    <row r="873" ht="15.75" customHeight="1">
      <c r="A873" s="1">
        <v>871.0</v>
      </c>
      <c r="B873" s="3" t="s">
        <v>874</v>
      </c>
      <c r="C873" s="3" t="str">
        <f>IFERROR(__xludf.DUMMYFUNCTION("GOOGLETRANSLATE(B873,""id"",""en"")"),"['quota', 'unlimitedmax', 'limit', 'limit', 'love', 'title', 'unlimited', 'donk', 'kasian', 'person', 'person', ' Tipu ',' ugly ',' really ',' application ']")</f>
        <v>['quota', 'unlimitedmax', 'limit', 'limit', 'love', 'title', 'unlimited', 'donk', 'kasian', 'person', 'person', ' Tipu ',' ugly ',' really ',' application ']</v>
      </c>
      <c r="D873" s="3">
        <v>1.0</v>
      </c>
    </row>
    <row r="874" ht="15.75" customHeight="1">
      <c r="A874" s="1">
        <v>872.0</v>
      </c>
      <c r="B874" s="3" t="s">
        <v>875</v>
      </c>
      <c r="C874" s="3" t="str">
        <f>IFERROR(__xludf.DUMMYFUNCTION("GOOGLETRANSLATE(B874,""id"",""en"")"),"['Exchange', 'Points',' Win ',' Cuman ',' spend ',' Points', 'Lottery', 'Prizes',' interesting ',' baper ',' Lottery ',' Application ',' Discard ',' waste ',' SJA ',' ']")</f>
        <v>['Exchange', 'Points',' Win ',' Cuman ',' spend ',' Points', 'Lottery', 'Prizes',' interesting ',' baper ',' Lottery ',' Application ',' Discard ',' waste ',' SJA ',' ']</v>
      </c>
      <c r="D874" s="3">
        <v>1.0</v>
      </c>
    </row>
    <row r="875" ht="15.75" customHeight="1">
      <c r="A875" s="1">
        <v>873.0</v>
      </c>
      <c r="B875" s="3" t="s">
        <v>876</v>
      </c>
      <c r="C875" s="3" t="str">
        <f>IFERROR(__xludf.DUMMYFUNCTION("GOOGLETRANSLATE(B875,""id"",""en"")"),"['buy', 'Perdana', 'Telkomsel', 'unlimited', 'download', 'application', 'input', 'number', 'get', 'sms',' reset ',' times', ' Please ',' answered ']")</f>
        <v>['buy', 'Perdana', 'Telkomsel', 'unlimited', 'download', 'application', 'input', 'number', 'get', 'sms',' reset ',' times', ' Please ',' answered ']</v>
      </c>
      <c r="D875" s="3">
        <v>1.0</v>
      </c>
    </row>
    <row r="876" ht="15.75" customHeight="1">
      <c r="A876" s="1">
        <v>874.0</v>
      </c>
      <c r="B876" s="3" t="s">
        <v>877</v>
      </c>
      <c r="C876" s="3" t="str">
        <f>IFERROR(__xludf.DUMMYFUNCTION("GOOGLETRANSLATE(B876,""id"",""en"")"),"['please', 'Telkomsel', 'ngak', 'fast', 'network', 'internet', 'slow', 'fast', 'buy', 'package', 'expensive', 'beg', ' Fix ',' Network ',' Village ',' Latukan ',' RW ',' Kecamatan ',' Karanggeneng ',' Regency ',' Lamongan ',' Java ',' Timur ',' Thank you "&amp;"',' His attention ' , '']")</f>
        <v>['please', 'Telkomsel', 'ngak', 'fast', 'network', 'internet', 'slow', 'fast', 'buy', 'package', 'expensive', 'beg', ' Fix ',' Network ',' Village ',' Latukan ',' RW ',' Kecamatan ',' Karanggeneng ',' Regency ',' Lamongan ',' Java ',' Timur ',' Thank you ',' His attention ' , '']</v>
      </c>
      <c r="D876" s="3">
        <v>1.0</v>
      </c>
    </row>
    <row r="877" ht="15.75" customHeight="1">
      <c r="A877" s="1">
        <v>875.0</v>
      </c>
      <c r="B877" s="3" t="s">
        <v>878</v>
      </c>
      <c r="C877" s="3" t="str">
        <f>IFERROR(__xludf.DUMMYFUNCTION("GOOGLETRANSLATE(B877,""id"",""en"")"),"['Please', 'right', 'network', 'Telkomsel', 'quota', 'expensive', 'network', 'strong', 'donk', 'quota', 'expensive', 'network', ' difficult', '']")</f>
        <v>['Please', 'right', 'network', 'Telkomsel', 'quota', 'expensive', 'network', 'strong', 'donk', 'quota', 'expensive', 'network', ' difficult', '']</v>
      </c>
      <c r="D877" s="3">
        <v>1.0</v>
      </c>
    </row>
    <row r="878" ht="15.75" customHeight="1">
      <c r="A878" s="1">
        <v>876.0</v>
      </c>
      <c r="B878" s="3" t="s">
        <v>879</v>
      </c>
      <c r="C878" s="3" t="str">
        <f>IFERROR(__xludf.DUMMYFUNCTION("GOOGLETRANSLATE(B878,""id"",""en"")"),"['Application', 'Different', 'Package', 'Combo', 'Sakti', 'Already', 'Update', 'then', 'Package', 'Internet', 'Max', 'Restore', ' LGI ',' ']")</f>
        <v>['Application', 'Different', 'Package', 'Combo', 'Sakti', 'Already', 'Update', 'then', 'Package', 'Internet', 'Max', 'Restore', ' LGI ',' ']</v>
      </c>
      <c r="D878" s="3">
        <v>1.0</v>
      </c>
    </row>
    <row r="879" ht="15.75" customHeight="1">
      <c r="A879" s="1">
        <v>877.0</v>
      </c>
      <c r="B879" s="3" t="s">
        <v>880</v>
      </c>
      <c r="C879" s="3" t="str">
        <f>IFERROR(__xludf.DUMMYFUNCTION("GOOGLETRANSLATE(B879,""id"",""en"")"),"['Please', 'Network', 'Fix', 'Region', 'Village', 'Pangkalan', 'Kec', 'Siak', 'Hulu', 'Kab', 'Kampar', 'Riau', ' Price ',' package ',' expensive ',' network ',' slow ',' hope ',' Telkomsel ',' read it ', ""]")</f>
        <v>['Please', 'Network', 'Fix', 'Region', 'Village', 'Pangkalan', 'Kec', 'Siak', 'Hulu', 'Kab', 'Kampar', 'Riau', ' Price ',' package ',' expensive ',' network ',' slow ',' hope ',' Telkomsel ',' read it ', "]</v>
      </c>
      <c r="D879" s="3">
        <v>5.0</v>
      </c>
    </row>
    <row r="880" ht="15.75" customHeight="1">
      <c r="A880" s="1">
        <v>878.0</v>
      </c>
      <c r="B880" s="3" t="s">
        <v>881</v>
      </c>
      <c r="C880" s="3" t="str">
        <f>IFERROR(__xludf.DUMMYFUNCTION("GOOGLETRANSLATE(B880,""id"",""en"")"),"['Just', 'Information', 'Turn on', 'Connection', 'Data', 'Package', 'Data', 'Contents',' Credit ',' Koneksindata ',' Life ',' Blm ',' Package ',' Data ',' Credit ',' Reduced ',' Fast ',' Rates', 'Data', 'Expensive', 'Use', 'Credit', 'Regular', ""]")</f>
        <v>['Just', 'Information', 'Turn on', 'Connection', 'Data', 'Package', 'Data', 'Contents',' Credit ',' Koneksindata ',' Life ',' Blm ',' Package ',' Data ',' Credit ',' Reduced ',' Fast ',' Rates', 'Data', 'Expensive', 'Use', 'Credit', 'Regular', "]</v>
      </c>
      <c r="D880" s="3">
        <v>5.0</v>
      </c>
    </row>
    <row r="881" ht="15.75" customHeight="1">
      <c r="A881" s="1">
        <v>879.0</v>
      </c>
      <c r="B881" s="3" t="s">
        <v>882</v>
      </c>
      <c r="C881" s="3" t="str">
        <f>IFERROR(__xludf.DUMMYFUNCTION("GOOGLETRANSLATE(B881,""id"",""en"")"),"['Application', 'Difficult', 'Open', 'Reasons',' Network ',' Stable ',' Open ',' Application ',' Internet ',' Repair ',' Consumer ',' Switch ',' ']")</f>
        <v>['Application', 'Difficult', 'Open', 'Reasons',' Network ',' Stable ',' Open ',' Application ',' Internet ',' Repair ',' Consumer ',' Switch ',' ']</v>
      </c>
      <c r="D881" s="3">
        <v>1.0</v>
      </c>
    </row>
    <row r="882" ht="15.75" customHeight="1">
      <c r="A882" s="1">
        <v>880.0</v>
      </c>
      <c r="B882" s="3" t="s">
        <v>883</v>
      </c>
      <c r="C882" s="3" t="str">
        <f>IFERROR(__xludf.DUMMYFUNCTION("GOOGLETRANSLATE(B882,""id"",""en"")"),"['Not bad', 'Increase', 'trs',' right ',' log ',' pertima ',' times', 'sometimes',' difficult ',' log ',' sometimes', 'right', ' Open ',' told ',' log ',' difficult ',' told ',' Precise ',' connection ',' internet ',' pdhal ',' wifi ']")</f>
        <v>['Not bad', 'Increase', 'trs',' right ',' log ',' pertima ',' times', 'sometimes',' difficult ',' log ',' sometimes', 'right', ' Open ',' told ',' log ',' difficult ',' told ',' Precise ',' connection ',' internet ',' pdhal ',' wifi ']</v>
      </c>
      <c r="D882" s="3">
        <v>3.0</v>
      </c>
    </row>
    <row r="883" ht="15.75" customHeight="1">
      <c r="A883" s="1">
        <v>881.0</v>
      </c>
      <c r="B883" s="3" t="s">
        <v>884</v>
      </c>
      <c r="C883" s="3" t="str">
        <f>IFERROR(__xludf.DUMMYFUNCTION("GOOGLETRANSLATE(B883,""id"",""en"")"),"['Severe', 'can', 'bnusan', 'buy', 'package', 'cheerful', 'apply', 'date', 'June', 'skrng', 'buy', 'udh', ' That is, ',' Please ',' Fix ',' Poor ',' Customer ',' Jdi ',' Disappointed ']")</f>
        <v>['Severe', 'can', 'bnusan', 'buy', 'package', 'cheerful', 'apply', 'date', 'June', 'skrng', 'buy', 'udh', ' That is, ',' Please ',' Fix ',' Poor ',' Customer ',' Jdi ',' Disappointed ']</v>
      </c>
      <c r="D883" s="3">
        <v>1.0</v>
      </c>
    </row>
    <row r="884" ht="15.75" customHeight="1">
      <c r="A884" s="1">
        <v>882.0</v>
      </c>
      <c r="B884" s="3" t="s">
        <v>885</v>
      </c>
      <c r="C884" s="3" t="str">
        <f>IFERROR(__xludf.DUMMYFUNCTION("GOOGLETRANSLATE(B884,""id"",""en"")"),"['price', 'expensive', 'quality', 'cheap', 'signal', 'ugly', 'disappointed', 'already', 'quality', 'signal', 'decreases',' mles', ' signal ',' ilang ',' Nilagan ']")</f>
        <v>['price', 'expensive', 'quality', 'cheap', 'signal', 'ugly', 'disappointed', 'already', 'quality', 'signal', 'decreases',' mles', ' signal ',' ilang ',' Nilagan ']</v>
      </c>
      <c r="D884" s="3">
        <v>1.0</v>
      </c>
    </row>
    <row r="885" ht="15.75" customHeight="1">
      <c r="A885" s="1">
        <v>883.0</v>
      </c>
      <c r="B885" s="3" t="s">
        <v>886</v>
      </c>
      <c r="C885" s="3" t="str">
        <f>IFERROR(__xludf.DUMMYFUNCTION("GOOGLETRANSLATE(B885,""id"",""en"")"),"['Move', 'card', 'Hello', 'Network', 'Internet', 'Damaged', 'Choose', 'Card', 'Hello', 'Defound', 'Move', 'Card', ' Hello']")</f>
        <v>['Move', 'card', 'Hello', 'Network', 'Internet', 'Damaged', 'Choose', 'Card', 'Hello', 'Defound', 'Move', 'Card', ' Hello']</v>
      </c>
      <c r="D885" s="3">
        <v>1.0</v>
      </c>
    </row>
    <row r="886" ht="15.75" customHeight="1">
      <c r="A886" s="1">
        <v>884.0</v>
      </c>
      <c r="B886" s="3" t="s">
        <v>887</v>
      </c>
      <c r="C886" s="3" t="str">
        <f>IFERROR(__xludf.DUMMYFUNCTION("GOOGLETRANSLATE(B886,""id"",""en"")"),"['Login', 'Telkomsel', 'Bonus',' Quota ',' Considered ',' Notif ',' Addition ',' Bonus', 'Quotes',' Times', 'Bonus',' Claim ',' ']")</f>
        <v>['Login', 'Telkomsel', 'Bonus',' Quota ',' Considered ',' Notif ',' Addition ',' Bonus', 'Quotes',' Times', 'Bonus',' Claim ',' ']</v>
      </c>
      <c r="D886" s="3">
        <v>2.0</v>
      </c>
    </row>
    <row r="887" ht="15.75" customHeight="1">
      <c r="A887" s="1">
        <v>885.0</v>
      </c>
      <c r="B887" s="3" t="s">
        <v>888</v>
      </c>
      <c r="C887" s="3" t="str">
        <f>IFERROR(__xludf.DUMMYFUNCTION("GOOGLETRANSLATE(B887,""id"",""en"")"),"['Application', 'MyTelkomsel', 'Good', 'Seh', 'Bad', 'Signal', 'Telkomsel', 'Baleendah', 'Bandung', 'Really', 'Current', 'Provider', ' adjacent', '']")</f>
        <v>['Application', 'MyTelkomsel', 'Good', 'Seh', 'Bad', 'Signal', 'Telkomsel', 'Baleendah', 'Bandung', 'Really', 'Current', 'Provider', ' adjacent', '']</v>
      </c>
      <c r="D887" s="3">
        <v>2.0</v>
      </c>
    </row>
    <row r="888" ht="15.75" customHeight="1">
      <c r="A888" s="1">
        <v>886.0</v>
      </c>
      <c r="B888" s="3" t="s">
        <v>889</v>
      </c>
      <c r="C888" s="3" t="str">
        <f>IFERROR(__xludf.DUMMYFUNCTION("GOOGLETRANSLATE(B888,""id"",""en"")"),"['Bintang', 'happy', 'service', 'Telkomsel', 'price', 'package', 'cheap', 'hua', 'spacious', 'hope', 'first']")</f>
        <v>['Bintang', 'happy', 'service', 'Telkomsel', 'price', 'package', 'cheap', 'hua', 'spacious', 'hope', 'first']</v>
      </c>
      <c r="D888" s="3">
        <v>5.0</v>
      </c>
    </row>
    <row r="889" ht="15.75" customHeight="1">
      <c r="A889" s="1">
        <v>887.0</v>
      </c>
      <c r="B889" s="3" t="s">
        <v>890</v>
      </c>
      <c r="C889" s="3" t="str">
        <f>IFERROR(__xludf.DUMMYFUNCTION("GOOGLETRANSLATE(B889,""id"",""en"")"),"['users', 'Telkomsel', 'UDH', 'UDH', 'APP),' Category ',' Diamond ',' Contact ',' Veronika ',' Ribet ',' Report ',' Data ',' report ',' police ',' system ',' check ',' technology ',' idiot ',' work ',' telkomsel ',' ngetot ',' package ',' doang ',' expens"&amp;"ive ',' signal ' , 'Good', 'service', 'good', 'bngsat']")</f>
        <v>['users', 'Telkomsel', 'UDH', 'UDH', 'APP),' Category ',' Diamond ',' Contact ',' Veronika ',' Ribet ',' Report ',' Data ',' report ',' police ',' system ',' check ',' technology ',' idiot ',' work ',' telkomsel ',' ngetot ',' package ',' doang ',' expensive ',' signal ' , 'Good', 'service', 'good', 'bngsat']</v>
      </c>
      <c r="D889" s="3">
        <v>1.0</v>
      </c>
    </row>
    <row r="890" ht="15.75" customHeight="1">
      <c r="A890" s="1">
        <v>888.0</v>
      </c>
      <c r="B890" s="3" t="s">
        <v>891</v>
      </c>
      <c r="C890" s="3" t="str">
        <f>IFERROR(__xludf.DUMMYFUNCTION("GOOGLETRANSLATE(B890,""id"",""en"")"),"['star', 'Karna', 'satisfying', 'package', 'data', 'expensive', 'price', 'expensive', 'buy', 'package', 'data', 'ugly', ' network ',' play ',' game ',' replace ',' card ',' kayak ',' gini ']")</f>
        <v>['star', 'Karna', 'satisfying', 'package', 'data', 'expensive', 'price', 'expensive', 'buy', 'package', 'data', 'ugly', ' network ',' play ',' game ',' replace ',' card ',' kayak ',' gini ']</v>
      </c>
      <c r="D890" s="3">
        <v>1.0</v>
      </c>
    </row>
    <row r="891" ht="15.75" customHeight="1">
      <c r="A891" s="1">
        <v>889.0</v>
      </c>
      <c r="B891" s="3" t="s">
        <v>892</v>
      </c>
      <c r="C891" s="3" t="str">
        <f>IFERROR(__xludf.DUMMYFUNCTION("GOOGLETRANSLATE(B891,""id"",""en"")"),"['You', 'quota', 'regular', 'multimedia', 'tip', 'tip', 'ngeyoutube', 'facebook', 'whatsapp', 'etc', 'you', 'cut', ' quota ',' regular ',' multimedia ',' whole ',' whole ',' ']")</f>
        <v>['You', 'quota', 'regular', 'multimedia', 'tip', 'tip', 'ngeyoutube', 'facebook', 'whatsapp', 'etc', 'you', 'cut', ' quota ',' regular ',' multimedia ',' whole ',' whole ',' ']</v>
      </c>
      <c r="D891" s="3">
        <v>1.0</v>
      </c>
    </row>
    <row r="892" ht="15.75" customHeight="1">
      <c r="A892" s="1">
        <v>890.0</v>
      </c>
      <c r="B892" s="3" t="s">
        <v>893</v>
      </c>
      <c r="C892" s="3" t="str">
        <f>IFERROR(__xludf.DUMMYFUNCTION("GOOGLETRANSLATE(B892,""id"",""en"")"),"['sympathy', 'card', 'like', 'discrimination', 'users',' package ',' cheap ',' brothers', 'Bela', 'Belain', 'save', 'subscription', ' package ',' strange ',' list ',' promo ',' sympathy ',' package ',' expensive ',' expensive ',' all ',' package ',' cheap"&amp;" ',' donk ',' sympathy ' , 'Select', 'select', 'user', 'just']")</f>
        <v>['sympathy', 'card', 'like', 'discrimination', 'users',' package ',' cheap ',' brothers', 'Bela', 'Belain', 'save', 'subscription', ' package ',' strange ',' list ',' promo ',' sympathy ',' package ',' expensive ',' expensive ',' all ',' package ',' cheap ',' donk ',' sympathy ' , 'Select', 'select', 'user', 'just']</v>
      </c>
      <c r="D892" s="3">
        <v>1.0</v>
      </c>
    </row>
    <row r="893" ht="15.75" customHeight="1">
      <c r="A893" s="1">
        <v>891.0</v>
      </c>
      <c r="B893" s="3" t="s">
        <v>894</v>
      </c>
      <c r="C893" s="3" t="str">
        <f>IFERROR(__xludf.DUMMYFUNCTION("GOOGLETRANSLATE(B893,""id"",""en"")"),"['Help', 'unlimited', 'Max', 'Change', 'Change', 'Pakek', 'bats',' GB ',' Unlimited ',' Pakek ',' Please ',' Restore ',' Free ',' access', 'rich', '']")</f>
        <v>['Help', 'unlimited', 'Max', 'Change', 'Change', 'Pakek', 'bats',' GB ',' Unlimited ',' Pakek ',' Please ',' Restore ',' Free ',' access', 'rich', '']</v>
      </c>
      <c r="D893" s="3">
        <v>2.0</v>
      </c>
    </row>
    <row r="894" ht="15.75" customHeight="1">
      <c r="A894" s="1">
        <v>892.0</v>
      </c>
      <c r="B894" s="3" t="s">
        <v>895</v>
      </c>
      <c r="C894" s="3" t="str">
        <f>IFERROR(__xludf.DUMMYFUNCTION("GOOGLETRANSLATE(B894,""id"",""en"")"),"['personal', 'application', 'steady', 'experience', 'application', 'help', 'hope', 'developed', 'success',' barokah ',' Telkomsel ',' minal ',' Aaidin ',' Walfaizin ',' Please ',' Born ',' Inner ', ""]")</f>
        <v>['personal', 'application', 'steady', 'experience', 'application', 'help', 'hope', 'developed', 'success',' barokah ',' Telkomsel ',' minal ',' Aaidin ',' Walfaizin ',' Please ',' Born ',' Inner ', "]</v>
      </c>
      <c r="D894" s="3">
        <v>5.0</v>
      </c>
    </row>
    <row r="895" ht="15.75" customHeight="1">
      <c r="A895" s="1">
        <v>893.0</v>
      </c>
      <c r="B895" s="3" t="s">
        <v>896</v>
      </c>
      <c r="C895" s="3" t="str">
        <f>IFERROR(__xludf.DUMMYFUNCTION("GOOGLETRANSLATE(B895,""id"",""en"")"),"['users',' Telkomsel ',' package ',' unlimited ',' notification ',' message ',' package ',' active ',' charged ',' rates', 'non', 'package', ' package ',' Abis', 'May', 'Abis',' grace ',' package ',' unlimited ',' date ',' May ',' package ',' strange ',' "&amp;"speed ',' mentok ' , 'error', 'what', 'please', 'admin', 'Telkomsel', 'loyal', 'users', 'Telkomsel', 'Please', 'repaired', 'bug', ""]")</f>
        <v>['users',' Telkomsel ',' package ',' unlimited ',' notification ',' message ',' package ',' active ',' charged ',' rates', 'non', 'package', ' package ',' Abis', 'May', 'Abis',' grace ',' package ',' unlimited ',' date ',' May ',' package ',' strange ',' speed ',' mentok ' , 'error', 'what', 'please', 'admin', 'Telkomsel', 'loyal', 'users', 'Telkomsel', 'Please', 'repaired', 'bug', "]</v>
      </c>
      <c r="D895" s="3">
        <v>1.0</v>
      </c>
    </row>
    <row r="896" ht="15.75" customHeight="1">
      <c r="A896" s="1">
        <v>894.0</v>
      </c>
      <c r="B896" s="3" t="s">
        <v>897</v>
      </c>
      <c r="C896" s="3" t="str">
        <f>IFERROR(__xludf.DUMMYFUNCTION("GOOGLETRANSLATE(B896,""id"",""en"")"),"['Comfortable', 'Application', 'Updated', 'Close', 'Application', 'Telkomsel', 'Operator', 'Biggest', 'Update', 'TSB', 'Customer', ' application']")</f>
        <v>['Comfortable', 'Application', 'Updated', 'Close', 'Application', 'Telkomsel', 'Operator', 'Biggest', 'Update', 'TSB', 'Customer', ' application']</v>
      </c>
      <c r="D896" s="3">
        <v>1.0</v>
      </c>
    </row>
    <row r="897" ht="15.75" customHeight="1">
      <c r="A897" s="1">
        <v>895.0</v>
      </c>
      <c r="B897" s="3" t="s">
        <v>898</v>
      </c>
      <c r="C897" s="3" t="str">
        <f>IFERROR(__xludf.DUMMYFUNCTION("GOOGLETRANSLATE(B897,""id"",""en"")"),"['Package', 'Combo', 'Turn', 'Open', 'Application', 'Recorded', 'Description', 'Package', 'Quota', 'Main', 'Kekeke', 'Already', ' expensive ',' bedain ',' server ',' slow ',' severe ']")</f>
        <v>['Package', 'Combo', 'Turn', 'Open', 'Application', 'Recorded', 'Description', 'Package', 'Quota', 'Main', 'Kekeke', 'Already', ' expensive ',' bedain ',' server ',' slow ',' severe ']</v>
      </c>
      <c r="D897" s="3">
        <v>1.0</v>
      </c>
    </row>
    <row r="898" ht="15.75" customHeight="1">
      <c r="A898" s="1">
        <v>896.0</v>
      </c>
      <c r="B898" s="3" t="s">
        <v>899</v>
      </c>
      <c r="C898" s="3" t="str">
        <f>IFERROR(__xludf.DUMMYFUNCTION("GOOGLETRANSLATE(B898,""id"",""en"")"),"['application', 'MyTelkomsel', 'help', 'check', 'leftover', 'pulse', 'quota', 'fast', 'buy', 'package', 'internet', 'according to' Needs', 'Thank you', 'MyTelkomsel', 'Greetings',' Success', '']")</f>
        <v>['application', 'MyTelkomsel', 'help', 'check', 'leftover', 'pulse', 'quota', 'fast', 'buy', 'package', 'internet', 'according to' Needs', 'Thank you', 'MyTelkomsel', 'Greetings',' Success', '']</v>
      </c>
      <c r="D898" s="3">
        <v>5.0</v>
      </c>
    </row>
    <row r="899" ht="15.75" customHeight="1">
      <c r="A899" s="1">
        <v>897.0</v>
      </c>
      <c r="B899" s="3" t="s">
        <v>900</v>
      </c>
      <c r="C899" s="3" t="str">
        <f>IFERROR(__xludf.DUMMYFUNCTION("GOOGLETRANSLATE(B899,""id"",""en"")"),"['bought', 'quota', 'combo', 'nua', 'as expensive', 'kayak', 'pillow', 'cheap', 'contents',' pulses', 'kagak', ' Hopefully ',' Semkain ',' front ',' Playananan ',' State ',' Consumers', 'expensive', 'Judging', 'quota', 'internet', 'thank', 'love']")</f>
        <v>['bought', 'quota', 'combo', 'nua', 'as expensive', 'kayak', 'pillow', 'cheap', 'contents',' pulses', 'kagak', ' Hopefully ',' Semkain ',' front ',' Playananan ',' State ',' Consumers', 'expensive', 'Judging', 'quota', 'internet', 'thank', 'love']</v>
      </c>
      <c r="D899" s="3">
        <v>2.0</v>
      </c>
    </row>
    <row r="900" ht="15.75" customHeight="1">
      <c r="A900" s="1">
        <v>898.0</v>
      </c>
      <c r="B900" s="3" t="s">
        <v>901</v>
      </c>
      <c r="C900" s="3" t="str">
        <f>IFERROR(__xludf.DUMMYFUNCTION("GOOGLETRANSLATE(B900,""id"",""en"")"),"['Please', 'Telkomsel', 'Come', 'Lahh', 'Quality', 'Signal', 'Remote', 'Region', 'Please', 'Increase', 'Karan', 'SNA', ' Many ',' comfortable ',' Hayo ',' fix ',' quality ',' ']")</f>
        <v>['Please', 'Telkomsel', 'Come', 'Lahh', 'Quality', 'Signal', 'Remote', 'Region', 'Please', 'Increase', 'Karan', 'SNA', ' Many ',' comfortable ',' Hayo ',' fix ',' quality ',' ']</v>
      </c>
      <c r="D900" s="3">
        <v>4.0</v>
      </c>
    </row>
    <row r="901" ht="15.75" customHeight="1">
      <c r="A901" s="1">
        <v>899.0</v>
      </c>
      <c r="B901" s="3" t="s">
        <v>902</v>
      </c>
      <c r="C901" s="3" t="str">
        <f>IFERROR(__xludf.DUMMYFUNCTION("GOOGLETRANSLATE(B901,""id"",""en"")"),"['Variety', 'Package', 'Telephone', 'Internet', 'Package', 'Select', 'Buy', 'Please', 'Fix', 'Customer', 'Disappointed', ""]")</f>
        <v>['Variety', 'Package', 'Telephone', 'Internet', 'Package', 'Select', 'Buy', 'Please', 'Fix', 'Customer', 'Disappointed', "]</v>
      </c>
      <c r="D901" s="3">
        <v>3.0</v>
      </c>
    </row>
    <row r="902" ht="15.75" customHeight="1">
      <c r="A902" s="1">
        <v>900.0</v>
      </c>
      <c r="B902" s="3" t="s">
        <v>903</v>
      </c>
      <c r="C902" s="3" t="str">
        <f>IFERROR(__xludf.DUMMYFUNCTION("GOOGLETRANSLATE(B902,""id"",""en"")"),"['Good', 'hrs', 'at the level', 'byk', 'brother', 'msh', 'blm', 'can', 'internet', 'telk', 'msel', 'thank you,' Good ',' ']")</f>
        <v>['Good', 'hrs', 'at the level', 'byk', 'brother', 'msh', 'blm', 'can', 'internet', 'telk', 'msel', 'thank you,' Good ',' ']</v>
      </c>
      <c r="D902" s="3">
        <v>4.0</v>
      </c>
    </row>
    <row r="903" ht="15.75" customHeight="1">
      <c r="A903" s="1">
        <v>901.0</v>
      </c>
      <c r="B903" s="3" t="s">
        <v>904</v>
      </c>
      <c r="C903" s="3" t="str">
        <f>IFERROR(__xludf.DUMMYFUNCTION("GOOGLETRANSLATE(B903,""id"",""en"")"),"['Wrong', 'Menu', 'Application', 'Daily', 'Check', 'Claim', 'Written', 'Claimed', 'Claim', 'Veronika', 'Application', 'Missed', ' ']")</f>
        <v>['Wrong', 'Menu', 'Application', 'Daily', 'Check', 'Claim', 'Written', 'Claimed', 'Claim', 'Veronika', 'Application', 'Missed', ' ']</v>
      </c>
      <c r="D903" s="3">
        <v>1.0</v>
      </c>
    </row>
    <row r="904" ht="15.75" customHeight="1">
      <c r="A904" s="1">
        <v>902.0</v>
      </c>
      <c r="B904" s="3" t="s">
        <v>905</v>
      </c>
      <c r="C904" s="3" t="str">
        <f>IFERROR(__xludf.DUMMYFUNCTION("GOOGLETRANSLATE(B904,""id"",""en"")"),"['Telkomsel', 'leftover', 'quota', 'easy', 'call', 'karna', 'application', 'Telkomsel', 'package', 'package', 'interesting', 'cheap', ' The ',' Best ',' pokonya ']")</f>
        <v>['Telkomsel', 'leftover', 'quota', 'easy', 'call', 'karna', 'application', 'Telkomsel', 'package', 'package', 'interesting', 'cheap', ' The ',' Best ',' pokonya ']</v>
      </c>
      <c r="D904" s="3">
        <v>5.0</v>
      </c>
    </row>
    <row r="905" ht="15.75" customHeight="1">
      <c r="A905" s="1">
        <v>903.0</v>
      </c>
      <c r="B905" s="3" t="s">
        <v>906</v>
      </c>
      <c r="C905" s="3" t="str">
        <f>IFERROR(__xludf.DUMMYFUNCTION("GOOGLETRANSLATE(B905,""id"",""en"")"),"['network', 'Telkomsel', 'ngak', 'good', 'slow', 'chat', 'that's',' ngak ',' change ',' promo ',' network ',' slow ',' Good ',' ngak ',' promo ']")</f>
        <v>['network', 'Telkomsel', 'ngak', 'good', 'slow', 'chat', 'that's',' ngak ',' change ',' promo ',' network ',' slow ',' Good ',' ngak ',' promo ']</v>
      </c>
      <c r="D905" s="3">
        <v>1.0</v>
      </c>
    </row>
    <row r="906" ht="15.75" customHeight="1">
      <c r="A906" s="1">
        <v>904.0</v>
      </c>
      <c r="B906" s="3" t="s">
        <v>907</v>
      </c>
      <c r="C906" s="3" t="str">
        <f>IFERROR(__xludf.DUMMYFUNCTION("GOOGLETRANSLATE(B906,""id"",""en"")"),"['Telkomsel', 'developer', 'expensive', 'signal', 'difficult', 'go out', 'electricity', 'area', 'remote', 'please', 'Telkomsel', 'developer', ' Moving ',' network ',' next door ',' kayak ',' signal ',' stable ', ""]")</f>
        <v>['Telkomsel', 'developer', 'expensive', 'signal', 'difficult', 'go out', 'electricity', 'area', 'remote', 'please', 'Telkomsel', 'developer', ' Moving ',' network ',' next door ',' kayak ',' signal ',' stable ', "]</v>
      </c>
      <c r="D906" s="3">
        <v>1.0</v>
      </c>
    </row>
    <row r="907" ht="15.75" customHeight="1">
      <c r="A907" s="1">
        <v>905.0</v>
      </c>
      <c r="B907" s="3" t="s">
        <v>908</v>
      </c>
      <c r="C907" s="3" t="str">
        <f>IFERROR(__xludf.DUMMYFUNCTION("GOOGLETRANSLATE(B907,""id"",""en"")"),"['Jengkeul', 'Jeungkel', 'Sekale', 'Telkomsel', 'now', 'Maen', 'Game', 'Difficult', 'Stay', 'Signal', 'Slow', 'Kayak', ' Move ',' operator ',' internet ',' thanks', 'buay', 'jeungkel', 'wkwkwkkwa']")</f>
        <v>['Jengkeul', 'Jeungkel', 'Sekale', 'Telkomsel', 'now', 'Maen', 'Game', 'Difficult', 'Stay', 'Signal', 'Slow', 'Kayak', ' Move ',' operator ',' internet ',' thanks', 'buay', 'jeungkel', 'wkwkwkkwa']</v>
      </c>
      <c r="D907" s="3">
        <v>1.0</v>
      </c>
    </row>
    <row r="908" ht="15.75" customHeight="1">
      <c r="A908" s="1">
        <v>906.0</v>
      </c>
      <c r="B908" s="3" t="s">
        <v>909</v>
      </c>
      <c r="C908" s="3" t="str">
        <f>IFERROR(__xludf.DUMMYFUNCTION("GOOGLETRANSLATE(B908,""id"",""en"")"),"['limit', 'reasonable', 'quota', 'application', 'run out', 'katmya', 'unlimited', 'open', 'njing', 'nyesel', 'pakek', 'telkomnyet', ' price ',' package ',' expensive ',' signal ',' slow ',' koar ',' unlimited ',' know ',' bates', 'auto', 'moved', 'card', "&amp;"'indosat' , '']")</f>
        <v>['limit', 'reasonable', 'quota', 'application', 'run out', 'katmya', 'unlimited', 'open', 'njing', 'nyesel', 'pakek', 'telkomnyet', ' price ',' package ',' expensive ',' signal ',' slow ',' koar ',' unlimited ',' know ',' bates', 'auto', 'moved', 'card', 'indosat' , '']</v>
      </c>
      <c r="D908" s="3">
        <v>1.0</v>
      </c>
    </row>
    <row r="909" ht="15.75" customHeight="1">
      <c r="A909" s="1">
        <v>907.0</v>
      </c>
      <c r="B909" s="3" t="s">
        <v>910</v>
      </c>
      <c r="C909" s="3" t="str">
        <f>IFERROR(__xludf.DUMMYFUNCTION("GOOGLETRANSLATE(B909,""id"",""en"")"),"['Comment', 'Honest', 'Fear', 'Ngani', 'Bintang', 'Kasi', 'Bintang', 'Review', 'Berun', 'Use', 'Telkomsel', 'Uninstall', ' Change ',' use ',' Telkomsel ',' ']")</f>
        <v>['Comment', 'Honest', 'Fear', 'Ngani', 'Bintang', 'Kasi', 'Bintang', 'Review', 'Berun', 'Use', 'Telkomsel', 'Uninstall', ' Change ',' use ',' Telkomsel ',' ']</v>
      </c>
      <c r="D909" s="3">
        <v>1.0</v>
      </c>
    </row>
    <row r="910" ht="15.75" customHeight="1">
      <c r="A910" s="1">
        <v>908.0</v>
      </c>
      <c r="B910" s="3" t="s">
        <v>911</v>
      </c>
      <c r="C910" s="3" t="str">
        <f>IFERROR(__xludf.DUMMYFUNCTION("GOOGLETRANSLATE(B910,""id"",""en"")"),"['user', 'skrng', 'package', 'internet', 'monthly', 'Telkomsel', 'expensive', 'quota', 'nelp', 'gini', 'think', 'make', ' The term ',' at the cheapest ',' expensive ',' limited ',' disappointed ',' ']")</f>
        <v>['user', 'skrng', 'package', 'internet', 'monthly', 'Telkomsel', 'expensive', 'quota', 'nelp', 'gini', 'think', 'make', ' The term ',' at the cheapest ',' expensive ',' limited ',' disappointed ',' ']</v>
      </c>
      <c r="D910" s="3">
        <v>1.0</v>
      </c>
    </row>
    <row r="911" ht="15.75" customHeight="1">
      <c r="A911" s="1">
        <v>909.0</v>
      </c>
      <c r="B911" s="3" t="s">
        <v>912</v>
      </c>
      <c r="C911" s="3" t="str">
        <f>IFERROR(__xludf.DUMMYFUNCTION("GOOGLETRANSLATE(B911,""id"",""en"")"),"['Please', 'Min', 'Restore', 'Package', 'Unlimited', 'Limit', 'GB', 'Unlimited', 'name', 'user', 'Telkomsel', 'Please', ' Min ',' Restore ',' Package ',' Unlimited ',' Thank ',' Love ', ""]")</f>
        <v>['Please', 'Min', 'Restore', 'Package', 'Unlimited', 'Limit', 'GB', 'Unlimited', 'name', 'user', 'Telkomsel', 'Please', ' Min ',' Restore ',' Package ',' Unlimited ',' Thank ',' Love ', "]</v>
      </c>
      <c r="D911" s="3">
        <v>1.0</v>
      </c>
    </row>
    <row r="912" ht="15.75" customHeight="1">
      <c r="A912" s="1">
        <v>910.0</v>
      </c>
      <c r="B912" s="3" t="s">
        <v>913</v>
      </c>
      <c r="C912" s="3" t="str">
        <f>IFERROR(__xludf.DUMMYFUNCTION("GOOGLETRANSLATE(B912,""id"",""en"")"),"['Telkomsel', 'threat', 'signal', 'lose', 'provider', 'rich', 'like', 'slow', 'parahhh', 'worse', 'unlimited', 'apps',' Yesterday ',' Yesterday ',' limit ',' minimum ',' data ',' restricted ',' Males', 'Tsel', 'suggestion', 'love', 'star', 'Return', 'Pack"&amp;"age' , 'Unlimited', 'Move', 'Provider', '']")</f>
        <v>['Telkomsel', 'threat', 'signal', 'lose', 'provider', 'rich', 'like', 'slow', 'parahhh', 'worse', 'unlimited', 'apps',' Yesterday ',' Yesterday ',' limit ',' minimum ',' data ',' restricted ',' Males', 'Tsel', 'suggestion', 'love', 'star', 'Return', 'Package' , 'Unlimited', 'Move', 'Provider', '']</v>
      </c>
      <c r="D912" s="3">
        <v>1.0</v>
      </c>
    </row>
    <row r="913" ht="15.75" customHeight="1">
      <c r="A913" s="1">
        <v>911.0</v>
      </c>
      <c r="B913" s="3" t="s">
        <v>914</v>
      </c>
      <c r="C913" s="3" t="str">
        <f>IFERROR(__xludf.DUMMYFUNCTION("GOOGLETRANSLATE(B913,""id"",""en"")"),"['Network', 'ugly', 'really', 'please', 'Kembangin', 'area', 'Demak', 'Java', 'Gede', 'Gede', 'network', ' trs', 'news',' remote ',' play ',' game ',' lag ',' severe ']")</f>
        <v>['Network', 'ugly', 'really', 'please', 'Kembangin', 'area', 'Demak', 'Java', 'Gede', 'Gede', 'network', ' trs', 'news',' remote ',' play ',' game ',' lag ',' severe ']</v>
      </c>
      <c r="D913" s="3">
        <v>1.0</v>
      </c>
    </row>
    <row r="914" ht="15.75" customHeight="1">
      <c r="A914" s="1">
        <v>912.0</v>
      </c>
      <c r="B914" s="3" t="s">
        <v>915</v>
      </c>
      <c r="C914" s="3" t="str">
        <f>IFERROR(__xludf.DUMMYFUNCTION("GOOGLETRANSLATE(B914,""id"",""en"")"),"['buy', 'package', 'unlimited', 'package', 'mainly', 'run out', 'leftover', 'package', 'unlimited', 'knp', 'adjustment', 'speed', ' Internet ',' slow ',' oath ',' package ',' unlimited ',' Please ',' Condition ',' Speed ​​',' Network ',' Internet ',' Unli"&amp;"mited ', ""]")</f>
        <v>['buy', 'package', 'unlimited', 'package', 'mainly', 'run out', 'leftover', 'package', 'unlimited', 'knp', 'adjustment', 'speed', ' Internet ',' slow ',' oath ',' package ',' unlimited ',' Please ',' Condition ',' Speed ​​',' Network ',' Internet ',' Unlimited ', "]</v>
      </c>
      <c r="D914" s="3">
        <v>1.0</v>
      </c>
    </row>
    <row r="915" ht="15.75" customHeight="1">
      <c r="A915" s="1">
        <v>913.0</v>
      </c>
      <c r="B915" s="3" t="s">
        <v>916</v>
      </c>
      <c r="C915" s="3" t="str">
        <f>IFERROR(__xludf.DUMMYFUNCTION("GOOGLETRANSLATE(B915,""id"",""en"")"),"['right', 'buy', 'my package', 'block', 'please', 'return', 'pulseku', 'beg', 'money', 'happy', 'buy', 'package', ' block']")</f>
        <v>['right', 'buy', 'my package', 'block', 'please', 'return', 'pulseku', 'beg', 'money', 'happy', 'buy', 'package', ' block']</v>
      </c>
      <c r="D915" s="3">
        <v>1.0</v>
      </c>
    </row>
    <row r="916" ht="15.75" customHeight="1">
      <c r="A916" s="1">
        <v>914.0</v>
      </c>
      <c r="B916" s="3" t="s">
        <v>917</v>
      </c>
      <c r="C916" s="3" t="str">
        <f>IFERROR(__xludf.DUMMYFUNCTION("GOOGLETRANSLATE(B916,""id"",""en"")"),"['buy', 'package', 'Telkomsel', 'expensive', 'play', 'Kek', 'gini', 'buy', 'use', 'money', 'network', ' Gini ',' play ',' Game ',' Leg ',' Kek ',' intention ',' Telkomsel ',' price ',' expensive ',' quality ',' network ',' destroyed ']")</f>
        <v>['buy', 'package', 'Telkomsel', 'expensive', 'play', 'Kek', 'gini', 'buy', 'use', 'money', 'network', ' Gini ',' play ',' Game ',' Leg ',' Kek ',' intention ',' Telkomsel ',' price ',' expensive ',' quality ',' network ',' destroyed ']</v>
      </c>
      <c r="D916" s="3">
        <v>1.0</v>
      </c>
    </row>
    <row r="917" ht="15.75" customHeight="1">
      <c r="A917" s="1">
        <v>915.0</v>
      </c>
      <c r="B917" s="3" t="s">
        <v>918</v>
      </c>
      <c r="C917" s="3" t="str">
        <f>IFERROR(__xludf.DUMMYFUNCTION("GOOGLETRANSLATE(B917,""id"",""en"")"),"['Telkomsel', 'already', 'friendly', 'package', 'missing', 'number', 'already', 'grace', 'fill', 'grace', 'add', 'add', ' Please, 'Fix', 'Times', 'Use', 'HandPhone', 'Already', 'Telkomsel', 'Udh', ""]")</f>
        <v>['Telkomsel', 'already', 'friendly', 'package', 'missing', 'number', 'already', 'grace', 'fill', 'grace', 'add', 'add', ' Please, 'Fix', 'Times', 'Use', 'HandPhone', 'Already', 'Telkomsel', 'Udh', "]</v>
      </c>
      <c r="D917" s="3">
        <v>1.0</v>
      </c>
    </row>
    <row r="918" ht="15.75" customHeight="1">
      <c r="A918" s="1">
        <v>916.0</v>
      </c>
      <c r="B918" s="3" t="s">
        <v>919</v>
      </c>
      <c r="C918" s="3" t="str">
        <f>IFERROR(__xludf.DUMMYFUNCTION("GOOGLETRANSLATE(B918,""id"",""en"")"),"['NMR', 'Telkomsel', 'business',' right ',' number ',' dead ',' because ',' forget ',' contents', 'pulse', 'krna', 'covid', ' kmrin ',' NMR ',' Recyle ',' NMR ',' Customer ',' DSTU ',' NMR ',' Severe ',' really ',' provisions', 'Kamk', 'users',' fill ' , "&amp;"'Registering', 'according to', 'DGAN', 'Format', 'KTP', 'Original', 'Please', 'Untk', 'Provider', 'Telkomsel', 'Update', 'System']")</f>
        <v>['NMR', 'Telkomsel', 'business',' right ',' number ',' dead ',' because ',' forget ',' contents', 'pulse', 'krna', 'covid', ' kmrin ',' NMR ',' Recyle ',' NMR ',' Customer ',' DSTU ',' NMR ',' Severe ',' really ',' provisions', 'Kamk', 'users',' fill ' , 'Registering', 'according to', 'DGAN', 'Format', 'KTP', 'Original', 'Please', 'Untk', 'Provider', 'Telkomsel', 'Update', 'System']</v>
      </c>
      <c r="D918" s="3">
        <v>1.0</v>
      </c>
    </row>
    <row r="919" ht="15.75" customHeight="1">
      <c r="A919" s="1">
        <v>917.0</v>
      </c>
      <c r="B919" s="3" t="s">
        <v>920</v>
      </c>
      <c r="C919" s="3" t="str">
        <f>IFERROR(__xludf.DUMMYFUNCTION("GOOGLETRANSLATE(B919,""id"",""en"")"),"['Telkomsel', 'Taikkk', 'card', 'Sultan', 'all', 'Belik', 'quota', 'expensive', 'signal', 'Twlkom', 'Taikkk', 'Taik', ' Signal ',' Telkomsel ',' Lose ',' Ama ',' Card ',' Sultan ',' Signal ',' Good ',' Taikkk ',' Telkomsel ',' Bales', 'Review', 'Gwa' , 'b"&amp;"rave', 'gmna', 'response']")</f>
        <v>['Telkomsel', 'Taikkk', 'card', 'Sultan', 'all', 'Belik', 'quota', 'expensive', 'signal', 'Twlkom', 'Taikkk', 'Taik', ' Signal ',' Telkomsel ',' Lose ',' Ama ',' Card ',' Sultan ',' Signal ',' Good ',' Taikkk ',' Telkomsel ',' Bales', 'Review', 'Gwa' , 'brave', 'gmna', 'response']</v>
      </c>
      <c r="D919" s="3">
        <v>1.0</v>
      </c>
    </row>
    <row r="920" ht="15.75" customHeight="1">
      <c r="A920" s="1">
        <v>918.0</v>
      </c>
      <c r="B920" s="3" t="s">
        <v>921</v>
      </c>
      <c r="C920" s="3" t="str">
        <f>IFERROR(__xludf.DUMMYFUNCTION("GOOGLETRANSLATE(B920,""id"",""en"")"),"['Disappointed', 'buy', 'Voucher', 'Telkomsel', 'use it', 'TLP', 'report', 'TLP', 'Call', 'Center', 'activated', 'reality', ' The solution is', 'best', 'Please', 'Help', '']")</f>
        <v>['Disappointed', 'buy', 'Voucher', 'Telkomsel', 'use it', 'TLP', 'report', 'TLP', 'Call', 'Center', 'activated', 'reality', ' The solution is', 'best', 'Please', 'Help', '']</v>
      </c>
      <c r="D920" s="3">
        <v>1.0</v>
      </c>
    </row>
    <row r="921" ht="15.75" customHeight="1">
      <c r="A921" s="1">
        <v>919.0</v>
      </c>
      <c r="B921" s="3" t="s">
        <v>922</v>
      </c>
      <c r="C921" s="3" t="str">
        <f>IFERROR(__xludf.DUMMYFUNCTION("GOOGLETRANSLATE(B921,""id"",""en"")"),"['Telkomsel', 'rotten', 'open', 'already', 'delete', 'download', 'result', 'tetep', 'already', 'version', 'newest', 'poor', ' Severe ',' MyTelkomsel ',' dilapidated ',' ']")</f>
        <v>['Telkomsel', 'rotten', 'open', 'already', 'delete', 'download', 'result', 'tetep', 'already', 'version', 'newest', 'poor', ' Severe ',' MyTelkomsel ',' dilapidated ',' ']</v>
      </c>
      <c r="D921" s="3">
        <v>1.0</v>
      </c>
    </row>
    <row r="922" ht="15.75" customHeight="1">
      <c r="A922" s="1">
        <v>920.0</v>
      </c>
      <c r="B922" s="3" t="s">
        <v>923</v>
      </c>
      <c r="C922" s="3" t="str">
        <f>IFERROR(__xludf.DUMMYFUNCTION("GOOGLETRANSLATE(B922,""id"",""en"")"),"['Telkomsel', 'transaction', 'exchange', 'pulse', 'package', 'data', 'exchanging', 'package', 'data', 'please', ""]")</f>
        <v>['Telkomsel', 'transaction', 'exchange', 'pulse', 'package', 'data', 'exchanging', 'package', 'data', 'please', "]</v>
      </c>
      <c r="D922" s="3">
        <v>3.0</v>
      </c>
    </row>
    <row r="923" ht="15.75" customHeight="1">
      <c r="A923" s="1">
        <v>921.0</v>
      </c>
      <c r="B923" s="3" t="s">
        <v>924</v>
      </c>
      <c r="C923" s="3" t="str">
        <f>IFERROR(__xludf.DUMMYFUNCTION("GOOGLETRANSLATE(B923,""id"",""en"")"),"['Package', 'expensive', 'application', 'check', 'information', 'card', 'can be', 'application', 'open', 'loading', 'told', 'update', ' Clear ',' Data ',' Open ',' Open ',' Application ',' Loading ',' Loading ',' Loading ',' Loading ',' Loading ',' Suitab"&amp;"le ',' Loading ',' Loading ' , 'His name']")</f>
        <v>['Package', 'expensive', 'application', 'check', 'information', 'card', 'can be', 'application', 'open', 'loading', 'told', 'update', ' Clear ',' Data ',' Open ',' Open ',' Application ',' Loading ',' Loading ',' Loading ',' Loading ',' Loading ',' Suitable ',' Loading ',' Loading ' , 'His name']</v>
      </c>
      <c r="D923" s="3">
        <v>1.0</v>
      </c>
    </row>
    <row r="924" ht="15.75" customHeight="1">
      <c r="A924" s="1">
        <v>922.0</v>
      </c>
      <c r="B924" s="3" t="s">
        <v>925</v>
      </c>
      <c r="C924" s="3" t="str">
        <f>IFERROR(__xludf.DUMMYFUNCTION("GOOGLETRANSLATE(B924,""id"",""en"")"),"['Harm "",' get ',' tariff ',' non ',' package ',' quota ',' pulse ',' chopped ',' run out ',' how ',' Telkomsel ',' loss ',' really ',' times', 'think', 'move', 'provider']")</f>
        <v>['Harm ",' get ',' tariff ',' non ',' package ',' quota ',' pulse ',' chopped ',' run out ',' how ',' Telkomsel ',' loss ',' really ',' times', 'think', 'move', 'provider']</v>
      </c>
      <c r="D924" s="3">
        <v>1.0</v>
      </c>
    </row>
    <row r="925" ht="15.75" customHeight="1">
      <c r="A925" s="1">
        <v>923.0</v>
      </c>
      <c r="B925" s="3" t="s">
        <v>926</v>
      </c>
      <c r="C925" s="3" t="str">
        <f>IFERROR(__xludf.DUMMYFUNCTION("GOOGLETRANSLATE(B925,""id"",""en"")"),"['', 'Ngerti', 'application', 'signal', 'good', 'application', 'smooth', 'already', 'make', 'wifi', 'make', 'data', 'package ',' really ',' app ',' open ',' sekaliny ',' jammed ',' severe ',' fix ',' ping ',' or ',' so ',' check ',' enter ', '']")</f>
        <v>['', 'Ngerti', 'application', 'signal', 'good', 'application', 'smooth', 'already', 'make', 'wifi', 'make', 'data', 'package ',' really ',' app ',' open ',' sekaliny ',' jammed ',' severe ',' fix ',' ping ',' or ',' so ',' check ',' enter ', '']</v>
      </c>
      <c r="D925" s="3">
        <v>1.0</v>
      </c>
    </row>
    <row r="926" ht="15.75" customHeight="1">
      <c r="A926" s="1">
        <v>924.0</v>
      </c>
      <c r="B926" s="3" t="s">
        <v>927</v>
      </c>
      <c r="C926" s="3" t="str">
        <f>IFERROR(__xludf.DUMMYFUNCTION("GOOGLETRANSLATE(B926,""id"",""en"")"),"['Talikin', 'package', 'unlimited', 'unlimited', 'limit', 'signal', 'good', 'quota', 'main', 'quota', 'use', 'reasonable', ' run out ',' open ',' facebook ',' see ',' status', 'whatshap', 'slow', 'forgiveness']")</f>
        <v>['Talikin', 'package', 'unlimited', 'unlimited', 'limit', 'signal', 'good', 'quota', 'main', 'quota', 'use', 'reasonable', ' run out ',' open ',' facebook ',' see ',' status', 'whatshap', 'slow', 'forgiveness']</v>
      </c>
      <c r="D926" s="3">
        <v>1.0</v>
      </c>
    </row>
    <row r="927" ht="15.75" customHeight="1">
      <c r="A927" s="1">
        <v>925.0</v>
      </c>
      <c r="B927" s="3" t="s">
        <v>928</v>
      </c>
      <c r="C927" s="3" t="str">
        <f>IFERROR(__xludf.DUMMYFUNCTION("GOOGLETRANSLATE(B927,""id"",""en"")"),"['Problems',' Community ',' Believe ',' Provider ',' KNPA ',' Disappoint ',' Example ',' Buy ',' Package ',' Combo ',' Sakti ',' Unlimited ',' GB ',' Line ',' Undi ',' Unlimited ',' KNPA ',' Quota ',' Main ',' Out ',' Access', 'Internet', 'Unlimited', 'Re"&amp;"ad', 'Description' , 'sosmet', 'chat', 'game', 'max', 'etc.', 'suggestion', 'provider', 'bonafit', 'disappointing', 'customer', 'unlimited', '']")</f>
        <v>['Problems',' Community ',' Believe ',' Provider ',' KNPA ',' Disappoint ',' Example ',' Buy ',' Package ',' Combo ',' Sakti ',' Unlimited ',' GB ',' Line ',' Undi ',' Unlimited ',' KNPA ',' Quota ',' Main ',' Out ',' Access', 'Internet', 'Unlimited', 'Read', 'Description' , 'sosmet', 'chat', 'game', 'max', 'etc.', 'suggestion', 'provider', 'bonafit', 'disappointing', 'customer', 'unlimited', '']</v>
      </c>
      <c r="D927" s="3">
        <v>1.0</v>
      </c>
    </row>
    <row r="928" ht="15.75" customHeight="1">
      <c r="A928" s="1">
        <v>926.0</v>
      </c>
      <c r="B928" s="3" t="s">
        <v>929</v>
      </c>
      <c r="C928" s="3" t="str">
        <f>IFERROR(__xludf.DUMMYFUNCTION("GOOGLETRANSLATE(B928,""id"",""en"")"),"['Paraahhh', 'loading', 'Called', 'Quota', 'Out', 'Deptness',' Sorry ',' Knp ',' Download ',' Trpaksa ',' Download ',' APK ',' ']")</f>
        <v>['Paraahhh', 'loading', 'Called', 'Quota', 'Out', 'Deptness',' Sorry ',' Knp ',' Download ',' Trpaksa ',' Download ',' APK ',' ']</v>
      </c>
      <c r="D928" s="3">
        <v>1.0</v>
      </c>
    </row>
    <row r="929" ht="15.75" customHeight="1">
      <c r="A929" s="1">
        <v>927.0</v>
      </c>
      <c r="B929" s="3" t="s">
        <v>930</v>
      </c>
      <c r="C929" s="3" t="str">
        <f>IFERROR(__xludf.DUMMYFUNCTION("GOOGLETRANSLATE(B929,""id"",""en"")"),"['woi', 'disappointed', 'really', 'Telkomsel', 'already', 'network', 'jumping', 'ilang', 'ilang', 'expensive', 'package', 'unlimet', ' The limit ',' reasonable ',' usage ',' please ',' return ',' package ',' unlimeted ',' max ',' GB ',' quota ',' main ','"&amp;" exhaust ',' limit ' , 'Naturally', 'use', 'application', 'please', 'Restore']")</f>
        <v>['woi', 'disappointed', 'really', 'Telkomsel', 'already', 'network', 'jumping', 'ilang', 'ilang', 'expensive', 'package', 'unlimet', ' The limit ',' reasonable ',' usage ',' please ',' return ',' package ',' unlimeted ',' max ',' GB ',' quota ',' main ',' exhaust ',' limit ' , 'Naturally', 'use', 'application', 'please', 'Restore']</v>
      </c>
      <c r="D929" s="3">
        <v>1.0</v>
      </c>
    </row>
    <row r="930" ht="15.75" customHeight="1">
      <c r="A930" s="1">
        <v>928.0</v>
      </c>
      <c r="B930" s="3" t="s">
        <v>931</v>
      </c>
      <c r="C930" s="3" t="str">
        <f>IFERROR(__xludf.DUMMYFUNCTION("GOOGLETRANSLATE(B930,""id"",""en"")"),"['promo', 'promo', 'good', 'unfortunately', 'service', 'call', 'center', 'name', 'arin', 'bad', 'complaint', 'finished', ' Decide ',' TLKOMSEL ',' TLKOMSEL ',' OPTION ',' Unreg ',' Option ',' Stop ',' Subscriptions', 'Removed', 'Deliberate', 'Telkomsel', "&amp;"'squeeze' , 'Customers', 'Kah', 'Delete', 'Option', 'Stop', 'Subscriptions', '']")</f>
        <v>['promo', 'promo', 'good', 'unfortunately', 'service', 'call', 'center', 'name', 'arin', 'bad', 'complaint', 'finished', ' Decide ',' TLKOMSEL ',' TLKOMSEL ',' OPTION ',' Unreg ',' Option ',' Stop ',' Subscriptions', 'Removed', 'Deliberate', 'Telkomsel', 'squeeze' , 'Customers', 'Kah', 'Delete', 'Option', 'Stop', 'Subscriptions', '']</v>
      </c>
      <c r="D930" s="3">
        <v>2.0</v>
      </c>
    </row>
    <row r="931" ht="15.75" customHeight="1">
      <c r="A931" s="1">
        <v>929.0</v>
      </c>
      <c r="B931" s="3" t="s">
        <v>932</v>
      </c>
      <c r="C931" s="3" t="str">
        <f>IFERROR(__xludf.DUMMYFUNCTION("GOOGLETRANSLATE(B931,""id"",""en"")"),"['In some', 'village', 'door', 'bosi', 'sub-district', 'Laguboti', 'district', 'Toba', 'province', 'Sumatra', 'North', 'sometimes' Lost ',' signal ',' Telkomsel ',' satisfying ',' good ',' rating ',' plus', '']")</f>
        <v>['In some', 'village', 'door', 'bosi', 'sub-district', 'Laguboti', 'district', 'Toba', 'province', 'Sumatra', 'North', 'sometimes' Lost ',' signal ',' Telkomsel ',' satisfying ',' good ',' rating ',' plus', '']</v>
      </c>
      <c r="D931" s="3">
        <v>3.0</v>
      </c>
    </row>
    <row r="932" ht="15.75" customHeight="1">
      <c r="A932" s="1">
        <v>930.0</v>
      </c>
      <c r="B932" s="3" t="s">
        <v>933</v>
      </c>
      <c r="C932" s="3" t="str">
        <f>IFERROR(__xludf.DUMMYFUNCTION("GOOGLETRANSLATE(B932,""id"",""en"")"),"['please', 'Telkomsel', 'beloved', 'network', 'stable', 'open', 'application', 'Telkomsel', 'difficult', 'boss',' late ',' check ',' quota ',' pulse ',' stay ',' run out ',' libas', 'Telkomsel', 'network', 'stable', 'need', 'Telkomsel', 'thank', 'love', "&amp;"""]")</f>
        <v>['please', 'Telkomsel', 'beloved', 'network', 'stable', 'open', 'application', 'Telkomsel', 'difficult', 'boss',' late ',' check ',' quota ',' pulse ',' stay ',' run out ',' libas', 'Telkomsel', 'network', 'stable', 'need', 'Telkomsel', 'thank', 'love', "]</v>
      </c>
      <c r="D932" s="3">
        <v>1.0</v>
      </c>
    </row>
    <row r="933" ht="15.75" customHeight="1">
      <c r="A933" s="1">
        <v>931.0</v>
      </c>
      <c r="B933" s="3" t="s">
        <v>934</v>
      </c>
      <c r="C933" s="3" t="str">
        <f>IFERROR(__xludf.DUMMYFUNCTION("GOOGLETRANSLATE(B933,""id"",""en"")"),"['What', 'Sis',' Please ',' Fix ',' Buy ',' Credit ',' Pointed ',' Saldo ',' noon ',' Corn ',' night ',' buy ',' pulses', 'lgi', 'counter', 'udh', 'enter', 'ngak', 'leftover', 'balance', 'yesterday', 'appear', 'please', 'fix', 'kak' , '']")</f>
        <v>['What', 'Sis',' Please ',' Fix ',' Buy ',' Credit ',' Pointed ',' Saldo ',' noon ',' Corn ',' night ',' buy ',' pulses', 'lgi', 'counter', 'udh', 'enter', 'ngak', 'leftover', 'balance', 'yesterday', 'appear', 'please', 'fix', 'kak' , '']</v>
      </c>
      <c r="D933" s="3">
        <v>1.0</v>
      </c>
    </row>
    <row r="934" ht="15.75" customHeight="1">
      <c r="A934" s="1">
        <v>932.0</v>
      </c>
      <c r="B934" s="3" t="s">
        <v>935</v>
      </c>
      <c r="C934" s="3" t="str">
        <f>IFERROR(__xludf.DUMMYFUNCTION("GOOGLETRANSLATE(B934,""id"",""en"")"),"['Pre', 'Pay', 'Offer', 'Product', 'Post', 'Pay', 'Signal', 'Weak', 'Point', 'GPS', 'Colored', 'Abu', ' ash ',' position ',' point ',' blue ',' settled ',' alias', 'shift', 'km', 'beg', 'admin', 'do', 'best', 'Costamer' , 'Thanx']")</f>
        <v>['Pre', 'Pay', 'Offer', 'Product', 'Post', 'Pay', 'Signal', 'Weak', 'Point', 'GPS', 'Colored', 'Abu', ' ash ',' position ',' point ',' blue ',' settled ',' alias', 'shift', 'km', 'beg', 'admin', 'do', 'best', 'Costamer' , 'Thanx']</v>
      </c>
      <c r="D934" s="3">
        <v>1.0</v>
      </c>
    </row>
    <row r="935" ht="15.75" customHeight="1">
      <c r="A935" s="1">
        <v>933.0</v>
      </c>
      <c r="B935" s="3" t="s">
        <v>936</v>
      </c>
      <c r="C935" s="3" t="str">
        <f>IFERROR(__xludf.DUMMYFUNCTION("GOOGLETRANSLATE(B935,""id"",""en"")"),"['quota', 'pulse', 'Sumpot', 'The reason', 'Veronika', 'The network', 'ugly', 'pulses',' credit ',' lost ',' quota ',' unlimited ',' Limited ',' GB ',' hey ',' name ',' unlimited ',' limited ',' use ',' restricted ',' buy ',' expensive ',' restricted ',' "&amp;"loss', 'cuk' , 'Please', 'Restore', 'Unlimited', 'Restricted', 'Use', 'Pembah', 'Card', ""]")</f>
        <v>['quota', 'pulse', 'Sumpot', 'The reason', 'Veronika', 'The network', 'ugly', 'pulses',' credit ',' lost ',' quota ',' unlimited ',' Limited ',' GB ',' hey ',' name ',' unlimited ',' limited ',' use ',' restricted ',' buy ',' expensive ',' restricted ',' loss', 'cuk' , 'Please', 'Restore', 'Unlimited', 'Restricted', 'Use', 'Pembah', 'Card', "]</v>
      </c>
      <c r="D935" s="3">
        <v>1.0</v>
      </c>
    </row>
    <row r="936" ht="15.75" customHeight="1">
      <c r="A936" s="1">
        <v>934.0</v>
      </c>
      <c r="B936" s="3" t="s">
        <v>937</v>
      </c>
      <c r="C936" s="3" t="str">
        <f>IFERROR(__xludf.DUMMYFUNCTION("GOOGLETRANSLATE(B936,""id"",""en"")"),"['limit', 'reasonable', 'quota', 'application', 'run out', 'worn', 'adjustment', 'speed', 'internet', 'check', 'quota', 'buy', ' package ',' tsel ',' tsel ',' turning back ',' package ',' unlimited ',' min ',' expensive ',' tot ',' buy ',' package ',' run"&amp;" out ',' quota ' , 'Internet', 'wear', 'quota', 'application', 'unlimited', 'already', 'limit', 'tasty', 'application', 'Telkomsel', 'love', 'quota', ' application ',' limit ',' direct ',' notif ',' dizziness', 'tot', 'back', 'package', 'tot']")</f>
        <v>['limit', 'reasonable', 'quota', 'application', 'run out', 'worn', 'adjustment', 'speed', 'internet', 'check', 'quota', 'buy', ' package ',' tsel ',' tsel ',' turning back ',' package ',' unlimited ',' min ',' expensive ',' tot ',' buy ',' package ',' run out ',' quota ' , 'Internet', 'wear', 'quota', 'application', 'unlimited', 'already', 'limit', 'tasty', 'application', 'Telkomsel', 'love', 'quota', ' application ',' limit ',' direct ',' notif ',' dizziness', 'tot', 'back', 'package', 'tot']</v>
      </c>
      <c r="D936" s="3">
        <v>1.0</v>
      </c>
    </row>
    <row r="937" ht="15.75" customHeight="1">
      <c r="A937" s="1">
        <v>935.0</v>
      </c>
      <c r="B937" s="3" t="s">
        <v>938</v>
      </c>
      <c r="C937" s="3" t="str">
        <f>IFERROR(__xludf.DUMMYFUNCTION("GOOGLETRANSLATE(B937,""id"",""en"")"),"['Package', 'Combo', 'Unlimited', 'Fraud', 'Limit', 'Use', 'Naturally', 'Written', 'Limit', 'max', 'kbps',' Notif ',' hours', 'wall', 'Send', 'Instagram', 'Update', 'Meanwhile', 'Notification', 'Speed', 'Realtime', 'above', 'Screen', 'Kbps',' Package ' , "&amp;"'Internet', 'Telkomel', 'Case', 'Worth', 'ACIED', 'YLKI', 'TRIMS']")</f>
        <v>['Package', 'Combo', 'Unlimited', 'Fraud', 'Limit', 'Use', 'Naturally', 'Written', 'Limit', 'max', 'kbps',' Notif ',' hours', 'wall', 'Send', 'Instagram', 'Update', 'Meanwhile', 'Notification', 'Speed', 'Realtime', 'above', 'Screen', 'Kbps',' Package ' , 'Internet', 'Telkomel', 'Case', 'Worth', 'ACIED', 'YLKI', 'TRIMS']</v>
      </c>
      <c r="D937" s="3">
        <v>1.0</v>
      </c>
    </row>
    <row r="938" ht="15.75" customHeight="1">
      <c r="A938" s="1">
        <v>936.0</v>
      </c>
      <c r="B938" s="3" t="s">
        <v>939</v>
      </c>
      <c r="C938" s="3" t="str">
        <f>IFERROR(__xludf.DUMMYFUNCTION("GOOGLETRANSLATE(B938,""id"",""en"")"),"['Telkomsel', 'Please', 'Fix', 'Network', 'Child', 'Geme', 'Hate', 'Network', 'It's',' Severe ',' Kali ',' Please ',' Fix ',' fast ',' fast ',' because ',' Kaota ',' expensive ',' gelek ',' please ',' fix ',' Thank you ',' Wassalamu ',' Alaikum ', ""]")</f>
        <v>['Telkomsel', 'Please', 'Fix', 'Network', 'Child', 'Geme', 'Hate', 'Network', 'It's',' Severe ',' Kali ',' Please ',' Fix ',' fast ',' fast ',' because ',' Kaota ',' expensive ',' gelek ',' please ',' fix ',' Thank you ',' Wassalamu ',' Alaikum ', "]</v>
      </c>
      <c r="D938" s="3">
        <v>1.0</v>
      </c>
    </row>
    <row r="939" ht="15.75" customHeight="1">
      <c r="A939" s="1">
        <v>937.0</v>
      </c>
      <c r="B939" s="3" t="s">
        <v>940</v>
      </c>
      <c r="C939" s="3" t="str">
        <f>IFERROR(__xludf.DUMMYFUNCTION("GOOGLETRANSLATE(B939,""id"",""en"")"),"['Sorry', 'workers',' Telkomsel ',' network ',' Telkomsel ',' destroyed ',' times', 'UDH', 'good', 'like', 'please', 'worker', ' Telkomsel ']")</f>
        <v>['Sorry', 'workers',' Telkomsel ',' network ',' Telkomsel ',' destroyed ',' times', 'UDH', 'good', 'like', 'please', 'worker', ' Telkomsel ']</v>
      </c>
      <c r="D939" s="3">
        <v>1.0</v>
      </c>
    </row>
    <row r="940" ht="15.75" customHeight="1">
      <c r="A940" s="1">
        <v>938.0</v>
      </c>
      <c r="B940" s="3" t="s">
        <v>941</v>
      </c>
      <c r="C940" s="3" t="str">
        <f>IFERROR(__xludf.DUMMYFUNCTION("GOOGLETRANSLATE(B940,""id"",""en"")"),"['Telkomsel', 'like', 'heart', 'change', 'regulation', 'tntang', 'card', 'unlimited', 'max', 'honest', 'disappointed', 'karna', ' Speed ​​',' connection ',' Lower ',' contents', 'price', 'unlimited', 'max', 'student', 'easy', 'money', 'that way', 'student"&amp;"', 'honest' , 'Harmed', 'Disappointed', '']")</f>
        <v>['Telkomsel', 'like', 'heart', 'change', 'regulation', 'tntang', 'card', 'unlimited', 'max', 'honest', 'disappointed', 'karna', ' Speed ​​',' connection ',' Lower ',' contents', 'price', 'unlimited', 'max', 'student', 'easy', 'money', 'that way', 'student', 'honest' , 'Harmed', 'Disappointed', '']</v>
      </c>
      <c r="D940" s="3">
        <v>1.0</v>
      </c>
    </row>
    <row r="941" ht="15.75" customHeight="1">
      <c r="A941" s="1">
        <v>939.0</v>
      </c>
      <c r="B941" s="3" t="s">
        <v>942</v>
      </c>
      <c r="C941" s="3" t="str">
        <f>IFERROR(__xludf.DUMMYFUNCTION("GOOGLETRANSLATE(B941,""id"",""en"")"),"['Disappointed', 'Package', 'Unlimited', 'Limit', 'Use', 'Please', 'Returned', ""]")</f>
        <v>['Disappointed', 'Package', 'Unlimited', 'Limit', 'Use', 'Please', 'Returned', "]</v>
      </c>
      <c r="D941" s="3">
        <v>1.0</v>
      </c>
    </row>
    <row r="942" ht="15.75" customHeight="1">
      <c r="A942" s="1">
        <v>940.0</v>
      </c>
      <c r="B942" s="3" t="s">
        <v>943</v>
      </c>
      <c r="C942" s="3" t="str">
        <f>IFERROR(__xludf.DUMMYFUNCTION("GOOGLETRANSLATE(B942,""id"",""en"")"),"['Network', 'bad', 'expensive', 'expensive', 'good', 'quality', 'downhill', 'search', 'cannya', 'fix', 'quality', 'because' Users', 'already', 'rame', 'like', 'provider', 'Sing', 'Cuan']")</f>
        <v>['Network', 'bad', 'expensive', 'expensive', 'good', 'quality', 'downhill', 'search', 'cannya', 'fix', 'quality', 'because' Users', 'already', 'rame', 'like', 'provider', 'Sing', 'Cuan']</v>
      </c>
      <c r="D942" s="3">
        <v>1.0</v>
      </c>
    </row>
    <row r="943" ht="15.75" customHeight="1">
      <c r="A943" s="1">
        <v>941.0</v>
      </c>
      <c r="B943" s="3" t="s">
        <v>944</v>
      </c>
      <c r="C943" s="3" t="str">
        <f>IFERROR(__xludf.DUMMYFUNCTION("GOOGLETRANSLATE(B943,""id"",""en"")"),"['Bad', 'Provider', 'Please', 'Restore', 'Register', 'Price', 'Purchase', 'In', 'Application', 'Bad', 'Provider', 'Mending', ' Move ',' Provider ',' Service ',' Bad ',' ']")</f>
        <v>['Bad', 'Provider', 'Please', 'Restore', 'Register', 'Price', 'Purchase', 'In', 'Application', 'Bad', 'Provider', 'Mending', ' Move ',' Provider ',' Service ',' Bad ',' ']</v>
      </c>
      <c r="D943" s="3">
        <v>1.0</v>
      </c>
    </row>
    <row r="944" ht="15.75" customHeight="1">
      <c r="A944" s="1">
        <v>942.0</v>
      </c>
      <c r="B944" s="3" t="s">
        <v>945</v>
      </c>
      <c r="C944" s="3" t="str">
        <f>IFERROR(__xludf.DUMMYFUNCTION("GOOGLETRANSLATE(B944,""id"",""en"")"),"['payment', 'via', 'shopeepay', 'problematic', 'balance', 'already', 'cheek', 'pulse', 'entry', 'already', 'finished', 'Shopeenya', ' right ',' pulses', 'enter', 'just', 'complain', 'compliabet', 'like', 'really']")</f>
        <v>['payment', 'via', 'shopeepay', 'problematic', 'balance', 'already', 'cheek', 'pulse', 'entry', 'already', 'finished', 'Shopeenya', ' right ',' pulses', 'enter', 'just', 'complain', 'compliabet', 'like', 'really']</v>
      </c>
      <c r="D944" s="3">
        <v>1.0</v>
      </c>
    </row>
    <row r="945" ht="15.75" customHeight="1">
      <c r="A945" s="1">
        <v>943.0</v>
      </c>
      <c r="B945" s="3" t="s">
        <v>946</v>
      </c>
      <c r="C945" s="3" t="str">
        <f>IFERROR(__xludf.DUMMYFUNCTION("GOOGLETRANSLATE(B945,""id"",""en"")"),"['Tipu', 'morals',' understand ',' Deh ',' Anyway ',' Buy ',' Package ',' Call ',' Balance ',' Cut ',' Use ',' Padealaha ',' SMS ',' SUCCESS ',' EMG ',' Brain ',' Gada ',' Nipu ',' Customer ',' Competition ',' Disappointed ']")</f>
        <v>['Tipu', 'morals',' understand ',' Deh ',' Anyway ',' Buy ',' Package ',' Call ',' Balance ',' Cut ',' Use ',' Padealaha ',' SMS ',' SUCCESS ',' EMG ',' Brain ',' Gada ',' Nipu ',' Customer ',' Competition ',' Disappointed ']</v>
      </c>
      <c r="D945" s="3">
        <v>1.0</v>
      </c>
    </row>
    <row r="946" ht="15.75" customHeight="1">
      <c r="A946" s="1">
        <v>944.0</v>
      </c>
      <c r="B946" s="3" t="s">
        <v>947</v>
      </c>
      <c r="C946" s="3" t="str">
        <f>IFERROR(__xludf.DUMMYFUNCTION("GOOGLETRANSLATE(B946,""id"",""en"")"),"['Disappointed', 'Package', 'Unlimitid', 'Main', 'Game', 'Nglag', 'Subscriptions',' Nglag ',' Down ',' Drastic ',' Unlimitid ',' Nglag ',' Please ',' repaired ',' Min ',' Dri ',' Telkomsel ',' ']")</f>
        <v>['Disappointed', 'Package', 'Unlimitid', 'Main', 'Game', 'Nglag', 'Subscriptions',' Nglag ',' Down ',' Drastic ',' Unlimitid ',' Nglag ',' Please ',' repaired ',' Min ',' Dri ',' Telkomsel ',' ']</v>
      </c>
      <c r="D946" s="3">
        <v>1.0</v>
      </c>
    </row>
    <row r="947" ht="15.75" customHeight="1">
      <c r="A947" s="1">
        <v>945.0</v>
      </c>
      <c r="B947" s="3" t="s">
        <v>948</v>
      </c>
      <c r="C947" s="3" t="str">
        <f>IFERROR(__xludf.DUMMYFUNCTION("GOOGLETRANSLATE(B947,""id"",""en"")"),"['Please', 'Sorry', 'Criticism', 'Application', 'Lebaran', 'Lebaran', 'Sampe', 'Network', 'Severe', 'Application', 'Hard', 'Open', ' Use ',' Unlimited ',' quota ',' GB ',' Moment ',' Raya ',' Network ',' Enhanced ',' Wait ',' Until ',' TGL ',' TRS ',' Ple"&amp;"ase ' , 'Sorry', 'Change', 'Sorry', ""]")</f>
        <v>['Please', 'Sorry', 'Criticism', 'Application', 'Lebaran', 'Lebaran', 'Sampe', 'Network', 'Severe', 'Application', 'Hard', 'Open', ' Use ',' Unlimited ',' quota ',' GB ',' Moment ',' Raya ',' Network ',' Enhanced ',' Wait ',' Until ',' TGL ',' TRS ',' Please ' , 'Sorry', 'Change', 'Sorry', "]</v>
      </c>
      <c r="D947" s="3">
        <v>1.0</v>
      </c>
    </row>
    <row r="948" ht="15.75" customHeight="1">
      <c r="A948" s="1">
        <v>946.0</v>
      </c>
      <c r="B948" s="3" t="s">
        <v>949</v>
      </c>
      <c r="C948" s="3" t="str">
        <f>IFERROR(__xludf.DUMMYFUNCTION("GOOGLETRANSLATE(B948,""id"",""en"")"),"['Good', 'internet', 'neighbors',' next door ',' price ',' ngak ',' suits', 'quality', 'ancuurr', 'telkomsel', 'msih', 'luck', ' dpake ',' telponan ',' doang ',' internet ',' think ',' price ',' package ',' ngk ',' comparable ',' quality ',' ancuuuurrrr '"&amp;",' abandoned ',' jwban ' , 'bot', 'Please', 'sorry', 'please', 'hub', 'slah', 'operator', 'service', 'card']")</f>
        <v>['Good', 'internet', 'neighbors',' next door ',' price ',' ngak ',' suits', 'quality', 'ancuurr', 'telkomsel', 'msih', 'luck', ' dpake ',' telponan ',' doang ',' internet ',' think ',' price ',' package ',' ngk ',' comparable ',' quality ',' ancuuuurrrr ',' abandoned ',' jwban ' , 'bot', 'Please', 'sorry', 'please', 'hub', 'slah', 'operator', 'service', 'card']</v>
      </c>
      <c r="D948" s="3">
        <v>1.0</v>
      </c>
    </row>
    <row r="949" ht="15.75" customHeight="1">
      <c r="A949" s="1">
        <v>947.0</v>
      </c>
      <c r="B949" s="3" t="s">
        <v>950</v>
      </c>
      <c r="C949" s="3" t="str">
        <f>IFERROR(__xludf.DUMMYFUNCTION("GOOGLETRANSLATE(B949,""id"",""en"")"),"['Telkomsel', 'access', 'internet', 'best', 'signal', 'good', 'satisfying', 'Telkomsel', 'satisfying', 'thank you', 'Telkomsel']")</f>
        <v>['Telkomsel', 'access', 'internet', 'best', 'signal', 'good', 'satisfying', 'Telkomsel', 'satisfying', 'thank you', 'Telkomsel']</v>
      </c>
      <c r="D949" s="3">
        <v>5.0</v>
      </c>
    </row>
    <row r="950" ht="15.75" customHeight="1">
      <c r="A950" s="1">
        <v>948.0</v>
      </c>
      <c r="B950" s="3" t="s">
        <v>951</v>
      </c>
      <c r="C950" s="3" t="str">
        <f>IFERROR(__xludf.DUMMYFUNCTION("GOOGLETRANSLATE(B950,""id"",""en"")"),"['Just', 'complaints',' Customers', 'Regions',' Sekayu ',' Musi ',' Banyuasin ',' Palembang ',' Sumatra ',' South ',' Network ',' Telkomsel ',' skrg ',' bad ',' night ',' network ',' bad ',' bad ',' knp ',' Telkomsel ',' downhill ',' aspect ',' quality ',"&amp;"' network ',' package ' , 'Data', 'expensive', '']")</f>
        <v>['Just', 'complaints',' Customers', 'Regions',' Sekayu ',' Musi ',' Banyuasin ',' Palembang ',' Sumatra ',' South ',' Network ',' Telkomsel ',' skrg ',' bad ',' night ',' network ',' bad ',' bad ',' knp ',' Telkomsel ',' downhill ',' aspect ',' quality ',' network ',' package ' , 'Data', 'expensive', '']</v>
      </c>
      <c r="D950" s="3">
        <v>1.0</v>
      </c>
    </row>
    <row r="951" ht="15.75" customHeight="1">
      <c r="A951" s="1">
        <v>949.0</v>
      </c>
      <c r="B951" s="3" t="s">
        <v>952</v>
      </c>
      <c r="C951" s="3" t="str">
        <f>IFERROR(__xludf.DUMMYFUNCTION("GOOGLETRANSLATE(B951,""id"",""en"")"),"['woiiii', 'think', 'buy', 'package', 'pakek', 'leaves', 'buy', 'package', 'network', 'rich', 'pig', 'can' Users', 'Users',' Cards', 'Telkomsel', 'Seneng', 'Mending', 'Extinct', '']")</f>
        <v>['woiiii', 'think', 'buy', 'package', 'pakek', 'leaves', 'buy', 'package', 'network', 'rich', 'pig', 'can' Users', 'Users',' Cards', 'Telkomsel', 'Seneng', 'Mending', 'Extinct', '']</v>
      </c>
      <c r="D951" s="3">
        <v>1.0</v>
      </c>
    </row>
    <row r="952" ht="15.75" customHeight="1">
      <c r="A952" s="1">
        <v>950.0</v>
      </c>
      <c r="B952" s="3" t="s">
        <v>953</v>
      </c>
      <c r="C952" s="3" t="str">
        <f>IFERROR(__xludf.DUMMYFUNCTION("GOOGLETRANSLATE(B952,""id"",""en"")"),"['Woyy', 'Telkom', 'waiter', 'internet', 'Sya', 'langgnan', 'Dri', 'disappointed', 'provider', 'entry', 'area', 'Jamnin', ' Sya ',' wrong ',' bklan ',' moved ',' card ']")</f>
        <v>['Woyy', 'Telkom', 'waiter', 'internet', 'Sya', 'langgnan', 'Dri', 'disappointed', 'provider', 'entry', 'area', 'Jamnin', ' Sya ',' wrong ',' bklan ',' moved ',' card ']</v>
      </c>
      <c r="D952" s="3">
        <v>1.0</v>
      </c>
    </row>
    <row r="953" ht="15.75" customHeight="1">
      <c r="A953" s="1">
        <v>951.0</v>
      </c>
      <c r="B953" s="3" t="s">
        <v>954</v>
      </c>
      <c r="C953" s="3" t="str">
        <f>IFERROR(__xludf.DUMMYFUNCTION("GOOGLETRANSLATE(B953,""id"",""en"")"),"['Hello', 'Sis',' Gini ',' Sekaran ',' Login ',' Hard ',' Connection ',' Stable ',' Open ',' APK ',' APK ',' Stable ',' Watch ',' YouTube ',' smooth ',' ntar ',' check ',' quota ',' buy ',' quota ',' login ',' login ',' all day ',' the network ',' full ' "&amp;", 'Thank you', 'Sis', 'response']")</f>
        <v>['Hello', 'Sis',' Gini ',' Sekaran ',' Login ',' Hard ',' Connection ',' Stable ',' Open ',' APK ',' APK ',' Stable ',' Watch ',' YouTube ',' smooth ',' ntar ',' check ',' quota ',' buy ',' quota ',' login ',' login ',' all day ',' the network ',' full ' , 'Thank you', 'Sis', 'response']</v>
      </c>
      <c r="D953" s="3">
        <v>2.0</v>
      </c>
    </row>
    <row r="954" ht="15.75" customHeight="1">
      <c r="A954" s="1">
        <v>952.0</v>
      </c>
      <c r="B954" s="3" t="s">
        <v>955</v>
      </c>
      <c r="C954" s="3" t="str">
        <f>IFERROR(__xludf.DUMMYFUNCTION("GOOGLETRANSLATE(B954,""id"",""en"")"),"['buy', 'package', 'internet', 'must', 'wait', 'really', 'package', 'expensive', 'no', 'rich', 'package', 'cheap', ' Mending ',' signal ',' difficult ',' wilt ',' package ',' internet ',' cheap ',' please ',' Telkomsel ',' buy ',' package ',' waited ',' w"&amp;"ait ' , 'very', '']")</f>
        <v>['buy', 'package', 'internet', 'must', 'wait', 'really', 'package', 'expensive', 'no', 'rich', 'package', 'cheap', ' Mending ',' signal ',' difficult ',' wilt ',' package ',' internet ',' cheap ',' please ',' Telkomsel ',' buy ',' package ',' waited ',' wait ' , 'very', '']</v>
      </c>
      <c r="D954" s="3">
        <v>1.0</v>
      </c>
    </row>
    <row r="955" ht="15.75" customHeight="1">
      <c r="A955" s="1">
        <v>953.0</v>
      </c>
      <c r="B955" s="3" t="s">
        <v>956</v>
      </c>
      <c r="C955" s="3" t="str">
        <f>IFERROR(__xludf.DUMMYFUNCTION("GOOGLETRANSLATE(B955,""id"",""en"")"),"['Good', 'Laking', 'Network', 'Enter', 'Application', 'Network', 'Stable', 'Enter', 'Application', ""]")</f>
        <v>['Good', 'Laking', 'Network', 'Enter', 'Application', 'Network', 'Stable', 'Enter', 'Application', "]</v>
      </c>
      <c r="D955" s="3">
        <v>1.0</v>
      </c>
    </row>
    <row r="956" ht="15.75" customHeight="1">
      <c r="A956" s="1">
        <v>954.0</v>
      </c>
      <c r="B956" s="3" t="s">
        <v>957</v>
      </c>
      <c r="C956" s="3" t="str">
        <f>IFERROR(__xludf.DUMMYFUNCTION("GOOGLETRANSLATE(B956,""id"",""en"")"),"['admin', 'operator', 'Telkomsel', 'price', 'package', 'night', 'Telkomsel', 'telephone', 'according to', 'list', 'list', 'cook', ' Posts', 'GB', 'Package', 'Night', 'Rb', 'right', 'Select', 'RB', 'Ngilake', 'weve', 'Please', 'Price', 'Sesuain' , 'write',"&amp;" '']")</f>
        <v>['admin', 'operator', 'Telkomsel', 'price', 'package', 'night', 'Telkomsel', 'telephone', 'according to', 'list', 'list', 'cook', ' Posts', 'GB', 'Package', 'Night', 'Rb', 'right', 'Select', 'RB', 'Ngilake', 'weve', 'Please', 'Price', 'Sesuain' , 'write', '']</v>
      </c>
      <c r="D956" s="3">
        <v>1.0</v>
      </c>
    </row>
    <row r="957" ht="15.75" customHeight="1">
      <c r="A957" s="1">
        <v>955.0</v>
      </c>
      <c r="B957" s="3" t="s">
        <v>958</v>
      </c>
      <c r="C957" s="3" t="str">
        <f>IFERROR(__xludf.DUMMYFUNCTION("GOOGLETRANSLATE(B957,""id"",""en"")"),"['Telkomsel', 'Plis',' Adin ',' Service ',' Netflix ',' Via ',' Package ',' Data ',' Donk ',' Kayak ',' Subscriptions', 'DisneyStar', ' cards', 'credit', 'subscriptions',' netflik ',' direct ',' via ',' package ',' internet ',' monthly ',' agree ', ""]")</f>
        <v>['Telkomsel', 'Plis',' Adin ',' Service ',' Netflix ',' Via ',' Package ',' Data ',' Donk ',' Kayak ',' Subscriptions', 'DisneyStar', ' cards', 'credit', 'subscriptions',' netflik ',' direct ',' via ',' package ',' internet ',' monthly ',' agree ', "]</v>
      </c>
      <c r="D957" s="3">
        <v>5.0</v>
      </c>
    </row>
    <row r="958" ht="15.75" customHeight="1">
      <c r="A958" s="1">
        <v>956.0</v>
      </c>
      <c r="B958" s="3" t="s">
        <v>959</v>
      </c>
      <c r="C958" s="3" t="str">
        <f>IFERROR(__xludf.DUMMYFUNCTION("GOOGLETRANSLATE(B958,""id"",""en"")"),"['quality', 'signal', 'bad', 'package', 'expensive', 'expensive', 'network', 'good', 'bad']")</f>
        <v>['quality', 'signal', 'bad', 'package', 'expensive', 'expensive', 'network', 'good', 'bad']</v>
      </c>
      <c r="D958" s="3">
        <v>1.0</v>
      </c>
    </row>
    <row r="959" ht="15.75" customHeight="1">
      <c r="A959" s="1">
        <v>957.0</v>
      </c>
      <c r="B959" s="3" t="s">
        <v>960</v>
      </c>
      <c r="C959" s="3" t="str">
        <f>IFERROR(__xludf.DUMMYFUNCTION("GOOGLETRANSLATE(B959,""id"",""en"")"),"['oath', 'already', 'expensive', 'network', 'slow', 'then', 'entered', 'sms',' number ',' useful ',' sprti ',' loan ',' Prize ',' etc. ',' Ngeselin ',' Telkomsel ']")</f>
        <v>['oath', 'already', 'expensive', 'network', 'slow', 'then', 'entered', 'sms',' number ',' useful ',' sprti ',' loan ',' Prize ',' etc. ',' Ngeselin ',' Telkomsel ']</v>
      </c>
      <c r="D959" s="3">
        <v>1.0</v>
      </c>
    </row>
    <row r="960" ht="15.75" customHeight="1">
      <c r="A960" s="1">
        <v>958.0</v>
      </c>
      <c r="B960" s="3" t="s">
        <v>961</v>
      </c>
      <c r="C960" s="3" t="str">
        <f>IFERROR(__xludf.DUMMYFUNCTION("GOOGLETRANSLATE(B960,""id"",""en"")"),"['Hi', 'Sis',' Coeg ',' Please ',' Sorry ',' Sister ',' Comfortable ',' Blablabla ',' Service ',' Repaired ',' Boss', 'Sorry', ' Then ',' You ',' Sorry ',' Needed ',' Consumer ',' Good ',' Service ',' Bacotan ',' Like ', ""]")</f>
        <v>['Hi', 'Sis',' Coeg ',' Please ',' Sorry ',' Sister ',' Comfortable ',' Blablabla ',' Service ',' Repaired ',' Boss', 'Sorry', ' Then ',' You ',' Sorry ',' Needed ',' Consumer ',' Good ',' Service ',' Bacotan ',' Like ', "]</v>
      </c>
      <c r="D960" s="3">
        <v>4.0</v>
      </c>
    </row>
    <row r="961" ht="15.75" customHeight="1">
      <c r="A961" s="1">
        <v>959.0</v>
      </c>
      <c r="B961" s="3" t="s">
        <v>962</v>
      </c>
      <c r="C961" s="3" t="str">
        <f>IFERROR(__xludf.DUMMYFUNCTION("GOOGLETRANSLATE(B961,""id"",""en"")"),"['Redeem', 'Voucher', 'Points',' Dishopee ',' Dipake ',' Shopback ',' Dipake ',' Dishopee ',' Cave ',' Buy ',' Meter ',' clothes', ' goods', 'UDH', 'outside', 'categories',' prohibited ',' tetep ',' voucher ',' Telkomsel ',' provider ',' scam ',' program "&amp;"',' lottery ',' point ' , 'fictitious']")</f>
        <v>['Redeem', 'Voucher', 'Points',' Dishopee ',' Dipake ',' Shopback ',' Dipake ',' Dishopee ',' Cave ',' Buy ',' Meter ',' clothes', ' goods', 'UDH', 'outside', 'categories',' prohibited ',' tetep ',' voucher ',' Telkomsel ',' provider ',' scam ',' program ',' lottery ',' point ' , 'fictitious']</v>
      </c>
      <c r="D961" s="3">
        <v>1.0</v>
      </c>
    </row>
    <row r="962" ht="15.75" customHeight="1">
      <c r="A962" s="1">
        <v>960.0</v>
      </c>
      <c r="B962" s="3" t="s">
        <v>963</v>
      </c>
      <c r="C962" s="3" t="str">
        <f>IFERROR(__xludf.DUMMYFUNCTION("GOOGLETRANSLATE(B962,""id"",""en"")"),"['Telkomsel', 'kntle', 'network', 'fix', 'already', 'price', 'expensive', 'lag', 'base', 'Telkomsel', 'network', 'child', ' Haram ',' ']")</f>
        <v>['Telkomsel', 'kntle', 'network', 'fix', 'already', 'price', 'expensive', 'lag', 'base', 'Telkomsel', 'network', 'child', ' Haram ',' ']</v>
      </c>
      <c r="D962" s="3">
        <v>1.0</v>
      </c>
    </row>
    <row r="963" ht="15.75" customHeight="1">
      <c r="A963" s="1">
        <v>961.0</v>
      </c>
      <c r="B963" s="3" t="s">
        <v>964</v>
      </c>
      <c r="C963" s="3" t="str">
        <f>IFERROR(__xludf.DUMMYFUNCTION("GOOGLETRANSLATE(B963,""id"",""en"")"),"['Please', 'Use', 'Application', 'Miss',' Open ',' Application ',' Quota ',' Exchange ',' Credit ',' Package ',' Internet ',' Ngegidin ',' Data ',' cellular ',' credit ',' reduced ',' ngidimin ',' data ',' package ',' written ',' connection ',' stable ','"&amp;" please ',' increase ',' application ' , 'Next', 'operate', 'package']")</f>
        <v>['Please', 'Use', 'Application', 'Miss',' Open ',' Application ',' Quota ',' Exchange ',' Credit ',' Package ',' Internet ',' Ngegidin ',' Data ',' cellular ',' credit ',' reduced ',' ngidimin ',' data ',' package ',' written ',' connection ',' stable ',' please ',' increase ',' application ' , 'Next', 'operate', 'package']</v>
      </c>
      <c r="D963" s="3">
        <v>2.0</v>
      </c>
    </row>
    <row r="964" ht="15.75" customHeight="1">
      <c r="A964" s="1">
        <v>962.0</v>
      </c>
      <c r="B964" s="3" t="s">
        <v>965</v>
      </c>
      <c r="C964" s="3" t="str">
        <f>IFERROR(__xludf.DUMMYFUNCTION("GOOGLETRANSLATE(B964,""id"",""en"")"),"['Signal', 'Bener', 'Siny', 'Bener', 'Access',' Game ',' Watch ',' YouTube ',' Bener ',' Father ',' Telkomsel ',' complement ',' Via ',' online ',' told ',' outlets', 'offline', 'rich', 'that's',' better ',' move ',' provider ',' times', '']")</f>
        <v>['Signal', 'Bener', 'Siny', 'Bener', 'Access',' Game ',' Watch ',' YouTube ',' Bener ',' Father ',' Telkomsel ',' complement ',' Via ',' online ',' told ',' outlets', 'offline', 'rich', 'that's',' better ',' move ',' provider ',' times', '']</v>
      </c>
      <c r="D964" s="3">
        <v>1.0</v>
      </c>
    </row>
    <row r="965" ht="15.75" customHeight="1">
      <c r="A965" s="1">
        <v>963.0</v>
      </c>
      <c r="B965" s="3" t="s">
        <v>966</v>
      </c>
      <c r="C965" s="3" t="str">
        <f>IFERROR(__xludf.DUMMYFUNCTION("GOOGLETRANSLATE(B965,""id"",""en"")"),"['Say "",' unlimited ',' restricted ',' just ',' GB ',' Disappointed ',' Heavy ',' Cave ',' Change ',' Card ',' Abis ',' Love ',' Bonus', 'GB', 'write', 'GB', 'unlimited', 'hypocritical', 'name', 'read', 'cave', 'suggest', 'use', 'Telkomsel', 'deh' , '']")</f>
        <v>['Say ",' unlimited ',' restricted ',' just ',' GB ',' Disappointed ',' Heavy ',' Cave ',' Change ',' Card ',' Abis ',' Love ',' Bonus', 'GB', 'write', 'GB', 'unlimited', 'hypocritical', 'name', 'read', 'cave', 'suggest', 'use', 'Telkomsel', 'deh' , '']</v>
      </c>
      <c r="D965" s="3">
        <v>1.0</v>
      </c>
    </row>
    <row r="966" ht="15.75" customHeight="1">
      <c r="A966" s="1">
        <v>964.0</v>
      </c>
      <c r="B966" s="3" t="s">
        <v>967</v>
      </c>
      <c r="C966" s="3" t="str">
        <f>IFERROR(__xludf.DUMMYFUNCTION("GOOGLETRANSLATE(B966,""id"",""en"")"),"['network', 'slow', 'really', 'dipake', 'tethering', 'difficult', 'really', 'download', 'file', 'emg', 'area', 'emg', ' Hard ',' really ',' browsing ',' forgiveness', '']")</f>
        <v>['network', 'slow', 'really', 'dipake', 'tethering', 'difficult', 'really', 'download', 'file', 'emg', 'area', 'emg', ' Hard ',' really ',' browsing ',' forgiveness', '']</v>
      </c>
      <c r="D966" s="3">
        <v>2.0</v>
      </c>
    </row>
    <row r="967" ht="15.75" customHeight="1">
      <c r="A967" s="1">
        <v>965.0</v>
      </c>
      <c r="B967" s="3" t="s">
        <v>968</v>
      </c>
      <c r="C967" s="3" t="str">
        <f>IFERROR(__xludf.DUMMYFUNCTION("GOOGLETRANSLATE(B967,""id"",""en"")"),"['Telkomsel', 'times',' Disappointed ',' Signal ',' Bad ',' Dipake ',' Disturbed ',' Page ',' Please ',' Tampaking ',' Quality ',' According to ',' price', '']")</f>
        <v>['Telkomsel', 'times',' Disappointed ',' Signal ',' Bad ',' Dipake ',' Disturbed ',' Page ',' Please ',' Tampaking ',' Quality ',' According to ',' price', '']</v>
      </c>
      <c r="D967" s="3">
        <v>1.0</v>
      </c>
    </row>
    <row r="968" ht="15.75" customHeight="1">
      <c r="A968" s="1">
        <v>966.0</v>
      </c>
      <c r="B968" s="3" t="s">
        <v>969</v>
      </c>
      <c r="C968" s="3" t="str">
        <f>IFERROR(__xludf.DUMMYFUNCTION("GOOGLETRANSLATE(B968,""id"",""en"")"),"['MyTelkomsel', 'prize', 'promo', 'difficult', 'login', 'Alhamdulillah', 'enter', 'security', 'good', ""]")</f>
        <v>['MyTelkomsel', 'prize', 'promo', 'difficult', 'login', 'Alhamdulillah', 'enter', 'security', 'good', "]</v>
      </c>
      <c r="D968" s="3">
        <v>5.0</v>
      </c>
    </row>
    <row r="969" ht="15.75" customHeight="1">
      <c r="A969" s="1">
        <v>967.0</v>
      </c>
      <c r="B969" s="3" t="s">
        <v>970</v>
      </c>
      <c r="C969" s="3" t="str">
        <f>IFERROR(__xludf.DUMMYFUNCTION("GOOGLETRANSLATE(B969,""id"",""en"")"),"['', 'AdminN', 'charging', 'address',' dating ',' Terms', 'Join', 'Agent', 'Reseller', 'Telkomsel', 'Filled', 'installed', 'icon ',' Join ',' Reseller ',' Original ',' weirdhhhh ']")</f>
        <v>['', 'AdminN', 'charging', 'address',' dating ',' Terms', 'Join', 'Agent', 'Reseller', 'Telkomsel', 'Filled', 'installed', 'icon ',' Join ',' Reseller ',' Original ',' weirdhhhh ']</v>
      </c>
      <c r="D969" s="3">
        <v>3.0</v>
      </c>
    </row>
    <row r="970" ht="15.75" customHeight="1">
      <c r="A970" s="1">
        <v>968.0</v>
      </c>
      <c r="B970" s="3" t="s">
        <v>971</v>
      </c>
      <c r="C970" s="3" t="str">
        <f>IFERROR(__xludf.DUMMYFUNCTION("GOOGLETRANSLATE(B970,""id"",""en"")"),"['use', 'Telkomsel', 'tens', 'subscribe', 'internet', 'data', 'because' network ',' weak ',' Different ',' Proveder ',' next door ',' fast ',' cheap ']")</f>
        <v>['use', 'Telkomsel', 'tens', 'subscribe', 'internet', 'data', 'because' network ',' weak ',' Different ',' Proveder ',' next door ',' fast ',' cheap ']</v>
      </c>
      <c r="D970" s="3">
        <v>1.0</v>
      </c>
    </row>
    <row r="971" ht="15.75" customHeight="1">
      <c r="A971" s="1">
        <v>969.0</v>
      </c>
      <c r="B971" s="3" t="s">
        <v>972</v>
      </c>
      <c r="C971" s="3" t="str">
        <f>IFERROR(__xludf.DUMMYFUNCTION("GOOGLETRANSLATE(B971,""id"",""en"")"),"['here', 'signal', 'stable', 'area', 'smooth', 'thank', 'buy', 'package', 'expensive', 'signal', 'kek', 'taik']")</f>
        <v>['here', 'signal', 'stable', 'area', 'smooth', 'thank', 'buy', 'package', 'expensive', 'signal', 'kek', 'taik']</v>
      </c>
      <c r="D971" s="3">
        <v>1.0</v>
      </c>
    </row>
    <row r="972" ht="15.75" customHeight="1">
      <c r="A972" s="1">
        <v>970.0</v>
      </c>
      <c r="B972" s="3" t="s">
        <v>973</v>
      </c>
      <c r="C972" s="3" t="str">
        <f>IFERROR(__xludf.DUMMYFUNCTION("GOOGLETRANSLATE(B972,""id"",""en"")"),"['Please', 'Signal', 'Segara', 'Fix', 'Dri', 'Cook', 'Signal', 'Region', 'Village', 'Plosok', 'Leet', 'Price', ' pulses', 'quota', 'internet', 'expensive', 'quality', 'signal', 'commensurate', 'price', 'package', 'pulse', 'internet', 'read', 'all' , 'comm"&amp;"ent', 'application', 'all', 'complaining', '']")</f>
        <v>['Please', 'Signal', 'Segara', 'Fix', 'Dri', 'Cook', 'Signal', 'Region', 'Village', 'Plosok', 'Leet', 'Price', ' pulses', 'quota', 'internet', 'expensive', 'quality', 'signal', 'commensurate', 'price', 'package', 'pulse', 'internet', 'read', 'all' , 'comment', 'application', 'all', 'complaining', '']</v>
      </c>
      <c r="D972" s="3">
        <v>1.0</v>
      </c>
    </row>
    <row r="973" ht="15.75" customHeight="1">
      <c r="A973" s="1">
        <v>971.0</v>
      </c>
      <c r="B973" s="3" t="s">
        <v>974</v>
      </c>
      <c r="C973" s="3" t="str">
        <f>IFERROR(__xludf.DUMMYFUNCTION("GOOGLETRANSLATE(B973,""id"",""en"")"),"['Package', 'cheerful', 'bought', 'pulseku', 'expired', 'wrong', 'buy', 'pulses',' buy ',' pulse ',' where ',' pharmacy ',' ']")</f>
        <v>['Package', 'cheerful', 'bought', 'pulseku', 'expired', 'wrong', 'buy', 'pulses',' buy ',' pulse ',' where ',' pharmacy ',' ']</v>
      </c>
      <c r="D973" s="3">
        <v>1.0</v>
      </c>
    </row>
    <row r="974" ht="15.75" customHeight="1">
      <c r="A974" s="1">
        <v>972.0</v>
      </c>
      <c r="B974" s="3" t="s">
        <v>975</v>
      </c>
      <c r="C974" s="3" t="str">
        <f>IFERROR(__xludf.DUMMYFUNCTION("GOOGLETRANSLATE(B974,""id"",""en"")"),"['Use', 'Telkomsel', 'Telkomsel', 'Network', 'Good', 'Use', 'Indosat', 'Network', 'Steady', 'Jamin', 'Example', 'Use', ' Indosat ',' Indosat ',' Trusted ',' oath ',' bankrupt ',' company ',' Telkomsel ',' network ',' emotion ',' oath ',' loss', 'use', 'Te"&amp;"lkomsel' , 'Package', 'Internet', 'expensive', 'Loading', 'KNTL', '']")</f>
        <v>['Use', 'Telkomsel', 'Telkomsel', 'Network', 'Good', 'Use', 'Indosat', 'Network', 'Steady', 'Jamin', 'Example', 'Use', ' Indosat ',' Indosat ',' Trusted ',' oath ',' bankrupt ',' company ',' Telkomsel ',' network ',' emotion ',' oath ',' loss', 'use', 'Telkomsel' , 'Package', 'Internet', 'expensive', 'Loading', 'KNTL', '']</v>
      </c>
      <c r="D974" s="3">
        <v>1.0</v>
      </c>
    </row>
    <row r="975" ht="15.75" customHeight="1">
      <c r="A975" s="1">
        <v>973.0</v>
      </c>
      <c r="B975" s="3" t="s">
        <v>976</v>
      </c>
      <c r="C975" s="3" t="str">
        <f>IFERROR(__xludf.DUMMYFUNCTION("GOOGLETRANSLATE(B975,""id"",""en"")"),"['Telkomsel', 'Gabagus',' already ',' many years', 'use', 'card', 'Telkomsel', 'here', 'severe', 'signal', 'gajelas',' ilang ',' already ',' that's', 'package', 'internet', 'unlimited', 'customer', 'comfortable', 'strange', 'disappointed', 'buy', 'package"&amp;"', 'expensive', 'according to' , 'Network', 'slow', 'really', 'rich', 'gini', 'MLS', 'Telkomsel', 'please', 'noticed', 'customer', 'take care', 'network', ' Customers', 'blur', 'thank you']")</f>
        <v>['Telkomsel', 'Gabagus',' already ',' many years', 'use', 'card', 'Telkomsel', 'here', 'severe', 'signal', 'gajelas',' ilang ',' already ',' that's', 'package', 'internet', 'unlimited', 'customer', 'comfortable', 'strange', 'disappointed', 'buy', 'package', 'expensive', 'according to' , 'Network', 'slow', 'really', 'rich', 'gini', 'MLS', 'Telkomsel', 'please', 'noticed', 'customer', 'take care', 'network', ' Customers', 'blur', 'thank you']</v>
      </c>
      <c r="D975" s="3">
        <v>1.0</v>
      </c>
    </row>
    <row r="976" ht="15.75" customHeight="1">
      <c r="A976" s="1">
        <v>974.0</v>
      </c>
      <c r="B976" s="3" t="s">
        <v>977</v>
      </c>
      <c r="C976" s="3" t="str">
        <f>IFERROR(__xludf.DUMMYFUNCTION("GOOGLETRANSLATE(B976,""id"",""en"")"),"['Hello', 'Telkomsel', 'intention', 'jdi', 'provider', 'price', 'expensive', 'TPI', 'quality', 'network', 'garbage', 'policy', ' Description ',' Internet ',' unlimeted ',' TPI ',' Knapa ',' Limit ',' Sya ',' Dri ',' Thn ',' Telkomsel ',' Bener ',' Disappo"&amp;"inted ',' KLK ' , 'like', 'provider', 'pay', 'expensive', 'quality', 'garbage', 'kyak', 'gini']")</f>
        <v>['Hello', 'Telkomsel', 'intention', 'jdi', 'provider', 'price', 'expensive', 'TPI', 'quality', 'network', 'garbage', 'policy', ' Description ',' Internet ',' unlimeted ',' TPI ',' Knapa ',' Limit ',' Sya ',' Dri ',' Thn ',' Telkomsel ',' Bener ',' Disappointed ',' KLK ' , 'like', 'provider', 'pay', 'expensive', 'quality', 'garbage', 'kyak', 'gini']</v>
      </c>
      <c r="D976" s="3">
        <v>1.0</v>
      </c>
    </row>
    <row r="977" ht="15.75" customHeight="1">
      <c r="A977" s="1">
        <v>975.0</v>
      </c>
      <c r="B977" s="3" t="s">
        <v>978</v>
      </c>
      <c r="C977" s="3" t="str">
        <f>IFERROR(__xludf.DUMMYFUNCTION("GOOGLETRANSLATE(B977,""id"",""en"")"),"['stopped', 'package', 'difficult', 'bngt', 'udh', 'tlpn', 'told', 'wait', 'active', 'abis',' otw ',' replace ',' cards', 'sympathy', 'lgi', '']")</f>
        <v>['stopped', 'package', 'difficult', 'bngt', 'udh', 'tlpn', 'told', 'wait', 'active', 'abis',' otw ',' replace ',' cards', 'sympathy', 'lgi', '']</v>
      </c>
      <c r="D977" s="3">
        <v>1.0</v>
      </c>
    </row>
    <row r="978" ht="15.75" customHeight="1">
      <c r="A978" s="1">
        <v>976.0</v>
      </c>
      <c r="B978" s="3" t="s">
        <v>979</v>
      </c>
      <c r="C978" s="3" t="str">
        <f>IFERROR(__xludf.DUMMYFUNCTION("GOOGLETRANSLATE(B978,""id"",""en"")"),"['Ouch', 'please', 'Telkomsel', 'repaired', 'buy', 'package', 'package', 'geme', 'max', 'silver', 'quota', 'main', ' GB ',' run out ',' directly ',' use ',' play ',' package ',' function ',' quota ',' mainly ',' please ',' repaired ',' policy ',' quota ' "&amp;", 'User', 'Ditelkomsel', 'times', 'feel', 'please', 'repaired', 'policy', 'use', 'quota', ""]")</f>
        <v>['Ouch', 'please', 'Telkomsel', 'repaired', 'buy', 'package', 'package', 'geme', 'max', 'silver', 'quota', 'main', ' GB ',' run out ',' directly ',' use ',' play ',' package ',' function ',' quota ',' mainly ',' please ',' repaired ',' policy ',' quota ' , 'User', 'Ditelkomsel', 'times', 'feel', 'please', 'repaired', 'policy', 'use', 'quota', "]</v>
      </c>
      <c r="D978" s="3">
        <v>1.0</v>
      </c>
    </row>
    <row r="979" ht="15.75" customHeight="1">
      <c r="A979" s="1">
        <v>977.0</v>
      </c>
      <c r="B979" s="3" t="s">
        <v>980</v>
      </c>
      <c r="C979" s="3" t="str">
        <f>IFERROR(__xludf.DUMMYFUNCTION("GOOGLETRANSLATE(B979,""id"",""en"")"),"['Stiap', 'Paketan', 'Dihp', 'Live', 'MB', 'DPT', 'SMS', 'Package', 'Emergency', 'Active', 'Activates',' Package ',' Emergency ',' ']")</f>
        <v>['Stiap', 'Paketan', 'Dihp', 'Live', 'MB', 'DPT', 'SMS', 'Package', 'Emergency', 'Active', 'Activates',' Package ',' Emergency ',' ']</v>
      </c>
      <c r="D979" s="3">
        <v>1.0</v>
      </c>
    </row>
    <row r="980" ht="15.75" customHeight="1">
      <c r="A980" s="1">
        <v>978.0</v>
      </c>
      <c r="B980" s="3" t="s">
        <v>981</v>
      </c>
      <c r="C980" s="3" t="str">
        <f>IFERROR(__xludf.DUMMYFUNCTION("GOOGLETRANSLATE(B980,""id"",""en"")"),"['Limit', 'usage', 'Naturally', 'yaa', 'unlimited', 'pass',' belli ',' package ',' internet ',' sms', 'kayak', 'so', ' Pakek ',' all day ',' Full ',' Delicious', 'Lemmout', 'Unlimited', 'Batesin', 'Disappointed', 'Daach', 'Males',' Pakek ',' Telkomsel ']")</f>
        <v>['Limit', 'usage', 'Naturally', 'yaa', 'unlimited', 'pass',' belli ',' package ',' internet ',' sms', 'kayak', 'so', ' Pakek ',' all day ',' Full ',' Delicious', 'Lemmout', 'Unlimited', 'Batesin', 'Disappointed', 'Daach', 'Males',' Pakek ',' Telkomsel ']</v>
      </c>
      <c r="D980" s="3">
        <v>1.0</v>
      </c>
    </row>
    <row r="981" ht="15.75" customHeight="1">
      <c r="A981" s="1">
        <v>979.0</v>
      </c>
      <c r="B981" s="3" t="s">
        <v>982</v>
      </c>
      <c r="C981" s="3" t="str">
        <f>IFERROR(__xludf.DUMMYFUNCTION("GOOGLETRANSLATE(B981,""id"",""en"")"),"['Disappointed', 'application', 'application', 'petrified', 'because', 'connected', 'LGSG', 'Linkaja', 'complicated', 'filling', 'pulses',' skrg ',' fill in ',' pulses', 'difficult', 'payment', 'application', 'Linkaja', '']")</f>
        <v>['Disappointed', 'application', 'application', 'petrified', 'because', 'connected', 'LGSG', 'Linkaja', 'complicated', 'filling', 'pulses',' skrg ',' fill in ',' pulses', 'difficult', 'payment', 'application', 'Linkaja', '']</v>
      </c>
      <c r="D981" s="3">
        <v>2.0</v>
      </c>
    </row>
    <row r="982" ht="15.75" customHeight="1">
      <c r="A982" s="1">
        <v>980.0</v>
      </c>
      <c r="B982" s="3" t="s">
        <v>983</v>
      </c>
      <c r="C982" s="3" t="str">
        <f>IFERROR(__xludf.DUMMYFUNCTION("GOOGLETRANSLATE(B982,""id"",""en"")"),"['Sis', 'Vertification', 'WhatsApp', 'Facebook', 'Message', 'Vertifiction', 'Enter', 'Make', 'Number', ""]")</f>
        <v>['Sis', 'Vertification', 'WhatsApp', 'Facebook', 'Message', 'Vertifiction', 'Enter', 'Make', 'Number', "]</v>
      </c>
      <c r="D982" s="3">
        <v>1.0</v>
      </c>
    </row>
    <row r="983" ht="15.75" customHeight="1">
      <c r="A983" s="1">
        <v>981.0</v>
      </c>
      <c r="B983" s="3" t="s">
        <v>984</v>
      </c>
      <c r="C983" s="3" t="str">
        <f>IFERROR(__xludf.DUMMYFUNCTION("GOOGLETRANSLATE(B983,""id"",""en"")"),"['The application', 'complications',' the network ',' destroyed ',' hope ',' provider ',' fast ',' forward ',' crowded ',' leave ',' Telkomsel ',' already ',' Rates', 'expensive', 'network', 'relied on', 'reasons',' survive ',' Telkomsel ', ""]")</f>
        <v>['The application', 'complications',' the network ',' destroyed ',' hope ',' provider ',' fast ',' forward ',' crowded ',' leave ',' Telkomsel ',' already ',' Rates', 'expensive', 'network', 'relied on', 'reasons',' survive ',' Telkomsel ', "]</v>
      </c>
      <c r="D983" s="3">
        <v>1.0</v>
      </c>
    </row>
    <row r="984" ht="15.75" customHeight="1">
      <c r="A984" s="1">
        <v>982.0</v>
      </c>
      <c r="B984" s="3" t="s">
        <v>985</v>
      </c>
      <c r="C984" s="3" t="str">
        <f>IFERROR(__xludf.DUMMYFUNCTION("GOOGLETRANSLATE(B984,""id"",""en"")"),"['please', 'manager', 'Telkomsel', 'network', 'collapse', 'signal', 'open', 'game', 'open', 'Instagram', 'application', 'slow', ' Current ',' really ',' dlam ',' improvement ',' how ',' users', 'Telkomsel', 'times',' signal ',' rich ',' gini ',' ask ',' q"&amp;"uota ' , 'Local', 'Abis', 'stay', 'leftover', 'unlimited', 'unlimited', 'smooth']")</f>
        <v>['please', 'manager', 'Telkomsel', 'network', 'collapse', 'signal', 'open', 'game', 'open', 'Instagram', 'application', 'slow', ' Current ',' really ',' dlam ',' improvement ',' how ',' users', 'Telkomsel', 'times',' signal ',' rich ',' gini ',' ask ',' quota ' , 'Local', 'Abis', 'stay', 'leftover', 'unlimited', 'unlimited', 'smooth']</v>
      </c>
      <c r="D984" s="3">
        <v>1.0</v>
      </c>
    </row>
    <row r="985" ht="15.75" customHeight="1">
      <c r="A985" s="1">
        <v>983.0</v>
      </c>
      <c r="B985" s="3" t="s">
        <v>986</v>
      </c>
      <c r="C985" s="3" t="str">
        <f>IFERROR(__xludf.DUMMYFUNCTION("GOOGLETRANSLATE(B985,""id"",""en"")"),"['Love', 'star', 'Telkomsel', 'appreciates',' effort ',' Telkomsel ',' improvement ',' appreciate ',' services', 'Telkomsel', 'private', 'Salama', ' Complaints', 'complaints',' Feel ',' blame ',' Telkomsel ',' Learning ',' sincere ',' forgetting ',' Telko"&amp;"msel ',' forgive ',' move ',' heart ',' repair ' , 'Wait', 'Greetings']")</f>
        <v>['Love', 'star', 'Telkomsel', 'appreciates',' effort ',' Telkomsel ',' improvement ',' appreciate ',' services', 'Telkomsel', 'private', 'Salama', ' Complaints', 'complaints',' Feel ',' blame ',' Telkomsel ',' Learning ',' sincere ',' forgetting ',' Telkomsel ',' forgive ',' move ',' heart ',' repair ' , 'Wait', 'Greetings']</v>
      </c>
      <c r="D985" s="3">
        <v>5.0</v>
      </c>
    </row>
    <row r="986" ht="15.75" customHeight="1">
      <c r="A986" s="1">
        <v>984.0</v>
      </c>
      <c r="B986" s="3" t="s">
        <v>987</v>
      </c>
      <c r="C986" s="3" t="str">
        <f>IFERROR(__xludf.DUMMYFUNCTION("GOOGLETRANSLATE(B986,""id"",""en"")"),"['Want', 'Combo', 'Sakti', 'Unlimited', 'Rich', 'Yesterday', 'Yesterday', 'Delicious',' Quota ',' Main ',' Out ',' Current ',' now ',' quota ',' main ',' run out ',' slow ',' boundary ',' usage ',' normal ',' speed ',' kbps', 'slow', 'super', 'slow' , 'Ye"&amp;"sterday', 'Combo', 'Sakti', 'unlimited', 'wlw even', 'quota', 'main', 'run out', 'tasty', 'open', 'tele', 'google', ' Currently ',' Wlwpun ',' Ngelag ',' Skrg ',' Changed ',' Policy ',' Gabisa ',' Policy ',' Rich ',' Yesterday ', ""]")</f>
        <v>['Want', 'Combo', 'Sakti', 'Unlimited', 'Rich', 'Yesterday', 'Yesterday', 'Delicious',' Quota ',' Main ',' Out ',' Current ',' now ',' quota ',' main ',' run out ',' slow ',' boundary ',' usage ',' normal ',' speed ',' kbps', 'slow', 'super', 'slow' , 'Yesterday', 'Combo', 'Sakti', 'unlimited', 'wlw even', 'quota', 'main', 'run out', 'tasty', 'open', 'tele', 'google', ' Currently ',' Wlwpun ',' Ngelag ',' Skrg ',' Changed ',' Policy ',' Gabisa ',' Policy ',' Rich ',' Yesterday ', "]</v>
      </c>
      <c r="D986" s="3">
        <v>4.0</v>
      </c>
    </row>
    <row r="987" ht="15.75" customHeight="1">
      <c r="A987" s="1">
        <v>985.0</v>
      </c>
      <c r="B987" s="3" t="s">
        <v>988</v>
      </c>
      <c r="C987" s="3" t="str">
        <f>IFERROR(__xludf.DUMMYFUNCTION("GOOGLETRANSLATE(B987,""id"",""en"")"),"['Disappointed', 'APK', 'Telkomsel', 'Open', 'Application', 'Lemot', 'Mulu', 'Network', 'Full', 'Please', 'Fix', 'APK']")</f>
        <v>['Disappointed', 'APK', 'Telkomsel', 'Open', 'Application', 'Lemot', 'Mulu', 'Network', 'Full', 'Please', 'Fix', 'APK']</v>
      </c>
      <c r="D987" s="3">
        <v>2.0</v>
      </c>
    </row>
    <row r="988" ht="15.75" customHeight="1">
      <c r="A988" s="1">
        <v>986.0</v>
      </c>
      <c r="B988" s="3" t="s">
        <v>989</v>
      </c>
      <c r="C988" s="3" t="str">
        <f>IFERROR(__xludf.DUMMYFUNCTION("GOOGLETRANSLATE(B988,""id"",""en"")"),"['network', 'Telkomsel', 'ugly', 'years',' GOLD ',' MEMBER ',' issuing ',' money ',' decent ',' service ',' network ',' Telkomsel ',' deteriorating ',' streaming ',' gaming ',' download ',' fast ',' network ',' stable ',' location ',' connection ',' stem "&amp;"',' indicator ',' network ',' fast ' , 'slow down', 'continues', 'choose', 'service', '']")</f>
        <v>['network', 'Telkomsel', 'ugly', 'years',' GOLD ',' MEMBER ',' issuing ',' money ',' decent ',' service ',' network ',' Telkomsel ',' deteriorating ',' streaming ',' gaming ',' download ',' fast ',' network ',' stable ',' location ',' connection ',' stem ',' indicator ',' network ',' fast ' , 'slow down', 'continues', 'choose', 'service', '']</v>
      </c>
      <c r="D988" s="3">
        <v>1.0</v>
      </c>
    </row>
    <row r="989" ht="15.75" customHeight="1">
      <c r="A989" s="1">
        <v>987.0</v>
      </c>
      <c r="B989" s="3" t="s">
        <v>990</v>
      </c>
      <c r="C989" s="3" t="str">
        <f>IFERROR(__xludf.DUMMYFUNCTION("GOOGLETRANSLATE(B989,""id"",""en"")"),"['min', 'package', 'Jadk', 'Manynya', 'internet', 'local', 'internet', 'local', 'use', 'home', 'work', 'use', ' Region ',' Bandung ',' Card ',' Upgrade ',' Combo ',' Sakti ',' Gerai ',' Grapari ', ""]")</f>
        <v>['min', 'package', 'Jadk', 'Manynya', 'internet', 'local', 'internet', 'local', 'use', 'home', 'work', 'use', ' Region ',' Bandung ',' Card ',' Upgrade ',' Combo ',' Sakti ',' Gerai ',' Grapari ', "]</v>
      </c>
      <c r="D989" s="3">
        <v>3.0</v>
      </c>
    </row>
    <row r="990" ht="15.75" customHeight="1">
      <c r="A990" s="1">
        <v>988.0</v>
      </c>
      <c r="B990" s="3" t="s">
        <v>991</v>
      </c>
      <c r="C990" s="3" t="str">
        <f>IFERROR(__xludf.DUMMYFUNCTION("GOOGLETRANSLATE(B990,""id"",""en"")"),"['The application', 'buy', 'package', 'internet', 'package', 'conference', 'education', 'package', 'internet', 'night', ""]")</f>
        <v>['The application', 'buy', 'package', 'internet', 'package', 'conference', 'education', 'package', 'internet', 'night', "]</v>
      </c>
      <c r="D990" s="3">
        <v>2.0</v>
      </c>
    </row>
    <row r="991" ht="15.75" customHeight="1">
      <c r="A991" s="1">
        <v>989.0</v>
      </c>
      <c r="B991" s="3" t="s">
        <v>992</v>
      </c>
      <c r="C991" s="3" t="str">
        <f>IFERROR(__xludf.DUMMYFUNCTION("GOOGLETRANSLATE(B991,""id"",""en"")"),"['subscription', 'package', 'internet', 'night', 'internet', 'clock', 'strange', 'package', 'night', 'package', 'internet', 'hours',' active ',' because ',' package ',' internet ',' night ',' active ',' Stop ',' package ',' night ',' Telkomsel ',' menu ',"&amp;"' choice ',' stop ' , 'Disappointed', 'Detinent', 'Money', 'Already', 'Expensive', 'Ngecewain']")</f>
        <v>['subscription', 'package', 'internet', 'night', 'internet', 'clock', 'strange', 'package', 'night', 'package', 'internet', 'hours',' active ',' because ',' package ',' internet ',' night ',' active ',' Stop ',' package ',' night ',' Telkomsel ',' menu ',' choice ',' stop ' , 'Disappointed', 'Detinent', 'Money', 'Already', 'Expensive', 'Ngecewain']</v>
      </c>
      <c r="D991" s="3">
        <v>1.0</v>
      </c>
    </row>
    <row r="992" ht="15.75" customHeight="1">
      <c r="A992" s="1">
        <v>990.0</v>
      </c>
      <c r="B992" s="3" t="s">
        <v>993</v>
      </c>
      <c r="C992" s="3" t="str">
        <f>IFERROR(__xludf.DUMMYFUNCTION("GOOGLETRANSLATE(B992,""id"",""en"")"),"['Telkomsel', 'signal', 'slow', 'government', 'gave', 'quota', 'Telkomsel', 'bad', 'signal', 'slow', 'sometimes',' signal ',' Error ',' unfortunate ',' SERBA ',' Online ',' Learning ',' Online ',' Difficult ',' Disappointed ',' Telkomsel ', ""]")</f>
        <v>['Telkomsel', 'signal', 'slow', 'government', 'gave', 'quota', 'Telkomsel', 'bad', 'signal', 'slow', 'sometimes',' signal ',' Error ',' unfortunate ',' SERBA ',' Online ',' Learning ',' Online ',' Difficult ',' Disappointed ',' Telkomsel ', "]</v>
      </c>
      <c r="D992" s="3">
        <v>1.0</v>
      </c>
    </row>
    <row r="993" ht="15.75" customHeight="1">
      <c r="A993" s="1">
        <v>991.0</v>
      </c>
      <c r="B993" s="3" t="s">
        <v>994</v>
      </c>
      <c r="C993" s="3" t="str">
        <f>IFERROR(__xludf.DUMMYFUNCTION("GOOGLETRANSLATE(B993,""id"",""en"")"),"['Network', 'used', 'watch', 'youtube', 'streaming', 'smooth', 'used', 'play', 'game', 'ping', 'stable', 'home', ' The rooms', 'destroyed', 'suggestions',' fix ',' ping ',' love ',' star ']")</f>
        <v>['Network', 'used', 'watch', 'youtube', 'streaming', 'smooth', 'used', 'play', 'game', 'ping', 'stable', 'home', ' The rooms', 'destroyed', 'suggestions',' fix ',' ping ',' love ',' star ']</v>
      </c>
      <c r="D993" s="3">
        <v>3.0</v>
      </c>
    </row>
    <row r="994" ht="15.75" customHeight="1">
      <c r="A994" s="1">
        <v>992.0</v>
      </c>
      <c r="B994" s="3" t="s">
        <v>995</v>
      </c>
      <c r="C994" s="3" t="str">
        <f>IFERROR(__xludf.DUMMYFUNCTION("GOOGLETRANSLATE(B994,""id"",""en"")"),"['people', 'village', 'stay', 'area', 'type', 'operator', 'cellular', 'talk', 'operator', 'cellular', 'expand', 'reach', ' its cellular ',' try ',' consider ',' area ',' village ',' karna ',' telkomsel ',' sell ',' village ',' in the area ',' annoyed ',' "&amp;"Telkomsel ',' the reason ' , 'price', 'quota', 'expensive', 'person', 'village', 'quota', 'unlimited', 'limit', 'application', 'access']")</f>
        <v>['people', 'village', 'stay', 'area', 'type', 'operator', 'cellular', 'talk', 'operator', 'cellular', 'expand', 'reach', ' its cellular ',' try ',' consider ',' area ',' village ',' karna ',' telkomsel ',' sell ',' village ',' in the area ',' annoyed ',' Telkomsel ',' the reason ' , 'price', 'quota', 'expensive', 'person', 'village', 'quota', 'unlimited', 'limit', 'application', 'access']</v>
      </c>
      <c r="D994" s="3">
        <v>1.0</v>
      </c>
    </row>
    <row r="995" ht="15.75" customHeight="1">
      <c r="A995" s="1">
        <v>993.0</v>
      </c>
      <c r="B995" s="3" t="s">
        <v>996</v>
      </c>
      <c r="C995" s="3" t="str">
        <f>IFERROR(__xludf.DUMMYFUNCTION("GOOGLETRANSLATE(B995,""id"",""en"")"),"['Severe', 'the application', 'difficult', 'opened', 'signal', 'error', 'unstable', 'connection', 'signal', 'full', 'network', 'open', ' Application ',' smooth ',' Hadeuhhh ',' ']")</f>
        <v>['Severe', 'the application', 'difficult', 'opened', 'signal', 'error', 'unstable', 'connection', 'signal', 'full', 'network', 'open', ' Application ',' smooth ',' Hadeuhhh ',' ']</v>
      </c>
      <c r="D995" s="3">
        <v>1.0</v>
      </c>
    </row>
    <row r="996" ht="15.75" customHeight="1">
      <c r="A996" s="1">
        <v>994.0</v>
      </c>
      <c r="B996" s="3" t="s">
        <v>997</v>
      </c>
      <c r="C996" s="3" t="str">
        <f>IFERROR(__xludf.DUMMYFUNCTION("GOOGLETRANSLATE(B996,""id"",""en"")"),"['Please', 'Sorry', 'Telkomsel', 'Bagus',' subscribe ',' quota ',' survive ',' a month ',' changed ',' divided ',' mode ',' internet ',' Internet ',' Local ',' Worse ',' Internet ',' Local ',' Activate ',' Region ',' Region ',' Disappointing ',' Thank you"&amp;" ']")</f>
        <v>['Please', 'Sorry', 'Telkomsel', 'Bagus',' subscribe ',' quota ',' survive ',' a month ',' changed ',' divided ',' mode ',' internet ',' Internet ',' Local ',' Worse ',' Internet ',' Local ',' Activate ',' Region ',' Region ',' Disappointing ',' Thank you ']</v>
      </c>
      <c r="D996" s="3">
        <v>1.0</v>
      </c>
    </row>
    <row r="997" ht="15.75" customHeight="1">
      <c r="A997" s="1">
        <v>995.0</v>
      </c>
      <c r="B997" s="3" t="s">
        <v>998</v>
      </c>
      <c r="C997" s="3" t="str">
        <f>IFERROR(__xludf.DUMMYFUNCTION("GOOGLETRANSLATE(B997,""id"",""en"")"),"['Unfortunately', 'Upload', 'Proof', 'Provider', 'Capitalists',' Value ',' Ingi ',' Harm ',' Consumers', 'Installation', 'Package', 'Quota', ' data ',' telephone ',' notification ',' tomorrow ',' day ',' notification ',' package ',' consumer ',' bayu ',' "&amp;"fooled ',' sucking ',' pulses', 'age' , 'junior high school', 'age', 'use', 'Telkomsel', 'please', 'fix', 'service', 'capitalist', 'looks', ""]")</f>
        <v>['Unfortunately', 'Upload', 'Proof', 'Provider', 'Capitalists',' Value ',' Ingi ',' Harm ',' Consumers', 'Installation', 'Package', 'Quota', ' data ',' telephone ',' notification ',' tomorrow ',' day ',' notification ',' package ',' consumer ',' bayu ',' fooled ',' sucking ',' pulses', 'age' , 'junior high school', 'age', 'use', 'Telkomsel', 'please', 'fix', 'service', 'capitalist', 'looks', "]</v>
      </c>
      <c r="D997" s="3">
        <v>1.0</v>
      </c>
    </row>
    <row r="998" ht="15.75" customHeight="1">
      <c r="A998" s="1">
        <v>996.0</v>
      </c>
      <c r="B998" s="3" t="s">
        <v>999</v>
      </c>
      <c r="C998" s="3" t="str">
        <f>IFERROR(__xludf.DUMMYFUNCTION("GOOGLETRANSLATE(B998,""id"",""en"")"),"['', 'Males',' Bat ',' buy ',' quota ',' get ',' then ',' already ',' Abis', 'duration', 'then', 'right', 'Nge ',' Game ',' quota ',' already ',' exhausted ',' just ',' until ',' date ',' segini ',' essence ',' rich ',' that's', 'mah', 'mah', 'Screaming',"&amp;" 'Money', 'People', 'Love', 'Application', 'Raying', 'Telkomsel', '']")</f>
        <v>['', 'Males',' Bat ',' buy ',' quota ',' get ',' then ',' already ',' Abis', 'duration', 'then', 'right', 'Nge ',' Game ',' quota ',' already ',' exhausted ',' just ',' until ',' date ',' segini ',' essence ',' rich ',' that's', 'mah', 'mah', 'Screaming', 'Money', 'People', 'Love', 'Application', 'Raying', 'Telkomsel', '']</v>
      </c>
      <c r="D998" s="3">
        <v>1.0</v>
      </c>
    </row>
    <row r="999" ht="15.75" customHeight="1">
      <c r="A999" s="1">
        <v>997.0</v>
      </c>
      <c r="B999" s="3" t="s">
        <v>1000</v>
      </c>
      <c r="C999" s="3" t="str">
        <f>IFERROR(__xludf.DUMMYFUNCTION("GOOGLETRANSLATE(B999,""id"",""en"")"),"['regret', 'update', 'card', 'hello', 'package', 'expensive', 'network', 'bad', 'network', 'priority', 'what', 'prioritize', ' Access', 'Multimedia', 'use', 'quota', 'unlimited', '']")</f>
        <v>['regret', 'update', 'card', 'hello', 'package', 'expensive', 'network', 'bad', 'network', 'priority', 'what', 'prioritize', ' Access', 'Multimedia', 'use', 'quota', 'unlimited', '']</v>
      </c>
      <c r="D999" s="3">
        <v>1.0</v>
      </c>
    </row>
    <row r="1000" ht="15.75" customHeight="1">
      <c r="A1000" s="1">
        <v>998.0</v>
      </c>
      <c r="B1000" s="3" t="s">
        <v>1001</v>
      </c>
      <c r="C1000" s="3" t="str">
        <f>IFERROR(__xludf.DUMMYFUNCTION("GOOGLETRANSLATE(B1000,""id"",""en"")"),"['Telkomsel', 'postpaid', 'quota', 'expensive', 'wasteful', 'compared to', 'operator', 'price', 'unlimited', 'hr', 'hello', 'hr', ' Abis', 'Ampunnn', 'deh', '']")</f>
        <v>['Telkomsel', 'postpaid', 'quota', 'expensive', 'wasteful', 'compared to', 'operator', 'price', 'unlimited', 'hr', 'hello', 'hr', ' Abis', 'Ampunnn', 'deh', '']</v>
      </c>
      <c r="D1000" s="3">
        <v>3.0</v>
      </c>
    </row>
    <row r="1001" ht="15.75" customHeight="1">
      <c r="A1001" s="1">
        <v>999.0</v>
      </c>
      <c r="B1001" s="3" t="s">
        <v>1002</v>
      </c>
      <c r="C1001" s="3" t="str">
        <f>IFERROR(__xludf.DUMMYFUNCTION("GOOGLETRANSLATE(B1001,""id"",""en"")"),"['Please', 'repair', 'Telkomsel', 'buy', 'quota', 'watch', 'film', 'iFlix', 'reduced', 'package', 'main', 'package', ' specifically ',' watch ',' film ',' please ',' repaired ',' ']")</f>
        <v>['Please', 'repair', 'Telkomsel', 'buy', 'quota', 'watch', 'film', 'iFlix', 'reduced', 'package', 'main', 'package', ' specifically ',' watch ',' film ',' please ',' repaired ',' ']</v>
      </c>
      <c r="D1001" s="3">
        <v>1.0</v>
      </c>
    </row>
    <row r="1002" ht="15.75" customHeight="1">
      <c r="A1002" s="1">
        <v>1000.0</v>
      </c>
      <c r="B1002" s="3" t="s">
        <v>1003</v>
      </c>
      <c r="C1002" s="3" t="str">
        <f>IFERROR(__xludf.DUMMYFUNCTION("GOOGLETRANSLATE(B1002,""id"",""en"")"),"['just', 'unlimited', 'max', 'severe', 'open', 'status',' open ',' yesterday ',' gini ',' min ',' try ',' explained ',' why ',' here ',' ugly ',' Min ',' Telkomsel ',' UDH ',' Min ',' Mhon ',' repay ',' Min ', ""]")</f>
        <v>['just', 'unlimited', 'max', 'severe', 'open', 'status',' open ',' yesterday ',' gini ',' min ',' try ',' explained ',' why ',' here ',' ugly ',' Min ',' Telkomsel ',' UDH ',' Min ',' Mhon ',' repay ',' Min ', "]</v>
      </c>
      <c r="D1002" s="3">
        <v>1.0</v>
      </c>
    </row>
    <row r="1003" ht="15.75" customHeight="1">
      <c r="A1003" s="1">
        <v>1001.0</v>
      </c>
      <c r="B1003" s="3" t="s">
        <v>1004</v>
      </c>
      <c r="C1003" s="3" t="str">
        <f>IFERROR(__xludf.DUMMYFUNCTION("GOOGLETRANSLATE(B1003,""id"",""en"")"),"['wahh', 'severe', 'package', 'unlimited', 'quota', 'limit', 'limit', 'ngeluarin', 'unlimited', 'quota', 'limit', 'buy', ' expensive ',' expensive ',' tricked ',' tomorrow ',' tomorrow ',' ngeluarin ',' unlimited ',' limited ',' disappointed ',' parahh ',"&amp;" ""]")</f>
        <v>['wahh', 'severe', 'package', 'unlimited', 'quota', 'limit', 'limit', 'ngeluarin', 'unlimited', 'quota', 'limit', 'buy', ' expensive ',' expensive ',' tricked ',' tomorrow ',' tomorrow ',' ngeluarin ',' unlimited ',' limited ',' disappointed ',' parahh ', "]</v>
      </c>
      <c r="D1003" s="3">
        <v>1.0</v>
      </c>
    </row>
    <row r="1004" ht="15.75" customHeight="1">
      <c r="A1004" s="1">
        <v>1002.0</v>
      </c>
      <c r="B1004" s="3" t="s">
        <v>1005</v>
      </c>
      <c r="C1004" s="3" t="str">
        <f>IFERROR(__xludf.DUMMYFUNCTION("GOOGLETRANSLATE(B1004,""id"",""en"")"),"['', 'slow', 'really', 'access',' youtube ',' difficult ',' tiktok ',' dowload ',' slow ',' speed ',' how ',' check ',' quota ',' week ',' data ',' life ',' play ',' game ',' online ',' right ',' check ',' quota ',' tetep ',' friend ',' hotspot ', 'check'"&amp;", 'quota', 'Telkomsel', 'already', 'broken', 'how', 'Please', 'explanation', '']")</f>
        <v>['', 'slow', 'really', 'access',' youtube ',' difficult ',' tiktok ',' dowload ',' slow ',' speed ',' how ',' check ',' quota ',' week ',' data ',' life ',' play ',' game ',' online ',' right ',' check ',' quota ',' tetep ',' friend ',' hotspot ', 'check', 'quota', 'Telkomsel', 'already', 'broken', 'how', 'Please', 'explanation', '']</v>
      </c>
      <c r="D1004" s="3">
        <v>1.0</v>
      </c>
    </row>
    <row r="1005" ht="15.75" customHeight="1">
      <c r="A1005" s="1">
        <v>1003.0</v>
      </c>
      <c r="B1005" s="3" t="s">
        <v>1006</v>
      </c>
      <c r="C1005" s="3" t="str">
        <f>IFERROR(__xludf.DUMMYFUNCTION("GOOGLETRANSLATE(B1005,""id"",""en"")"),"['Please', 'The network', 'Benerin', 'expensive', 'Paketan', 'Network', 'Stable', 'Perdikan', 'Bad']")</f>
        <v>['Please', 'The network', 'Benerin', 'expensive', 'Paketan', 'Network', 'Stable', 'Perdikan', 'Bad']</v>
      </c>
      <c r="D1005" s="3">
        <v>1.0</v>
      </c>
    </row>
    <row r="1006" ht="15.75" customHeight="1">
      <c r="A1006" s="1">
        <v>1004.0</v>
      </c>
      <c r="B1006" s="3" t="s">
        <v>1007</v>
      </c>
      <c r="C1006" s="3" t="str">
        <f>IFERROR(__xludf.DUMMYFUNCTION("GOOGLETRANSLATE(B1006,""id"",""en"")"),"['Horee', 'signal', 'deteriorated', 'really', 'many', 'report', 'Macem', 'Please', 'be patient', 'hahahhaha', 'provider', 'care', ' Customer ',' yaa ',' kayak ',' gini ']")</f>
        <v>['Horee', 'signal', 'deteriorated', 'really', 'many', 'report', 'Macem', 'Please', 'be patient', 'hahahhaha', 'provider', 'care', ' Customer ',' yaa ',' kayak ',' gini ']</v>
      </c>
      <c r="D1006" s="3">
        <v>1.0</v>
      </c>
    </row>
    <row r="1007" ht="15.75" customHeight="1">
      <c r="A1007" s="1">
        <v>1005.0</v>
      </c>
      <c r="B1007" s="3" t="s">
        <v>1008</v>
      </c>
      <c r="C1007" s="3" t="str">
        <f>IFERROR(__xludf.DUMMYFUNCTION("GOOGLETRANSLATE(B1007,""id"",""en"")"),"['package', 'internet', 'night', 'price', 'different', 'description', 'price', 'right', 'buy', 'according to', 'appears',' price ',' Please, 'Update', 'The Info', '']")</f>
        <v>['package', 'internet', 'night', 'price', 'different', 'description', 'price', 'right', 'buy', 'according to', 'appears',' price ',' Please, 'Update', 'The Info', '']</v>
      </c>
      <c r="D1007" s="3">
        <v>2.0</v>
      </c>
    </row>
    <row r="1008" ht="15.75" customHeight="1">
      <c r="A1008" s="1">
        <v>1006.0</v>
      </c>
      <c r="B1008" s="3" t="s">
        <v>1009</v>
      </c>
      <c r="C1008" s="3" t="str">
        <f>IFERROR(__xludf.DUMMYFUNCTION("GOOGLETRANSLATE(B1008,""id"",""en"")"),"['Please', 'Sorry', 'criticism', 'polite', 'sayamohon', 'telkomsel', 'kalok', 'tuker', 'coin', 'package', 'pulse', 'because', ' detrimental ',' example ',' right ',' coin ',' then ',' pulse ',' run out ',' functioning ',' please ',' request ']")</f>
        <v>['Please', 'Sorry', 'criticism', 'polite', 'sayamohon', 'telkomsel', 'kalok', 'tuker', 'coin', 'package', 'pulse', 'because', ' detrimental ',' example ',' right ',' coin ',' then ',' pulse ',' run out ',' functioning ',' please ',' request ']</v>
      </c>
      <c r="D1008" s="3">
        <v>3.0</v>
      </c>
    </row>
    <row r="1009" ht="15.75" customHeight="1">
      <c r="A1009" s="1">
        <v>1007.0</v>
      </c>
      <c r="B1009" s="3" t="s">
        <v>1010</v>
      </c>
      <c r="C1009" s="3" t="str">
        <f>IFERROR(__xludf.DUMMYFUNCTION("GOOGLETRANSLATE(B1009,""id"",""en"")"),"['Severe', 'Network', 'Game', 'Online', 'Haeus',' Clock ',' Malem ',' Current ',' Quota ',' Expensive ',' Saringan ',' According to ',' Love ',' Bintang ',' ']")</f>
        <v>['Severe', 'Network', 'Game', 'Online', 'Haeus',' Clock ',' Malem ',' Current ',' Quota ',' Expensive ',' Saringan ',' According to ',' Love ',' Bintang ',' ']</v>
      </c>
      <c r="D1009" s="3">
        <v>3.0</v>
      </c>
    </row>
    <row r="1010" ht="15.75" customHeight="1">
      <c r="A1010" s="1">
        <v>1008.0</v>
      </c>
      <c r="B1010" s="3" t="s">
        <v>1011</v>
      </c>
      <c r="C1010" s="3" t="str">
        <f>IFERROR(__xludf.DUMMYFUNCTION("GOOGLETRANSLATE(B1010,""id"",""en"")"),"['Network', 'mess',' fees', 'karuan', 'contents',' pulse ',' pulse ',' chopped ',' hose ',' pdhal ',' package ',' msh ',' network ',' threat ',' crazy ',' check ',' pulse ',' package ',' difficult ',' maen ',' drained ',' pulse ',' activation ',' package "&amp;"',' do ' , 'Many', 'times',' active ',' active ',' package ',' internet ',' nyedot ',' pulse ',' package ',' cave ',' woi ',' cave ',' use ',' package ',' afternoon ',' suck ',' pulse ',' price ',' cheap ',' expensive ',' ']")</f>
        <v>['Network', 'mess',' fees', 'karuan', 'contents',' pulse ',' pulse ',' chopped ',' hose ',' pdhal ',' package ',' msh ',' network ',' threat ',' crazy ',' check ',' pulse ',' package ',' difficult ',' maen ',' drained ',' pulse ',' activation ',' package ',' do ' , 'Many', 'times',' active ',' active ',' package ',' internet ',' nyedot ',' pulse ',' package ',' cave ',' woi ',' cave ',' use ',' package ',' afternoon ',' suck ',' pulse ',' price ',' cheap ',' expensive ',' ']</v>
      </c>
      <c r="D1010" s="3">
        <v>1.0</v>
      </c>
    </row>
    <row r="1011" ht="15.75" customHeight="1">
      <c r="A1011" s="1">
        <v>1009.0</v>
      </c>
      <c r="B1011" s="3" t="s">
        <v>1012</v>
      </c>
      <c r="C1011" s="3" t="str">
        <f>IFERROR(__xludf.DUMMYFUNCTION("GOOGLETRANSLATE(B1011,""id"",""en"")"),"['sympathy', 'error', 'klu', 'pingin', 'believe', 'user', 'please', 'fix', 'little', 'error', 'expensive']")</f>
        <v>['sympathy', 'error', 'klu', 'pingin', 'believe', 'user', 'please', 'fix', 'little', 'error', 'expensive']</v>
      </c>
      <c r="D1011" s="3">
        <v>1.0</v>
      </c>
    </row>
    <row r="1012" ht="15.75" customHeight="1">
      <c r="A1012" s="1">
        <v>1010.0</v>
      </c>
      <c r="B1012" s="3" t="s">
        <v>1013</v>
      </c>
      <c r="C1012" s="3" t="str">
        <f>IFERROR(__xludf.DUMMYFUNCTION("GOOGLETRANSLATE(B1012,""id"",""en"")"),"['application', 'heavy', 'need', 'loading', 'second', 'minute', 'and then', 'success',' confirm ',' phone ',' reset ',' network ',' Telkomsel ',' bad ',' Recommend ',' Play ',' Games', 'Online', 'Price', 'Quota', 'Network', 'Down', 'Proud of', ""]")</f>
        <v>['application', 'heavy', 'need', 'loading', 'second', 'minute', 'and then', 'success',' confirm ',' phone ',' reset ',' network ',' Telkomsel ',' bad ',' Recommend ',' Play ',' Games', 'Online', 'Price', 'Quota', 'Network', 'Down', 'Proud of', "]</v>
      </c>
      <c r="D1012" s="3">
        <v>1.0</v>
      </c>
    </row>
    <row r="1013" ht="15.75" customHeight="1">
      <c r="A1013" s="1">
        <v>1011.0</v>
      </c>
      <c r="B1013" s="3" t="s">
        <v>1014</v>
      </c>
      <c r="C1013" s="3" t="str">
        <f>IFERROR(__xludf.DUMMYFUNCTION("GOOGLETRANSLATE(B1013,""id"",""en"")"),"['Disappointed', 'Package', 'Combo', 'Sakti', 'Disappointing', 'Karna', 'Package', 'Unlimited', 'Already', 'Main', 'Game', 'Missing', ' Customers', 'loyal', 'Telkomsel', '']")</f>
        <v>['Disappointed', 'Package', 'Combo', 'Sakti', 'Disappointing', 'Karna', 'Package', 'Unlimited', 'Already', 'Main', 'Game', 'Missing', ' Customers', 'loyal', 'Telkomsel', '']</v>
      </c>
      <c r="D1013" s="3">
        <v>1.0</v>
      </c>
    </row>
    <row r="1014" ht="15.75" customHeight="1">
      <c r="A1014" s="1">
        <v>1012.0</v>
      </c>
      <c r="B1014" s="3" t="s">
        <v>1015</v>
      </c>
      <c r="C1014" s="3" t="str">
        <f>IFERROR(__xludf.DUMMYFUNCTION("GOOGLETRANSLATE(B1014,""id"",""en"")"),"['Telkomsel', 'please', 'appreciate', 'user', 'package', 'all-round', 'expensive', 'network', 'invited', 'work', 'user', 'choice' package ',' cheap ',' difficult ',' difficult ',' contents', 'pulse', 'buy', 'package', 'network', 'supports',' ']")</f>
        <v>['Telkomsel', 'please', 'appreciate', 'user', 'package', 'all-round', 'expensive', 'network', 'invited', 'work', 'user', 'choice' package ',' cheap ',' difficult ',' difficult ',' contents', 'pulse', 'buy', 'package', 'network', 'supports',' ']</v>
      </c>
      <c r="D1014" s="3">
        <v>1.0</v>
      </c>
    </row>
    <row r="1015" ht="15.75" customHeight="1">
      <c r="A1015" s="1">
        <v>1013.0</v>
      </c>
      <c r="B1015" s="3" t="s">
        <v>1016</v>
      </c>
      <c r="C1015" s="3" t="str">
        <f>IFERROR(__xludf.DUMMYFUNCTION("GOOGLETRANSLATE(B1015,""id"",""en"")"),"['Should', 'replace', 'provider', 'slow', 'forgiveness',' used to ',' mainstay ',' stay ',' memory ',' pdhal ',' hold ',' loyal ',' Telkomsel ',' Gini ',' ']")</f>
        <v>['Should', 'replace', 'provider', 'slow', 'forgiveness',' used to ',' mainstay ',' stay ',' memory ',' pdhal ',' hold ',' loyal ',' Telkomsel ',' Gini ',' ']</v>
      </c>
      <c r="D1015" s="3">
        <v>1.0</v>
      </c>
    </row>
    <row r="1016" ht="15.75" customHeight="1">
      <c r="A1016" s="1">
        <v>1014.0</v>
      </c>
      <c r="B1016" s="3" t="s">
        <v>1017</v>
      </c>
      <c r="C1016" s="3" t="str">
        <f>IFERROR(__xludf.DUMMYFUNCTION("GOOGLETRANSLATE(B1016,""id"",""en"")"),"['lier', 'buy', 'package', 'Telkomsel', 'unlimited', 'quota', 'main', 'dead', 'slow', 'buy', 'fear', 'really' Loss', 'Luh', 'Telkomsel', 'battered', 'battered', 'battered', 'battered', 'Sue', 'Sue', 'Luh', ""]")</f>
        <v>['lier', 'buy', 'package', 'Telkomsel', 'unlimited', 'quota', 'main', 'dead', 'slow', 'buy', 'fear', 'really' Loss', 'Luh', 'Telkomsel', 'battered', 'battered', 'battered', 'battered', 'Sue', 'Sue', 'Luh', "]</v>
      </c>
      <c r="D1016" s="3">
        <v>1.0</v>
      </c>
    </row>
    <row r="1017" ht="15.75" customHeight="1">
      <c r="A1017" s="1">
        <v>1015.0</v>
      </c>
      <c r="B1017" s="3" t="s">
        <v>1018</v>
      </c>
      <c r="C1017" s="3" t="str">
        <f>IFERROR(__xludf.DUMMYFUNCTION("GOOGLETRANSLATE(B1017,""id"",""en"")"),"['menu', 'shopping', 'list', 'menu', 'package', 'different', 'application', 'sister', 'package', 'extra', 'unlimited', 'so "" Application ',' Please ',' Telkomsel ',' Lebensed ',' TKS ']")</f>
        <v>['menu', 'shopping', 'list', 'menu', 'package', 'different', 'application', 'sister', 'package', 'extra', 'unlimited', 'so " Application ',' Please ',' Telkomsel ',' Lebensed ',' TKS ']</v>
      </c>
      <c r="D1017" s="3">
        <v>1.0</v>
      </c>
    </row>
    <row r="1018" ht="15.75" customHeight="1">
      <c r="A1018" s="1">
        <v>1016.0</v>
      </c>
      <c r="B1018" s="3" t="s">
        <v>1019</v>
      </c>
      <c r="C1018" s="3" t="str">
        <f>IFERROR(__xludf.DUMMYFUNCTION("GOOGLETRANSLATE(B1018,""id"",""en"")"),"['Sorry', 'Signal', 'Telkomsel', 'ugly', 'Kirain', 'Package', 'Out', 'Fill', 'Already', 'Mutar', 'Mute', ' Use ',' Tri ',' Good ',' Sousal ',' Disappointed ',' Network ',' Telkomsel ',' Please ',' Fix ',' Customer ',' Satisfied ', ""]")</f>
        <v>['Sorry', 'Signal', 'Telkomsel', 'ugly', 'Kirain', 'Package', 'Out', 'Fill', 'Already', 'Mutar', 'Mute', ' Use ',' Tri ',' Good ',' Sousal ',' Disappointed ',' Network ',' Telkomsel ',' Please ',' Fix ',' Customer ',' Satisfied ', "]</v>
      </c>
      <c r="D1018" s="3">
        <v>1.0</v>
      </c>
    </row>
    <row r="1019" ht="15.75" customHeight="1">
      <c r="A1019" s="1">
        <v>1017.0</v>
      </c>
      <c r="B1019" s="3" t="s">
        <v>1020</v>
      </c>
      <c r="C1019" s="3" t="str">
        <f>IFERROR(__xludf.DUMMYFUNCTION("GOOGLETRANSLATE(B1019,""id"",""en"")"),"['UDH', 'Package', 'Data', 'MB', 'Sampe', 'Night', 'Pulse', 'Abis',' Cut ',' Notification ',' SMS ',' Worn ',' rates', 'non', 'package', 'Telkomsel', 'knpa', 'take', 'credit', 'mulu', 'lazy', 'contents',' reset ',' pulse ',' gini ' , 'Try', 'Benerin', 'Ap"&amp;"plication', 'now', 'msh', 'leftover', 'package', 'MB', 'Season', 'Pisan', 'Benerin', 'Turned', ' pulse ',' me ']")</f>
        <v>['UDH', 'Package', 'Data', 'MB', 'Sampe', 'Night', 'Pulse', 'Abis',' Cut ',' Notification ',' SMS ',' Worn ',' rates', 'non', 'package', 'Telkomsel', 'knpa', 'take', 'credit', 'mulu', 'lazy', 'contents',' reset ',' pulse ',' gini ' , 'Try', 'Benerin', 'Application', 'now', 'msh', 'leftover', 'package', 'MB', 'Season', 'Pisan', 'Benerin', 'Turned', ' pulse ',' me ']</v>
      </c>
      <c r="D1019" s="3">
        <v>1.0</v>
      </c>
    </row>
    <row r="1020" ht="15.75" customHeight="1">
      <c r="A1020" s="1">
        <v>1018.0</v>
      </c>
      <c r="B1020" s="3" t="s">
        <v>1021</v>
      </c>
      <c r="C1020" s="3" t="str">
        <f>IFERROR(__xludf.DUMMYFUNCTION("GOOGLETRANSLATE(B1020,""id"",""en"")"),"['disappointing', 'network', 'Telkomsel', 'just', 'network', 'extensive', 'reach', 'edge', 'please', 'increase', 'network', 'good']")</f>
        <v>['disappointing', 'network', 'Telkomsel', 'just', 'network', 'extensive', 'reach', 'edge', 'please', 'increase', 'network', 'good']</v>
      </c>
      <c r="D1020" s="3">
        <v>1.0</v>
      </c>
    </row>
    <row r="1021" ht="15.75" customHeight="1">
      <c r="A1021" s="1">
        <v>1019.0</v>
      </c>
      <c r="B1021" s="3" t="s">
        <v>1022</v>
      </c>
      <c r="C1021" s="3" t="str">
        <f>IFERROR(__xludf.DUMMYFUNCTION("GOOGLETRANSLATE(B1021,""id"",""en"")"),"['repeated', 'times',' pulse ',' sumps', 'sekekahin', 'Telkomsel', 'love', 'vitur', 'cut', 'pulse', 'quota', 'out', ' company ',' big ',' mentally ',' steal ',' example ',' axis', 'cheap', 'cheap', 'vitur', 'Stop', 'quota', 'finished', 'sucked' , 'pulse',"&amp;" 'yes', '']")</f>
        <v>['repeated', 'times',' pulse ',' sumps', 'sekekahin', 'Telkomsel', 'love', 'vitur', 'cut', 'pulse', 'quota', 'out', ' company ',' big ',' mentally ',' steal ',' example ',' axis', 'cheap', 'cheap', 'vitur', 'Stop', 'quota', 'finished', 'sucked' , 'pulse', 'yes', '']</v>
      </c>
      <c r="D1021" s="3">
        <v>1.0</v>
      </c>
    </row>
    <row r="1022" ht="15.75" customHeight="1">
      <c r="A1022" s="1">
        <v>1020.0</v>
      </c>
      <c r="B1022" s="3" t="s">
        <v>1023</v>
      </c>
      <c r="C1022" s="3" t="str">
        <f>IFERROR(__xludf.DUMMYFUNCTION("GOOGLETRANSLATE(B1022,""id"",""en"")"),"['Fly', 'already', 'check', 'Cape', 'Nungguberhari', 'turn', 'Claim', 'Free', 'quota', 'bonus',' told ',' Try ',' Turning ',' Try ',' Claim ',' ']")</f>
        <v>['Fly', 'already', 'check', 'Cape', 'Nungguberhari', 'turn', 'Claim', 'Free', 'quota', 'bonus',' told ',' Try ',' Turning ',' Try ',' Claim ',' ']</v>
      </c>
      <c r="D1022" s="3">
        <v>1.0</v>
      </c>
    </row>
    <row r="1023" ht="15.75" customHeight="1">
      <c r="A1023" s="1">
        <v>1021.0</v>
      </c>
      <c r="B1023" s="3" t="s">
        <v>1024</v>
      </c>
      <c r="C1023" s="3" t="str">
        <f>IFERROR(__xludf.DUMMYFUNCTION("GOOGLETRANSLATE(B1023,""id"",""en"")"),"['', 'Telkomsel', 'package', 'run out', 'date', 'yesterday', 'automatic', 'package', 'unlimitid', 'out', 'contents',' pket ',' term ',' Sya ',' buy ',' package ',' unlimitid ',' right ',' package ',' unlimitid ',' run out ',' date ',' barengan ',' package"&amp;" ',' yesterday ', 'Solution', 'Harm']")</f>
        <v>['', 'Telkomsel', 'package', 'run out', 'date', 'yesterday', 'automatic', 'package', 'unlimitid', 'out', 'contents',' pket ',' term ',' Sya ',' buy ',' package ',' unlimitid ',' right ',' package ',' unlimitid ',' run out ',' date ',' barengan ',' package ',' yesterday ', 'Solution', 'Harm']</v>
      </c>
      <c r="D1023" s="3">
        <v>1.0</v>
      </c>
    </row>
    <row r="1024" ht="15.75" customHeight="1">
      <c r="A1024" s="1">
        <v>1022.0</v>
      </c>
      <c r="B1024" s="3" t="s">
        <v>1025</v>
      </c>
      <c r="C1024" s="3" t="str">
        <f>IFERROR(__xludf.DUMMYFUNCTION("GOOGLETRANSLATE(B1024,""id"",""en"")"),"['quota', 'network', 'lemooot', 'ngalain', 'provider', 'next door', 'position', 'ane', 'panongan', 'image', 'raya', 'deliberate', ' replace ',' number ',' Telkomsel ',' work ',' a day ',' need ',' network ',' stable ',' open ',' page ',' main ',' gmail ',"&amp;"' need ' , 'Military', 'Telkomsel', 'Win', 'name', '']")</f>
        <v>['quota', 'network', 'lemooot', 'ngalain', 'provider', 'next door', 'position', 'ane', 'panongan', 'image', 'raya', 'deliberate', ' replace ',' number ',' Telkomsel ',' work ',' a day ',' need ',' network ',' stable ',' open ',' page ',' main ',' gmail ',' need ' , 'Military', 'Telkomsel', 'Win', 'name', '']</v>
      </c>
      <c r="D1024" s="3">
        <v>1.0</v>
      </c>
    </row>
    <row r="1025" ht="15.75" customHeight="1">
      <c r="A1025" s="1">
        <v>1023.0</v>
      </c>
      <c r="B1025" s="3" t="s">
        <v>1026</v>
      </c>
      <c r="C1025" s="3" t="str">
        <f>IFERROR(__xludf.DUMMYFUNCTION("GOOGLETRANSLATE(B1025,""id"",""en"")"),"['signal', 'sympathy', 'severe', 'good', 'really', 'signal', 'sympathy', 'skrang', 'ugly', 'really', 'udeh', 'so', ' Paketan ',' Please ',' Fix ',' Signal ',' Streaming ',' Limit ',' Skrang ',' Limit ',' Moving ',' Raying ',' Card ',' Sympathy ',' Custome"&amp;"r ' , 'Feel', 'feel', 'area', 'pole', 'mix', 'pole']")</f>
        <v>['signal', 'sympathy', 'severe', 'good', 'really', 'signal', 'sympathy', 'skrang', 'ugly', 'really', 'udeh', 'so', ' Paketan ',' Please ',' Fix ',' Signal ',' Streaming ',' Limit ',' Skrang ',' Limit ',' Moving ',' Raying ',' Card ',' Sympathy ',' Customer ' , 'Feel', 'feel', 'area', 'pole', 'mix', 'pole']</v>
      </c>
      <c r="D1025" s="3">
        <v>1.0</v>
      </c>
    </row>
    <row r="1026" ht="15.75" customHeight="1">
      <c r="A1026" s="1">
        <v>1024.0</v>
      </c>
      <c r="B1026" s="3" t="s">
        <v>1027</v>
      </c>
      <c r="C1026" s="3" t="str">
        <f>IFERROR(__xludf.DUMMYFUNCTION("GOOGLETRANSLATE(B1026,""id"",""en"")"),"['Please', 'Sorry', 'Rare', 'Love', 'Review', 'Times',' Business', 'Buy', 'Package', 'Unlimited', 'Current', 'Internet', ' slow ',' signal ',' good ',' please ',' fix ',' bnayka ',' customer ',' switch ',' neighbor ']")</f>
        <v>['Please', 'Sorry', 'Rare', 'Love', 'Review', 'Times',' Business', 'Buy', 'Package', 'Unlimited', 'Current', 'Internet', ' slow ',' signal ',' good ',' please ',' fix ',' bnayka ',' customer ',' switch ',' neighbor ']</v>
      </c>
      <c r="D1026" s="3">
        <v>1.0</v>
      </c>
    </row>
    <row r="1027" ht="15.75" customHeight="1">
      <c r="A1027" s="1">
        <v>1025.0</v>
      </c>
      <c r="B1027" s="3" t="s">
        <v>1028</v>
      </c>
      <c r="C1027" s="3" t="str">
        <f>IFERROR(__xludf.DUMMYFUNCTION("GOOGLETRANSLATE(B1027,""id"",""en"")"),"['Good', 'card', 'Service', 'Please', 'Telkomsel', 'Quota', 'Unlimited', 'Application', 'FUP', 'FUP', 'Quota', 'Main', ' Has', 'Fup', 'Naturally', 'Quota', 'App']")</f>
        <v>['Good', 'card', 'Service', 'Please', 'Telkomsel', 'Quota', 'Unlimited', 'Application', 'FUP', 'FUP', 'Quota', 'Main', ' Has', 'Fup', 'Naturally', 'Quota', 'App']</v>
      </c>
      <c r="D1027" s="3">
        <v>4.0</v>
      </c>
    </row>
    <row r="1028" ht="15.75" customHeight="1">
      <c r="A1028" s="1">
        <v>1026.0</v>
      </c>
      <c r="B1028" s="3" t="s">
        <v>1029</v>
      </c>
      <c r="C1028" s="3" t="str">
        <f>IFERROR(__xludf.DUMMYFUNCTION("GOOGLETRANSLATE(B1028,""id"",""en"")"),"['Disappointed', 'Telkomsel', 'price', 'package', 'expensive', 'package', 'take', 'please', 'less', 'pliss', 'fix', '']")</f>
        <v>['Disappointed', 'Telkomsel', 'price', 'package', 'expensive', 'package', 'take', 'please', 'less', 'pliss', 'fix', '']</v>
      </c>
      <c r="D1028" s="3">
        <v>1.0</v>
      </c>
    </row>
    <row r="1029" ht="15.75" customHeight="1">
      <c r="A1029" s="1">
        <v>1027.0</v>
      </c>
      <c r="B1029" s="3" t="s">
        <v>1030</v>
      </c>
      <c r="C1029" s="3" t="str">
        <f>IFERROR(__xludf.DUMMYFUNCTION("GOOGLETRANSLATE(B1029,""id"",""en"")"),"['disappointing', 'Embed', 'package', 'unlimited', 'used', 'yes',' unlimited ',' kbps', 'loading', 'loading', 'switch', 'provider', ' ']")</f>
        <v>['disappointing', 'Embed', 'package', 'unlimited', 'used', 'yes',' unlimited ',' kbps', 'loading', 'loading', 'switch', 'provider', ' ']</v>
      </c>
      <c r="D1029" s="3">
        <v>1.0</v>
      </c>
    </row>
    <row r="1030" ht="15.75" customHeight="1">
      <c r="A1030" s="1">
        <v>1028.0</v>
      </c>
      <c r="B1030" s="3" t="s">
        <v>1031</v>
      </c>
      <c r="C1030" s="3" t="str">
        <f>IFERROR(__xludf.DUMMYFUNCTION("GOOGLETRANSLATE(B1030,""id"",""en"")"),"['Come', 'price', 'Telkomsel', 'Change', 'card', 'end', 'promo', 'user', 'ride', 'price', 'quota', 'reduced', ' haduhhhh ',' what ',' sihhh ']")</f>
        <v>['Come', 'price', 'Telkomsel', 'Change', 'card', 'end', 'promo', 'user', 'ride', 'price', 'quota', 'reduced', ' haduhhhh ',' what ',' sihhh ']</v>
      </c>
      <c r="D1030" s="3">
        <v>1.0</v>
      </c>
    </row>
    <row r="1031" ht="15.75" customHeight="1">
      <c r="A1031" s="1">
        <v>1029.0</v>
      </c>
      <c r="B1031" s="3" t="s">
        <v>1032</v>
      </c>
      <c r="C1031" s="3" t="str">
        <f>IFERROR(__xludf.DUMMYFUNCTION("GOOGLETRANSLATE(B1031,""id"",""en"")"),"['Plis',' operator ',' fix ',' signal ',' already ',' user ',' tsel ',' signal ',' ngeblank ',' bls', 'then', 'told', ' Masok ',' JLS ',' Fix ',' Disappointed ',' Thank ',' Love ']")</f>
        <v>['Plis',' operator ',' fix ',' signal ',' already ',' user ',' tsel ',' signal ',' ngeblank ',' bls', 'then', 'told', ' Masok ',' JLS ',' Fix ',' Disappointed ',' Thank ',' Love ']</v>
      </c>
      <c r="D1031" s="3">
        <v>1.0</v>
      </c>
    </row>
    <row r="1032" ht="15.75" customHeight="1">
      <c r="A1032" s="1">
        <v>1030.0</v>
      </c>
      <c r="B1032" s="3" t="s">
        <v>1033</v>
      </c>
      <c r="C1032" s="3" t="str">
        <f>IFERROR(__xludf.DUMMYFUNCTION("GOOGLETRANSLATE(B1032,""id"",""en"")"),"['price', 'kouta', 'expensive', 'network', 'slow', 'come on', 'return', 'telkomsel', 'listen', 'fix', 'complained', 'customer', ' disappointing', '']")</f>
        <v>['price', 'kouta', 'expensive', 'network', 'slow', 'come on', 'return', 'telkomsel', 'listen', 'fix', 'complained', 'customer', ' disappointing', '']</v>
      </c>
      <c r="D1032" s="3">
        <v>1.0</v>
      </c>
    </row>
    <row r="1033" ht="15.75" customHeight="1">
      <c r="A1033" s="1">
        <v>1031.0</v>
      </c>
      <c r="B1033" s="3" t="s">
        <v>1034</v>
      </c>
      <c r="C1033" s="3" t="str">
        <f>IFERROR(__xludf.DUMMYFUNCTION("GOOGLETRANSLATE(B1033,""id"",""en"")"),"['users',' Telkomsel ',' down ',' degrees', 'application', 'ugly', 'package', 'gonta', 'change', 'network', 'weak', 'internet', ' stable ',' expensive ',' price ',' ngeapain ',' Telkomsel ',' already ',' moved ',' cheap ',' easy ',' network ',' strong ','"&amp;" Telkomsel ',' waste ' , 'The card', '']")</f>
        <v>['users',' Telkomsel ',' down ',' degrees', 'application', 'ugly', 'package', 'gonta', 'change', 'network', 'weak', 'internet', ' stable ',' expensive ',' price ',' ngeapain ',' Telkomsel ',' already ',' moved ',' cheap ',' easy ',' network ',' strong ',' Telkomsel ',' waste ' , 'The card', '']</v>
      </c>
      <c r="D1033" s="3">
        <v>1.0</v>
      </c>
    </row>
    <row r="1034" ht="15.75" customHeight="1">
      <c r="A1034" s="1">
        <v>1032.0</v>
      </c>
      <c r="B1034" s="3" t="s">
        <v>1035</v>
      </c>
      <c r="C1034" s="3" t="str">
        <f>IFERROR(__xludf.DUMMYFUNCTION("GOOGLETRANSLATE(B1034,""id"",""en"")"),"['Severe', 'signal', 'good', 'appreciates',' user ',' loyal ',' Telkomsel ',' package ',' price ',' expensive ',' package ',' promo ',' Useful ',' card ',' fair ']")</f>
        <v>['Severe', 'signal', 'good', 'appreciates',' user ',' loyal ',' Telkomsel ',' package ',' price ',' expensive ',' package ',' promo ',' Useful ',' card ',' fair ']</v>
      </c>
      <c r="D1034" s="3">
        <v>1.0</v>
      </c>
    </row>
    <row r="1035" ht="15.75" customHeight="1">
      <c r="A1035" s="1">
        <v>1033.0</v>
      </c>
      <c r="B1035" s="3" t="s">
        <v>1036</v>
      </c>
      <c r="C1035" s="3" t="str">
        <f>IFERROR(__xludf.DUMMYFUNCTION("GOOGLETRANSLATE(B1035,""id"",""en"")"),"['quota', 'unlimited', 'TDI', 'RB', 'JDI', 'RB', 'then', 'KNP', 'quota', 'unlimited', 'is held', 'buy', ' Credit ',' expensive ',' unlimited ',' YouTube ',' TPI ',' Limit ',' buy ',' quota ',' unlimited ',' a month ',' YouTube ',' as much as', 'Telkomsel'"&amp;" , 'limit it', 'disappointed']")</f>
        <v>['quota', 'unlimited', 'TDI', 'RB', 'JDI', 'RB', 'then', 'KNP', 'quota', 'unlimited', 'is held', 'buy', ' Credit ',' expensive ',' unlimited ',' YouTube ',' TPI ',' Limit ',' buy ',' quota ',' unlimited ',' a month ',' YouTube ',' as much as', 'Telkomsel' , 'limit it', 'disappointed']</v>
      </c>
      <c r="D1035" s="3">
        <v>1.0</v>
      </c>
    </row>
    <row r="1036" ht="15.75" customHeight="1">
      <c r="A1036" s="1">
        <v>1034.0</v>
      </c>
      <c r="B1036" s="3" t="s">
        <v>1037</v>
      </c>
      <c r="C1036" s="3" t="str">
        <f>IFERROR(__xludf.DUMMYFUNCTION("GOOGLETRANSLATE(B1036,""id"",""en"")"),"['subscribe', 'unlimitedmax', 'notification', 'past', 'limit', 'speed', 'natural', 'adjustment', 'speed', 'quota', 'exhaust', 'slow', ' Gabisa ',' used ',' disappointed ',' buy ',' date ',' yesterday ',' use ', ""]")</f>
        <v>['subscribe', 'unlimitedmax', 'notification', 'past', 'limit', 'speed', 'natural', 'adjustment', 'speed', 'quota', 'exhaust', 'slow', ' Gabisa ',' used ',' disappointed ',' buy ',' date ',' yesterday ',' use ', "]</v>
      </c>
      <c r="D1036" s="3">
        <v>1.0</v>
      </c>
    </row>
    <row r="1037" ht="15.75" customHeight="1">
      <c r="A1037" s="1">
        <v>1035.0</v>
      </c>
      <c r="B1037" s="3" t="s">
        <v>1038</v>
      </c>
      <c r="C1037" s="3" t="str">
        <f>IFERROR(__xludf.DUMMYFUNCTION("GOOGLETRANSLATE(B1037,""id"",""en"")"),"['', 'Purchase', 'Combo', 'Sakti', 'Unlimitet', 'Price', 'Account', 'Fund', 'Quotes',' BLM ',' Enter ',' Balance ',' Funds ',' truncated ',' times', 'transactionx', 'bgtu', 'please', 'fix']")</f>
        <v>['', 'Purchase', 'Combo', 'Sakti', 'Unlimitet', 'Price', 'Account', 'Fund', 'Quotes',' BLM ',' Enter ',' Balance ',' Funds ',' truncated ',' times', 'transactionx', 'bgtu', 'please', 'fix']</v>
      </c>
      <c r="D1037" s="3">
        <v>5.0</v>
      </c>
    </row>
    <row r="1038" ht="15.75" customHeight="1">
      <c r="A1038" s="1">
        <v>1036.0</v>
      </c>
      <c r="B1038" s="3" t="s">
        <v>1039</v>
      </c>
      <c r="C1038" s="3" t="str">
        <f>IFERROR(__xludf.DUMMYFUNCTION("GOOGLETRANSLATE(B1038,""id"",""en"")"),"['package', 'data', 'ilang', 'events',' already ',' events', 'contents',' quota ',' package ',' ilang ',' graze ',' quota ',' ilang ',' told ',' contents', 'quota', '']")</f>
        <v>['package', 'data', 'ilang', 'events',' already ',' events', 'contents',' quota ',' package ',' ilang ',' graze ',' quota ',' ilang ',' told ',' contents', 'quota', '']</v>
      </c>
      <c r="D1038" s="3">
        <v>1.0</v>
      </c>
    </row>
    <row r="1039" ht="15.75" customHeight="1">
      <c r="A1039" s="1">
        <v>1037.0</v>
      </c>
      <c r="B1039" s="3" t="s">
        <v>1040</v>
      </c>
      <c r="C1039" s="3" t="str">
        <f>IFERROR(__xludf.DUMMYFUNCTION("GOOGLETRANSLATE(B1039,""id"",""en"")"),"['APK', 'Error', 'Mulu', 'Kyk', 'Network', 'City', 'Kirain', 'Price', 'Expensive', 'Nuriinin', 'Perfoma', 'Service', ' capitalists', 'wanted', 'lucky', 'ngeluarin', 'capital', 'wkwkwkw']")</f>
        <v>['APK', 'Error', 'Mulu', 'Kyk', 'Network', 'City', 'Kirain', 'Price', 'Expensive', 'Nuriinin', 'Perfoma', 'Service', ' capitalists', 'wanted', 'lucky', 'ngeluarin', 'capital', 'wkwkwkw']</v>
      </c>
      <c r="D1039" s="3">
        <v>1.0</v>
      </c>
    </row>
    <row r="1040" ht="15.75" customHeight="1">
      <c r="A1040" s="1">
        <v>1038.0</v>
      </c>
      <c r="B1040" s="3" t="s">
        <v>1041</v>
      </c>
      <c r="C1040" s="3" t="str">
        <f>IFERROR(__xludf.DUMMYFUNCTION("GOOGLETRANSLATE(B1040,""id"",""en"")"),"['Install', 'Application', 'Trap', 'Batman', 'Application', 'Card', 'Hangus',' Gara ',' Control ',' Active ',' Uninstall ',' Use ',' Heavy ',' Application ',' ']")</f>
        <v>['Install', 'Application', 'Trap', 'Batman', 'Application', 'Card', 'Hangus',' Gara ',' Control ',' Active ',' Uninstall ',' Use ',' Heavy ',' Application ',' ']</v>
      </c>
      <c r="D1040" s="3">
        <v>1.0</v>
      </c>
    </row>
    <row r="1041" ht="15.75" customHeight="1">
      <c r="A1041" s="1">
        <v>1039.0</v>
      </c>
      <c r="B1041" s="3" t="s">
        <v>1042</v>
      </c>
      <c r="C1041" s="3" t="str">
        <f>IFERROR(__xludf.DUMMYFUNCTION("GOOGLETRANSLATE(B1041,""id"",""en"")"),"['Disappointed', 'subscribe', 'Telkomsel', 'pulse', 'run out', 'sucked', 'active', 'package', 'exchange', 'point', 'pulse', 'sucked', ' Please, 'Handling', 'Harmed', 'Price', 'Package', 'Expensive', 'Pulse', 'Sucked', 'Notification', 'Kejewe', 'Network', "&amp;"'Signal', 'Good' , 'please', 'operator', 'fix', '']")</f>
        <v>['Disappointed', 'subscribe', 'Telkomsel', 'pulse', 'run out', 'sucked', 'active', 'package', 'exchange', 'point', 'pulse', 'sucked', ' Please, 'Handling', 'Harmed', 'Price', 'Package', 'Expensive', 'Pulse', 'Sucked', 'Notification', 'Kejewe', 'Network', 'Signal', 'Good' , 'please', 'operator', 'fix', '']</v>
      </c>
      <c r="D1041" s="3">
        <v>1.0</v>
      </c>
    </row>
    <row r="1042" ht="15.75" customHeight="1">
      <c r="A1042" s="1">
        <v>1040.0</v>
      </c>
      <c r="B1042" s="3" t="s">
        <v>1043</v>
      </c>
      <c r="C1042" s="3" t="str">
        <f>IFERROR(__xludf.DUMMYFUNCTION("GOOGLETRANSLATE(B1042,""id"",""en"")"),"['Love', 'Review', 'Disappointed', 'Telkomsel', 'Thinking', 'Repaired', 'Really', 'Block', 'Block', 'Curry', 'Kulir', 'wkwkwkwk', ' ']")</f>
        <v>['Love', 'Review', 'Disappointed', 'Telkomsel', 'Thinking', 'Repaired', 'Really', 'Block', 'Block', 'Curry', 'Kulir', 'wkwkwkwk', ' ']</v>
      </c>
      <c r="D1042" s="3">
        <v>1.0</v>
      </c>
    </row>
    <row r="1043" ht="15.75" customHeight="1">
      <c r="A1043" s="1">
        <v>1041.0</v>
      </c>
      <c r="B1043" s="3" t="s">
        <v>1044</v>
      </c>
      <c r="C1043" s="3" t="str">
        <f>IFERROR(__xludf.DUMMYFUNCTION("GOOGLETRANSLATE(B1043,""id"",""en"")"),"['quota', 'local', 'idiot', 'really', 'card', 'Different', 'district', 'poured', 'poor', 'price', 'expensive', 'petrified', ' ']")</f>
        <v>['quota', 'local', 'idiot', 'really', 'card', 'Different', 'district', 'poured', 'poor', 'price', 'expensive', 'petrified', ' ']</v>
      </c>
      <c r="D1043" s="3">
        <v>1.0</v>
      </c>
    </row>
    <row r="1044" ht="15.75" customHeight="1">
      <c r="A1044" s="1">
        <v>1042.0</v>
      </c>
      <c r="B1044" s="3" t="s">
        <v>1045</v>
      </c>
      <c r="C1044" s="3" t="str">
        <f>IFERROR(__xludf.DUMMYFUNCTION("GOOGLETRANSLATE(B1044,""id"",""en"")"),"['Please', 'Region', 'Kediri', 'Javanese', 'East', 'Check', 'Signal', 'Like', 'Changed', 'Comfortable', 'Protest', 'Try', ' Matiin ',' mode ',' plane ',' that's', 'Mulu', 'solution', '']")</f>
        <v>['Please', 'Region', 'Kediri', 'Javanese', 'East', 'Check', 'Signal', 'Like', 'Changed', 'Comfortable', 'Protest', 'Try', ' Matiin ',' mode ',' plane ',' that's', 'Mulu', 'solution', '']</v>
      </c>
      <c r="D1044" s="3">
        <v>1.0</v>
      </c>
    </row>
    <row r="1045" ht="15.75" customHeight="1">
      <c r="A1045" s="1">
        <v>1043.0</v>
      </c>
      <c r="B1045" s="3" t="s">
        <v>1046</v>
      </c>
      <c r="C1045" s="3" t="str">
        <f>IFERROR(__xludf.DUMMYFUNCTION("GOOGLETRANSLATE(B1045,""id"",""en"")"),"['repay', 'signal', 'already', 'that's',' GPP ',' expensive ',' repay ',' already ',' expensive ',' slow ',' yes', 'Sake', ' Customers', 'improve', 'signal', ""]")</f>
        <v>['repay', 'signal', 'already', 'that's',' GPP ',' expensive ',' repay ',' already ',' expensive ',' slow ',' yes', 'Sake', ' Customers', 'improve', 'signal', "]</v>
      </c>
      <c r="D1045" s="3">
        <v>1.0</v>
      </c>
    </row>
    <row r="1046" ht="15.75" customHeight="1">
      <c r="A1046" s="1">
        <v>1044.0</v>
      </c>
      <c r="B1046" s="3" t="s">
        <v>1047</v>
      </c>
      <c r="C1046" s="3" t="str">
        <f>IFERROR(__xludf.DUMMYFUNCTION("GOOGLETRANSLATE(B1046,""id"",""en"")"),"['limit', 'reasonable', 'quota', 'application', 'run out', 'worn', 'adjustment', 'speed', 'internet', 'check', 'quota', 'buy', ' Package ',' Tsel ',' Tsel ',' Unlimited ',' restricted ',' according to ',' description ',' Package ',' Unlimited ',' Open ','"&amp;" Stop ',' Telkomsel ']")</f>
        <v>['limit', 'reasonable', 'quota', 'application', 'run out', 'worn', 'adjustment', 'speed', 'internet', 'check', 'quota', 'buy', ' Package ',' Tsel ',' Tsel ',' Unlimited ',' restricted ',' according to ',' description ',' Package ',' Unlimited ',' Open ',' Stop ',' Telkomsel ']</v>
      </c>
      <c r="D1046" s="3">
        <v>1.0</v>
      </c>
    </row>
    <row r="1047" ht="15.75" customHeight="1">
      <c r="A1047" s="1">
        <v>1045.0</v>
      </c>
      <c r="B1047" s="3" t="s">
        <v>1048</v>
      </c>
      <c r="C1047" s="3" t="str">
        <f>IFERROR(__xludf.DUMMYFUNCTION("GOOGLETRANSLATE(B1047,""id"",""en"")"),"['network', 'lag', 'tournament', 'free', 'Fire', 'network', 'lag', 'severe', 'please', 'fix', 'Telkomsel', 'Telkomsel', ' Please, 'repaired', 'network', 'network', 'good', 'love', 'star', 'deh', ""]")</f>
        <v>['network', 'lag', 'tournament', 'free', 'Fire', 'network', 'lag', 'severe', 'please', 'fix', 'Telkomsel', 'Telkomsel', ' Please, 'repaired', 'network', 'network', 'good', 'love', 'star', 'deh', "]</v>
      </c>
      <c r="D1047" s="3">
        <v>1.0</v>
      </c>
    </row>
    <row r="1048" ht="15.75" customHeight="1">
      <c r="A1048" s="1">
        <v>1046.0</v>
      </c>
      <c r="B1048" s="3" t="s">
        <v>1049</v>
      </c>
      <c r="C1048" s="3" t="str">
        <f>IFERROR(__xludf.DUMMYFUNCTION("GOOGLETRANSLATE(B1048,""id"",""en"")"),"['sucked', 'pulse', 'person', 'benefits',' yesterday ',' buy ',' pulse ',' left ',' intention ',' telephone ',' sodara ',' urge ',' pulses', 'sucked', 'abis',' quota ',' save ',' GB ',' quota ',' telkomsel ',' difficult ',' poor ',' take ',' pulse ',' int"&amp;"ernet ' , 'quota', 'good', ""]")</f>
        <v>['sucked', 'pulse', 'person', 'benefits',' yesterday ',' buy ',' pulse ',' left ',' intention ',' telephone ',' sodara ',' urge ',' pulses', 'sucked', 'abis',' quota ',' save ',' GB ',' quota ',' telkomsel ',' difficult ',' poor ',' take ',' pulse ',' internet ' , 'quota', 'good', "]</v>
      </c>
      <c r="D1048" s="3">
        <v>1.0</v>
      </c>
    </row>
    <row r="1049" ht="15.75" customHeight="1">
      <c r="A1049" s="1">
        <v>1047.0</v>
      </c>
      <c r="B1049" s="3" t="s">
        <v>1050</v>
      </c>
      <c r="C1049" s="3" t="str">
        <f>IFERROR(__xludf.DUMMYFUNCTION("GOOGLETRANSLATE(B1049,""id"",""en"")"),"['Error', 'Application', 'Bluetooth', 'Message', 'Google', 'Etc.', 'Edit', 'Updated', 'Developer', 'Current', 'Accept', 'Love', ' Edit ',' Application ',' Error ',' Applukasi ',' ']")</f>
        <v>['Error', 'Application', 'Bluetooth', 'Message', 'Google', 'Etc.', 'Edit', 'Updated', 'Developer', 'Current', 'Accept', 'Love', ' Edit ',' Application ',' Error ',' Applukasi ',' ']</v>
      </c>
      <c r="D1049" s="3">
        <v>1.0</v>
      </c>
    </row>
    <row r="1050" ht="15.75" customHeight="1">
      <c r="A1050" s="1">
        <v>1048.0</v>
      </c>
      <c r="B1050" s="3" t="s">
        <v>1051</v>
      </c>
      <c r="C1050" s="3" t="str">
        <f>IFERROR(__xludf.DUMMYFUNCTION("GOOGLETRANSLATE(B1050,""id"",""en"")"),"['Disease', 'Blood', 'Low', 'Use', 'Telkomsel', 'Jamin', 'Blood', 'Telkomsel', 'Package', 'Complete', 'Network', 'Ngelag', ' Package ',' expensive ',' doubt ',' ']")</f>
        <v>['Disease', 'Blood', 'Low', 'Use', 'Telkomsel', 'Jamin', 'Blood', 'Telkomsel', 'Package', 'Complete', 'Network', 'Ngelag', ' Package ',' expensive ',' doubt ',' ']</v>
      </c>
      <c r="D1050" s="3">
        <v>1.0</v>
      </c>
    </row>
    <row r="1051" ht="15.75" customHeight="1">
      <c r="A1051" s="1">
        <v>1049.0</v>
      </c>
      <c r="B1051" s="3" t="s">
        <v>1052</v>
      </c>
      <c r="C1051" s="3" t="str">
        <f>IFERROR(__xludf.DUMMYFUNCTION("GOOGLETRANSLATE(B1051,""id"",""en"")"),"['Take', 'profit', 'at the moment', 'moment', 'fasting', 'Lebaran', 'pandemic', 'price', 'package', 'data', 'Rupiah', 'Perprint', ' Imagine ',' times', 'users',' Telkomsel ',' lucky ',' care ',' difficult ',' pandemic ',' difficult ',' looked ',' money ',"&amp;"' smart ',' times' , 'Utilizing', 'users', 'price', 'package', 'data', 'strangling', 'people', 'cellular', 'feeling']")</f>
        <v>['Take', 'profit', 'at the moment', 'moment', 'fasting', 'Lebaran', 'pandemic', 'price', 'package', 'data', 'Rupiah', 'Perprint', ' Imagine ',' times', 'users',' Telkomsel ',' lucky ',' care ',' difficult ',' pandemic ',' difficult ',' looked ',' money ',' smart ',' times' , 'Utilizing', 'users', 'price', 'package', 'data', 'strangling', 'people', 'cellular', 'feeling']</v>
      </c>
      <c r="D1051" s="3">
        <v>1.0</v>
      </c>
    </row>
    <row r="1052" ht="15.75" customHeight="1">
      <c r="A1052" s="1">
        <v>1050.0</v>
      </c>
      <c r="B1052" s="3" t="s">
        <v>1053</v>
      </c>
      <c r="C1052" s="3" t="str">
        <f>IFERROR(__xludf.DUMMYFUNCTION("GOOGLETRANSLATE(B1052,""id"",""en"")"),"['Disappointed', 'Telkomsel', 'expensive', 'The network', 'super', 'Lemott', 'distance', 'home', 'tower', 'hope', 'repaired']")</f>
        <v>['Disappointed', 'Telkomsel', 'expensive', 'The network', 'super', 'Lemott', 'distance', 'home', 'tower', 'hope', 'repaired']</v>
      </c>
      <c r="D1052" s="3">
        <v>1.0</v>
      </c>
    </row>
    <row r="1053" ht="15.75" customHeight="1">
      <c r="A1053" s="1">
        <v>1051.0</v>
      </c>
      <c r="B1053" s="3" t="s">
        <v>1054</v>
      </c>
      <c r="C1053" s="3" t="str">
        <f>IFERROR(__xludf.DUMMYFUNCTION("GOOGLETRANSLATE(B1053,""id"",""en"")"),"['please', 'Telkomsel', 'network', 'difficult', 'then', 'as fast', 'Telkomsel', 'network', 'fix', 'network', 'expensive', 'TPI', ' network ',' severe ']")</f>
        <v>['please', 'Telkomsel', 'network', 'difficult', 'then', 'as fast', 'Telkomsel', 'network', 'fix', 'network', 'expensive', 'TPI', ' network ',' severe ']</v>
      </c>
      <c r="D1053" s="3">
        <v>1.0</v>
      </c>
    </row>
    <row r="1054" ht="15.75" customHeight="1">
      <c r="A1054" s="1">
        <v>1052.0</v>
      </c>
      <c r="B1054" s="3" t="s">
        <v>1055</v>
      </c>
      <c r="C1054" s="3" t="str">
        <f>IFERROR(__xludf.DUMMYFUNCTION("GOOGLETRANSLATE(B1054,""id"",""en"")"),"['sympathy', 'signal', 'the strongest', 'archipelago', 'turn', 'go home', 'village', 'solo', 'signal', 'contents',' quota ',' full ',' No ',' used ',' child ',' use ',' card ',' oprator ',' ngaciirrr ',' sympathy ',' ad ',' doang ']")</f>
        <v>['sympathy', 'signal', 'the strongest', 'archipelago', 'turn', 'go home', 'village', 'solo', 'signal', 'contents',' quota ',' full ',' No ',' used ',' child ',' use ',' card ',' oprator ',' ngaciirrr ',' sympathy ',' ad ',' doang ']</v>
      </c>
      <c r="D1054" s="3">
        <v>3.0</v>
      </c>
    </row>
    <row r="1055" ht="15.75" customHeight="1">
      <c r="A1055" s="1">
        <v>1053.0</v>
      </c>
      <c r="B1055" s="3" t="s">
        <v>1056</v>
      </c>
      <c r="C1055" s="3" t="str">
        <f>IFERROR(__xludf.DUMMYFUNCTION("GOOGLETRANSLATE(B1055,""id"",""en"")"),"['pulp', 'play', 'games',' online ',' zero ',' browsing ',' anjng ',' add ',' sin ',' doang ',' card ',' happy ',' Emotions', 'buy', 'packages',' expensive ',' rich ',' network ',' city ',' mataram ',' quality ',' network ',' stable ',' down ',' data ' , "&amp;"'already', 'on', 'Astaghfirullah', 'Doang', 'sent', 'Minutes',' Chat ',' Severe ',' Telkomsel ',' Thumb ',' Telkomsel ',' Increases', ' Telkomsel ',' user ',' Sangt ',' happy ',' sorry ',' card ',' Telkomsel ',' unplug ',' add ',' sin ',' doang ']")</f>
        <v>['pulp', 'play', 'games',' online ',' zero ',' browsing ',' anjng ',' add ',' sin ',' doang ',' card ',' happy ',' Emotions', 'buy', 'packages',' expensive ',' rich ',' network ',' city ',' mataram ',' quality ',' network ',' stable ',' down ',' data ' , 'already', 'on', 'Astaghfirullah', 'Doang', 'sent', 'Minutes',' Chat ',' Severe ',' Telkomsel ',' Thumb ',' Telkomsel ',' Increases', ' Telkomsel ',' user ',' Sangt ',' happy ',' sorry ',' card ',' Telkomsel ',' unplug ',' add ',' sin ',' doang ']</v>
      </c>
      <c r="D1055" s="3">
        <v>1.0</v>
      </c>
    </row>
    <row r="1056" ht="15.75" customHeight="1">
      <c r="A1056" s="1">
        <v>1054.0</v>
      </c>
      <c r="B1056" s="3" t="s">
        <v>1057</v>
      </c>
      <c r="C1056" s="3" t="str">
        <f>IFERROR(__xludf.DUMMYFUNCTION("GOOGLETRANSLATE(B1056,""id"",""en"")"),"['experience', 'obstacles', 'signal', 'open', 'internet', 'difficult', 'use', 'maen', 'game', 'online', 'difficult', '']")</f>
        <v>['experience', 'obstacles', 'signal', 'open', 'internet', 'difficult', 'use', 'maen', 'game', 'online', 'difficult', '']</v>
      </c>
      <c r="D1056" s="3">
        <v>1.0</v>
      </c>
    </row>
    <row r="1057" ht="15.75" customHeight="1">
      <c r="A1057" s="1">
        <v>1055.0</v>
      </c>
      <c r="B1057" s="3" t="s">
        <v>1058</v>
      </c>
      <c r="C1057" s="3" t="str">
        <f>IFERROR(__xludf.DUMMYFUNCTION("GOOGLETRANSLATE(B1057,""id"",""en"")"),"['skarang', 'network', 'Telkomsel', 'super', 'slow', 'package', 'unlimited', 'TPI', 'pace', 'rich', 'conch', 'signal', ' Full ',' Package ',' Fill ',' Please ',' Membikan ',' Klu ',' Kyak ',' Gini ',' then ',' Pelangement ',' Next ',' Cook ',' Senior ' , "&amp;"'Network', 'Telkomunication', 'Biggest', 'Asial', 'Lost', 'Junior', 'Pekah', 'Klu', 'Kyak', 'Gini', ""]")</f>
        <v>['skarang', 'network', 'Telkomsel', 'super', 'slow', 'package', 'unlimited', 'TPI', 'pace', 'rich', 'conch', 'signal', ' Full ',' Package ',' Fill ',' Please ',' Membikan ',' Klu ',' Kyak ',' Gini ',' then ',' Pelangement ',' Next ',' Cook ',' Senior ' , 'Network', 'Telkomunication', 'Biggest', 'Asial', 'Lost', 'Junior', 'Pekah', 'Klu', 'Kyak', 'Gini', "]</v>
      </c>
      <c r="D1057" s="3">
        <v>1.0</v>
      </c>
    </row>
    <row r="1058" ht="15.75" customHeight="1">
      <c r="A1058" s="1">
        <v>1056.0</v>
      </c>
      <c r="B1058" s="3" t="s">
        <v>1059</v>
      </c>
      <c r="C1058" s="3" t="str">
        <f>IFERROR(__xludf.DUMMYFUNCTION("GOOGLETRANSLATE(B1058,""id"",""en"")"),"['Dri', 'Network', 'App', 'Telkomsel', 'Thieves',' Credit ',' UDH ',' JDI ',' Thieves', 'Credit', 'Telkomsel', 'Udh', ' brp ',' cave ',' kluarga ',' pay attention ',' Telkomsel ',' charging ',' pulse ',' dri ',' clock ',' pulse ',' used ',' reduced ',' Aj"&amp;"ha ' , 'BRP', 'million', 'soul', 'user', 'Telkomsel', 'Indonesia', 'xan', 'Ajha', 'thieves', 'money', 'people', 'the world' the hereafter ',' Ridho ',' sincere ',' swear ',' vomiting ',' blood ',' structure ',' Telkomsel ',' steal ',' amiin ']")</f>
        <v>['Dri', 'Network', 'App', 'Telkomsel', 'Thieves',' Credit ',' UDH ',' JDI ',' Thieves', 'Credit', 'Telkomsel', 'Udh', ' brp ',' cave ',' kluarga ',' pay attention ',' Telkomsel ',' charging ',' pulse ',' dri ',' clock ',' pulse ',' used ',' reduced ',' Ajha ' , 'BRP', 'million', 'soul', 'user', 'Telkomsel', 'Indonesia', 'xan', 'Ajha', 'thieves', 'money', 'people', 'the world' the hereafter ',' Ridho ',' sincere ',' swear ',' vomiting ',' blood ',' structure ',' Telkomsel ',' steal ',' amiin ']</v>
      </c>
      <c r="D1058" s="3">
        <v>1.0</v>
      </c>
    </row>
    <row r="1059" ht="15.75" customHeight="1">
      <c r="A1059" s="1">
        <v>1057.0</v>
      </c>
      <c r="B1059" s="3" t="s">
        <v>1060</v>
      </c>
      <c r="C1059" s="3" t="str">
        <f>IFERROR(__xludf.DUMMYFUNCTION("GOOGLETRANSLATE(B1059,""id"",""en"")"),"['TELKOM', 'The network', 'LEG', 'Kayak', 'BANGKE', 'company', 'BUMN', 'Weve', 'Severe', 'employees',' eat ',' salary ',' blind ',' see ',' noh ',' smartfren ',' price ',' quota ',' tilted ',' network ',' smooth ',' bangse ',' ']")</f>
        <v>['TELKOM', 'The network', 'LEG', 'Kayak', 'BANGKE', 'company', 'BUMN', 'Weve', 'Severe', 'employees',' eat ',' salary ',' blind ',' see ',' noh ',' smartfren ',' price ',' quota ',' tilted ',' network ',' smooth ',' bangse ',' ']</v>
      </c>
      <c r="D1059" s="3">
        <v>1.0</v>
      </c>
    </row>
    <row r="1060" ht="15.75" customHeight="1">
      <c r="A1060" s="1">
        <v>1058.0</v>
      </c>
      <c r="B1060" s="3" t="s">
        <v>1061</v>
      </c>
      <c r="C1060" s="3" t="str">
        <f>IFERROR(__xludf.DUMMYFUNCTION("GOOGLETRANSLATE(B1060,""id"",""en"")"),"['Telkomsel', 'price', 'unlimited', 'UDH', 'Naikan', 'TPI', 'Access',' Data ',' Limit ',' Unlimited ',' Limit ',' Disappointed ',' really ',' switch ',' lgi ',' dri ',' user ',' telkomsel ',' orng ',' disappointed ',' jdi ',' user ',' telkomsel ',' good '"&amp;",' Telkomsel ' ]")</f>
        <v>['Telkomsel', 'price', 'unlimited', 'UDH', 'Naikan', 'TPI', 'Access',' Data ',' Limit ',' Unlimited ',' Limit ',' Disappointed ',' really ',' switch ',' lgi ',' dri ',' user ',' telkomsel ',' orng ',' disappointed ',' jdi ',' user ',' telkomsel ',' good ',' Telkomsel ' ]</v>
      </c>
      <c r="D1060" s="3">
        <v>1.0</v>
      </c>
    </row>
    <row r="1061" ht="15.75" customHeight="1">
      <c r="A1061" s="1">
        <v>1059.0</v>
      </c>
      <c r="B1061" s="3" t="s">
        <v>1062</v>
      </c>
      <c r="C1061" s="3" t="str">
        <f>IFERROR(__xludf.DUMMYFUNCTION("GOOGLETRANSLATE(B1061,""id"",""en"")"),"['Deface', 'really', 'base', 'card', 'php', 'usually', 'already', 'subscription', 'unlimited', 'sosmed', 'limited', 'just', ' GB ',' Souses', 'limit', 'name', 'unlimited', 'limited', 'haduhhhh', 'fraud', 'rentedrrrrr', 'disappointing', 'mending', 'moved',"&amp;" 'smartfren' , 'Cussssscussss',' hate ',' Telkomsel ',' already ',' data ',' package ',' quality ',' fast ',' run out ',' turn ',' buy ',' unlimited ',' On ',' GB ']")</f>
        <v>['Deface', 'really', 'base', 'card', 'php', 'usually', 'already', 'subscription', 'unlimited', 'sosmed', 'limited', 'just', ' GB ',' Souses', 'limit', 'name', 'unlimited', 'limited', 'haduhhhh', 'fraud', 'rentedrrrrr', 'disappointing', 'mending', 'moved', 'smartfren' , 'Cussssscussss',' hate ',' Telkomsel ',' already ',' data ',' package ',' quality ',' fast ',' run out ',' turn ',' buy ',' unlimited ',' On ',' GB ']</v>
      </c>
      <c r="D1061" s="3">
        <v>1.0</v>
      </c>
    </row>
    <row r="1062" ht="15.75" customHeight="1">
      <c r="A1062" s="1">
        <v>1060.0</v>
      </c>
      <c r="B1062" s="3" t="s">
        <v>1063</v>
      </c>
      <c r="C1062" s="3" t="str">
        <f>IFERROR(__xludf.DUMMYFUNCTION("GOOGLETRANSLATE(B1062,""id"",""en"")"),"['Please', 'Region', 'Kec', 'Klampis',' Kab ',' Bangkalan ',' Madura ',' Sousal ',' Weak ',' Gaming ',' Bad ',' Wear ',' sympathy ',' Telkomsel ',' please ',' responded ',' thank ',' love ']")</f>
        <v>['Please', 'Region', 'Kec', 'Klampis',' Kab ',' Bangkalan ',' Madura ',' Sousal ',' Weak ',' Gaming ',' Bad ',' Wear ',' sympathy ',' Telkomsel ',' please ',' responded ',' thank ',' love ']</v>
      </c>
      <c r="D1062" s="3">
        <v>1.0</v>
      </c>
    </row>
    <row r="1063" ht="15.75" customHeight="1">
      <c r="A1063" s="1">
        <v>1061.0</v>
      </c>
      <c r="B1063" s="3" t="s">
        <v>1064</v>
      </c>
      <c r="C1063" s="3" t="str">
        <f>IFERROR(__xludf.DUMMYFUNCTION("GOOGLETRANSLATE(B1063,""id"",""en"")"),"['Please', 'repaired', 'signal', 'unlimited', 'already', 'week', 'access',' anything ',' lag ',' severe ',' already ',' subscribe ',' Telkomsel ',' Moving ',' Card ',' Please ',' Action ',' Continue ',' Try ',' Chat ',' Twitter ',' Email ',' Do ',' reply "&amp;"',' please ' , 'fix', 'aspet', 'customer', 'loyal', 'disappointed', 'thank', 'love']")</f>
        <v>['Please', 'repaired', 'signal', 'unlimited', 'already', 'week', 'access',' anything ',' lag ',' severe ',' already ',' subscribe ',' Telkomsel ',' Moving ',' Card ',' Please ',' Action ',' Continue ',' Try ',' Chat ',' Twitter ',' Email ',' Do ',' reply ',' please ' , 'fix', 'aspet', 'customer', 'loyal', 'disappointed', 'thank', 'love']</v>
      </c>
      <c r="D1063" s="3">
        <v>1.0</v>
      </c>
    </row>
    <row r="1064" ht="15.75" customHeight="1">
      <c r="A1064" s="1">
        <v>1062.0</v>
      </c>
      <c r="B1064" s="3" t="s">
        <v>1065</v>
      </c>
      <c r="C1064" s="3" t="str">
        <f>IFERROR(__xludf.DUMMYFUNCTION("GOOGLETRANSLATE(B1064,""id"",""en"")"),"['Network', 'Slowttt', 'Posts', 'Network', 'National', 'Compared to', 'Private', 'Please', 'Repaired', 'Disappointing', 'Customer', ""]")</f>
        <v>['Network', 'Slowttt', 'Posts', 'Network', 'National', 'Compared to', 'Private', 'Please', 'Repaired', 'Disappointing', 'Customer', "]</v>
      </c>
      <c r="D1064" s="3">
        <v>1.0</v>
      </c>
    </row>
    <row r="1065" ht="15.75" customHeight="1">
      <c r="A1065" s="1">
        <v>1063.0</v>
      </c>
      <c r="B1065" s="3" t="s">
        <v>1066</v>
      </c>
      <c r="C1065" s="3" t="str">
        <f>IFERROR(__xludf.DUMMYFUNCTION("GOOGLETRANSLATE(B1065,""id"",""en"")"),"['Disappointed', 'Telkomsel', 'price', 'package', 'expensive', 'signal', 'Kenceng', 'if', 'price', 'quota', 'collapsed', 'good', ' ']")</f>
        <v>['Disappointed', 'Telkomsel', 'price', 'package', 'expensive', 'signal', 'Kenceng', 'if', 'price', 'quota', 'collapsed', 'good', ' ']</v>
      </c>
      <c r="D1065" s="3">
        <v>3.0</v>
      </c>
    </row>
    <row r="1066" ht="15.75" customHeight="1">
      <c r="A1066" s="1">
        <v>1064.0</v>
      </c>
      <c r="B1066" s="3" t="s">
        <v>1067</v>
      </c>
      <c r="C1066" s="3" t="str">
        <f>IFERROR(__xludf.DUMMYFUNCTION("GOOGLETRANSLATE(B1066,""id"",""en"")"),"['Please', 'Save', 'pulse', 'sometimes',' already ',' package ',' criteria ',' access', 'application', 'right', 'open', ' Target ',' pulses', 'loss',' pulses', 'sometimes',' Please ',' repaired ',' system ']")</f>
        <v>['Please', 'Save', 'pulse', 'sometimes',' already ',' package ',' criteria ',' access', 'application', 'right', 'open', ' Target ',' pulses', 'loss',' pulses', 'sometimes',' Please ',' repaired ',' system ']</v>
      </c>
      <c r="D1066" s="3">
        <v>2.0</v>
      </c>
    </row>
    <row r="1067" ht="15.75" customHeight="1">
      <c r="A1067" s="1">
        <v>1065.0</v>
      </c>
      <c r="B1067" s="3" t="s">
        <v>1068</v>
      </c>
      <c r="C1067" s="3" t="str">
        <f>IFERROR(__xludf.DUMMYFUNCTION("GOOGLETRANSLATE(B1067,""id"",""en"")"),"['Congratulations',' noon ',' users', 'Telkomsel', 'buy', 'pket', 'for', 'rbuan', 'get', 'GB', 'suggestion', 'Telkomsel', ' Jaya ',' user ',' card ',' moved ',' Telkomsel ',' Purchase ',' Package ',' Kouta ',' Unlimited ',' Facebook ',' Instagram ',' Wats"&amp;"happ ',' use ' , 'Koutaa', 'main', 'run out', 'beg', 'understanding', 'person', ""]")</f>
        <v>['Congratulations',' noon ',' users', 'Telkomsel', 'buy', 'pket', 'for', 'rbuan', 'get', 'GB', 'suggestion', 'Telkomsel', ' Jaya ',' user ',' card ',' moved ',' Telkomsel ',' Purchase ',' Package ',' Kouta ',' Unlimited ',' Facebook ',' Instagram ',' Watshapp ',' use ' , 'Koutaa', 'main', 'run out', 'beg', 'understanding', 'person', "]</v>
      </c>
      <c r="D1067" s="3">
        <v>4.0</v>
      </c>
    </row>
    <row r="1068" ht="15.75" customHeight="1">
      <c r="A1068" s="1">
        <v>1066.0</v>
      </c>
      <c r="B1068" s="3" t="s">
        <v>1069</v>
      </c>
      <c r="C1068" s="3" t="str">
        <f>IFERROR(__xludf.DUMMYFUNCTION("GOOGLETRANSLATE(B1068,""id"",""en"")"),"['Sip', 'bonus', 'monetary', 'use', 'update', 'emang', 'mending', 'returned', 'Kegeremula', 'updated']")</f>
        <v>['Sip', 'bonus', 'monetary', 'use', 'update', 'emang', 'mending', 'returned', 'Kegeremula', 'updated']</v>
      </c>
      <c r="D1068" s="3">
        <v>5.0</v>
      </c>
    </row>
    <row r="1069" ht="15.75" customHeight="1">
      <c r="A1069" s="1">
        <v>1067.0</v>
      </c>
      <c r="B1069" s="3" t="s">
        <v>1070</v>
      </c>
      <c r="C1069" s="3" t="str">
        <f>IFERROR(__xludf.DUMMYFUNCTION("GOOGLETRANSLATE(B1069,""id"",""en"")"),"['Buy', 'Package', 'Game', 'Max', 'App', 'Telkomsel', 'Week', 'Buy', 'wasteful', 'quota', 'please', 'Adin', ' bonus', 'buy', 'package', 'game', 'max', 'thank', 'love']")</f>
        <v>['Buy', 'Package', 'Game', 'Max', 'App', 'Telkomsel', 'Week', 'Buy', 'wasteful', 'quota', 'please', 'Adin', ' bonus', 'buy', 'package', 'game', 'max', 'thank', 'love']</v>
      </c>
      <c r="D1069" s="3">
        <v>4.0</v>
      </c>
    </row>
    <row r="1070" ht="15.75" customHeight="1">
      <c r="A1070" s="1">
        <v>1068.0</v>
      </c>
      <c r="B1070" s="3" t="s">
        <v>1071</v>
      </c>
      <c r="C1070" s="3" t="str">
        <f>IFERROR(__xludf.DUMMYFUNCTION("GOOGLETRANSLATE(B1070,""id"",""en"")"),"['', 'Dear', 'Telkomsel', 'yesterday', 'got', 'SMS', 'Telkomsel', 'package', 'emergency', 'GB', 'automatic', 'active', 'payment ',' content ',' reset ',' pulsaa ',' hruss', 'sou', 'minn', 'pdhal', 'dftrin', 'package', 'data', 'package', 'emergency', 'pton"&amp;"gan', 'right', 'sya', 'contents',' pulsaa ',' sdgkan ',' contents', 'rb', 'dftr', 'package', 'data', 'ckup', 'sya ',' a month ',' package ',' emergency ',' tlg ',' bkin ',' complicated ',' krna ',' ptn ']")</f>
        <v>['', 'Dear', 'Telkomsel', 'yesterday', 'got', 'SMS', 'Telkomsel', 'package', 'emergency', 'GB', 'automatic', 'active', 'payment ',' content ',' reset ',' pulsaa ',' hruss', 'sou', 'minn', 'pdhal', 'dftrin', 'package', 'data', 'package', 'emergency', 'ptongan', 'right', 'sya', 'contents',' pulsaa ',' sdgkan ',' contents', 'rb', 'dftr', 'package', 'data', 'ckup', 'sya ',' a month ',' package ',' emergency ',' tlg ',' bkin ',' complicated ',' krna ',' ptn ']</v>
      </c>
      <c r="D1070" s="3">
        <v>1.0</v>
      </c>
    </row>
    <row r="1071" ht="15.75" customHeight="1">
      <c r="A1071" s="1">
        <v>1069.0</v>
      </c>
      <c r="B1071" s="3" t="s">
        <v>1072</v>
      </c>
      <c r="C1071" s="3" t="str">
        <f>IFERROR(__xludf.DUMMYFUNCTION("GOOGLETRANSLATE(B1071,""id"",""en"")"),"['Network', 'slow', 'really', 'let', 'Nge', 'lag', 'play', 'game', 'access application', 'error', 'PPAS', 'Belik', ' package ',' data ',' buy ',' package ',' link ',' method ',' already ',' contents', 'balance', 'disappointed', 'please', 'tsel', 'resident"&amp;"s' , 'City', 'prioritized', 'people', 'noticed', 'needs', ""]")</f>
        <v>['Network', 'slow', 'really', 'let', 'Nge', 'lag', 'play', 'game', 'access application', 'error', 'PPAS', 'Belik', ' package ',' data ',' buy ',' package ',' link ',' method ',' already ',' contents', 'balance', 'disappointed', 'please', 'tsel', 'residents' , 'City', 'prioritized', 'people', 'noticed', 'needs', "]</v>
      </c>
      <c r="D1071" s="3">
        <v>1.0</v>
      </c>
    </row>
    <row r="1072" ht="15.75" customHeight="1">
      <c r="A1072" s="1">
        <v>1070.0</v>
      </c>
      <c r="B1072" s="3" t="s">
        <v>1073</v>
      </c>
      <c r="C1072" s="3" t="str">
        <f>IFERROR(__xludf.DUMMYFUNCTION("GOOGLETRANSLATE(B1072,""id"",""en"")"),"['Open', 'Application', 'Link', 'SMS', 'Ribet', 'Very', 'Direct', 'Click', 'SMS', 'Link', 'Copy', 'Browser', ' edit ',' writing ',' link ']")</f>
        <v>['Open', 'Application', 'Link', 'SMS', 'Ribet', 'Very', 'Direct', 'Click', 'SMS', 'Link', 'Copy', 'Browser', ' edit ',' writing ',' link ']</v>
      </c>
      <c r="D1072" s="3">
        <v>1.0</v>
      </c>
    </row>
    <row r="1073" ht="15.75" customHeight="1">
      <c r="A1073" s="1">
        <v>1071.0</v>
      </c>
      <c r="B1073" s="3" t="s">
        <v>1074</v>
      </c>
      <c r="C1073" s="3" t="str">
        <f>IFERROR(__xludf.DUMMYFUNCTION("GOOGLETRANSLATE(B1073,""id"",""en"")"),"['Sell', 'Credit', 'Telkomsel', 'Rb', 'Rb', 'Hard', 'Sell', 'Customer', 'Reduced', 'Already', 'That's',' Price ',' pulses', 'expensive', 'minimal', 'rb', 'buy', 'price', 'rb', 'operator', 'ttp', 'rb', 'disappointed', 'user', 'link' , 'YESUAR', 'Please', '"&amp;"TELKOMSE', 'Balikin', 'Credit', 'RB', 'Not bad', 'income', 'additional', 'pandemic', 'kayak']")</f>
        <v>['Sell', 'Credit', 'Telkomsel', 'Rb', 'Rb', 'Hard', 'Sell', 'Customer', 'Reduced', 'Already', 'That's',' Price ',' pulses', 'expensive', 'minimal', 'rb', 'buy', 'price', 'rb', 'operator', 'ttp', 'rb', 'disappointed', 'user', 'link' , 'YESUAR', 'Please', 'TELKOMSE', 'Balikin', 'Credit', 'RB', 'Not bad', 'income', 'additional', 'pandemic', 'kayak']</v>
      </c>
      <c r="D1073" s="3">
        <v>2.0</v>
      </c>
    </row>
    <row r="1074" ht="15.75" customHeight="1">
      <c r="A1074" s="1">
        <v>1072.0</v>
      </c>
      <c r="B1074" s="3" t="s">
        <v>1075</v>
      </c>
      <c r="C1074" s="3" t="str">
        <f>IFERROR(__xludf.DUMMYFUNCTION("GOOGLETRANSLATE(B1074,""id"",""en"")"),"['Network', 'internet', 'ugly', 'morning', 'noon', 'late', 'malem', 'tetep', 'ugly', 'really', 'pdhl', 'just' Chat ',' Loading ',' Try ',' Contact ',' Mimin ',' Account ',' Already ',' Trying ',' Contact ',' Tetep ',' Satisfying ',' Response ',' Need ' , "&amp;"'Network', 'Telkomsel', 'Restore', 'LGI', 'Seprti', 'chatter', 'Gajelas',' name ',' Veronika ',' Telkomsel ',' Leet ',' ugly ',' bankrupt', '']")</f>
        <v>['Network', 'internet', 'ugly', 'morning', 'noon', 'late', 'malem', 'tetep', 'ugly', 'really', 'pdhl', 'just' Chat ',' Loading ',' Try ',' Contact ',' Mimin ',' Account ',' Already ',' Trying ',' Contact ',' Tetep ',' Satisfying ',' Response ',' Need ' , 'Network', 'Telkomsel', 'Restore', 'LGI', 'Seprti', 'chatter', 'Gajelas',' name ',' Veronika ',' Telkomsel ',' Leet ',' ugly ',' bankrupt', '']</v>
      </c>
      <c r="D1074" s="3">
        <v>1.0</v>
      </c>
    </row>
    <row r="1075" ht="15.75" customHeight="1">
      <c r="A1075" s="1">
        <v>1073.0</v>
      </c>
      <c r="B1075" s="3" t="s">
        <v>1076</v>
      </c>
      <c r="C1075" s="3" t="str">
        <f>IFERROR(__xludf.DUMMYFUNCTION("GOOGLETRANSLATE(B1075,""id"",""en"")"),"['In the future', 'please', 'usage', 'package', 'internet', 'already', 'buy', 'buy', 'exciting', 'package', 'already', 'Abis',' Suck ',' package ',' buy ',' essence ',' please ',' based ',' order ', ""]")</f>
        <v>['In the future', 'please', 'usage', 'package', 'internet', 'already', 'buy', 'buy', 'exciting', 'package', 'already', 'Abis',' Suck ',' package ',' buy ',' essence ',' please ',' based ',' order ', "]</v>
      </c>
      <c r="D1075" s="3">
        <v>2.0</v>
      </c>
    </row>
    <row r="1076" ht="15.75" customHeight="1">
      <c r="A1076" s="1">
        <v>1074.0</v>
      </c>
      <c r="B1076" s="3" t="s">
        <v>1077</v>
      </c>
      <c r="C1076" s="3" t="str">
        <f>IFERROR(__xludf.DUMMYFUNCTION("GOOGLETRANSLATE(B1076,""id"",""en"")"),"['contents',' credit ',' Rp ',' buy ',' package ',' internet ',' for ',' Rp ',' pulse ',' finished ',' pulse ',' left ',' Please ',' Restore ',' Credit ',' Lost ',' ']")</f>
        <v>['contents',' credit ',' Rp ',' buy ',' package ',' internet ',' for ',' Rp ',' pulse ',' finished ',' pulse ',' left ',' Please ',' Restore ',' Credit ',' Lost ',' ']</v>
      </c>
      <c r="D1076" s="3">
        <v>1.0</v>
      </c>
    </row>
    <row r="1077" ht="15.75" customHeight="1">
      <c r="A1077" s="1">
        <v>1075.0</v>
      </c>
      <c r="B1077" s="3" t="s">
        <v>1078</v>
      </c>
      <c r="C1077" s="3" t="str">
        <f>IFERROR(__xludf.DUMMYFUNCTION("GOOGLETRANSLATE(B1077,""id"",""en"")"),"['bad', 'pdhl', 'active', 'card', 'msih', 'quota', 'signal', 'ngeload', 'sosmed', 'etc.', 'pdhl', 'udh', ' Try ',' Ngeeboot ',' Mode ',' Plane ',' Try ',' Move ',' Location ',' Dri ',' home ',' home ',' TTP ',' Change ',' understand ' , 'here', 'hurt', 'h"&amp;"eart', 'kt', 'signal', 'udh', 'until', 'pungok', 'pdhl', 'home', 'area', 'city', ' signal ',' down ',' udh ',' that's', 'stable', 'please', 'lined', 'please', '']")</f>
        <v>['bad', 'pdhl', 'active', 'card', 'msih', 'quota', 'signal', 'ngeload', 'sosmed', 'etc.', 'pdhl', 'udh', ' Try ',' Ngeeboot ',' Mode ',' Plane ',' Try ',' Move ',' Location ',' Dri ',' home ',' home ',' TTP ',' Change ',' understand ' , 'here', 'hurt', 'heart', 'kt', 'signal', 'udh', 'until', 'pungok', 'pdhl', 'home', 'area', 'city', ' signal ',' down ',' udh ',' that's', 'stable', 'please', 'lined', 'please', '']</v>
      </c>
      <c r="D1077" s="3">
        <v>1.0</v>
      </c>
    </row>
    <row r="1078" ht="15.75" customHeight="1">
      <c r="A1078" s="1">
        <v>1076.0</v>
      </c>
      <c r="B1078" s="3" t="s">
        <v>1079</v>
      </c>
      <c r="C1078" s="3" t="str">
        <f>IFERROR(__xludf.DUMMYFUNCTION("GOOGLETRANSLATE(B1078,""id"",""en"")"),"['Tsel', 'skrang', 'knpa', 'ugly', 'stay', 'plung', 'signal', 'line', 'Conection', 'internet', 'quota', 'fix', ' network ',' menting ',' area ',' urban ',' doang ']")</f>
        <v>['Tsel', 'skrang', 'knpa', 'ugly', 'stay', 'plung', 'signal', 'line', 'Conection', 'internet', 'quota', 'fix', ' network ',' menting ',' area ',' urban ',' doang ']</v>
      </c>
      <c r="D1078" s="3">
        <v>2.0</v>
      </c>
    </row>
    <row r="1079" ht="15.75" customHeight="1">
      <c r="A1079" s="1">
        <v>1077.0</v>
      </c>
      <c r="B1079" s="3" t="s">
        <v>1080</v>
      </c>
      <c r="C1079" s="3" t="str">
        <f>IFERROR(__xludf.DUMMYFUNCTION("GOOGLETRANSLATE(B1079,""id"",""en"")"),"['disappointing', 'customers', 'for' use ',' nomer ',' sympathy ',' zonk ',' grace ',' info ',' number ',' charred ',' kobong ',' Change ',' Next to ',' Amanah ',' ']")</f>
        <v>['disappointing', 'customers', 'for' use ',' nomer ',' sympathy ',' zonk ',' grace ',' info ',' number ',' charred ',' kobong ',' Change ',' Next to ',' Amanah ',' ']</v>
      </c>
      <c r="D1079" s="3">
        <v>1.0</v>
      </c>
    </row>
    <row r="1080" ht="15.75" customHeight="1">
      <c r="A1080" s="1">
        <v>1078.0</v>
      </c>
      <c r="B1080" s="3" t="s">
        <v>1081</v>
      </c>
      <c r="C1080" s="3" t="str">
        <f>IFERROR(__xludf.DUMMYFUNCTION("GOOGLETRANSLATE(B1080,""id"",""en"")"),"['Males',' card ',' sympathy ',' already ',' price ',' package ',' expensive ',' network ',' broad ',' network ',' slow ',' DorPrize ',' Sia ',' IN ',' Point ',' Mending ',' Cards', 'Network', 'Ancurrrr', 'Mending', 'Closed', 'Work', 'Nipu', 'Network', 'E"&amp;"xtensive' , 'Paketan', 'expensive', 'card', 'slow', 'Naturally', 'person', 'cheap', 'package', 'already', 'expensive', 'threat', 'cheap', ' Hufffttt ']")</f>
        <v>['Males',' card ',' sympathy ',' already ',' price ',' package ',' expensive ',' network ',' broad ',' network ',' slow ',' DorPrize ',' Sia ',' IN ',' Point ',' Mending ',' Cards', 'Network', 'Ancurrrr', 'Mending', 'Closed', 'Work', 'Nipu', 'Network', 'Extensive' , 'Paketan', 'expensive', 'card', 'slow', 'Naturally', 'person', 'cheap', 'package', 'already', 'expensive', 'threat', 'cheap', ' Hufffttt ']</v>
      </c>
      <c r="D1080" s="3">
        <v>1.0</v>
      </c>
    </row>
    <row r="1081" ht="15.75" customHeight="1">
      <c r="A1081" s="1">
        <v>1079.0</v>
      </c>
      <c r="B1081" s="3" t="s">
        <v>1082</v>
      </c>
      <c r="C1081" s="3" t="str">
        <f>IFERROR(__xludf.DUMMYFUNCTION("GOOGLETRANSLATE(B1081,""id"",""en"")"),"['Sorry', 'Telkomsel', 'Rampok', 'Credit', 'Inedible', 'Credit', 'Regular', 'Aware', 'Running Out', 'Quota', 'Internet', 'Hope', ' System ',' Fix ',' Quota ',' Internet ',' Out ',' Stop ',' Service ',' Internet ',' Eating ',' Credit ',' Regular ',' Thank "&amp;"you ' ]")</f>
        <v>['Sorry', 'Telkomsel', 'Rampok', 'Credit', 'Inedible', 'Credit', 'Regular', 'Aware', 'Running Out', 'Quota', 'Internet', 'Hope', ' System ',' Fix ',' Quota ',' Internet ',' Out ',' Stop ',' Service ',' Internet ',' Eating ',' Credit ',' Regular ',' Thank you ' ]</v>
      </c>
      <c r="D1081" s="3">
        <v>1.0</v>
      </c>
    </row>
    <row r="1082" ht="15.75" customHeight="1">
      <c r="A1082" s="1">
        <v>1080.0</v>
      </c>
      <c r="B1082" s="3" t="s">
        <v>1083</v>
      </c>
      <c r="C1082" s="3" t="str">
        <f>IFERROR(__xludf.DUMMYFUNCTION("GOOGLETRANSLATE(B1082,""id"",""en"")"),"['Telkomsel', 'how', 'signal', 'stable', 'streaming', 'lag', 'watch', 'drama', 'lag', 'play', 'games',' lag ',' Please, 'repaired', 'quota', 'Telkomsel', 'expensive', 'according to', 'price', 'service', ""]")</f>
        <v>['Telkomsel', 'how', 'signal', 'stable', 'streaming', 'lag', 'watch', 'drama', 'lag', 'play', 'games',' lag ',' Please, 'repaired', 'quota', 'Telkomsel', 'expensive', 'according to', 'price', 'service', "]</v>
      </c>
      <c r="D1082" s="3">
        <v>2.0</v>
      </c>
    </row>
    <row r="1083" ht="15.75" customHeight="1">
      <c r="A1083" s="1">
        <v>1081.0</v>
      </c>
      <c r="B1083" s="3" t="s">
        <v>1084</v>
      </c>
      <c r="C1083" s="3" t="str">
        <f>IFERROR(__xludf.DUMMYFUNCTION("GOOGLETRANSLATE(B1083,""id"",""en"")"),"['If', 'BNR', 'Hadian', 'Motor', 'APL', 'Telkomsel', 'Rame', 'User', 'Nyh', 'Karna', 'Nyh', 'Klw', ' Gifts', 'Sungguan', 'Telkomsel', '']")</f>
        <v>['If', 'BNR', 'Hadian', 'Motor', 'APL', 'Telkomsel', 'Rame', 'User', 'Nyh', 'Karna', 'Nyh', 'Klw', ' Gifts', 'Sungguan', 'Telkomsel', '']</v>
      </c>
      <c r="D1083" s="3">
        <v>5.0</v>
      </c>
    </row>
    <row r="1084" ht="15.75" customHeight="1">
      <c r="A1084" s="1">
        <v>1082.0</v>
      </c>
      <c r="B1084" s="3" t="s">
        <v>1085</v>
      </c>
      <c r="C1084" s="3" t="str">
        <f>IFERROR(__xludf.DUMMYFUNCTION("GOOGLETRANSLATE(B1084,""id"",""en"")"),"['Nyesel', 'migration', 'sympathy', 'hello', 'emg', 'tasty', 'buy', 'package', 'sndri', 'stay', 'pay', 'bill', ' contents', 'pulse', 'top', 'love', 'limit', 'pulse', 'darling', 'card', 'yrs',' waste ',' deh ',' gnti ', ""]")</f>
        <v>['Nyesel', 'migration', 'sympathy', 'hello', 'emg', 'tasty', 'buy', 'package', 'sndri', 'stay', 'pay', 'bill', ' contents', 'pulse', 'top', 'love', 'limit', 'pulse', 'darling', 'card', 'yrs',' waste ',' deh ',' gnti ', "]</v>
      </c>
      <c r="D1084" s="3">
        <v>1.0</v>
      </c>
    </row>
    <row r="1085" ht="15.75" customHeight="1">
      <c r="A1085" s="1">
        <v>1083.0</v>
      </c>
      <c r="B1085" s="3" t="s">
        <v>1086</v>
      </c>
      <c r="C1085" s="3" t="str">
        <f>IFERROR(__xludf.DUMMYFUNCTION("GOOGLETRANSLATE(B1085,""id"",""en"")"),"['expensive', 'replace', 'number', 'Telkomsel', 'expensive', 'reach', 'broad', 'tetep', 'loyal', 'Telkomsel', 'hopefully', 'gift', ' Telkomsel ',' Aamiin ']")</f>
        <v>['expensive', 'replace', 'number', 'Telkomsel', 'expensive', 'reach', 'broad', 'tetep', 'loyal', 'Telkomsel', 'hopefully', 'gift', ' Telkomsel ',' Aamiin ']</v>
      </c>
      <c r="D1085" s="3">
        <v>5.0</v>
      </c>
    </row>
    <row r="1086" ht="15.75" customHeight="1">
      <c r="A1086" s="1">
        <v>1084.0</v>
      </c>
      <c r="B1086" s="3" t="s">
        <v>1087</v>
      </c>
      <c r="C1086" s="3" t="str">
        <f>IFERROR(__xludf.DUMMYFUNCTION("GOOGLETRANSLATE(B1086,""id"",""en"")"),"['card', 'six', 'skrg', 'contents', 'pulse', 'point', 'skrg', 'point', 'point', 'beg', 'explanation']")</f>
        <v>['card', 'six', 'skrg', 'contents', 'pulse', 'point', 'skrg', 'point', 'point', 'beg', 'explanation']</v>
      </c>
      <c r="D1086" s="3">
        <v>5.0</v>
      </c>
    </row>
    <row r="1087" ht="15.75" customHeight="1">
      <c r="A1087" s="1">
        <v>1085.0</v>
      </c>
      <c r="B1087" s="3" t="s">
        <v>1088</v>
      </c>
      <c r="C1087" s="3" t="str">
        <f>IFERROR(__xludf.DUMMYFUNCTION("GOOGLETRANSLATE(B1087,""id"",""en"")"),"['buy', 'quota', 'unlimitid', 'GB', 'for', 'thousand', 'used', 'detrimental', 'customers', 'min', 'disappointed', 'Telkomsel']")</f>
        <v>['buy', 'quota', 'unlimitid', 'GB', 'for', 'thousand', 'used', 'detrimental', 'customers', 'min', 'disappointed', 'Telkomsel']</v>
      </c>
      <c r="D1087" s="3">
        <v>1.0</v>
      </c>
    </row>
    <row r="1088" ht="15.75" customHeight="1">
      <c r="A1088" s="1">
        <v>1086.0</v>
      </c>
      <c r="B1088" s="3" t="s">
        <v>1089</v>
      </c>
      <c r="C1088" s="3" t="str">
        <f>IFERROR(__xludf.DUMMYFUNCTION("GOOGLETRANSLATE(B1088,""id"",""en"")"),"['unlimited', 'restricted', 'like', 'use', 'unlimited', 'restricted', 'pkai', 'limited', 'unlimited', 'restricted', 'like', 'gini', ' Really ',' Help ',' Students ',' Students ',' Learning ',' Telkomsel ',' Repair ',' Unlimited ',' Limited ',' Poor ',' Or"&amp;"g ',' Difficult ',' Look "" , 'money', 'buy', 'kouta', 'yng', 'restricted', 'unlimited', 'hope', 'sefts', 'making it easier', 'student', 'student']")</f>
        <v>['unlimited', 'restricted', 'like', 'use', 'unlimited', 'restricted', 'pkai', 'limited', 'unlimited', 'restricted', 'like', 'gini', ' Really ',' Help ',' Students ',' Students ',' Learning ',' Telkomsel ',' Repair ',' Unlimited ',' Limited ',' Poor ',' Org ',' Difficult ',' Look " , 'money', 'buy', 'kouta', 'yng', 'restricted', 'unlimited', 'hope', 'sefts', 'making it easier', 'student', 'student']</v>
      </c>
      <c r="D1088" s="3">
        <v>1.0</v>
      </c>
    </row>
    <row r="1089" ht="15.75" customHeight="1">
      <c r="A1089" s="1">
        <v>1087.0</v>
      </c>
      <c r="B1089" s="3" t="s">
        <v>1090</v>
      </c>
      <c r="C1089" s="3" t="str">
        <f>IFERROR(__xludf.DUMMYFUNCTION("GOOGLETRANSLATE(B1089,""id"",""en"")"),"['Package', 'Internet', 'Reverse', 'App', 'Account', 'Unreg', 'Via', 'App', 'Function', 'Via', 'Dial', 'Tel', ' The menu ',' stop ',' subscribe ',' package ',' package ',' internet ',' weekly ',' times', 'lost', 'active', 'quota', 'tired', 'loss' , '']")</f>
        <v>['Package', 'Internet', 'Reverse', 'App', 'Account', 'Unreg', 'Via', 'App', 'Function', 'Via', 'Dial', 'Tel', ' The menu ',' stop ',' subscribe ',' package ',' package ',' internet ',' weekly ',' times', 'lost', 'active', 'quota', 'tired', 'loss' , '']</v>
      </c>
      <c r="D1089" s="3">
        <v>1.0</v>
      </c>
    </row>
    <row r="1090" ht="15.75" customHeight="1">
      <c r="A1090" s="1">
        <v>1088.0</v>
      </c>
      <c r="B1090" s="3" t="s">
        <v>1091</v>
      </c>
      <c r="C1090" s="3" t="str">
        <f>IFERROR(__xludf.DUMMYFUNCTION("GOOGLETRANSLATE(B1090,""id"",""en"")"),"['The name', 'ugly', 'really', 'pay', 'expensive', 'network', 'rotten', 'please', 'repaired', 'related', 'consumer', 'disappointed']")</f>
        <v>['The name', 'ugly', 'really', 'pay', 'expensive', 'network', 'rotten', 'please', 'repaired', 'related', 'consumer', 'disappointed']</v>
      </c>
      <c r="D1090" s="3">
        <v>1.0</v>
      </c>
    </row>
    <row r="1091" ht="15.75" customHeight="1">
      <c r="A1091" s="1">
        <v>1089.0</v>
      </c>
      <c r="B1091" s="3" t="s">
        <v>1092</v>
      </c>
      <c r="C1091" s="3" t="str">
        <f>IFERROR(__xludf.DUMMYFUNCTION("GOOGLETRANSLATE(B1091,""id"",""en"")"),"['Network', 'Benerin', 'Buy', 'Package', 'Telkomsel', 'Cheap', 'Cuy', 'TPI', 'Network', 'Lost', 'Cheap', 'Game', ' Online ',' Track ',' Email ',' Live ',' Track ',' Benerin ',' Network ',' Dizziness', 'Very', 'Liat', 'Network', 'Rich', 'Network' , 'free',"&amp;" 'buy', 'mistilisan', 'gada', 'responsive', 'otw', 'buy', 'cheap', 'TPI', 'network', 'meek', 'response', ' Family ',' told ',' Discard ',' Telkomsel ',' Loss', 'Win', 'Expensive', 'Doang', 'Quality', 'Cheap', 'Acc', 'Min', 'Paketan' , 'expensive', ""]")</f>
        <v>['Network', 'Benerin', 'Buy', 'Package', 'Telkomsel', 'Cheap', 'Cuy', 'TPI', 'Network', 'Lost', 'Cheap', 'Game', ' Online ',' Track ',' Email ',' Live ',' Track ',' Benerin ',' Network ',' Dizziness', 'Very', 'Liat', 'Network', 'Rich', 'Network' , 'free', 'buy', 'mistilisan', 'gada', 'responsive', 'otw', 'buy', 'cheap', 'TPI', 'network', 'meek', 'response', ' Family ',' told ',' Discard ',' Telkomsel ',' Loss', 'Win', 'Expensive', 'Doang', 'Quality', 'Cheap', 'Acc', 'Min', 'Paketan' , 'expensive', "]</v>
      </c>
      <c r="D1091" s="3">
        <v>1.0</v>
      </c>
    </row>
    <row r="1092" ht="15.75" customHeight="1">
      <c r="A1092" s="1">
        <v>1090.0</v>
      </c>
      <c r="B1092" s="3" t="s">
        <v>1093</v>
      </c>
      <c r="C1092" s="3" t="str">
        <f>IFERROR(__xludf.DUMMYFUNCTION("GOOGLETRANSLATE(B1092,""id"",""en"")"),"['Telkomsel', 'play', 'games',' network ',' difficult ',' kayak ',' missing ',' watch ',' video ',' smooth ',' problem ',' please ',' Santantuan ',' Solution ',' Trima ',' Love ', ""]")</f>
        <v>['Telkomsel', 'play', 'games',' network ',' difficult ',' kayak ',' missing ',' watch ',' video ',' smooth ',' problem ',' please ',' Santantuan ',' Solution ',' Trima ',' Love ', "]</v>
      </c>
      <c r="D1092" s="3">
        <v>1.0</v>
      </c>
    </row>
    <row r="1093" ht="15.75" customHeight="1">
      <c r="A1093" s="1">
        <v>1091.0</v>
      </c>
      <c r="B1093" s="3" t="s">
        <v>1094</v>
      </c>
      <c r="C1093" s="3" t="str">
        <f>IFERROR(__xludf.DUMMYFUNCTION("GOOGLETRANSLATE(B1093,""id"",""en"")"),"['Performance', 'network', 'slow', 'package', 'expensive', 'here', 'network', 'slow', 'customer', 'loyal', 'switch', 'operator', ' ']")</f>
        <v>['Performance', 'network', 'slow', 'package', 'expensive', 'here', 'network', 'slow', 'customer', 'loyal', 'switch', 'operator', ' ']</v>
      </c>
      <c r="D1093" s="3">
        <v>1.0</v>
      </c>
    </row>
    <row r="1094" ht="15.75" customHeight="1">
      <c r="A1094" s="1">
        <v>1092.0</v>
      </c>
      <c r="B1094" s="3" t="s">
        <v>1095</v>
      </c>
      <c r="C1094" s="3" t="str">
        <f>IFERROR(__xludf.DUMMYFUNCTION("GOOGLETRANSLATE(B1094,""id"",""en"")"),"['Signal', 'DBM', 'Terat', 'Bad', 'Provider', 'National', 'Lho', 'Sad', 'Tlp', 'Change', 'Tlp', 'Khinya', ' contact ',' Telkomsel ',' phone ',' clock ',' org ',' prayer ',' then ',' tip ',' phone ',' kbr ',' smpe ',' skrg ',' funny thingly ' , 'Note', 'se"&amp;"rvice', 'Customer', 'report', 'signal', 'signal', 'stable', 'in', 'RMH', 'building', 'reality', 'report', ' signal ',' hnya ',' stable ',' sgt ',' bad ',' bkn ',' hnya ',' dlm ',' rmh ',' building ',' ']")</f>
        <v>['Signal', 'DBM', 'Terat', 'Bad', 'Provider', 'National', 'Lho', 'Sad', 'Tlp', 'Change', 'Tlp', 'Khinya', ' contact ',' Telkomsel ',' phone ',' clock ',' org ',' prayer ',' then ',' tip ',' phone ',' kbr ',' smpe ',' skrg ',' funny thingly ' , 'Note', 'service', 'Customer', 'report', 'signal', 'signal', 'stable', 'in', 'RMH', 'building', 'reality', 'report', ' signal ',' hnya ',' stable ',' sgt ',' bad ',' bkn ',' hnya ',' dlm ',' rmh ',' building ',' ']</v>
      </c>
      <c r="D1094" s="3">
        <v>1.0</v>
      </c>
    </row>
    <row r="1095" ht="15.75" customHeight="1">
      <c r="A1095" s="1">
        <v>1093.0</v>
      </c>
      <c r="B1095" s="3" t="s">
        <v>1096</v>
      </c>
      <c r="C1095" s="3" t="str">
        <f>IFERROR(__xludf.DUMMYFUNCTION("GOOGLETRANSLATE(B1095,""id"",""en"")"),"['user', 'internet', 'gamers',' suggestion ',' card ',' Telkomsel ',' network ',' bad ',' game ',' network ',' kek ',' lights', ' Cross', 'Yellow', 'Red', 'Green', 'Stable', 'Nge', 'Drop', 'Mending', 'Select', 'Card', 'Over', ""]")</f>
        <v>['user', 'internet', 'gamers',' suggestion ',' card ',' Telkomsel ',' network ',' bad ',' game ',' network ',' kek ',' lights', ' Cross', 'Yellow', 'Red', 'Green', 'Stable', 'Nge', 'Drop', 'Mending', 'Select', 'Card', 'Over', "]</v>
      </c>
      <c r="D1095" s="3">
        <v>1.0</v>
      </c>
    </row>
    <row r="1096" ht="15.75" customHeight="1">
      <c r="A1096" s="1">
        <v>1094.0</v>
      </c>
      <c r="B1096" s="3" t="s">
        <v>1097</v>
      </c>
      <c r="C1096" s="3" t="str">
        <f>IFERROR(__xludf.DUMMYFUNCTION("GOOGLETRANSLATE(B1096,""id"",""en"")"),"['Ask', 'Telkomsel', 'Busy', 'Ngeapain', 'Network', 'Good', 'Kouta', 'Knp', 'Good', ""]")</f>
        <v>['Ask', 'Telkomsel', 'Busy', 'Ngeapain', 'Network', 'Good', 'Kouta', 'Knp', 'Good', "]</v>
      </c>
      <c r="D1096" s="3">
        <v>1.0</v>
      </c>
    </row>
    <row r="1097" ht="15.75" customHeight="1">
      <c r="A1097" s="1">
        <v>1095.0</v>
      </c>
      <c r="B1097" s="3" t="s">
        <v>1098</v>
      </c>
      <c r="C1097" s="3" t="str">
        <f>IFERROR(__xludf.DUMMYFUNCTION("GOOGLETRANSLATE(B1097,""id"",""en"")"),"['Dear', 'Telkomsel', 'sms',' dariavtekomsel ',' pulse ',' download ',' login ',' application ',' Telkomsel ',' proof ',' pulse ',' cheating ',' Poor ',' Customer ',' Tipu ',' told ',' Download ',' Login ',' Credit ',' Bohongan ',' Pekahhhhhh ',' ']")</f>
        <v>['Dear', 'Telkomsel', 'sms',' dariavtekomsel ',' pulse ',' download ',' login ',' application ',' Telkomsel ',' proof ',' pulse ',' cheating ',' Poor ',' Customer ',' Tipu ',' told ',' Download ',' Login ',' Credit ',' Bohongan ',' Pekahhhhhh ',' ']</v>
      </c>
      <c r="D1097" s="3">
        <v>1.0</v>
      </c>
    </row>
    <row r="1098" ht="15.75" customHeight="1">
      <c r="A1098" s="1">
        <v>1096.0</v>
      </c>
      <c r="B1098" s="3" t="s">
        <v>1099</v>
      </c>
      <c r="C1098" s="3" t="str">
        <f>IFERROR(__xludf.DUMMYFUNCTION("GOOGLETRANSLATE(B1098,""id"",""en"")"),"['Nyesel', 'original', 'The net', 'stable', 'in the area', 'good', 'stable', 'provider', 'cheap', 'like', 'karuan', ' Used ',' Main ',' Game ',' Recommend ',' Daily ',' Check ',' Imply ',' Credit ',' Abis', ""]")</f>
        <v>['Nyesel', 'original', 'The net', 'stable', 'in the area', 'good', 'stable', 'provider', 'cheap', 'like', 'karuan', ' Used ',' Main ',' Game ',' Recommend ',' Daily ',' Check ',' Imply ',' Credit ',' Abis', "]</v>
      </c>
      <c r="D1098" s="3">
        <v>1.0</v>
      </c>
    </row>
    <row r="1099" ht="15.75" customHeight="1">
      <c r="A1099" s="1">
        <v>1097.0</v>
      </c>
      <c r="B1099" s="3" t="s">
        <v>1100</v>
      </c>
      <c r="C1099" s="3" t="str">
        <f>IFERROR(__xludf.DUMMYFUNCTION("GOOGLETRANSLATE(B1099,""id"",""en"")"),"['Damn', 'card', 'package', 'internet', 'Telkomsel', 'use', 'stingy', 'severe', 'Telkomsel', 'great', 'Damn', 'buy', ' card ',' unlimited ',' GB ',' strong ',' GB ',' strong ',' HBIS ',' unlimted ',' apply ',' Damn ',' unlimet ',' slow ',' You ' , 'Tube',"&amp;" 'sometimes',' use ',' love ',' promo ',' bro ',' please ',' public ',' promo ',' lie to ',' customer ',' Telkomsel ',' public ',' promo ',' limit ',' speed ',' ']")</f>
        <v>['Damn', 'card', 'package', 'internet', 'Telkomsel', 'use', 'stingy', 'severe', 'Telkomsel', 'great', 'Damn', 'buy', ' card ',' unlimited ',' GB ',' strong ',' GB ',' strong ',' HBIS ',' unlimted ',' apply ',' Damn ',' unlimet ',' slow ',' You ' , 'Tube', 'sometimes',' use ',' love ',' promo ',' bro ',' please ',' public ',' promo ',' lie to ',' customer ',' Telkomsel ',' public ',' promo ',' limit ',' speed ',' ']</v>
      </c>
      <c r="D1099" s="3">
        <v>1.0</v>
      </c>
    </row>
    <row r="1100" ht="15.75" customHeight="1">
      <c r="A1100" s="1">
        <v>1098.0</v>
      </c>
      <c r="B1100" s="3" t="s">
        <v>1101</v>
      </c>
      <c r="C1100" s="3" t="str">
        <f>IFERROR(__xludf.DUMMYFUNCTION("GOOGLETRANSLATE(B1100,""id"",""en"")"),"['katanye', 'login', 'Telkomsel', 'can', 'pulse', 'rb', 'lie', 'sorry', 'sya', 'nakya', 'package', 'data', ' Telkomsel ',' going forward ',' smakin ',' good ',' dumped ',' dumped ',' darling ',' numbers', 'numbers',' relations', 'please', 'Telkomsel', 'en"&amp;"hanced' , 'his web', 'Mantul', 'Bravo', 'Telkomsel']")</f>
        <v>['katanye', 'login', 'Telkomsel', 'can', 'pulse', 'rb', 'lie', 'sorry', 'sya', 'nakya', 'package', 'data', ' Telkomsel ',' going forward ',' smakin ',' good ',' dumped ',' dumped ',' darling ',' numbers', 'numbers',' relations', 'please', 'Telkomsel', 'enhanced' , 'his web', 'Mantul', 'Bravo', 'Telkomsel']</v>
      </c>
      <c r="D1100" s="3">
        <v>1.0</v>
      </c>
    </row>
    <row r="1101" ht="15.75" customHeight="1">
      <c r="A1101" s="1">
        <v>1099.0</v>
      </c>
      <c r="B1101" s="3" t="s">
        <v>1102</v>
      </c>
      <c r="C1101" s="3" t="str">
        <f>IFERROR(__xludf.DUMMYFUNCTION("GOOGLETRANSLATE(B1101,""id"",""en"")"),"['Disappointed', 'really', 'Telkomsel', 'signal', 'ugly', 'really', 'already', 'try', 'email', 'twitter', 'response']")</f>
        <v>['Disappointed', 'really', 'Telkomsel', 'signal', 'ugly', 'really', 'already', 'try', 'email', 'twitter', 'response']</v>
      </c>
      <c r="D1101" s="3">
        <v>1.0</v>
      </c>
    </row>
    <row r="1102" ht="15.75" customHeight="1">
      <c r="A1102" s="1">
        <v>1100.0</v>
      </c>
      <c r="B1102" s="3" t="s">
        <v>1103</v>
      </c>
      <c r="C1102" s="3" t="str">
        <f>IFERROR(__xludf.DUMMYFUNCTION("GOOGLETRANSLATE(B1102,""id"",""en"")"),"['Telkomsel', 'Network', 'Region', 'No', 'Good', 'Already', 'Play', 'Game', 'Watch', 'Video', 'Muter', 'mobile', ' network ',' kek ',' taik ',' sulawesi ',' kec ',' tojo ',' network ',' telkomsel ',' stable ',' sometimes', 'sometimes',' telkomsel ',' plea"&amp;"se ' , 'fix', 'network', 'cook', 'package', 'expensive', 'network', 'no', 'good', 'buy', 'package', 'Telkomsel', 'people', ' Tojo ',' Una ',' network ',' disappointing ',' loop ',' sympathy ']")</f>
        <v>['Telkomsel', 'Network', 'Region', 'No', 'Good', 'Already', 'Play', 'Game', 'Watch', 'Video', 'Muter', 'mobile', ' network ',' kek ',' taik ',' sulawesi ',' kec ',' tojo ',' network ',' telkomsel ',' stable ',' sometimes', 'sometimes',' telkomsel ',' please ' , 'fix', 'network', 'cook', 'package', 'expensive', 'network', 'no', 'good', 'buy', 'package', 'Telkomsel', 'people', ' Tojo ',' Una ',' network ',' disappointing ',' loop ',' sympathy ']</v>
      </c>
      <c r="D1102" s="3">
        <v>1.0</v>
      </c>
    </row>
    <row r="1103" ht="15.75" customHeight="1">
      <c r="A1103" s="1">
        <v>1101.0</v>
      </c>
      <c r="B1103" s="3" t="s">
        <v>1104</v>
      </c>
      <c r="C1103" s="3" t="str">
        <f>IFERROR(__xludf.DUMMYFUNCTION("GOOGLETRANSLATE(B1103,""id"",""en"")"),"['Can', 'pulse', 'entry', 'monetary', 'try', 'lure', 'pulse', 'if', 'download', 'login', 'pulse', 'star', ' Uninstall ',' ']")</f>
        <v>['Can', 'pulse', 'entry', 'monetary', 'try', 'lure', 'pulse', 'if', 'download', 'login', 'pulse', 'star', ' Uninstall ',' ']</v>
      </c>
      <c r="D1103" s="3">
        <v>1.0</v>
      </c>
    </row>
    <row r="1104" ht="15.75" customHeight="1">
      <c r="A1104" s="1">
        <v>1102.0</v>
      </c>
      <c r="B1104" s="3" t="s">
        <v>1105</v>
      </c>
      <c r="C1104" s="3" t="str">
        <f>IFERROR(__xludf.DUMMYFUNCTION("GOOGLETRANSLATE(B1104,""id"",""en"")"),"['Telkomsel', 'expensive', 'regret', 'replace', 'Telkomsel', 'Gara', 'late', 'fill', 'pulse', 'block', 'Ngurus',' GraPARI ',' replace ',' card ',' hello ',' number ',' package ',' bill ',' a month ',' run out ',' pakek ',' im ',' GB ',' exceed ',' active "&amp;"' , 'package', 'package', 'Telkomsel', 'expensive', 'run out', 'ngak', ""]")</f>
        <v>['Telkomsel', 'expensive', 'regret', 'replace', 'Telkomsel', 'Gara', 'late', 'fill', 'pulse', 'block', 'Ngurus',' GraPARI ',' replace ',' card ',' hello ',' number ',' package ',' bill ',' a month ',' run out ',' pakek ',' im ',' GB ',' exceed ',' active ' , 'package', 'package', 'Telkomsel', 'expensive', 'run out', 'ngak', "]</v>
      </c>
      <c r="D1104" s="3">
        <v>1.0</v>
      </c>
    </row>
    <row r="1105" ht="15.75" customHeight="1">
      <c r="A1105" s="1">
        <v>1103.0</v>
      </c>
      <c r="B1105" s="3" t="s">
        <v>1106</v>
      </c>
      <c r="C1105" s="3" t="str">
        <f>IFERROR(__xludf.DUMMYFUNCTION("GOOGLETRANSLATE(B1105,""id"",""en"")"),"['sympathy', 'disappointed', 'fraud', 'Telkomsel', 'plays',' menu ',' customer ',' cheated ',' contents', 'pulse', 'data', 'quota', ' Whatever ',' skrg ',' can ',' promo ',' fill ',' pulse ',' thousand ',' writing ',' cashback ',' thousand ',' apply ',' a"&amp;"nd then ',' fill ' , 'MAGRIB', 'Try', 'TLP', 'Reduced', 'Credit', 'Main', 'Bonus', 'Dipake', 'BANGJE', '']")</f>
        <v>['sympathy', 'disappointed', 'fraud', 'Telkomsel', 'plays',' menu ',' customer ',' cheated ',' contents', 'pulse', 'data', 'quota', ' Whatever ',' skrg ',' can ',' promo ',' fill ',' pulse ',' thousand ',' writing ',' cashback ',' thousand ',' apply ',' and then ',' fill ' , 'MAGRIB', 'Try', 'TLP', 'Reduced', 'Credit', 'Main', 'Bonus', 'Dipake', 'BANGJE', '']</v>
      </c>
      <c r="D1105" s="3">
        <v>1.0</v>
      </c>
    </row>
    <row r="1106" ht="15.75" customHeight="1">
      <c r="A1106" s="1">
        <v>1104.0</v>
      </c>
      <c r="B1106" s="3" t="s">
        <v>1107</v>
      </c>
      <c r="C1106" s="3" t="str">
        <f>IFERROR(__xludf.DUMMYFUNCTION("GOOGLETRANSLATE(B1106,""id"",""en"")"),"['network', 'Telkomsel', 'slow', 'times',' open ',' application ',' sosmed ',' play ',' game ',' already ',' card ',' expensive ',' kek ',' gini ',' disappointed ',' customer ',' improvement ',' know ',' expensive ',' customer ',' loss', ""]")</f>
        <v>['network', 'Telkomsel', 'slow', 'times',' open ',' application ',' sosmed ',' play ',' game ',' already ',' card ',' expensive ',' kek ',' gini ',' disappointed ',' customer ',' improvement ',' know ',' expensive ',' customer ',' loss', "]</v>
      </c>
      <c r="D1106" s="3">
        <v>1.0</v>
      </c>
    </row>
    <row r="1107" ht="15.75" customHeight="1">
      <c r="A1107" s="1">
        <v>1105.0</v>
      </c>
      <c r="B1107" s="3" t="s">
        <v>1108</v>
      </c>
      <c r="C1107" s="3" t="str">
        <f>IFERROR(__xludf.DUMMYFUNCTION("GOOGLETRANSLATE(B1107,""id"",""en"")"),"['Disappointed', 'Telkomsel', 'Week', 'Network', 'ugly', 'Comfortable', 'Need', 'Open', 'Internet', 'Maen', 'Game', 'Online' Signal ',' Influence ',' Open ',' Internet ',' ']")</f>
        <v>['Disappointed', 'Telkomsel', 'Week', 'Network', 'ugly', 'Comfortable', 'Need', 'Open', 'Internet', 'Maen', 'Game', 'Online' Signal ',' Influence ',' Open ',' Internet ',' ']</v>
      </c>
      <c r="D1107" s="3">
        <v>2.0</v>
      </c>
    </row>
    <row r="1108" ht="15.75" customHeight="1">
      <c r="A1108" s="1">
        <v>1106.0</v>
      </c>
      <c r="B1108" s="3" t="s">
        <v>1109</v>
      </c>
      <c r="C1108" s="3" t="str">
        <f>IFERROR(__xludf.DUMMYFUNCTION("GOOGLETRANSLATE(B1108,""id"",""en"")"),"['apk', 'ugly', 'error', 'mulu', 'please', 'repaired', 'already', ""]")</f>
        <v>['apk', 'ugly', 'error', 'mulu', 'please', 'repaired', 'already', "]</v>
      </c>
      <c r="D1108" s="3">
        <v>5.0</v>
      </c>
    </row>
    <row r="1109" ht="15.75" customHeight="1">
      <c r="A1109" s="1">
        <v>1107.0</v>
      </c>
      <c r="B1109" s="3" t="s">
        <v>1110</v>
      </c>
      <c r="C1109" s="3" t="str">
        <f>IFERROR(__xludf.DUMMYFUNCTION("GOOGLETRANSLATE(B1109,""id"",""en"")"),"['', 'Saranin', 'Sedai', 'high school', 'Mending', 'buy', 'quota', 'night', 'buy', 'quota', 'monthly', 'expensive', 'signal ',' down ',' severe ',' dri ',' clock ',' until ',' clock ',' morning ',' udh ',' already ',' buy ',' mending ',' sell ', 'buy', 'c"&amp;"ard', 'kya', 'tri', 'clock', 'signal', 'kya', 'card', 'tsel', 'udh', 'expensive', 'signal', 'ugly ',' good ',' cmn ',' mlm ',' doang ']")</f>
        <v>['', 'Saranin', 'Sedai', 'high school', 'Mending', 'buy', 'quota', 'night', 'buy', 'quota', 'monthly', 'expensive', 'signal ',' down ',' severe ',' dri ',' clock ',' until ',' clock ',' morning ',' udh ',' already ',' buy ',' mending ',' sell ', 'buy', 'card', 'kya', 'tri', 'clock', 'signal', 'kya', 'card', 'tsel', 'udh', 'expensive', 'signal', 'ugly ',' good ',' cmn ',' mlm ',' doang ']</v>
      </c>
      <c r="D1109" s="3">
        <v>1.0</v>
      </c>
    </row>
    <row r="1110" ht="15.75" customHeight="1">
      <c r="A1110" s="1">
        <v>1108.0</v>
      </c>
      <c r="B1110" s="3" t="s">
        <v>1111</v>
      </c>
      <c r="C1110" s="3" t="str">
        <f>IFERROR(__xludf.DUMMYFUNCTION("GOOGLETRANSLATE(B1110,""id"",""en"")"),"['hoe', 'me', 'buy', 'pulse', 'buy', 'pactan', 'pakek', 'money', 'me', 'customers',' telkomsel ',' already ',' ber ',' signal ',' love ',' customer ',' may ',' ngaco ',' signal ',' stuck ',' except ',' open ',' syroi ',' open ',' foroto ' , 'FBan', 'Main'"&amp;", 'Game', 'DPAT', 'Dri', 'Telkomsel', '']")</f>
        <v>['hoe', 'me', 'buy', 'pulse', 'buy', 'pactan', 'pakek', 'money', 'me', 'customers',' telkomsel ',' already ',' ber ',' signal ',' love ',' customer ',' may ',' ngaco ',' signal ',' stuck ',' except ',' open ',' syroi ',' open ',' foroto ' , 'FBan', 'Main', 'Game', 'DPAT', 'Dri', 'Telkomsel', '']</v>
      </c>
      <c r="D1110" s="3">
        <v>1.0</v>
      </c>
    </row>
    <row r="1111" ht="15.75" customHeight="1">
      <c r="A1111" s="1">
        <v>1109.0</v>
      </c>
      <c r="B1111" s="3" t="s">
        <v>1112</v>
      </c>
      <c r="C1111" s="3" t="str">
        <f>IFERROR(__xludf.DUMMYFUNCTION("GOOGLETRANSLATE(B1111,""id"",""en"")"),"['network', 'Telkomsel', 'ngak', 'quota', 'signal', 'ngak', 'strong', 'send', 'chat', 'ngak', 'strong', 'please' repair']")</f>
        <v>['network', 'Telkomsel', 'ngak', 'quota', 'signal', 'ngak', 'strong', 'send', 'chat', 'ngak', 'strong', 'please' repair']</v>
      </c>
      <c r="D1111" s="3">
        <v>1.0</v>
      </c>
    </row>
    <row r="1112" ht="15.75" customHeight="1">
      <c r="A1112" s="1">
        <v>1110.0</v>
      </c>
      <c r="B1112" s="3" t="s">
        <v>1113</v>
      </c>
      <c r="C1112" s="3" t="str">
        <f>IFERROR(__xludf.DUMMYFUNCTION("GOOGLETRANSLATE(B1112,""id"",""en"")"),"['application', 'help', 'koq', 'open', 'application', 'mytelkomsel', 'must', 'browse', 'web', 'sent', 'message', 'then' slow ',' connection ',' stable ',' check ',' network ',' or ',' what 'is' confused', 'open', 'application', 'big', 'pubg', 'mobile' , '"&amp;"smooth', 'smooth', 'dmn', 'gap', 'mistake', 'goiter', 'sometimes',' sometimes', 'love', 'solution', 'donk', 'thanks',' ']")</f>
        <v>['application', 'help', 'koq', 'open', 'application', 'mytelkomsel', 'must', 'browse', 'web', 'sent', 'message', 'then' slow ',' connection ',' stable ',' check ',' network ',' or ',' what 'is' confused', 'open', 'application', 'big', 'pubg', 'mobile' , 'smooth', 'smooth', 'dmn', 'gap', 'mistake', 'goiter', 'sometimes',' sometimes', 'love', 'solution', 'donk', 'thanks',' ']</v>
      </c>
      <c r="D1112" s="3">
        <v>2.0</v>
      </c>
    </row>
    <row r="1113" ht="15.75" customHeight="1">
      <c r="A1113" s="1">
        <v>1111.0</v>
      </c>
      <c r="B1113" s="3" t="s">
        <v>1114</v>
      </c>
      <c r="C1113" s="3" t="str">
        <f>IFERROR(__xludf.DUMMYFUNCTION("GOOGLETRANSLATE(B1113,""id"",""en"")"),"['buy', 'package', 'combo', 'Sakti', 'unlimited', 'quota', 'internet', 'abis',' active ',' quota ',' medsos', 'etc.', ' Lemoooooot ',' Nangudubila ',' patient ',' dumpung ',' confused ',' kagak ',' check ',' yutub ',' bought ',' quota ',' yutub ',' lap ',"&amp;"' lemoot ' , 'open', 'Yutub', 'like', 'quota', 'active', 'quota', 'medsos',' end ',' buy ',' quota ',' internet ',' open ',' Yutub ',' friend ',' number ',' Telkomsel ',' use ',' product ',' tomorrow ',' use ',' card ',' buy ',' modem ']")</f>
        <v>['buy', 'package', 'combo', 'Sakti', 'unlimited', 'quota', 'internet', 'abis',' active ',' quota ',' medsos', 'etc.', ' Lemoooooot ',' Nangudubila ',' patient ',' dumpung ',' confused ',' kagak ',' check ',' yutub ',' bought ',' quota ',' yutub ',' lap ',' lemoot ' , 'open', 'Yutub', 'like', 'quota', 'active', 'quota', 'medsos',' end ',' buy ',' quota ',' internet ',' open ',' Yutub ',' friend ',' number ',' Telkomsel ',' use ',' product ',' tomorrow ',' use ',' card ',' buy ',' modem ']</v>
      </c>
      <c r="D1113" s="3">
        <v>1.0</v>
      </c>
    </row>
    <row r="1114" ht="15.75" customHeight="1">
      <c r="A1114" s="1">
        <v>1112.0</v>
      </c>
      <c r="B1114" s="3" t="s">
        <v>1115</v>
      </c>
      <c r="C1114" s="3" t="str">
        <f>IFERROR(__xludf.DUMMYFUNCTION("GOOGLETRANSLATE(B1114,""id"",""en"")"),"['Here', 'Application', 'Ribet', 'Entering', 'Bener', 'Troubled', 'Make', 'Telkomsel', 'Open', 'APK', 'Settings',' Use ',' The quota ',' strange ',' package ',' used ',' first ',' package ',' stay ',' vain ',' package ',' contact ',' not ',' help ',' spen"&amp;"d ' , 'Karrna', 'queued', ""]")</f>
        <v>['Here', 'Application', 'Ribet', 'Entering', 'Bener', 'Troubled', 'Make', 'Telkomsel', 'Open', 'APK', 'Settings',' Use ',' The quota ',' strange ',' package ',' used ',' first ',' package ',' stay ',' vain ',' package ',' contact ',' not ',' help ',' spend ' , 'Karrna', 'queued', "]</v>
      </c>
      <c r="D1114" s="3">
        <v>1.0</v>
      </c>
    </row>
    <row r="1115" ht="15.75" customHeight="1">
      <c r="A1115" s="1">
        <v>1113.0</v>
      </c>
      <c r="B1115" s="3" t="s">
        <v>1116</v>
      </c>
      <c r="C1115" s="3" t="str">
        <f>IFERROR(__xludf.DUMMYFUNCTION("GOOGLETRANSLATE(B1115,""id"",""en"")"),"['knapa', 'signal', 'ugly', 'since', 'card', 'Telkomsel', 'unlimited', 'signal', 'ugly', 'price', 'doang', 'expensive', ' The signal ',' ugly ',' Please ',' repaired ']")</f>
        <v>['knapa', 'signal', 'ugly', 'since', 'card', 'Telkomsel', 'unlimited', 'signal', 'ugly', 'price', 'doang', 'expensive', ' The signal ',' ugly ',' Please ',' repaired ']</v>
      </c>
      <c r="D1115" s="3">
        <v>1.0</v>
      </c>
    </row>
    <row r="1116" ht="15.75" customHeight="1">
      <c r="A1116" s="1">
        <v>1114.0</v>
      </c>
      <c r="B1116" s="3" t="s">
        <v>1117</v>
      </c>
      <c r="C1116" s="3" t="str">
        <f>IFERROR(__xludf.DUMMYFUNCTION("GOOGLETRANSLATE(B1116,""id"",""en"")"),"['Hello', 'admin', 'Honest', 'Disappointed', 'Update', 'Application', 'Error', 'Severe', 'Package', 'Quota', 'Internet', 'Lost', ' Just ',' Conference ',' Conference ',' Price ',' RB ',' KNP ',' Errornay ',' DPT ',' Promo ',' Combo ',' Sakti ',' Etc. ',' "&amp;"right ' , 'DCLIK', 'promo', 'tredia', 'how', 'fill in', 'quota', 'gini', 'org', 'move', 'provider', 'card', 'fill', ' package ',' internet ',' twitter ',' October ',' yrs', 'yesterday', 'no', 'dbls',' veronika ',' his writing ',' error ',' solution ']")</f>
        <v>['Hello', 'admin', 'Honest', 'Disappointed', 'Update', 'Application', 'Error', 'Severe', 'Package', 'Quota', 'Internet', 'Lost', ' Just ',' Conference ',' Conference ',' Price ',' RB ',' KNP ',' Errornay ',' DPT ',' Promo ',' Combo ',' Sakti ',' Etc. ',' right ' , 'DCLIK', 'promo', 'tredia', 'how', 'fill in', 'quota', 'gini', 'org', 'move', 'provider', 'card', 'fill', ' package ',' internet ',' twitter ',' October ',' yrs', 'yesterday', 'no', 'dbls',' veronika ',' his writing ',' error ',' solution ']</v>
      </c>
      <c r="D1116" s="3">
        <v>4.0</v>
      </c>
    </row>
    <row r="1117" ht="15.75" customHeight="1">
      <c r="A1117" s="1">
        <v>1115.0</v>
      </c>
      <c r="B1117" s="3" t="s">
        <v>1118</v>
      </c>
      <c r="C1117" s="3" t="str">
        <f>IFERROR(__xludf.DUMMYFUNCTION("GOOGLETRANSLATE(B1117,""id"",""en"")"),"['Stay', 'area', 'city', 'price', 'quota', 'expensive', 'compared to', 'provider', 'quality', 'provider', 'sometimes', 'below' price ',' expensive ',' quality ',' please ',' balanced ',' ']")</f>
        <v>['Stay', 'area', 'city', 'price', 'quota', 'expensive', 'compared to', 'provider', 'quality', 'provider', 'sometimes', 'below' price ',' expensive ',' quality ',' please ',' balanced ',' ']</v>
      </c>
      <c r="D1117" s="3">
        <v>1.0</v>
      </c>
    </row>
    <row r="1118" ht="15.75" customHeight="1">
      <c r="A1118" s="1">
        <v>1116.0</v>
      </c>
      <c r="B1118" s="3" t="s">
        <v>1119</v>
      </c>
      <c r="C1118" s="3" t="str">
        <f>IFERROR(__xludf.DUMMYFUNCTION("GOOGLETRANSLATE(B1118,""id"",""en"")"),"['Telkomsel', 'Dear', 'Please', 'Sorry', 'Quality', 'Network', 'Telkomsel', 'Down', 'Comfort', 'User', 'Disturbed', 'Application', ' Telkomsel ',' Sya ',' Not bad ',' Good ',' Provides', 'Package', 'Data', 'Price', 'Affordable', 'Thank', 'Love', 'Telkomse"&amp;"l', 'Hold' , 'promo', 'unlimited', 'data', 'rupiah', 'so', 'thank', 'salary']")</f>
        <v>['Telkomsel', 'Dear', 'Please', 'Sorry', 'Quality', 'Network', 'Telkomsel', 'Down', 'Comfort', 'User', 'Disturbed', 'Application', ' Telkomsel ',' Sya ',' Not bad ',' Good ',' Provides', 'Package', 'Data', 'Price', 'Affordable', 'Thank', 'Love', 'Telkomsel', 'Hold' , 'promo', 'unlimited', 'data', 'rupiah', 'so', 'thank', 'salary']</v>
      </c>
      <c r="D1118" s="3">
        <v>4.0</v>
      </c>
    </row>
    <row r="1119" ht="15.75" customHeight="1">
      <c r="A1119" s="1">
        <v>1117.0</v>
      </c>
      <c r="B1119" s="3" t="s">
        <v>1120</v>
      </c>
      <c r="C1119" s="3" t="str">
        <f>IFERROR(__xludf.DUMMYFUNCTION("GOOGLETRANSLATE(B1119,""id"",""en"")"),"['Heart', 'Package', 'Data', 'Package', 'Package', 'Robbing', 'Credit', 'Customer', 'Signal', 'Automatic', 'Connect', 'Signal', ' automatically ',' direct ',' cut ',' credit ',' usage ',' data ',' pulse ',' rb ',' buy ',' package ',' GB ',' Rb ',' leftove"&amp;"r ' , 'Rb', 'data', 'GB', 'credit', 'leftover', 'RB', 'King', 'TEWT', 'BENER', 'RB', 'Silver', 'Bucked']")</f>
        <v>['Heart', 'Package', 'Data', 'Package', 'Package', 'Robbing', 'Credit', 'Customer', 'Signal', 'Automatic', 'Connect', 'Signal', ' automatically ',' direct ',' cut ',' credit ',' usage ',' data ',' pulse ',' rb ',' buy ',' package ',' GB ',' Rb ',' leftover ' , 'Rb', 'data', 'GB', 'credit', 'leftover', 'RB', 'King', 'TEWT', 'BENER', 'RB', 'Silver', 'Bucked']</v>
      </c>
      <c r="D1119" s="3">
        <v>1.0</v>
      </c>
    </row>
    <row r="1120" ht="15.75" customHeight="1">
      <c r="A1120" s="1">
        <v>1118.0</v>
      </c>
      <c r="B1120" s="3" t="s">
        <v>1121</v>
      </c>
      <c r="C1120" s="3" t="str">
        <f>IFERROR(__xludf.DUMMYFUNCTION("GOOGLETRANSLATE(B1120,""id"",""en"")"),"['Come', 'Network', 'Telkomsel', 'Severe', 'Internet', 'Quota', 'GB', 'Thank "",' WhatsaApp ',' Enter ',' Position ',' Outback ',' village ',' area ',' building ',' area ',' jakarta ',' position ',' building ',' blocking ',' signal ',' moved ',' provider "&amp;"',' message ',' whatsaapp ' , 'direct', 'enter', 'please', 'fix', 'telkosel', 'move', 'provider', 'trims']")</f>
        <v>['Come', 'Network', 'Telkomsel', 'Severe', 'Internet', 'Quota', 'GB', 'Thank ",' WhatsaApp ',' Enter ',' Position ',' Outback ',' village ',' area ',' building ',' area ',' jakarta ',' position ',' building ',' blocking ',' signal ',' moved ',' provider ',' message ',' whatsaapp ' , 'direct', 'enter', 'please', 'fix', 'telkosel', 'move', 'provider', 'trims']</v>
      </c>
      <c r="D1120" s="3">
        <v>1.0</v>
      </c>
    </row>
    <row r="1121" ht="15.75" customHeight="1">
      <c r="A1121" s="1">
        <v>1119.0</v>
      </c>
      <c r="B1121" s="3" t="s">
        <v>1122</v>
      </c>
      <c r="C1121" s="3" t="str">
        <f>IFERROR(__xludf.DUMMYFUNCTION("GOOGLETRANSLATE(B1121,""id"",""en"")"),"['Pakek', 'internet', 'Telkomsel', 'application', 'app', 'Telkomsel', 'difficult', 'loading', 'strange', 'bin', 'magically', 'a year', ' LEGK ',' Apps', 'Telkomsel', 'Loading', 'reset', 'Why', ""]")</f>
        <v>['Pakek', 'internet', 'Telkomsel', 'application', 'app', 'Telkomsel', 'difficult', 'loading', 'strange', 'bin', 'magically', 'a year', ' LEGK ',' Apps', 'Telkomsel', 'Loading', 'reset', 'Why', "]</v>
      </c>
      <c r="D1121" s="3">
        <v>4.0</v>
      </c>
    </row>
    <row r="1122" ht="15.75" customHeight="1">
      <c r="A1122" s="1">
        <v>1120.0</v>
      </c>
      <c r="B1122" s="3" t="s">
        <v>1123</v>
      </c>
      <c r="C1122" s="3" t="str">
        <f>IFERROR(__xludf.DUMMYFUNCTION("GOOGLETRANSLATE(B1122,""id"",""en"")"),"['Try', 'operator', 'Telkomsel', 'equalization', 'network', 'focused', 'region', 'city', 'development', 'equitable', 'network', 'Telkomsel', ' The region ',' rural ',' special ',' region ',' tapung ',' downstream ',' network ',' missing ',' missing ',' ar"&amp;"ising ',' loss', ""]")</f>
        <v>['Try', 'operator', 'Telkomsel', 'equalization', 'network', 'focused', 'region', 'city', 'development', 'equitable', 'network', 'Telkomsel', ' The region ',' rural ',' special ',' region ',' tapung ',' downstream ',' network ',' missing ',' missing ',' arising ',' loss', "]</v>
      </c>
      <c r="D1122" s="3">
        <v>1.0</v>
      </c>
    </row>
    <row r="1123" ht="15.75" customHeight="1">
      <c r="A1123" s="1">
        <v>1121.0</v>
      </c>
      <c r="B1123" s="3" t="s">
        <v>1124</v>
      </c>
      <c r="C1123" s="3" t="str">
        <f>IFERROR(__xludf.DUMMYFUNCTION("GOOGLETRANSLATE(B1123,""id"",""en"")"),"['connection', 'stable', 'error', 'system', 'dilapidated', 'product', 'telkomsel', 'many', 'times',' complained ',' tapj ',' managed ',' Change ',' Overcome ',' Application ',' Telkomsel ',' Klu ',' Change ', ""]")</f>
        <v>['connection', 'stable', 'error', 'system', 'dilapidated', 'product', 'telkomsel', 'many', 'times',' complained ',' tapj ',' managed ',' Change ',' Overcome ',' Application ',' Telkomsel ',' Klu ',' Change ', "]</v>
      </c>
      <c r="D1123" s="3">
        <v>1.0</v>
      </c>
    </row>
    <row r="1124" ht="15.75" customHeight="1">
      <c r="A1124" s="1">
        <v>1122.0</v>
      </c>
      <c r="B1124" s="3" t="s">
        <v>1125</v>
      </c>
      <c r="C1124" s="3" t="str">
        <f>IFERROR(__xludf.DUMMYFUNCTION("GOOGLETRANSLATE(B1124,""id"",""en"")"),"['bad', 'network', 'severe', 'told', 'complain', 'bot', 'ask', 'Where', 'Where', 'Connect', 'Disappointed', 'Recommended', ' Gamers', 'Internet', 'Mending', 'Indihome', 'WiFi', 'Gamers',' Change ',' Reasons', 'Disorders']")</f>
        <v>['bad', 'network', 'severe', 'told', 'complain', 'bot', 'ask', 'Where', 'Where', 'Connect', 'Disappointed', 'Recommended', ' Gamers', 'Internet', 'Mending', 'Indihome', 'WiFi', 'Gamers',' Change ',' Reasons', 'Disorders']</v>
      </c>
      <c r="D1124" s="3">
        <v>1.0</v>
      </c>
    </row>
    <row r="1125" ht="15.75" customHeight="1">
      <c r="A1125" s="1">
        <v>1123.0</v>
      </c>
      <c r="B1125" s="3" t="s">
        <v>1126</v>
      </c>
      <c r="C1125" s="3" t="str">
        <f>IFERROR(__xludf.DUMMYFUNCTION("GOOGLETRANSLATE(B1125,""id"",""en"")"),"['Migration', 'complicated', 'upload', 'photo', 'KTP', 'Mulu', 'click', 'appear', 'appear', 'already', 'network', 'Telkomsel', ' Good ',' network ',' access', 'consumer', 'visibility']")</f>
        <v>['Migration', 'complicated', 'upload', 'photo', 'KTP', 'Mulu', 'click', 'appear', 'appear', 'already', 'network', 'Telkomsel', ' Good ',' network ',' access', 'consumer', 'visibility']</v>
      </c>
      <c r="D1125" s="3">
        <v>3.0</v>
      </c>
    </row>
    <row r="1126" ht="15.75" customHeight="1">
      <c r="A1126" s="1">
        <v>1124.0</v>
      </c>
      <c r="B1126" s="3" t="s">
        <v>1127</v>
      </c>
      <c r="C1126" s="3" t="str">
        <f>IFERROR(__xludf.DUMMYFUNCTION("GOOGLETRANSLATE(B1126,""id"",""en"")"),"['Telkomsel', 'please', 'quota', 'unlimited', 'youtube', 'right', 'watch', 'youtube', 'quota', 'main', 'sumps',' please ',' Flashed ',' Telkomsel ',' loss', 'buy', 'quota', 'unlimited', 'YouTube']")</f>
        <v>['Telkomsel', 'please', 'quota', 'unlimited', 'youtube', 'right', 'watch', 'youtube', 'quota', 'main', 'sumps',' please ',' Flashed ',' Telkomsel ',' loss', 'buy', 'quota', 'unlimited', 'YouTube']</v>
      </c>
      <c r="D1126" s="3">
        <v>2.0</v>
      </c>
    </row>
    <row r="1127" ht="15.75" customHeight="1">
      <c r="A1127" s="1">
        <v>1125.0</v>
      </c>
      <c r="B1127" s="3" t="s">
        <v>1128</v>
      </c>
      <c r="C1127" s="3" t="str">
        <f>IFERROR(__xludf.DUMMYFUNCTION("GOOGLETRANSLATE(B1127,""id"",""en"")"),"['Application', 'Sometimes',' runs', 'connection', 'bad', 'good', 'claim', 'Telkomsel', 'best', 'Place', 'Keisini', 'ugly', ' signal ',' likes', 'missing', 'moved', 'hadeeehhh', 'quality', 'declined', 'drastic', 'lose', 'smartfren', 'sorry', 'weve', 'that"&amp;"'s' , 'reality']")</f>
        <v>['Application', 'Sometimes',' runs', 'connection', 'bad', 'good', 'claim', 'Telkomsel', 'best', 'Place', 'Keisini', 'ugly', ' signal ',' likes', 'missing', 'moved', 'hadeeehhh', 'quality', 'declined', 'drastic', 'lose', 'smartfren', 'sorry', 'weve', 'that's' , 'reality']</v>
      </c>
      <c r="D1127" s="3">
        <v>1.0</v>
      </c>
    </row>
    <row r="1128" ht="15.75" customHeight="1">
      <c r="A1128" s="1">
        <v>1126.0</v>
      </c>
      <c r="B1128" s="3" t="s">
        <v>1129</v>
      </c>
      <c r="C1128" s="3" t="str">
        <f>IFERROR(__xludf.DUMMYFUNCTION("GOOGLETRANSLATE(B1128,""id"",""en"")"),"['Use', 'card', 'tri', 'emang', 'kenceng', 'signal', 'village', 'Telkomsel', 'Not bad', 'kenceng', 'sometimes',' ngeselin ',' Play ',' Game ',' Enemy ',' Dipelek ',' Papa ',' SIK ',' Rare ',' Rare ']")</f>
        <v>['Use', 'card', 'tri', 'emang', 'kenceng', 'signal', 'village', 'Telkomsel', 'Not bad', 'kenceng', 'sometimes',' ngeselin ',' Play ',' Game ',' Enemy ',' Dipelek ',' Papa ',' SIK ',' Rare ',' Rare ']</v>
      </c>
      <c r="D1128" s="3">
        <v>4.0</v>
      </c>
    </row>
    <row r="1129" ht="15.75" customHeight="1">
      <c r="A1129" s="1">
        <v>1127.0</v>
      </c>
      <c r="B1129" s="3" t="s">
        <v>1130</v>
      </c>
      <c r="C1129" s="3" t="str">
        <f>IFERROR(__xludf.DUMMYFUNCTION("GOOGLETRANSLATE(B1129,""id"",""en"")"),"['Network', 'Internet', 'Telkomsel', 'Disorders',' Sometimes', 'Different', 'Different', 'Loading', 'Mulu', 'Current', 'Very', 'card', ' Telkomsel ',' Loading ',' Mulu ',' Watch ',' Video ',' Youtub ',' Quality ',' Strong ',' Ngelod ',' Android ',' Realme"&amp;" ',' Pro ',' Android ' , 'please', 'fluency', 'internet', '']")</f>
        <v>['Network', 'Internet', 'Telkomsel', 'Disorders',' Sometimes', 'Different', 'Different', 'Loading', 'Mulu', 'Current', 'Very', 'card', ' Telkomsel ',' Loading ',' Mulu ',' Watch ',' Video ',' Youtub ',' Quality ',' Strong ',' Ngelod ',' Android ',' Realme ',' Pro ',' Android ' , 'please', 'fluency', 'internet', '']</v>
      </c>
      <c r="D1129" s="3">
        <v>1.0</v>
      </c>
    </row>
    <row r="1130" ht="15.75" customHeight="1">
      <c r="A1130" s="1">
        <v>1128.0</v>
      </c>
      <c r="B1130" s="3" t="s">
        <v>1131</v>
      </c>
      <c r="C1130" s="3" t="str">
        <f>IFERROR(__xludf.DUMMYFUNCTION("GOOGLETRANSLATE(B1130,""id"",""en"")"),"['Application', 'Download', 'Try', 'Take', 'Package', 'Expensive', 'Download', 'Take', 'Package', 'Cheap', 'Pas',' Download ',' application ',' expensive ',' direct ',' delete ',' application ',' download ',' expensive ',' gara ',' take ',' package ',' ap"&amp;"plication ',' disappointed ',' ']")</f>
        <v>['Application', 'Download', 'Try', 'Take', 'Package', 'Expensive', 'Download', 'Take', 'Package', 'Cheap', 'Pas',' Download ',' application ',' expensive ',' direct ',' delete ',' application ',' download ',' expensive ',' gara ',' take ',' package ',' application ',' disappointed ',' ']</v>
      </c>
      <c r="D1130" s="3">
        <v>1.0</v>
      </c>
    </row>
    <row r="1131" ht="15.75" customHeight="1">
      <c r="A1131" s="1">
        <v>1129.0</v>
      </c>
      <c r="B1131" s="3" t="s">
        <v>1132</v>
      </c>
      <c r="C1131" s="3" t="str">
        <f>IFERROR(__xludf.DUMMYFUNCTION("GOOGLETRANSLATE(B1131,""id"",""en"")"),"['restrictions',' kouta ',' unlimited ',' apply ',' or ',' barrier ',' speed ',' until ',' leftover ',' package ',' internet ',' dead ',' Bru ',' Out ',' ']")</f>
        <v>['restrictions',' kouta ',' unlimited ',' apply ',' or ',' barrier ',' speed ',' until ',' leftover ',' package ',' internet ',' dead ',' Bru ',' Out ',' ']</v>
      </c>
      <c r="D1131" s="3">
        <v>1.0</v>
      </c>
    </row>
    <row r="1132" ht="15.75" customHeight="1">
      <c r="A1132" s="1">
        <v>1130.0</v>
      </c>
      <c r="B1132" s="3" t="s">
        <v>1133</v>
      </c>
      <c r="C1132" s="3" t="str">
        <f>IFERROR(__xludf.DUMMYFUNCTION("GOOGLETRANSLATE(B1132,""id"",""en"")"),"['Login', 'Telkom', 'Difficult', 'Network', 'Like', 'Lemot', 'Telkom', 'Believe', 'User', 'Telkom', 'Fans',' Telkom ',' Quality ',' Service ',' Reduced ',' Please ',' Increase ',' Salam ',' Telkom ',' Success', 'Jaya']")</f>
        <v>['Login', 'Telkom', 'Difficult', 'Network', 'Like', 'Lemot', 'Telkom', 'Believe', 'User', 'Telkom', 'Fans',' Telkom ',' Quality ',' Service ',' Reduced ',' Please ',' Increase ',' Salam ',' Telkom ',' Success', 'Jaya']</v>
      </c>
      <c r="D1132" s="3">
        <v>3.0</v>
      </c>
    </row>
    <row r="1133" ht="15.75" customHeight="1">
      <c r="A1133" s="1">
        <v>1131.0</v>
      </c>
      <c r="B1133" s="3" t="s">
        <v>1134</v>
      </c>
      <c r="C1133" s="3" t="str">
        <f>IFERROR(__xludf.DUMMYFUNCTION("GOOGLETRANSLATE(B1133,""id"",""en"")"),"['Mgkn', 'AJJ', 'TPI', 'Abis',' Fill ',' Credit ',' Pulses', 'CMN', 'Hold', 'A Week', 'Abis',' Sucked ',' how ',' disappointing ']")</f>
        <v>['Mgkn', 'AJJ', 'TPI', 'Abis',' Fill ',' Credit ',' Pulses', 'CMN', 'Hold', 'A Week', 'Abis',' Sucked ',' how ',' disappointing ']</v>
      </c>
      <c r="D1133" s="3">
        <v>1.0</v>
      </c>
    </row>
    <row r="1134" ht="15.75" customHeight="1">
      <c r="A1134" s="1">
        <v>1132.0</v>
      </c>
      <c r="B1134" s="3" t="s">
        <v>1135</v>
      </c>
      <c r="C1134" s="3" t="str">
        <f>IFERROR(__xludf.DUMMYFUNCTION("GOOGLETRANSLATE(B1134,""id"",""en"")"),"['smakin', 'buy', 'package', 'rb', 'rb', 'taste', 'mnggu', 'nyampe', 'hbis',' emng ',' brapa ',' suck ',' Gede ',' Kantel ',' BUMN ',' TPI ',' expensive ',' bonus', 'KMI', 'forget', 'tlg', 'provider', 'bonus',' automated ',' love ' , 'quota', 'concern', '"&amp;"child', 'Negri', 'can', 'buy', 'lap', ""]")</f>
        <v>['smakin', 'buy', 'package', 'rb', 'rb', 'taste', 'mnggu', 'nyampe', 'hbis',' emng ',' brapa ',' suck ',' Gede ',' Kantel ',' BUMN ',' TPI ',' expensive ',' bonus', 'KMI', 'forget', 'tlg', 'provider', 'bonus',' automated ',' love ' , 'quota', 'concern', 'child', 'Negri', 'can', 'buy', 'lap', "]</v>
      </c>
      <c r="D1134" s="3">
        <v>1.0</v>
      </c>
    </row>
    <row r="1135" ht="15.75" customHeight="1">
      <c r="A1135" s="1">
        <v>1133.0</v>
      </c>
      <c r="B1135" s="3" t="s">
        <v>1136</v>
      </c>
      <c r="C1135" s="3" t="str">
        <f>IFERROR(__xludf.DUMMYFUNCTION("GOOGLETRANSLATE(B1135,""id"",""en"")"),"['pulse', 'thousand', 'ilang', 'already', 'buy', 'package', 'monthly', 'how', 'right', 'buy', 'pulse', 'buy', ' right ',' check ',' pulses', 'run out', 'severe', 'loss',' Telkomsel ',' sekarima ']")</f>
        <v>['pulse', 'thousand', 'ilang', 'already', 'buy', 'package', 'monthly', 'how', 'right', 'buy', 'pulse', 'buy', ' right ',' check ',' pulses', 'run out', 'severe', 'loss',' Telkomsel ',' sekarima ']</v>
      </c>
      <c r="D1135" s="3">
        <v>1.0</v>
      </c>
    </row>
    <row r="1136" ht="15.75" customHeight="1">
      <c r="A1136" s="1">
        <v>1134.0</v>
      </c>
      <c r="B1136" s="3" t="s">
        <v>1137</v>
      </c>
      <c r="C1136" s="3" t="str">
        <f>IFERROR(__xludf.DUMMYFUNCTION("GOOGLETRANSLATE(B1136,""id"",""en"")"),"['cave', 'usually', 'buy', 'quota', 'internet', 'max', 'telkomsel', 'please', 'fix', 'report', 'authorized', 'fix']")</f>
        <v>['cave', 'usually', 'buy', 'quota', 'internet', 'max', 'telkomsel', 'please', 'fix', 'report', 'authorized', 'fix']</v>
      </c>
      <c r="D1136" s="3">
        <v>1.0</v>
      </c>
    </row>
    <row r="1137" ht="15.75" customHeight="1">
      <c r="A1137" s="1">
        <v>1135.0</v>
      </c>
      <c r="B1137" s="3" t="s">
        <v>1138</v>
      </c>
      <c r="C1137" s="3" t="str">
        <f>IFERROR(__xludf.DUMMYFUNCTION("GOOGLETRANSLATE(B1137,""id"",""en"")"),"['ask', 'nihh', 'yaa', 'claim', 'package', 'internet', 'pulse', 'suck', 'Rp', 'quota', 'entered', 'message', ' Posts', 'Kayak', 'Gini', 'Please', 'Sorry', 'System', 'Busy', 'Try', 'Points',' Returned ',' Accept ',' Love ',' Please, 'please ]")</f>
        <v>['ask', 'nihh', 'yaa', 'claim', 'package', 'internet', 'pulse', 'suck', 'Rp', 'quota', 'entered', 'message', ' Posts', 'Kayak', 'Gini', 'Please', 'Sorry', 'System', 'Busy', 'Try', 'Points',' Returned ',' Accept ',' Love ',' Please, 'please ]</v>
      </c>
      <c r="D1137" s="3">
        <v>3.0</v>
      </c>
    </row>
    <row r="1138" ht="15.75" customHeight="1">
      <c r="A1138" s="1">
        <v>1136.0</v>
      </c>
      <c r="B1138" s="3" t="s">
        <v>1139</v>
      </c>
      <c r="C1138" s="3" t="str">
        <f>IFERROR(__xludf.DUMMYFUNCTION("GOOGLETRANSLATE(B1138,""id"",""en"")"),"['cave', 'cave', 'subscribe', 'unlimited', 'Telkomsel', 'quota', 'main', 'out', 'unlimited', 'daily', 'pkek', 'watch', ' Snap ',' Facebook ',' Mending ',' cave ',' pkek ',' developer ',' deh ',' gapapa ',' expensive ',' signal ',' smooth ',' rich ',' Telk"&amp;"omsel ' , 'already', 'signal', 'ugly', 'stingy', 'so', 'thank you', ""]")</f>
        <v>['cave', 'cave', 'subscribe', 'unlimited', 'Telkomsel', 'quota', 'main', 'out', 'unlimited', 'daily', 'pkek', 'watch', ' Snap ',' Facebook ',' Mending ',' cave ',' pkek ',' developer ',' deh ',' gapapa ',' expensive ',' signal ',' smooth ',' rich ',' Telkomsel ' , 'already', 'signal', 'ugly', 'stingy', 'so', 'thank you', "]</v>
      </c>
      <c r="D1138" s="3">
        <v>1.0</v>
      </c>
    </row>
    <row r="1139" ht="15.75" customHeight="1">
      <c r="A1139" s="1">
        <v>1137.0</v>
      </c>
      <c r="B1139" s="3" t="s">
        <v>1140</v>
      </c>
      <c r="C1139" s="3" t="str">
        <f>IFERROR(__xludf.DUMMYFUNCTION("GOOGLETRANSLATE(B1139,""id"",""en"")"),"['Please', 'Restore', 'Unlimited', 'Yng', 'Use', 'Limit', 'Speed', 'Reduce', 'Customer', 'Disappointed', 'Telkomsel', 'Times',' His name is', 'unlimuted', 'Limit', 'usage', 'grace', 'disappointing']")</f>
        <v>['Please', 'Restore', 'Unlimited', 'Yng', 'Use', 'Limit', 'Speed', 'Reduce', 'Customer', 'Disappointed', 'Telkomsel', 'Times',' His name is', 'unlimuted', 'Limit', 'usage', 'grace', 'disappointing']</v>
      </c>
      <c r="D1139" s="3">
        <v>1.0</v>
      </c>
    </row>
    <row r="1140" ht="15.75" customHeight="1">
      <c r="A1140" s="1">
        <v>1138.0</v>
      </c>
      <c r="B1140" s="3" t="s">
        <v>1141</v>
      </c>
      <c r="C1140" s="3" t="str">
        <f>IFERROR(__xludf.DUMMYFUNCTION("GOOGLETRANSLATE(B1140,""id"",""en"")"),"['difficult', 'accessed', 'network', 'stable', 'click', 'Refresh', 'network', 'access',' application ',' smooth ',' smooth ',' application ',' Telkomsel ',' Uninstall ',' Install ',' count ',' Minute ',' finish ',' Install ',' please ',' min ',' repair ']")</f>
        <v>['difficult', 'accessed', 'network', 'stable', 'click', 'Refresh', 'network', 'access',' application ',' smooth ',' smooth ',' application ',' Telkomsel ',' Uninstall ',' Install ',' count ',' Minute ',' finish ',' Install ',' please ',' min ',' repair ']</v>
      </c>
      <c r="D1140" s="3">
        <v>3.0</v>
      </c>
    </row>
    <row r="1141" ht="15.75" customHeight="1">
      <c r="A1141" s="1">
        <v>1139.0</v>
      </c>
      <c r="B1141" s="3" t="s">
        <v>1142</v>
      </c>
      <c r="C1141" s="3" t="str">
        <f>IFERROR(__xludf.DUMMYFUNCTION("GOOGLETRANSLATE(B1141,""id"",""en"")"),"['udh', 'buy', 'expensive', 'expensive', 'unlimited', 'FUP', 'rich', 'gini', 'please', 'gave', 'unlimited', 'right', ' Unlimited ',' exceed ',' Fup ',' slow ',' forgiveness']")</f>
        <v>['udh', 'buy', 'expensive', 'expensive', 'unlimited', 'FUP', 'rich', 'gini', 'please', 'gave', 'unlimited', 'right', ' Unlimited ',' exceed ',' Fup ',' slow ',' forgiveness']</v>
      </c>
      <c r="D1141" s="3">
        <v>1.0</v>
      </c>
    </row>
    <row r="1142" ht="15.75" customHeight="1">
      <c r="A1142" s="1">
        <v>1140.0</v>
      </c>
      <c r="B1142" s="3" t="s">
        <v>1143</v>
      </c>
      <c r="C1142" s="3" t="str">
        <f>IFERROR(__xludf.DUMMYFUNCTION("GOOGLETRANSLATE(B1142,""id"",""en"")"),"['Sorry', 'Sis',' Disappointed ',' Card ',' Network ',' Telkomsel ',' Expensive ',' Signal ',' Potatoes', 'Loss',' Sorry ',' Sis', ' Please, 'Fix', 'Signal', '']")</f>
        <v>['Sorry', 'Sis',' Disappointed ',' Card ',' Network ',' Telkomsel ',' Expensive ',' Signal ',' Potatoes', 'Loss',' Sorry ',' Sis', ' Please, 'Fix', 'Signal', '']</v>
      </c>
      <c r="D1142" s="3">
        <v>1.0</v>
      </c>
    </row>
    <row r="1143" ht="15.75" customHeight="1">
      <c r="A1143" s="1">
        <v>1141.0</v>
      </c>
      <c r="B1143" s="3" t="s">
        <v>1144</v>
      </c>
      <c r="C1143" s="3" t="str">
        <f>IFERROR(__xludf.DUMMYFUNCTION("GOOGLETRANSLATE(B1143,""id"",""en"")"),"['Network', 'destroyed', 'melted', 'in place', 'dkat', 'city', 'network', 'slow', 'kek', 'snail', 'msh', 'lose', ' High school ',' UDH ',' Package ',' Expensive ',' Stop ',' Package ',' Internet ',' Telkomsel ']")</f>
        <v>['Network', 'destroyed', 'melted', 'in place', 'dkat', 'city', 'network', 'slow', 'kek', 'snail', 'msh', 'lose', ' High school ',' UDH ',' Package ',' Expensive ',' Stop ',' Package ',' Internet ',' Telkomsel ']</v>
      </c>
      <c r="D1143" s="3">
        <v>1.0</v>
      </c>
    </row>
    <row r="1144" ht="15.75" customHeight="1">
      <c r="A1144" s="1">
        <v>1142.0</v>
      </c>
      <c r="B1144" s="3" t="s">
        <v>1145</v>
      </c>
      <c r="C1144" s="3" t="str">
        <f>IFERROR(__xludf.DUMMYFUNCTION("GOOGLETRANSLATE(B1144,""id"",""en"")"),"['apk', 'Telkomsel', 'like', 'error', 'offer', 'package', 'cheerful', 'buy', 'already', 'rich', 'buy', 'items',' Fill ',' Please ',' Help ',' ']")</f>
        <v>['apk', 'Telkomsel', 'like', 'error', 'offer', 'package', 'cheerful', 'buy', 'already', 'rich', 'buy', 'items',' Fill ',' Please ',' Help ',' ']</v>
      </c>
      <c r="D1144" s="3">
        <v>2.0</v>
      </c>
    </row>
    <row r="1145" ht="15.75" customHeight="1">
      <c r="A1145" s="1">
        <v>1143.0</v>
      </c>
      <c r="B1145" s="3" t="s">
        <v>1146</v>
      </c>
      <c r="C1145" s="3" t="str">
        <f>IFERROR(__xludf.DUMMYFUNCTION("GOOGLETRANSLATE(B1145,""id"",""en"")"),"['Try', 'deh', 'card', 'hello', 'closure', 'cost', 'stealth', 'suggest', 'charge', 'bill', 'date', 'segini', ' ',' yeah ',' yes', 'ngilangin', 'curious',' ']")</f>
        <v>['Try', 'deh', 'card', 'hello', 'closure', 'cost', 'stealth', 'suggest', 'charge', 'bill', 'date', 'segini', ' ',' yeah ',' yes', 'ngilangin', 'curious',' ']</v>
      </c>
      <c r="D1145" s="3">
        <v>1.0</v>
      </c>
    </row>
    <row r="1146" ht="15.75" customHeight="1">
      <c r="A1146" s="1">
        <v>1144.0</v>
      </c>
      <c r="B1146" s="3" t="s">
        <v>1147</v>
      </c>
      <c r="C1146" s="3" t="str">
        <f>IFERROR(__xludf.DUMMYFUNCTION("GOOGLETRANSLATE(B1146,""id"",""en"")"),"['Disappointed', 'Bangettt', 'quota', 'unlimited', 'FUP', 'according to', 'name', 'unlimited', 'limited', 'replace', 'card', 'that's',' Already ',' Not bad ',' Disappointedaaaaa ',' ']")</f>
        <v>['Disappointed', 'Bangettt', 'quota', 'unlimited', 'FUP', 'according to', 'name', 'unlimited', 'limited', 'replace', 'card', 'that's',' Already ',' Not bad ',' Disappointedaaaaa ',' ']</v>
      </c>
      <c r="D1146" s="3">
        <v>2.0</v>
      </c>
    </row>
    <row r="1147" ht="15.75" customHeight="1">
      <c r="A1147" s="1">
        <v>1145.0</v>
      </c>
      <c r="B1147" s="3" t="s">
        <v>1148</v>
      </c>
      <c r="C1147" s="3" t="str">
        <f>IFERROR(__xludf.DUMMYFUNCTION("GOOGLETRANSLATE(B1147,""id"",""en"")"),"['slow', 'really', 'already', 'buy', 'expensive', 'expensive', 'slow', 'bangeeeet', 'open', 'sosmed', 'muter', 'muter', ' Muluu ',' yesterday ',' bought ',' no ',' like ',' gini ',' solution ',' dongg ',' already ',' comfortable ',' really ',' Telkomsel '"&amp;",' disappointing ' , 'Gini', '']")</f>
        <v>['slow', 'really', 'already', 'buy', 'expensive', 'expensive', 'slow', 'bangeeeet', 'open', 'sosmed', 'muter', 'muter', ' Muluu ',' yesterday ',' bought ',' no ',' like ',' gini ',' solution ',' dongg ',' already ',' comfortable ',' really ',' Telkomsel ',' disappointing ' , 'Gini', '']</v>
      </c>
      <c r="D1147" s="3">
        <v>2.0</v>
      </c>
    </row>
    <row r="1148" ht="15.75" customHeight="1">
      <c r="A1148" s="1">
        <v>1146.0</v>
      </c>
      <c r="B1148" s="3" t="s">
        <v>1149</v>
      </c>
      <c r="C1148" s="3" t="str">
        <f>IFERROR(__xludf.DUMMYFUNCTION("GOOGLETRANSLATE(B1148,""id"",""en"")"),"['sory', 'love', 'star', 'because', 'tissue', 'lag', 'then', 'severe', 'buy', 'package', 'expensive', 'network', ' Severe ',' Abis', 'thought', 'Telkomsel', 'already', 'comfortable']")</f>
        <v>['sory', 'love', 'star', 'because', 'tissue', 'lag', 'then', 'severe', 'buy', 'package', 'expensive', 'network', ' Severe ',' Abis', 'thought', 'Telkomsel', 'already', 'comfortable']</v>
      </c>
      <c r="D1148" s="3">
        <v>2.0</v>
      </c>
    </row>
    <row r="1149" ht="15.75" customHeight="1">
      <c r="A1149" s="1">
        <v>1147.0</v>
      </c>
      <c r="B1149" s="3" t="s">
        <v>1150</v>
      </c>
      <c r="C1149" s="3" t="str">
        <f>IFERROR(__xludf.DUMMYFUNCTION("GOOGLETRANSLATE(B1149,""id"",""en"")"),"['buy', 'package', 'maxstream', 'usage', 'app', 'iflik', 'already', 'registered', 'subscription', 'truncated', 'quota', 'maxstream', ' quota ',' main ',' truncated ',' gmn ',' explanation ',' maybe ',' maybe ',' nipu ']")</f>
        <v>['buy', 'package', 'maxstream', 'usage', 'app', 'iflik', 'already', 'registered', 'subscription', 'truncated', 'quota', 'maxstream', ' quota ',' main ',' truncated ',' gmn ',' explanation ',' maybe ',' maybe ',' nipu ']</v>
      </c>
      <c r="D1149" s="3">
        <v>2.0</v>
      </c>
    </row>
    <row r="1150" ht="15.75" customHeight="1">
      <c r="A1150" s="1">
        <v>1148.0</v>
      </c>
      <c r="B1150" s="3" t="s">
        <v>1151</v>
      </c>
      <c r="C1150" s="3" t="str">
        <f>IFERROR(__xludf.DUMMYFUNCTION("GOOGLETRANSLATE(B1150,""id"",""en"")"),"['security', 'data', 'personal', 'okay', 'minus',' penalty ',' detrimental ',' community ',' pulses', 'main', 'Caucas',' priority ',' use ',' data ',' internet ',' help ',' community ',' NKRI ',' internet ',' data ',' specifically ',' internet ',' take ',"&amp;"' nominal ',' pulses' , 'main', 'Greetings', 'Merdeka', 'Development', 'NKRI']")</f>
        <v>['security', 'data', 'personal', 'okay', 'minus',' penalty ',' detrimental ',' community ',' pulses', 'main', 'Caucas',' priority ',' use ',' data ',' internet ',' help ',' community ',' NKRI ',' internet ',' data ',' specifically ',' internet ',' take ',' nominal ',' pulses' , 'main', 'Greetings', 'Merdeka', 'Development', 'NKRI']</v>
      </c>
      <c r="D1150" s="3">
        <v>1.0</v>
      </c>
    </row>
    <row r="1151" ht="15.75" customHeight="1">
      <c r="A1151" s="1">
        <v>1149.0</v>
      </c>
      <c r="B1151" s="3" t="s">
        <v>1152</v>
      </c>
      <c r="C1151" s="3" t="str">
        <f>IFERROR(__xludf.DUMMYFUNCTION("GOOGLETRANSLATE(B1151,""id"",""en"")"),"['Application', 'Erroorrr', 'KAU is',' Connection ',' Internet ',' Speed ​​',' Connection ',' Data ',' Good ',' Hopefully ',' The Application ',' Repaired ',' steady', '']")</f>
        <v>['Application', 'Erroorrr', 'KAU is',' Connection ',' Internet ',' Speed ​​',' Connection ',' Data ',' Good ',' Hopefully ',' The Application ',' Repaired ',' steady', '']</v>
      </c>
      <c r="D1151" s="3">
        <v>3.0</v>
      </c>
    </row>
    <row r="1152" ht="15.75" customHeight="1">
      <c r="A1152" s="1">
        <v>1150.0</v>
      </c>
      <c r="B1152" s="3" t="s">
        <v>1153</v>
      </c>
      <c r="C1152" s="3" t="str">
        <f>IFERROR(__xludf.DUMMYFUNCTION("GOOGLETRANSLATE(B1152,""id"",""en"")"),"['LEG', 'opened', 'Need', 'Waiting', 'Enter', 'Menu', 'Different', 'Application', 'Operator', 'Access',' Easy ',' Fast ',' expensive ',' quality ',' application ',' below ',' ']")</f>
        <v>['LEG', 'opened', 'Need', 'Waiting', 'Enter', 'Menu', 'Different', 'Application', 'Operator', 'Access',' Easy ',' Fast ',' expensive ',' quality ',' application ',' below ',' ']</v>
      </c>
      <c r="D1152" s="3">
        <v>2.0</v>
      </c>
    </row>
    <row r="1153" ht="15.75" customHeight="1">
      <c r="A1153" s="1">
        <v>1151.0</v>
      </c>
      <c r="B1153" s="3" t="s">
        <v>1154</v>
      </c>
      <c r="C1153" s="3" t="str">
        <f>IFERROR(__xludf.DUMMYFUNCTION("GOOGLETRANSLATE(B1153,""id"",""en"")"),"['complain', 'related', 'use', 'package', 'data', 'MHS', 'Help', 'quota', 'government', 'eat', 'pulse', 'contents',' Fill ',' pulse ',' pulse ',' as', 'tariff', 'internet', 'event', 'contents',' credit ',' taken ',' package ',' internet ',' please ' , 'ex"&amp;"planation', 'honest', 'disappointed', 'number', 'Telkomsel', 'daily', 'contents', 'pulses', ""]")</f>
        <v>['complain', 'related', 'use', 'package', 'data', 'MHS', 'Help', 'quota', 'government', 'eat', 'pulse', 'contents',' Fill ',' pulse ',' pulse ',' as', 'tariff', 'internet', 'event', 'contents',' credit ',' taken ',' package ',' internet ',' please ' , 'explanation', 'honest', 'disappointed', 'number', 'Telkomsel', 'daily', 'contents', 'pulses', "]</v>
      </c>
      <c r="D1153" s="3">
        <v>1.0</v>
      </c>
    </row>
    <row r="1154" ht="15.75" customHeight="1">
      <c r="A1154" s="1">
        <v>1152.0</v>
      </c>
      <c r="B1154" s="3" t="s">
        <v>1155</v>
      </c>
      <c r="C1154" s="3" t="str">
        <f>IFERROR(__xludf.DUMMYFUNCTION("GOOGLETRANSLATE(B1154,""id"",""en"")"),"['Package', 'Combo', 'Sakti', 'thousand', 'Dour', 'Speed', 'KBS', 'KBS', 'Main', 'Game', 'Leg', 'Leg', ' Loding ',' KBS ',' Supya ',' Leg ',' Leg ',' Play ',' Game ',' Liat ',' Stori ',' Telkomsel ',' Fear ',' Loss', 'That's' ]")</f>
        <v>['Package', 'Combo', 'Sakti', 'thousand', 'Dour', 'Speed', 'KBS', 'KBS', 'Main', 'Game', 'Leg', 'Leg', ' Loding ',' KBS ',' Supya ',' Leg ',' Leg ',' Play ',' Game ',' Liat ',' Stori ',' Telkomsel ',' Fear ',' Loss', 'That's' ]</v>
      </c>
      <c r="D1154" s="3">
        <v>2.0</v>
      </c>
    </row>
    <row r="1155" ht="15.75" customHeight="1">
      <c r="A1155" s="1">
        <v>1153.0</v>
      </c>
      <c r="B1155" s="3" t="s">
        <v>1156</v>
      </c>
      <c r="C1155" s="3" t="str">
        <f>IFERROR(__xludf.DUMMYFUNCTION("GOOGLETRANSLATE(B1155,""id"",""en"")"),"['apk', 'gajelas',' login ',' take ',' package ',' signal ',' telkomsel ',' package ',' mah ',' gapapa ',' what ',' fill ',' Credit ',' Live ',' Abis', 'Login', 'APK', 'Ngentod', 'Paketan', 'Taken', 'APK']")</f>
        <v>['apk', 'gajelas',' login ',' take ',' package ',' signal ',' telkomsel ',' package ',' mah ',' gapapa ',' what ',' fill ',' Credit ',' Live ',' Abis', 'Login', 'APK', 'Ngentod', 'Paketan', 'Taken', 'APK']</v>
      </c>
      <c r="D1155" s="3">
        <v>5.0</v>
      </c>
    </row>
    <row r="1156" ht="15.75" customHeight="1">
      <c r="A1156" s="1">
        <v>1154.0</v>
      </c>
      <c r="B1156" s="3" t="s">
        <v>1157</v>
      </c>
      <c r="C1156" s="3" t="str">
        <f>IFERROR(__xludf.DUMMYFUNCTION("GOOGLETRANSLATE(B1156,""id"",""en"")"),"['Please', 'Application', 'Repaired', 'Error', 'Opened', 'Application', 'MyTelkomsel', 'Make Easy', 'User', ""]")</f>
        <v>['Please', 'Application', 'Repaired', 'Error', 'Opened', 'Application', 'MyTelkomsel', 'Make Easy', 'User', "]</v>
      </c>
      <c r="D1156" s="3">
        <v>2.0</v>
      </c>
    </row>
    <row r="1157" ht="15.75" customHeight="1">
      <c r="A1157" s="1">
        <v>1155.0</v>
      </c>
      <c r="B1157" s="3" t="s">
        <v>1158</v>
      </c>
      <c r="C1157" s="3" t="str">
        <f>IFERROR(__xludf.DUMMYFUNCTION("GOOGLETRANSLATE(B1157,""id"",""en"")"),"['Develover', 'Please', 'info', 'network', 'Telkomsel', 'slow', 'like', 'snail', 'jgan', 'ajh', 'please', 'monitor', ' Tower ',' already ',' sarangin ',' termites', 'tower']")</f>
        <v>['Develover', 'Please', 'info', 'network', 'Telkomsel', 'slow', 'like', 'snail', 'jgan', 'ajh', 'please', 'monitor', ' Tower ',' already ',' sarangin ',' termites', 'tower']</v>
      </c>
      <c r="D1157" s="3">
        <v>2.0</v>
      </c>
    </row>
    <row r="1158" ht="15.75" customHeight="1">
      <c r="A1158" s="1">
        <v>1156.0</v>
      </c>
      <c r="B1158" s="3" t="s">
        <v>1159</v>
      </c>
      <c r="C1158" s="3" t="str">
        <f>IFERROR(__xludf.DUMMYFUNCTION("GOOGLETRANSLATE(B1158,""id"",""en"")"),"['Region', 'Kertosari', 'Ulujami', 'Pemalang', 'Java', 'Network', 'Telkomsel', 'Bad', 'quota', 'GB', 'signal', 'Full', ' Internet ',' Please ',' Fix ',' Price ',' Expensive ',' Good ',' Lemoooooot ',' ']")</f>
        <v>['Region', 'Kertosari', 'Ulujami', 'Pemalang', 'Java', 'Network', 'Telkomsel', 'Bad', 'quota', 'GB', 'signal', 'Full', ' Internet ',' Please ',' Fix ',' Price ',' Expensive ',' Good ',' Lemoooooot ',' ']</v>
      </c>
      <c r="D1158" s="3">
        <v>1.0</v>
      </c>
    </row>
    <row r="1159" ht="15.75" customHeight="1">
      <c r="A1159" s="1">
        <v>1157.0</v>
      </c>
      <c r="B1159" s="3" t="s">
        <v>1160</v>
      </c>
      <c r="C1159" s="3" t="str">
        <f>IFERROR(__xludf.DUMMYFUNCTION("GOOGLETRANSLATE(B1159,""id"",""en"")"),"['The application', 'slow', 'really', 'right', 'open', 'kayak', 'network', 'mid', 'fasting', 'network', 'Telkomsel', 'rare', ' Translucent ',' Speed ​​',' KB ',' Translucent ',' Sampe ',' MB ',' Region ',' Rural ', ""]")</f>
        <v>['The application', 'slow', 'really', 'right', 'open', 'kayak', 'network', 'mid', 'fasting', 'network', 'Telkomsel', 'rare', ' Translucent ',' Speed ​​',' KB ',' Translucent ',' Sampe ',' MB ',' Region ',' Rural ', "]</v>
      </c>
      <c r="D1159" s="3">
        <v>1.0</v>
      </c>
    </row>
    <row r="1160" ht="15.75" customHeight="1">
      <c r="A1160" s="1">
        <v>1158.0</v>
      </c>
      <c r="B1160" s="3" t="s">
        <v>1161</v>
      </c>
      <c r="C1160" s="3" t="str">
        <f>IFERROR(__xludf.DUMMYFUNCTION("GOOGLETRANSLATE(B1160,""id"",""en"")"),"['Sya', 'Customer', 'Telkomsel', 'Not bad', 'here', 'price', 'package', 'quota', 'expensive', 'signal', 'any', 'ugly', ' Severe ',' Nambah ',' expensive ',' Nambah ',' ugly ',' service ',' ']")</f>
        <v>['Sya', 'Customer', 'Telkomsel', 'Not bad', 'here', 'price', 'package', 'quota', 'expensive', 'signal', 'any', 'ugly', ' Severe ',' Nambah ',' expensive ',' Nambah ',' ugly ',' service ',' ']</v>
      </c>
      <c r="D1160" s="3">
        <v>1.0</v>
      </c>
    </row>
    <row r="1161" ht="15.75" customHeight="1">
      <c r="A1161" s="1">
        <v>1159.0</v>
      </c>
      <c r="B1161" s="3" t="s">
        <v>1162</v>
      </c>
      <c r="C1161" s="3" t="str">
        <f>IFERROR(__xludf.DUMMYFUNCTION("GOOGLETRANSLATE(B1161,""id"",""en"")"),"['slow', 'forgiveness',' moved ',' direct ',' operator ',' next door ',' smooth ',' Jaya ',' I ',' UDH ',' subscription ',' Telkomsel ',' Internet ',' telephone ',' internet ',' operator ',' already ',' Telkomsel ',' Nge ',' game ',' slow ',' kah ',' expe"&amp;"rience ', ""]")</f>
        <v>['slow', 'forgiveness',' moved ',' direct ',' operator ',' next door ',' smooth ',' Jaya ',' I ',' UDH ',' subscription ',' Telkomsel ',' Internet ',' telephone ',' internet ',' operator ',' already ',' Telkomsel ',' Nge ',' game ',' slow ',' kah ',' experience ', "]</v>
      </c>
      <c r="D1161" s="3">
        <v>1.0</v>
      </c>
    </row>
    <row r="1162" ht="15.75" customHeight="1">
      <c r="A1162" s="1">
        <v>1160.0</v>
      </c>
      <c r="B1162" s="3" t="s">
        <v>1163</v>
      </c>
      <c r="C1162" s="3" t="str">
        <f>IFERROR(__xludf.DUMMYFUNCTION("GOOGLETRANSLATE(B1162,""id"",""en"")"),"['Telkomsel', 'error', 'what', 'try', 'contents', 'package', 'failed', 'dial', ""]")</f>
        <v>['Telkomsel', 'error', 'what', 'try', 'contents', 'package', 'failed', 'dial', "]</v>
      </c>
      <c r="D1162" s="3">
        <v>2.0</v>
      </c>
    </row>
    <row r="1163" ht="15.75" customHeight="1">
      <c r="A1163" s="1">
        <v>1161.0</v>
      </c>
      <c r="B1163" s="3" t="s">
        <v>1164</v>
      </c>
      <c r="C1163" s="3" t="str">
        <f>IFERROR(__xludf.DUMMYFUNCTION("GOOGLETRANSLATE(B1163,""id"",""en"")"),"['quota', 'expensive', 'signal', 'ugly', 'quota', 'disappointed', 'really', 'Telkomsel', 'mending', 'next to', 'quota', 'cheap', ' Signal ',' smooth ',' ']")</f>
        <v>['quota', 'expensive', 'signal', 'ugly', 'quota', 'disappointed', 'really', 'Telkomsel', 'mending', 'next to', 'quota', 'cheap', ' Signal ',' smooth ',' ']</v>
      </c>
      <c r="D1163" s="3">
        <v>1.0</v>
      </c>
    </row>
    <row r="1164" ht="15.75" customHeight="1">
      <c r="A1164" s="1">
        <v>1162.0</v>
      </c>
      <c r="B1164" s="3" t="s">
        <v>1165</v>
      </c>
      <c r="C1164" s="3" t="str">
        <f>IFERROR(__xludf.DUMMYFUNCTION("GOOGLETRANSLATE(B1164,""id"",""en"")"),"['Credit', 'Slalu', 'Cut', 'Sometimes',' Contents', 'Credit', 'Buy', 'Package', 'Minutes',' Reduced ',' Buy ',' Package ',' Credit ',' leftover ',' thousand ',' skrang ',' stay ', ""]")</f>
        <v>['Credit', 'Slalu', 'Cut', 'Sometimes',' Contents', 'Credit', 'Buy', 'Package', 'Minutes',' Reduced ',' Buy ',' Package ',' Credit ',' leftover ',' thousand ',' skrang ',' stay ', "]</v>
      </c>
      <c r="D1164" s="3">
        <v>1.0</v>
      </c>
    </row>
    <row r="1165" ht="15.75" customHeight="1">
      <c r="A1165" s="1">
        <v>1163.0</v>
      </c>
      <c r="B1165" s="3" t="s">
        <v>1166</v>
      </c>
      <c r="C1165" s="3" t="str">
        <f>IFERROR(__xludf.DUMMYFUNCTION("GOOGLETRANSLATE(B1165,""id"",""en"")"),"['user', 'card', 'Telkomsel', 'already', 'emang', 'right', 'signal', 'good', 'package', 'pretty', 'expensive', 'balanced', ' usage ',' here ',' right ',' entered ',' Ramadhan ',' yesterday ',' signal ',' ugly ',' knapa ',' emang ',' disorder ',' how ',' p"&amp;"lease ' , 'Telkomsel', 'fix', 'miss', 'signal', 'good', 'Telkomsel', '']")</f>
        <v>['user', 'card', 'Telkomsel', 'already', 'emang', 'right', 'signal', 'good', 'package', 'pretty', 'expensive', 'balanced', ' usage ',' here ',' right ',' entered ',' Ramadhan ',' yesterday ',' signal ',' ugly ',' knapa ',' emang ',' disorder ',' how ',' please ' , 'Telkomsel', 'fix', 'miss', 'signal', 'good', 'Telkomsel', '']</v>
      </c>
      <c r="D1165" s="3">
        <v>5.0</v>
      </c>
    </row>
    <row r="1166" ht="15.75" customHeight="1">
      <c r="A1166" s="1">
        <v>1164.0</v>
      </c>
      <c r="B1166" s="3" t="s">
        <v>1167</v>
      </c>
      <c r="C1166" s="3" t="str">
        <f>IFERROR(__xludf.DUMMYFUNCTION("GOOGLETRANSLATE(B1166,""id"",""en"")"),"['Telkomsel', 'Non', 'Signal', 'Sampe', 'Telkomsel', 'Signal', 'Internet', 'Worst', 'Indonesia', 'Village', 'Sya', 'Brebes',' Kec ',' Losari ',' threat ',' Padang ',' work ',' signal ',' Telkomsel ',' bad ',' lose ',' high school ',' xsis', 'smarfren', 't"&amp;"erimkasih' , 'KLU', 'Best', 'Fix', 'Search', 'Untung', 'Doank', 'Target', 'Indihomkah', ""]")</f>
        <v>['Telkomsel', 'Non', 'Signal', 'Sampe', 'Telkomsel', 'Signal', 'Internet', 'Worst', 'Indonesia', 'Village', 'Sya', 'Brebes',' Kec ',' Losari ',' threat ',' Padang ',' work ',' signal ',' Telkomsel ',' bad ',' lose ',' high school ',' xsis', 'smarfren', 'terimkasih' , 'KLU', 'Best', 'Fix', 'Search', 'Untung', 'Doank', 'Target', 'Indihomkah', "]</v>
      </c>
      <c r="D1166" s="3">
        <v>1.0</v>
      </c>
    </row>
    <row r="1167" ht="15.75" customHeight="1">
      <c r="A1167" s="1">
        <v>1165.0</v>
      </c>
      <c r="B1167" s="3" t="s">
        <v>1168</v>
      </c>
      <c r="C1167" s="3" t="str">
        <f>IFERROR(__xludf.DUMMYFUNCTION("GOOGLETRANSLATE(B1167,""id"",""en"")"),"['Quality', 'Signal', 'Ancur', 'Ancuran', 'YouTube', 'Slow', 'Maen', 'Game', 'Online', 'Slow', 'Price', 'Expensive', ' balanced ',' quality ',' network ',' internet ',' Telkomsel ',' go bankrupt ',' how ',' cook ',' signal ',' kayak ',' edge ', ""]")</f>
        <v>['Quality', 'Signal', 'Ancur', 'Ancuran', 'YouTube', 'Slow', 'Maen', 'Game', 'Online', 'Slow', 'Price', 'Expensive', ' balanced ',' quality ',' network ',' internet ',' Telkomsel ',' go bankrupt ',' how ',' cook ',' signal ',' kayak ',' edge ', "]</v>
      </c>
      <c r="D1167" s="3">
        <v>1.0</v>
      </c>
    </row>
    <row r="1168" ht="15.75" customHeight="1">
      <c r="A1168" s="1">
        <v>1166.0</v>
      </c>
      <c r="B1168" s="3" t="s">
        <v>1169</v>
      </c>
      <c r="C1168" s="3" t="str">
        <f>IFERROR(__xludf.DUMMYFUNCTION("GOOGLETRANSLATE(B1168,""id"",""en"")"),"['Like', 'Tissue', 'Telkomsel', 'Paketannya', 'expensive', 'Operator', 'Price', 'because', 'Peforma', 'Match', 'Match', ' Lovers', 'Gaming', 'Network', 'Telkomsel', 'experience', 'disorders',' like ',' Nge ',' lag ',' Nge ',' frame ',' lost ',' server ' ,"&amp;" 'Game', 'Play', 'Disappointed', 'Service', 'Network', 'deteriorated', 'Location', 'Jepara', 'Java', ""]")</f>
        <v>['Like', 'Tissue', 'Telkomsel', 'Paketannya', 'expensive', 'Operator', 'Price', 'because', 'Peforma', 'Match', 'Match', ' Lovers', 'Gaming', 'Network', 'Telkomsel', 'experience', 'disorders',' like ',' Nge ',' lag ',' Nge ',' frame ',' lost ',' server ' , 'Game', 'Play', 'Disappointed', 'Service', 'Network', 'deteriorated', 'Location', 'Jepara', 'Java', "]</v>
      </c>
      <c r="D1168" s="3">
        <v>1.0</v>
      </c>
    </row>
    <row r="1169" ht="15.75" customHeight="1">
      <c r="A1169" s="1">
        <v>1167.0</v>
      </c>
      <c r="B1169" s="3" t="s">
        <v>1170</v>
      </c>
      <c r="C1169" s="3" t="str">
        <f>IFERROR(__xludf.DUMMYFUNCTION("GOOGLETRANSLATE(B1169,""id"",""en"")"),"['Signal', 'Telkomsel', 'ugly', 'price', 'package', 'expensive', 'speeding', 'bnget', 'abisnya', 'padah', 'quota', 'Lum', ' used ',' count ',' used ',' so ',' strange ',' kaann ', ""]")</f>
        <v>['Signal', 'Telkomsel', 'ugly', 'price', 'package', 'expensive', 'speeding', 'bnget', 'abisnya', 'padah', 'quota', 'Lum', ' used ',' count ',' used ',' so ',' strange ',' kaann ', "]</v>
      </c>
      <c r="D1169" s="3">
        <v>1.0</v>
      </c>
    </row>
    <row r="1170" ht="15.75" customHeight="1">
      <c r="A1170" s="1">
        <v>1168.0</v>
      </c>
      <c r="B1170" s="3" t="s">
        <v>1171</v>
      </c>
      <c r="C1170" s="3" t="str">
        <f>IFERROR(__xludf.DUMMYFUNCTION("GOOGLETRANSLATE(B1170,""id"",""en"")"),"['Disappointed', 'Telkomsel', 'Kirain', 'Signal', 'Fix', 'Tetep', 'Ajj', 'Already', 'Sinyal', 'Bad', 'Bad', 'Laen', ' Appa ',' Telkomsel ',' Related ',' Dya ',' Data ',' off ',' Sometimes', 'person', 'smart', 'he said', 'disappointed', 'closed', 'Telkomse"&amp;"l' , 'JGAN', 'Rich', 'That's', 'Kasian', 'Customer', 'Setia', '']")</f>
        <v>['Disappointed', 'Telkomsel', 'Kirain', 'Signal', 'Fix', 'Tetep', 'Ajj', 'Already', 'Sinyal', 'Bad', 'Bad', 'Laen', ' Appa ',' Telkomsel ',' Related ',' Dya ',' Data ',' off ',' Sometimes', 'person', 'smart', 'he said', 'disappointed', 'closed', 'Telkomsel' , 'JGAN', 'Rich', 'That's', 'Kasian', 'Customer', 'Setia', '']</v>
      </c>
      <c r="D1170" s="3">
        <v>1.0</v>
      </c>
    </row>
    <row r="1171" ht="15.75" customHeight="1">
      <c r="A1171" s="1">
        <v>1169.0</v>
      </c>
      <c r="B1171" s="3" t="s">
        <v>1172</v>
      </c>
      <c r="C1171" s="3" t="str">
        <f>IFERROR(__xludf.DUMMYFUNCTION("GOOGLETRANSLATE(B1171,""id"",""en"")"),"['Telkomsel', 'Telkomsel', 'in the area', 'poor', 'ugly', 'tower', 'sinya', 'telkomsel', 'open', 'crush', 'wrong', 'click', ' Activating ',' Credit ',' Emergency ',' Paid ',' Filling ',' Credit ',' Data ',' Rich ',' wasteful ',' Telkomsel ', ""]")</f>
        <v>['Telkomsel', 'Telkomsel', 'in the area', 'poor', 'ugly', 'tower', 'sinya', 'telkomsel', 'open', 'crush', 'wrong', 'click', ' Activating ',' Credit ',' Emergency ',' Paid ',' Filling ',' Credit ',' Data ',' Rich ',' wasteful ',' Telkomsel ', "]</v>
      </c>
      <c r="D1171" s="3">
        <v>1.0</v>
      </c>
    </row>
    <row r="1172" ht="15.75" customHeight="1">
      <c r="A1172" s="1">
        <v>1170.0</v>
      </c>
      <c r="B1172" s="3" t="s">
        <v>1173</v>
      </c>
      <c r="C1172" s="3" t="str">
        <f>IFERROR(__xludf.DUMMYFUNCTION("GOOGLETRANSLATE(B1172,""id"",""en"")"),"['Yesterday', 'package', 'sosmed', 'unlimited', 'sosmed', 'unlimited', 'title', 'rich', 'kmrn', ""]")</f>
        <v>['Yesterday', 'package', 'sosmed', 'unlimited', 'sosmed', 'unlimited', 'title', 'rich', 'kmrn', "]</v>
      </c>
      <c r="D1172" s="3">
        <v>2.0</v>
      </c>
    </row>
    <row r="1173" ht="15.75" customHeight="1">
      <c r="A1173" s="1">
        <v>1171.0</v>
      </c>
      <c r="B1173" s="3" t="s">
        <v>1174</v>
      </c>
      <c r="C1173" s="3" t="str">
        <f>IFERROR(__xludf.DUMMYFUNCTION("GOOGLETRANSLATE(B1173,""id"",""en"")"),"['Please', 'Sorry', 'Telkomsel', 'Network', 'Region', 'Bad', 'Best', 'Lost', 'Sampe', 'Down', 'Network', 'Network', ' slow', '']")</f>
        <v>['Please', 'Sorry', 'Telkomsel', 'Network', 'Region', 'Bad', 'Best', 'Lost', 'Sampe', 'Down', 'Network', 'Network', ' slow', '']</v>
      </c>
      <c r="D1173" s="3">
        <v>1.0</v>
      </c>
    </row>
    <row r="1174" ht="15.75" customHeight="1">
      <c r="A1174" s="1">
        <v>1172.0</v>
      </c>
      <c r="B1174" s="3" t="s">
        <v>1175</v>
      </c>
      <c r="C1174" s="3" t="str">
        <f>IFERROR(__xludf.DUMMYFUNCTION("GOOGLETRANSLATE(B1174,""id"",""en"")"),"['Whatever', 'Provider', 'Next', 'Fun', 'Application', 'MyTelkomTod', 'Logout', 'Mulu', 'Crazy', 'Connection', 'Good', 'Application', ' disorder ',' already ',' package ',' expensive ',' the application ',' change ',' surprised ',' indo ']")</f>
        <v>['Whatever', 'Provider', 'Next', 'Fun', 'Application', 'MyTelkomTod', 'Logout', 'Mulu', 'Crazy', 'Connection', 'Good', 'Application', ' disorder ',' already ',' package ',' expensive ',' the application ',' change ',' surprised ',' indo ']</v>
      </c>
      <c r="D1174" s="3">
        <v>1.0</v>
      </c>
    </row>
    <row r="1175" ht="15.75" customHeight="1">
      <c r="A1175" s="1">
        <v>1173.0</v>
      </c>
      <c r="B1175" s="3" t="s">
        <v>1176</v>
      </c>
      <c r="C1175" s="3" t="str">
        <f>IFERROR(__xludf.DUMMYFUNCTION("GOOGLETRANSLATE(B1175,""id"",""en"")"),"['Telkomsel', 'company', 'consumers',' thorough ',' purchase ',' package ',' developed ',' consumers', 'progress',' business', 'critical', 'check', ' package ',' offered ',' interested ',' promo ',' ']")</f>
        <v>['Telkomsel', 'company', 'consumers',' thorough ',' purchase ',' package ',' developed ',' consumers', 'progress',' business', 'critical', 'check', ' package ',' offered ',' interested ',' promo ',' ']</v>
      </c>
      <c r="D1175" s="3">
        <v>2.0</v>
      </c>
    </row>
    <row r="1176" ht="15.75" customHeight="1">
      <c r="A1176" s="1">
        <v>1174.0</v>
      </c>
      <c r="B1176" s="3" t="s">
        <v>1177</v>
      </c>
      <c r="C1176" s="3" t="str">
        <f>IFERROR(__xludf.DUMMYFUNCTION("GOOGLETRANSLATE(B1176,""id"",""en"")"),"['strange', 'combo', 'Sakti', 'unlimited', 'GB', 'unlimited', 'quota', 'separated', 'access',' youtube ',' suck ',' quota ',' Internet ',' network ',' slow down ',' ']")</f>
        <v>['strange', 'combo', 'Sakti', 'unlimited', 'GB', 'unlimited', 'quota', 'separated', 'access',' youtube ',' suck ',' quota ',' Internet ',' network ',' slow down ',' ']</v>
      </c>
      <c r="D1176" s="3">
        <v>1.0</v>
      </c>
    </row>
    <row r="1177" ht="15.75" customHeight="1">
      <c r="A1177" s="1">
        <v>1175.0</v>
      </c>
      <c r="B1177" s="3" t="s">
        <v>1178</v>
      </c>
      <c r="C1177" s="3" t="str">
        <f>IFERROR(__xludf.DUMMYFUNCTION("GOOGLETRANSLATE(B1177,""id"",""en"")"),"['Tah', 'Week', 'Application', 'Telkomsel', 'Difficult', 'Open', 'Error', 'Suff', 'Very', 'Check', 'Quota', 'Manual', ' Click ',' difficult ',' times', 'buy', 'package', 'open', 'application', 'Telkomsel']")</f>
        <v>['Tah', 'Week', 'Application', 'Telkomsel', 'Difficult', 'Open', 'Error', 'Suff', 'Very', 'Check', 'Quota', 'Manual', ' Click ',' difficult ',' times', 'buy', 'package', 'open', 'application', 'Telkomsel']</v>
      </c>
      <c r="D1177" s="3">
        <v>2.0</v>
      </c>
    </row>
    <row r="1178" ht="15.75" customHeight="1">
      <c r="A1178" s="1">
        <v>1176.0</v>
      </c>
      <c r="B1178" s="3" t="s">
        <v>1179</v>
      </c>
      <c r="C1178" s="3" t="str">
        <f>IFERROR(__xludf.DUMMYFUNCTION("GOOGLETRANSLATE(B1178,""id"",""en"")"),"['Please', 'Sorry', 'APK', 'buy', 'package', 'loading', 'really', 'times',' buy ',' connection ',' internet ',' use ',' Open ',' APK ',' smooth ',' check ',' leftover ',' quota ',' beg ',' suggestion ',' thank you ']")</f>
        <v>['Please', 'Sorry', 'APK', 'buy', 'package', 'loading', 'really', 'times',' buy ',' connection ',' internet ',' use ',' Open ',' APK ',' smooth ',' check ',' leftover ',' quota ',' beg ',' suggestion ',' thank you ']</v>
      </c>
      <c r="D1178" s="3">
        <v>1.0</v>
      </c>
    </row>
    <row r="1179" ht="15.75" customHeight="1">
      <c r="A1179" s="1">
        <v>1177.0</v>
      </c>
      <c r="B1179" s="3" t="s">
        <v>1180</v>
      </c>
      <c r="C1179" s="3" t="str">
        <f>IFERROR(__xludf.DUMMYFUNCTION("GOOGLETRANSLATE(B1179,""id"",""en"")"),"['Telkomsel', 'charging', 'pulse', 'top', 'game', 'right', 'pay', 'pulse', 'direct', 'run out', 'top', 'owes',' Credit ',' OPrator ',' Genesis', 'Times',' ']")</f>
        <v>['Telkomsel', 'charging', 'pulse', 'top', 'game', 'right', 'pay', 'pulse', 'direct', 'run out', 'top', 'owes',' Credit ',' OPrator ',' Genesis', 'Times',' ']</v>
      </c>
      <c r="D1179" s="3">
        <v>3.0</v>
      </c>
    </row>
    <row r="1180" ht="15.75" customHeight="1">
      <c r="A1180" s="1">
        <v>1178.0</v>
      </c>
      <c r="B1180" s="3" t="s">
        <v>1181</v>
      </c>
      <c r="C1180" s="3" t="str">
        <f>IFERROR(__xludf.DUMMYFUNCTION("GOOGLETRANSLATE(B1180,""id"",""en"")"),"['Satisfied', 'Trouble', 'Signal', 'Please', 'Level', 'Performance', 'Expensive', 'Price', 'Package', 'Performance', 'Good', 'TRM', ' Ksh ']")</f>
        <v>['Satisfied', 'Trouble', 'Signal', 'Please', 'Level', 'Performance', 'Expensive', 'Price', 'Package', 'Performance', 'Good', 'TRM', ' Ksh ']</v>
      </c>
      <c r="D1180" s="3">
        <v>1.0</v>
      </c>
    </row>
    <row r="1181" ht="15.75" customHeight="1">
      <c r="A1181" s="1">
        <v>1179.0</v>
      </c>
      <c r="B1181" s="3" t="s">
        <v>1182</v>
      </c>
      <c r="C1181" s="3" t="str">
        <f>IFERROR(__xludf.DUMMYFUNCTION("GOOGLETRANSLATE(B1181,""id"",""en"")"),"['card', 'bngsaatt', 'slow', 'wild', 'baaabiii', 'jijikk', 'kli', 'pkai', 'telkomsel', 'already', 'fix', 'bngsat', ' bkan ',' tmbah ',' good ',' mala ',' tmbah ',' emotion ',' told ',' bngsattttt ',' ']")</f>
        <v>['card', 'bngsaatt', 'slow', 'wild', 'baaabiii', 'jijikk', 'kli', 'pkai', 'telkomsel', 'already', 'fix', 'bngsat', ' bkan ',' tmbah ',' good ',' mala ',' tmbah ',' emotion ',' told ',' bngsattttt ',' ']</v>
      </c>
      <c r="D1181" s="3">
        <v>1.0</v>
      </c>
    </row>
    <row r="1182" ht="15.75" customHeight="1">
      <c r="A1182" s="1">
        <v>1180.0</v>
      </c>
      <c r="B1182" s="3" t="s">
        <v>1183</v>
      </c>
      <c r="C1182" s="3" t="str">
        <f>IFERROR(__xludf.DUMMYFUNCTION("GOOGLETRANSLATE(B1182,""id"",""en"")"),"['price', 'package', 'expensive', 'network', 'kayak', 'taik', 'exciting', 'play', 'game', 'network', 'lost', 'alternating', ' Tower ',' Telkomsel ',' just ',' kilo ',' my house ',' ']")</f>
        <v>['price', 'package', 'expensive', 'network', 'kayak', 'taik', 'exciting', 'play', 'game', 'network', 'lost', 'alternating', ' Tower ',' Telkomsel ',' just ',' kilo ',' my house ',' ']</v>
      </c>
      <c r="D1182" s="3">
        <v>1.0</v>
      </c>
    </row>
    <row r="1183" ht="15.75" customHeight="1">
      <c r="A1183" s="1">
        <v>1181.0</v>
      </c>
      <c r="B1183" s="3" t="s">
        <v>1184</v>
      </c>
      <c r="C1183" s="3" t="str">
        <f>IFERROR(__xludf.DUMMYFUNCTION("GOOGLETRANSLATE(B1183,""id"",""en"")"),"['network', 'Sestabil', 'user', 'loyal', 'harmed', 'love', 'star', 'hope', 'fix', 'connection', 'internet', 'Telkomsel']")</f>
        <v>['network', 'Sestabil', 'user', 'loyal', 'harmed', 'love', 'star', 'hope', 'fix', 'connection', 'internet', 'Telkomsel']</v>
      </c>
      <c r="D1183" s="3">
        <v>2.0</v>
      </c>
    </row>
    <row r="1184" ht="15.75" customHeight="1">
      <c r="A1184" s="1">
        <v>1182.0</v>
      </c>
      <c r="B1184" s="3" t="s">
        <v>1185</v>
      </c>
      <c r="C1184" s="3" t="str">
        <f>IFERROR(__xludf.DUMMYFUNCTION("GOOGLETRANSLATE(B1184,""id"",""en"")"),"['Disappointed', 'Telkomsel', 'Access',' Internet ',' Credit ',' Sucked ',' Quota ',' Ministry of Education and Culture ',' Experiencing ',' Leaks', 'Credit', 'Contact', ' Related ',' explanation ',' satisfying ']")</f>
        <v>['Disappointed', 'Telkomsel', 'Access',' Internet ',' Credit ',' Sucked ',' Quota ',' Ministry of Education and Culture ',' Experiencing ',' Leaks', 'Credit', 'Contact', ' Related ',' explanation ',' satisfying ']</v>
      </c>
      <c r="D1184" s="3">
        <v>1.0</v>
      </c>
    </row>
    <row r="1185" ht="15.75" customHeight="1">
      <c r="A1185" s="1">
        <v>1183.0</v>
      </c>
      <c r="B1185" s="3" t="s">
        <v>1186</v>
      </c>
      <c r="C1185" s="3" t="str">
        <f>IFERROR(__xludf.DUMMYFUNCTION("GOOGLETRANSLATE(B1185,""id"",""en"")"),"['complaints',' Telkomsel ',' concerned ',' application ',' Telkomsel ',' package ',' internet ',' local ',' rather than ',' package ',' internet ',' package ',' Internet ',' local ',' in the area ',' buy ',' package ',' used ',' outside ',' reach ',' int"&amp;"ernet ',' local ',' Please ',' improvement ',' Wait ' , 'The answer', 'application', 'Telkomsel', 'in', 'application', 'criticism', 'suggestion', 'thank', 'love', ""]")</f>
        <v>['complaints',' Telkomsel ',' concerned ',' application ',' Telkomsel ',' package ',' internet ',' local ',' rather than ',' package ',' internet ',' package ',' Internet ',' local ',' in the area ',' buy ',' package ',' used ',' outside ',' reach ',' internet ',' local ',' Please ',' improvement ',' Wait ' , 'The answer', 'application', 'Telkomsel', 'in', 'application', 'criticism', 'suggestion', 'thank', 'love', "]</v>
      </c>
      <c r="D1185" s="3">
        <v>3.0</v>
      </c>
    </row>
    <row r="1186" ht="15.75" customHeight="1">
      <c r="A1186" s="1">
        <v>1184.0</v>
      </c>
      <c r="B1186" s="3" t="s">
        <v>1187</v>
      </c>
      <c r="C1186" s="3" t="str">
        <f>IFERROR(__xludf.DUMMYFUNCTION("GOOGLETRANSLATE(B1186,""id"",""en"")"),"['', 'Telkomsel', 'error', 'gini', 'error', 'APK', 'darling', 'load', 'andorid', 'mending', 'sms',' invitation ',' it's pretty good ',' Emotion ',' buyin ',' Package ',' Kaga ',' Response ',' Gara ',' Error ',' Enter ',' LEGU ',' BANGET ',' RARING ',' PLE"&amp;"SSS ',' PLESSS ', 'APK', 'good', 'hatungan', 'mending', 'suggest', 'fix', 'Telkomsel']")</f>
        <v>['', 'Telkomsel', 'error', 'gini', 'error', 'APK', 'darling', 'load', 'andorid', 'mending', 'sms',' invitation ',' it's pretty good ',' Emotion ',' buyin ',' Package ',' Kaga ',' Response ',' Gara ',' Error ',' Enter ',' LEGU ',' BANGET ',' RARING ',' PLESSS ',' PLESSS ', 'APK', 'good', 'hatungan', 'mending', 'suggest', 'fix', 'Telkomsel']</v>
      </c>
      <c r="D1186" s="3">
        <v>1.0</v>
      </c>
    </row>
    <row r="1187" ht="15.75" customHeight="1">
      <c r="A1187" s="1">
        <v>1185.0</v>
      </c>
      <c r="B1187" s="3" t="s">
        <v>1188</v>
      </c>
      <c r="C1187" s="3" t="str">
        <f>IFERROR(__xludf.DUMMYFUNCTION("GOOGLETRANSLATE(B1187,""id"",""en"")"),"['customers',' loyal ',' Telkomsel ',' disappointed ',' buy ',' card ',' unlinmited ',' slow ',' unlinmited ',' check ',' quota ',' printed ',' Unlinmited ',' Medsos', 'Games',' Open ',' Medsos', 'Tetep', 'Lemot', 'Quota', 'Hoping', 'Telkomsel', 'Restore'"&amp;", 'Try', 'use' , 'Telkomsel', 'unlinmited', 'suggest', 'move', 'card', 'provider', 'okay', 'regret', ""]")</f>
        <v>['customers',' loyal ',' Telkomsel ',' disappointed ',' buy ',' card ',' unlinmited ',' slow ',' unlinmited ',' check ',' quota ',' printed ',' Unlinmited ',' Medsos', 'Games',' Open ',' Medsos', 'Tetep', 'Lemot', 'Quota', 'Hoping', 'Telkomsel', 'Restore', 'Try', 'use' , 'Telkomsel', 'unlinmited', 'suggest', 'move', 'card', 'provider', 'okay', 'regret', "]</v>
      </c>
      <c r="D1187" s="3">
        <v>1.0</v>
      </c>
    </row>
    <row r="1188" ht="15.75" customHeight="1">
      <c r="A1188" s="1">
        <v>1186.0</v>
      </c>
      <c r="B1188" s="3" t="s">
        <v>1189</v>
      </c>
      <c r="C1188" s="3" t="str">
        <f>IFERROR(__xludf.DUMMYFUNCTION("GOOGLETRANSLATE(B1188,""id"",""en"")"),"['Telkomsel', 'Help', 'Customer', 'Lost', 'Automatic', 'Lost', 'DTG', 'GRAPARI', 'Nearest', 'NO', 'DIED', 'Love', ' system ',' just ',' use ',' use ',' use ',' data ',' accurate ',' is', 'help', 'work', 'ilang', 'complicated', 'alternating' , 'Bank', 'Ngu"&amp;"rinkin', 'Phone', 'Grapari', 'Complete', 'Good']")</f>
        <v>['Telkomsel', 'Help', 'Customer', 'Lost', 'Automatic', 'Lost', 'DTG', 'GRAPARI', 'Nearest', 'NO', 'DIED', 'Love', ' system ',' just ',' use ',' use ',' use ',' data ',' accurate ',' is', 'help', 'work', 'ilang', 'complicated', 'alternating' , 'Bank', 'Ngurinkin', 'Phone', 'Grapari', 'Complete', 'Good']</v>
      </c>
      <c r="D1188" s="3">
        <v>1.0</v>
      </c>
    </row>
    <row r="1189" ht="15.75" customHeight="1">
      <c r="A1189" s="1">
        <v>1187.0</v>
      </c>
      <c r="B1189" s="3" t="s">
        <v>1190</v>
      </c>
      <c r="C1189" s="3" t="str">
        <f>IFERROR(__xludf.DUMMYFUNCTION("GOOGLETRANSLATE(B1189,""id"",""en"")"),"['Please', 'Benerin', 'Sousal', 'Play', 'Game', 'YouTube', 'Facebook', 'Instagram', 'Muter', 'Quota', 'Udh', 'Expensive', ' Sinya ',' ugly ',' please ',' fix ',' as soon as possible ', ""]")</f>
        <v>['Please', 'Benerin', 'Sousal', 'Play', 'Game', 'YouTube', 'Facebook', 'Instagram', 'Muter', 'Quota', 'Udh', 'Expensive', ' Sinya ',' ugly ',' please ',' fix ',' as soon as possible ', "]</v>
      </c>
      <c r="D1189" s="3">
        <v>1.0</v>
      </c>
    </row>
    <row r="1190" ht="15.75" customHeight="1">
      <c r="A1190" s="1">
        <v>1188.0</v>
      </c>
      <c r="B1190" s="3" t="s">
        <v>1191</v>
      </c>
      <c r="C1190" s="3" t="str">
        <f>IFERROR(__xludf.DUMMYFUNCTION("GOOGLETRANSLATE(B1190,""id"",""en"")"),"['Service', 'Magic', 'Call', 'Reduce', 'Cost', 'Expensive', 'Very', 'Choice', 'Package', 'Service', 'Magic', 'Call', ' 'Hours', 'Rupiah', 'Minutes', 'Silver', 'Past', 'Card', 'Comfortable', 'User', 'Overcome', 'Thank you']")</f>
        <v>['Service', 'Magic', 'Call', 'Reduce', 'Cost', 'Expensive', 'Very', 'Choice', 'Package', 'Service', 'Magic', 'Call', ' 'Hours', 'Rupiah', 'Minutes', 'Silver', 'Past', 'Card', 'Comfortable', 'User', 'Overcome', 'Thank you']</v>
      </c>
      <c r="D1190" s="3">
        <v>1.0</v>
      </c>
    </row>
    <row r="1191" ht="15.75" customHeight="1">
      <c r="A1191" s="1">
        <v>1189.0</v>
      </c>
      <c r="B1191" s="3" t="s">
        <v>1192</v>
      </c>
      <c r="C1191" s="3" t="str">
        <f>IFERROR(__xludf.DUMMYFUNCTION("GOOGLETRANSLATE(B1191,""id"",""en"")"),"['Gabisa', 'Lock', 'Credit', 'Provider', 'Next', 'Package', 'Data', 'UDH', 'Out', 'Pulses',' Safe ',' TPI ',' No ',' getting ',' direct ',' credit ',' intention ',' save ',' pulse ',' urgent ',' need ',' sudden ',' safe ',' fast ',' confused ' , 'buy', 'W"&amp;"here', 'buy', 'Where', 'buy', 'leftover', 'keuang', 'vain', 'tlng', 'feature', 'enhanced', ""]")</f>
        <v>['Gabisa', 'Lock', 'Credit', 'Provider', 'Next', 'Package', 'Data', 'UDH', 'Out', 'Pulses',' Safe ',' TPI ',' No ',' getting ',' direct ',' credit ',' intention ',' save ',' pulse ',' urgent ',' need ',' sudden ',' safe ',' fast ',' confused ' , 'buy', 'Where', 'buy', 'Where', 'buy', 'leftover', 'keuang', 'vain', 'tlng', 'feature', 'enhanced', "]</v>
      </c>
      <c r="D1191" s="3">
        <v>2.0</v>
      </c>
    </row>
    <row r="1192" ht="15.75" customHeight="1">
      <c r="A1192" s="1">
        <v>1190.0</v>
      </c>
      <c r="B1192" s="3" t="s">
        <v>1193</v>
      </c>
      <c r="C1192" s="3" t="str">
        <f>IFERROR(__xludf.DUMMYFUNCTION("GOOGLETRANSLATE(B1192,""id"",""en"")"),"['mytelkomsel', 'poor', 'check', 'gift', 'quota', 'gift', 'voucher', 'claim', 'gift', 'quota', 'claim', 'automatic', ' Lure ',' Iming ',' Doang ',' ']")</f>
        <v>['mytelkomsel', 'poor', 'check', 'gift', 'quota', 'gift', 'voucher', 'claim', 'gift', 'quota', 'claim', 'automatic', ' Lure ',' Iming ',' Doang ',' ']</v>
      </c>
      <c r="D1192" s="3">
        <v>1.0</v>
      </c>
    </row>
    <row r="1193" ht="15.75" customHeight="1">
      <c r="A1193" s="1">
        <v>1191.0</v>
      </c>
      <c r="B1193" s="3" t="s">
        <v>1194</v>
      </c>
      <c r="C1193" s="3" t="str">
        <f>IFERROR(__xludf.DUMMYFUNCTION("GOOGLETRANSLATE(B1193,""id"",""en"")"),"['gathering', 'online', 'network', 'drop', 'direct', 'down', 'sometimes',' connection ',' ugly ',' really ',' gathering ',' online ',' How ',' Try ', ""]")</f>
        <v>['gathering', 'online', 'network', 'drop', 'direct', 'down', 'sometimes',' connection ',' ugly ',' really ',' gathering ',' online ',' How ',' Try ', "]</v>
      </c>
      <c r="D1193" s="3">
        <v>1.0</v>
      </c>
    </row>
    <row r="1194" ht="15.75" customHeight="1">
      <c r="A1194" s="1">
        <v>1192.0</v>
      </c>
      <c r="B1194" s="3" t="s">
        <v>1195</v>
      </c>
      <c r="C1194" s="3" t="str">
        <f>IFERROR(__xludf.DUMMYFUNCTION("GOOGLETRANSLATE(B1194,""id"",""en"")"),"['card', 'Telkomsel', 'tasty', 'really', 'signal', 'strong', 'really', 'signal', 'turn', 'already', 'signal', 'bad', ' really ',' difficult ',' kalok ',' play ',' game ',' bring ',' emotion ',' Muluk ',' already ',' package ',' expensive ',' performance '"&amp;",' collapsine ' , '']")</f>
        <v>['card', 'Telkomsel', 'tasty', 'really', 'signal', 'strong', 'really', 'signal', 'turn', 'already', 'signal', 'bad', ' really ',' difficult ',' kalok ',' play ',' game ',' bring ',' emotion ',' Muluk ',' already ',' package ',' expensive ',' performance ',' collapsine ' , '']</v>
      </c>
      <c r="D1194" s="3">
        <v>1.0</v>
      </c>
    </row>
    <row r="1195" ht="15.75" customHeight="1">
      <c r="A1195" s="1">
        <v>1193.0</v>
      </c>
      <c r="B1195" s="3" t="s">
        <v>1196</v>
      </c>
      <c r="C1195" s="3" t="str">
        <f>IFERROR(__xludf.DUMMYFUNCTION("GOOGLETRANSLATE(B1195,""id"",""en"")"),"['info', 'application', 'Linkaja', 'Redeem', 'Telkomselpoin', 'balance', 'Linkaja', 'Points',' Open ',' Search ',' promo ',' application ',' MyTelkomsel ',' Meet ',' pdhal ',' promo ',' May ',' Date ',' May ', ""]")</f>
        <v>['info', 'application', 'Linkaja', 'Redeem', 'Telkomselpoin', 'balance', 'Linkaja', 'Points',' Open ',' Search ',' promo ',' application ',' MyTelkomsel ',' Meet ',' pdhal ',' promo ',' May ',' Date ',' May ', "]</v>
      </c>
      <c r="D1195" s="3">
        <v>1.0</v>
      </c>
    </row>
    <row r="1196" ht="15.75" customHeight="1">
      <c r="A1196" s="1">
        <v>1194.0</v>
      </c>
      <c r="B1196" s="3" t="s">
        <v>1197</v>
      </c>
      <c r="C1196" s="3" t="str">
        <f>IFERROR(__xludf.DUMMYFUNCTION("GOOGLETRANSLATE(B1196,""id"",""en"")"),"['buy', 'package', 'game', 'GB', 'right', 'play', 'pub', 'server', 'respond', 'then', 'Ajing', 'emang', ' right ',' kouta ',' internet ',' run out ',' play ',' pub ',' smooth ',' turn ',' kouta ',' internet ',' finished ',' stay ',' quota ' , 'Geme', 'pla"&amp;"y', 'pub', 'server', 'respond', 'play', 'mobile', 'legends',' play ',' turn ',' play ',' pub ',' Please, 'Fix', '']")</f>
        <v>['buy', 'package', 'game', 'GB', 'right', 'play', 'pub', 'server', 'respond', 'then', 'Ajing', 'emang', ' right ',' kouta ',' internet ',' run out ',' play ',' pub ',' smooth ',' turn ',' kouta ',' internet ',' finished ',' stay ',' quota ' , 'Geme', 'play', 'pub', 'server', 'respond', 'play', 'mobile', 'legends',' play ',' turn ',' play ',' pub ',' Please, 'Fix', '']</v>
      </c>
      <c r="D1196" s="3">
        <v>1.0</v>
      </c>
    </row>
    <row r="1197" ht="15.75" customHeight="1">
      <c r="A1197" s="1">
        <v>1195.0</v>
      </c>
      <c r="B1197" s="3" t="s">
        <v>1198</v>
      </c>
      <c r="C1197" s="3" t="str">
        <f>IFERROR(__xludf.DUMMYFUNCTION("GOOGLETRANSLATE(B1197,""id"",""en"")"),"['quota', 'quota', 'down', 'pulse', 'main', 'sumps', 'package', 'internet', 'activated', 'hope', 'front', '']")</f>
        <v>['quota', 'quota', 'down', 'pulse', 'main', 'sumps', 'package', 'internet', 'activated', 'hope', 'front', '']</v>
      </c>
      <c r="D1197" s="3">
        <v>1.0</v>
      </c>
    </row>
    <row r="1198" ht="15.75" customHeight="1">
      <c r="A1198" s="1">
        <v>1196.0</v>
      </c>
      <c r="B1198" s="3" t="s">
        <v>1199</v>
      </c>
      <c r="C1198" s="3" t="str">
        <f>IFERROR(__xludf.DUMMYFUNCTION("GOOGLETRANSLATE(B1198,""id"",""en"")"),"['auto', 'replace', 'card', 'mid', 'fasting', 'internet', 'slow', 'really', 'open', 'apk', 'access',' longaa ',' really ',' loading ',' open ',' slow ',' open ',' customer ',' run away ',' by one ',' mending ',' card ',' disappointed ']")</f>
        <v>['auto', 'replace', 'card', 'mid', 'fasting', 'internet', 'slow', 'really', 'open', 'apk', 'access',' longaa ',' really ',' loading ',' open ',' slow ',' open ',' customer ',' run away ',' by one ',' mending ',' card ',' disappointed ']</v>
      </c>
      <c r="D1198" s="3">
        <v>1.0</v>
      </c>
    </row>
    <row r="1199" ht="15.75" customHeight="1">
      <c r="A1199" s="1">
        <v>1197.0</v>
      </c>
      <c r="B1199" s="3" t="s">
        <v>1200</v>
      </c>
      <c r="C1199" s="3" t="str">
        <f>IFERROR(__xludf.DUMMYFUNCTION("GOOGLETRANSLATE(B1199,""id"",""en"")"),"['power', 'learn', 'cellphone', 'androuid', 'learn', 'wear it', 'error', 'beg', 'help', 'smart', 'use', 'cellphone', ' Androuid ',' Okay ']")</f>
        <v>['power', 'learn', 'cellphone', 'androuid', 'learn', 'wear it', 'error', 'beg', 'help', 'smart', 'use', 'cellphone', ' Androuid ',' Okay ']</v>
      </c>
      <c r="D1199" s="3">
        <v>5.0</v>
      </c>
    </row>
    <row r="1200" ht="15.75" customHeight="1">
      <c r="A1200" s="1">
        <v>1198.0</v>
      </c>
      <c r="B1200" s="3" t="s">
        <v>1201</v>
      </c>
      <c r="C1200" s="3" t="str">
        <f>IFERROR(__xludf.DUMMYFUNCTION("GOOGLETRANSLATE(B1200,""id"",""en"")"),"['bad', 'all', 'because', 'package', 'data', 'out', 'as a result', 'buy', 'kouta', 'data', 'internet', 'why', ' Credit ',' Kekeke ',' thousand ',' collapse ',' pulse ',' please ',' repaired ',' system ',' transition ',' kouta ',' direct ',' kouta ',' kek "&amp;"' , 'Provider', 'Kek', 'Direct', 'automatic', 'disappointed', 'Poll']")</f>
        <v>['bad', 'all', 'because', 'package', 'data', 'out', 'as a result', 'buy', 'kouta', 'data', 'internet', 'why', ' Credit ',' Kekeke ',' thousand ',' collapse ',' pulse ',' please ',' repaired ',' system ',' transition ',' kouta ',' direct ',' kouta ',' kek ' , 'Provider', 'Kek', 'Direct', 'automatic', 'disappointed', 'Poll']</v>
      </c>
      <c r="D1200" s="3">
        <v>1.0</v>
      </c>
    </row>
    <row r="1201" ht="15.75" customHeight="1">
      <c r="A1201" s="1">
        <v>1199.0</v>
      </c>
      <c r="B1201" s="3" t="s">
        <v>1202</v>
      </c>
      <c r="C1201" s="3" t="str">
        <f>IFERROR(__xludf.DUMMYFUNCTION("GOOGLETRANSLATE(B1201,""id"",""en"")"),"['Assalamuallaikum', 'talk', 'honest','a ',' quota ',' telkomsel ',' udh ',' expensive ',' signal ',' lag ',' area ',' auto ',' Change ',' card ',' thank ',' love ',' ']")</f>
        <v>['Assalamuallaikum', 'talk', 'honest','a ',' quota ',' telkomsel ',' udh ',' expensive ',' signal ',' lag ',' area ',' auto ',' Change ',' card ',' thank ',' love ',' ']</v>
      </c>
      <c r="D1201" s="3">
        <v>1.0</v>
      </c>
    </row>
    <row r="1202" ht="15.75" customHeight="1">
      <c r="A1202" s="1">
        <v>1200.0</v>
      </c>
      <c r="B1202" s="3" t="s">
        <v>1203</v>
      </c>
      <c r="C1202" s="3" t="str">
        <f>IFERROR(__xludf.DUMMYFUNCTION("GOOGLETRANSLATE(B1202,""id"",""en"")"),"['Customer', 'loyal', 'Telkomsel', 'Disappointed', 'here', 'Network', 'Network', 'Lost', 'Action', 'Search', 'Provider']")</f>
        <v>['Customer', 'loyal', 'Telkomsel', 'Disappointed', 'here', 'Network', 'Network', 'Lost', 'Action', 'Search', 'Provider']</v>
      </c>
      <c r="D1202" s="3">
        <v>1.0</v>
      </c>
    </row>
    <row r="1203" ht="15.75" customHeight="1">
      <c r="A1203" s="1">
        <v>1201.0</v>
      </c>
      <c r="B1203" s="3" t="s">
        <v>1204</v>
      </c>
      <c r="C1203" s="3" t="str">
        <f>IFERROR(__xludf.DUMMYFUNCTION("GOOGLETRANSLATE(B1203,""id"",""en"")"),"['signal', 'Telkomsel', 'open', 'pending', 'off', 'data', 'message', 'send', 'telkomsel', 'expensive', 'doang', 'signal', ' The network is', 'cheap']")</f>
        <v>['signal', 'Telkomsel', 'open', 'pending', 'off', 'data', 'message', 'send', 'telkomsel', 'expensive', 'doang', 'signal', ' The network is', 'cheap']</v>
      </c>
      <c r="D1203" s="3">
        <v>2.0</v>
      </c>
    </row>
    <row r="1204" ht="15.75" customHeight="1">
      <c r="A1204" s="1">
        <v>1202.0</v>
      </c>
      <c r="B1204" s="3" t="s">
        <v>1205</v>
      </c>
      <c r="C1204" s="3" t="str">
        <f>IFERROR(__xludf.DUMMYFUNCTION("GOOGLETRANSLATE(B1204,""id"",""en"")"),"['Strengthen', 'Signal', 'Region', 'Percut', 'Sei', 'Sir', 'Tembung', 'Market', 'Deli', 'Serdang', 'North Sumatra', 'right', ' Shop ',' Mini ',' Market ',' Payment ',' Use ',' Gopay ',' Application ',' Walking ',' Dikazah ',' Signal ',' Weak ',' Queue ','"&amp;" Paying ' , 'groceries', 'there', 'humiliated', ""]")</f>
        <v>['Strengthen', 'Signal', 'Region', 'Percut', 'Sei', 'Sir', 'Tembung', 'Market', 'Deli', 'Serdang', 'North Sumatra', 'right', ' Shop ',' Mini ',' Market ',' Payment ',' Use ',' Gopay ',' Application ',' Walking ',' Dikazah ',' Signal ',' Weak ',' Queue ',' Paying ' , 'groceries', 'there', 'humiliated', "]</v>
      </c>
      <c r="D1204" s="3">
        <v>1.0</v>
      </c>
    </row>
    <row r="1205" ht="15.75" customHeight="1">
      <c r="A1205" s="1">
        <v>1203.0</v>
      </c>
      <c r="B1205" s="3" t="s">
        <v>1206</v>
      </c>
      <c r="C1205" s="3" t="str">
        <f>IFERROR(__xludf.DUMMYFUNCTION("GOOGLETRANSLATE(B1205,""id"",""en"")"),"['Telkomsel', 'easy', 'transact', 'purchase', 'package', 'promo', 'package', 'Telkomsel', '']")</f>
        <v>['Telkomsel', 'easy', 'transact', 'purchase', 'package', 'promo', 'package', 'Telkomsel', '']</v>
      </c>
      <c r="D1205" s="3">
        <v>5.0</v>
      </c>
    </row>
    <row r="1206" ht="15.75" customHeight="1">
      <c r="A1206" s="1">
        <v>1204.0</v>
      </c>
      <c r="B1206" s="3" t="s">
        <v>1207</v>
      </c>
      <c r="C1206" s="3" t="str">
        <f>IFERROR(__xludf.DUMMYFUNCTION("GOOGLETRANSLATE(B1206,""id"",""en"")"),"['special', 'Nge', 'game', 'recommended', 'bnget', 'provider', 'wifiny', 'emotion', 'quota', 'expensive', '']")</f>
        <v>['special', 'Nge', 'game', 'recommended', 'bnget', 'provider', 'wifiny', 'emotion', 'quota', 'expensive', '']</v>
      </c>
      <c r="D1206" s="3">
        <v>1.0</v>
      </c>
    </row>
    <row r="1207" ht="15.75" customHeight="1">
      <c r="A1207" s="1">
        <v>1205.0</v>
      </c>
      <c r="B1207" s="3" t="s">
        <v>1208</v>
      </c>
      <c r="C1207" s="3" t="str">
        <f>IFERROR(__xludf.DUMMYFUNCTION("GOOGLETRANSLATE(B1207,""id"",""en"")"),"['entry', 'application', 'reload', 'times',' network ',' signal ',' good ',' annoyed ',' waiting ',' times', 'yesterday', 'kayak', ' Gini ',' open ',' menu ',' shopping ',' manufacture ',' package ',' please ',' yaa ', ""]")</f>
        <v>['entry', 'application', 'reload', 'times',' network ',' signal ',' good ',' annoyed ',' waiting ',' times', 'yesterday', 'kayak', ' Gini ',' open ',' menu ',' shopping ',' manufacture ',' package ',' please ',' yaa ', "]</v>
      </c>
      <c r="D1207" s="3">
        <v>1.0</v>
      </c>
    </row>
    <row r="1208" ht="15.75" customHeight="1">
      <c r="A1208" s="1">
        <v>1206.0</v>
      </c>
      <c r="B1208" s="3" t="s">
        <v>1209</v>
      </c>
      <c r="C1208" s="3" t="str">
        <f>IFERROR(__xludf.DUMMYFUNCTION("GOOGLETRANSLATE(B1208,""id"",""en"")"),"['Package', 'Multimedia', 'Free', 'Fire', 'Pubg', 'Login', 'Data', 'Please', 'Benerin', 'Package', 'Multimedia', 'Free', ' Fire ',' pub ',' please ',' fast ',' reply ']")</f>
        <v>['Package', 'Multimedia', 'Free', 'Fire', 'Pubg', 'Login', 'Data', 'Please', 'Benerin', 'Package', 'Multimedia', 'Free', ' Fire ',' pub ',' please ',' fast ',' reply ']</v>
      </c>
      <c r="D1208" s="3">
        <v>2.0</v>
      </c>
    </row>
    <row r="1209" ht="15.75" customHeight="1">
      <c r="A1209" s="1">
        <v>1207.0</v>
      </c>
      <c r="B1209" s="3" t="s">
        <v>1210</v>
      </c>
      <c r="C1209" s="3" t="str">
        <f>IFERROR(__xludf.DUMMYFUNCTION("GOOGLETRANSLATE(B1209,""id"",""en"")"),"['Application', 'Benified', 'Network', 'Service', 'Worst', 'Price', 'Kouta', 'Expensive', 'Application', 'Updated', 'Rampok']")</f>
        <v>['Application', 'Benified', 'Network', 'Service', 'Worst', 'Price', 'Kouta', 'Expensive', 'Application', 'Updated', 'Rampok']</v>
      </c>
      <c r="D1209" s="3">
        <v>1.0</v>
      </c>
    </row>
    <row r="1210" ht="15.75" customHeight="1">
      <c r="A1210" s="1">
        <v>1208.0</v>
      </c>
      <c r="B1210" s="3" t="s">
        <v>1211</v>
      </c>
      <c r="C1210" s="3" t="str">
        <f>IFERROR(__xludf.DUMMYFUNCTION("GOOGLETRANSLATE(B1210,""id"",""en"")"),"['please', 'server', 'just', 'buy', 'package', 'games',' there ',' printed ',' diamond ',' already ',' buy ',' TPI ',' diamond ',' nggkk ',' entered ',' what ',' ']")</f>
        <v>['please', 'server', 'just', 'buy', 'package', 'games',' there ',' printed ',' diamond ',' already ',' buy ',' TPI ',' diamond ',' nggkk ',' entered ',' what ',' ']</v>
      </c>
      <c r="D1210" s="3">
        <v>3.0</v>
      </c>
    </row>
    <row r="1211" ht="15.75" customHeight="1">
      <c r="A1211" s="1">
        <v>1209.0</v>
      </c>
      <c r="B1211" s="3" t="s">
        <v>1212</v>
      </c>
      <c r="C1211" s="3" t="str">
        <f>IFERROR(__xludf.DUMMYFUNCTION("GOOGLETRANSLATE(B1211,""id"",""en"")"),"['bad', 'disappointed', 'buy', 'package', 'process',' wait ',' sms', 'notification', 'package', 'active', 'repeat it', 'times',' Credit ',' Customer ',' Service ',' Teparted ',' Please ',' Help ',' Switch ',' Telkomsel ',' Reply ',' Review ',' Terle ',' L"&amp;"ike ',' Fix ' , '']")</f>
        <v>['bad', 'disappointed', 'buy', 'package', 'process',' wait ',' sms', 'notification', 'package', 'active', 'repeat it', 'times',' Credit ',' Customer ',' Service ',' Teparted ',' Please ',' Help ',' Switch ',' Telkomsel ',' Reply ',' Review ',' Terle ',' Like ',' Fix ' , '']</v>
      </c>
      <c r="D1211" s="3">
        <v>1.0</v>
      </c>
    </row>
    <row r="1212" ht="15.75" customHeight="1">
      <c r="A1212" s="1">
        <v>1210.0</v>
      </c>
      <c r="B1212" s="3" t="s">
        <v>1213</v>
      </c>
      <c r="C1212" s="3" t="str">
        <f>IFERROR(__xludf.DUMMYFUNCTION("GOOGLETRANSLATE(B1212,""id"",""en"")"),"['woi', 'cave', 'buy', 'quota', 'use', 'money', 'here', 'slow', 'network', 'cave', 'buy', 'unlimited', ' quota ',' regular ',' slow ',' sight ',' person ',' cave ',' customers', 'telkomsel', 'until', 'cave', 'moved', 'card', 'laen' , 'just', 'Gara', 'Gara"&amp;"', 'signal', 'sympathy', 'slow']")</f>
        <v>['woi', 'cave', 'buy', 'quota', 'use', 'money', 'here', 'slow', 'network', 'cave', 'buy', 'unlimited', ' quota ',' regular ',' slow ',' sight ',' person ',' cave ',' customers', 'telkomsel', 'until', 'cave', 'moved', 'card', 'laen' , 'just', 'Gara', 'Gara', 'signal', 'sympathy', 'slow']</v>
      </c>
      <c r="D1212" s="3">
        <v>1.0</v>
      </c>
    </row>
    <row r="1213" ht="15.75" customHeight="1">
      <c r="A1213" s="1">
        <v>1211.0</v>
      </c>
      <c r="B1213" s="3" t="s">
        <v>1214</v>
      </c>
      <c r="C1213" s="3" t="str">
        <f>IFERROR(__xludf.DUMMYFUNCTION("GOOGLETRANSLATE(B1213,""id"",""en"")"),"['Disappointed', 'notification', 'quota', 'run out', 'pulse', 'run out', 'left', 'rating', 'fix', 'comment', 'responded']")</f>
        <v>['Disappointed', 'notification', 'quota', 'run out', 'pulse', 'run out', 'left', 'rating', 'fix', 'comment', 'responded']</v>
      </c>
      <c r="D1213" s="3">
        <v>1.0</v>
      </c>
    </row>
    <row r="1214" ht="15.75" customHeight="1">
      <c r="A1214" s="1">
        <v>1212.0</v>
      </c>
      <c r="B1214" s="3" t="s">
        <v>1215</v>
      </c>
      <c r="C1214" s="3" t="str">
        <f>IFERROR(__xludf.DUMMYFUNCTION("GOOGLETRANSLATE(B1214,""id"",""en"")"),"['Plissssssssssss',' please ',' card ',' telephone ',' expensive ',' missing ',' his net ',' please ',' expensive ',' little ',' kaga ',' daddy ',' The network ',' fasting ',' Lag ',' Severe ',' Play ',' Game ',' Current ',' Lag ',' Forgiveness', ""]")</f>
        <v>['Plissssssssssss',' please ',' card ',' telephone ',' expensive ',' missing ',' his net ',' please ',' expensive ',' little ',' kaga ',' daddy ',' The network ',' fasting ',' Lag ',' Severe ',' Play ',' Game ',' Current ',' Lag ',' Forgiveness', "]</v>
      </c>
      <c r="D1214" s="3">
        <v>1.0</v>
      </c>
    </row>
    <row r="1215" ht="15.75" customHeight="1">
      <c r="A1215" s="1">
        <v>1213.0</v>
      </c>
      <c r="B1215" s="3" t="s">
        <v>1216</v>
      </c>
      <c r="C1215" s="3" t="str">
        <f>IFERROR(__xludf.DUMMYFUNCTION("GOOGLETRANSLATE(B1215,""id"",""en"")"),"['', 'warning', 'quota', 'run out', 'sucked', 'pulse', 'regular', 'pulse', 'regular', 'run out', 'warning', 'access',' internet ',' Wear ',' pulse ',' regular ',' package ',' internet ']")</f>
        <v>['', 'warning', 'quota', 'run out', 'sucked', 'pulse', 'regular', 'pulse', 'regular', 'run out', 'warning', 'access',' internet ',' Wear ',' pulse ',' regular ',' package ',' internet ']</v>
      </c>
      <c r="D1215" s="3">
        <v>2.0</v>
      </c>
    </row>
    <row r="1216" ht="15.75" customHeight="1">
      <c r="A1216" s="1">
        <v>1214.0</v>
      </c>
      <c r="B1216" s="3" t="s">
        <v>1217</v>
      </c>
      <c r="C1216" s="3" t="str">
        <f>IFERROR(__xludf.DUMMYFUNCTION("GOOGLETRANSLATE(B1216,""id"",""en"")"),"['Nge', 'Leg', 'play', 'game', 'bales',' really ',' copy ',' paste ',' person ',' person ',' intention ',' intention ',' Written ',' solutif ',' ']")</f>
        <v>['Nge', 'Leg', 'play', 'game', 'bales',' really ',' copy ',' paste ',' person ',' person ',' intention ',' intention ',' Written ',' solutif ',' ']</v>
      </c>
      <c r="D1216" s="3">
        <v>1.0</v>
      </c>
    </row>
    <row r="1217" ht="15.75" customHeight="1">
      <c r="A1217" s="1">
        <v>1215.0</v>
      </c>
      <c r="B1217" s="3" t="s">
        <v>1218</v>
      </c>
      <c r="C1217" s="3" t="str">
        <f>IFERROR(__xludf.DUMMYFUNCTION("GOOGLETRANSLATE(B1217,""id"",""en"")"),"['What', 'lust', 'play', 'game', 'lost', 'Gara', 'Group', 'Threat', 'Problems',' Garena ',' FreeFire ',' resolved ',' times', 'meet', 'enemy', 'network', 'Stabill', 'please', 'Lahh', 'response', ""]")</f>
        <v>['What', 'lust', 'play', 'game', 'lost', 'Gara', 'Group', 'Threat', 'Problems',' Garena ',' FreeFire ',' resolved ',' times', 'meet', 'enemy', 'network', 'Stabill', 'please', 'Lahh', 'response', "]</v>
      </c>
      <c r="D1217" s="3">
        <v>1.0</v>
      </c>
    </row>
    <row r="1218" ht="15.75" customHeight="1">
      <c r="A1218" s="1">
        <v>1216.0</v>
      </c>
      <c r="B1218" s="3" t="s">
        <v>1219</v>
      </c>
      <c r="C1218" s="3" t="str">
        <f>IFERROR(__xludf.DUMMYFUNCTION("GOOGLETRANSLATE(B1218,""id"",""en"")"),"['OPrator', 'Sinyal', 'JLEK', 'PAKEK', 'Card', 'Card', 'Dri', 'TPI', 'UDH', 'Kyk', 'Card', 'Cheap', ' the signal ',' Kek ',' card ',' cheap ']")</f>
        <v>['OPrator', 'Sinyal', 'JLEK', 'PAKEK', 'Card', 'Card', 'Dri', 'TPI', 'UDH', 'Kyk', 'Card', 'Cheap', ' the signal ',' Kek ',' card ',' cheap ']</v>
      </c>
      <c r="D1218" s="3">
        <v>1.0</v>
      </c>
    </row>
    <row r="1219" ht="15.75" customHeight="1">
      <c r="A1219" s="1">
        <v>1217.0</v>
      </c>
      <c r="B1219" s="3" t="s">
        <v>1220</v>
      </c>
      <c r="C1219" s="3" t="str">
        <f>IFERROR(__xludf.DUMMYFUNCTION("GOOGLETRANSLATE(B1219,""id"",""en"")"),"['Please', 'min', 'signal', 'telkom', 'sukabumi', 'ugly', 'really', 'signal', 'min', 'ska', 'good', 'TPI', ' his signal ',' ugly ',' mulu ',' data ',' decent ',' cave ',' package ',' unlimax ',' try ',' please ',' fix ',' signal ',' area ' , 'Sukabumi', '"&amp;"Thanks', 'Min', ""]")</f>
        <v>['Please', 'min', 'signal', 'telkom', 'sukabumi', 'ugly', 'really', 'signal', 'min', 'ska', 'good', 'TPI', ' his signal ',' ugly ',' mulu ',' data ',' decent ',' cave ',' package ',' unlimax ',' try ',' please ',' fix ',' signal ',' area ' , 'Sukabumi', 'Thanks', 'Min', "]</v>
      </c>
      <c r="D1219" s="3">
        <v>1.0</v>
      </c>
    </row>
    <row r="1220" ht="15.75" customHeight="1">
      <c r="A1220" s="1">
        <v>1218.0</v>
      </c>
      <c r="B1220" s="3" t="s">
        <v>1221</v>
      </c>
      <c r="C1220" s="3" t="str">
        <f>IFERROR(__xludf.DUMMYFUNCTION("GOOGLETRANSLATE(B1220,""id"",""en"")"),"['Telkomsel', 'signal', 'bad', 'open', 'internet', 'slow', 'error', 'package', 'internet', 'expensive', 'change', 'replace', ' card', '']")</f>
        <v>['Telkomsel', 'signal', 'bad', 'open', 'internet', 'slow', 'error', 'package', 'internet', 'expensive', 'change', 'replace', ' card', '']</v>
      </c>
      <c r="D1220" s="3">
        <v>1.0</v>
      </c>
    </row>
    <row r="1221" ht="15.75" customHeight="1">
      <c r="A1221" s="1">
        <v>1219.0</v>
      </c>
      <c r="B1221" s="3" t="s">
        <v>1222</v>
      </c>
      <c r="C1221" s="3" t="str">
        <f>IFERROR(__xludf.DUMMYFUNCTION("GOOGLETRANSLATE(B1221,""id"",""en"")"),"['Network', 'Full', 'in the region', 'village', 'Sampuabalo', 'sub-district', 'siotapina', 'district', 'buton', 'prop', 'sul', 'tra', ' Quality ',' network ',' internet ',' bad ',' Please ',' Telkomsel ',' pay attention ',' condition ',' diplomas', 'stude"&amp;"nt', 'based', 'online' , 'Business', 'Sales', 'Online', 'Thank you', 'Telkomsel']")</f>
        <v>['Network', 'Full', 'in the region', 'village', 'Sampuabalo', 'sub-district', 'siotapina', 'district', 'buton', 'prop', 'sul', 'tra', ' Quality ',' network ',' internet ',' bad ',' Please ',' Telkomsel ',' pay attention ',' condition ',' diplomas', 'student', 'based', 'online' , 'Business', 'Sales', 'Online', 'Thank you', 'Telkomsel']</v>
      </c>
      <c r="D1221" s="3">
        <v>1.0</v>
      </c>
    </row>
    <row r="1222" ht="15.75" customHeight="1">
      <c r="A1222" s="1">
        <v>1220.0</v>
      </c>
      <c r="B1222" s="3" t="s">
        <v>1223</v>
      </c>
      <c r="C1222" s="3" t="str">
        <f>IFERROR(__xludf.DUMMYFUNCTION("GOOGLETRANSLATE(B1222,""id"",""en"")"),"['Telkomsel', 'Bagus',' disappointing ',' signal ',' network ',' slow ',' stable ',' play ',' game ',' youtuban ',' just ',' open ',' Loading ',' Forgiveness', 'Choice', 'Star', 'Bintang', 'None', 'Provider', 'Really', 'Disappointed', 'Thank you']")</f>
        <v>['Telkomsel', 'Bagus',' disappointing ',' signal ',' network ',' slow ',' stable ',' play ',' game ',' youtuban ',' just ',' open ',' Loading ',' Forgiveness', 'Choice', 'Star', 'Bintang', 'None', 'Provider', 'Really', 'Disappointed', 'Thank you']</v>
      </c>
      <c r="D1222" s="3">
        <v>1.0</v>
      </c>
    </row>
    <row r="1223" ht="15.75" customHeight="1">
      <c r="A1223" s="1">
        <v>1221.0</v>
      </c>
      <c r="B1223" s="3" t="s">
        <v>1224</v>
      </c>
      <c r="C1223" s="3" t="str">
        <f>IFERROR(__xludf.DUMMYFUNCTION("GOOGLETRANSLATE(B1223,""id"",""en"")"),"['Skk', 'Please', 'Cepet', 'Benerin', 'Signal', 'Ngeegame', 'Buy', 'Quota', 'Gabisa', 'Login', 'Search', 'Game', ' TPI ',' org ',' make ',' TSL ',' enter ',' smooth ',' please ',' really ',' deh ',' udh ',' trs', 'gabisa', 'ngeegame' ]")</f>
        <v>['Skk', 'Please', 'Cepet', 'Benerin', 'Signal', 'Ngeegame', 'Buy', 'Quota', 'Gabisa', 'Login', 'Search', 'Game', ' TPI ',' org ',' make ',' TSL ',' enter ',' smooth ',' please ',' really ',' deh ',' udh ',' trs', 'gabisa', 'ngeegame' ]</v>
      </c>
      <c r="D1223" s="3">
        <v>5.0</v>
      </c>
    </row>
    <row r="1224" ht="15.75" customHeight="1">
      <c r="A1224" s="1">
        <v>1222.0</v>
      </c>
      <c r="B1224" s="3" t="s">
        <v>1225</v>
      </c>
      <c r="C1224" s="3" t="str">
        <f>IFERROR(__xludf.DUMMYFUNCTION("GOOGLETRANSLATE(B1224,""id"",""en"")"),"['update', 'update', 'network', 'fix', 'play', 'game', 'difficult', 'quota', 'as a message', 'network', 'busy', 'please', ' Donk ',' fix ',' price ',' package ',' sky ',' signal ',' jlk ']")</f>
        <v>['update', 'update', 'network', 'fix', 'play', 'game', 'difficult', 'quota', 'as a message', 'network', 'busy', 'please', ' Donk ',' fix ',' price ',' package ',' sky ',' signal ',' jlk ']</v>
      </c>
      <c r="D1224" s="3">
        <v>1.0</v>
      </c>
    </row>
    <row r="1225" ht="15.75" customHeight="1">
      <c r="A1225" s="1">
        <v>1223.0</v>
      </c>
      <c r="B1225" s="3" t="s">
        <v>1226</v>
      </c>
      <c r="C1225" s="3" t="str">
        <f>IFERROR(__xludf.DUMMYFUNCTION("GOOGLETRANSLATE(B1225,""id"",""en"")"),"['Telkom', 'Ngelag', 'The network', 'TPI', 'Open', 'ICT', 'Tok', 'Game', 'Ngelag', 'Disruption', 'Min', 'Please', ' improve ',' because ',' satisfied ',' because 'Relog', 'many times', 'times', 'ngelag', 'worse', 'ngelag', 'play', 'game', 'sick' , 'love',"&amp;" 'star', 'dlu', 'network', 'UDH', 'setabilia', 'love', 'star', 'thank you', 'min']")</f>
        <v>['Telkom', 'Ngelag', 'The network', 'TPI', 'Open', 'ICT', 'Tok', 'Game', 'Ngelag', 'Disruption', 'Min', 'Please', ' improve ',' because ',' satisfied ',' because 'Relog', 'many times', 'times', 'ngelag', 'worse', 'ngelag', 'play', 'game', 'sick' , 'love', 'star', 'dlu', 'network', 'UDH', 'setabilia', 'love', 'star', 'thank you', 'min']</v>
      </c>
      <c r="D1225" s="3">
        <v>1.0</v>
      </c>
    </row>
    <row r="1226" ht="15.75" customHeight="1">
      <c r="A1226" s="1">
        <v>1224.0</v>
      </c>
      <c r="B1226" s="3" t="s">
        <v>1227</v>
      </c>
      <c r="C1226" s="3" t="str">
        <f>IFERROR(__xludf.DUMMYFUNCTION("GOOGLETRANSLATE(B1226,""id"",""en"")"),"['Teuna', 'Telkomsel', 'Disappointed', 'Telkomsel', 'Main', 'Game', 'Online', 'Signal', 'Bad', 'Quota', 'Expensive', 'Expensive', ' Please ',' Fix ',' Sousal ',' Kalok ',' Gini ',' Cave ',' Change ',' Card ',' Quota ',' Price ',' Collapin ',' Look ',' Sea"&amp;"rch ' , 'money', 'difficult']")</f>
        <v>['Teuna', 'Telkomsel', 'Disappointed', 'Telkomsel', 'Main', 'Game', 'Online', 'Signal', 'Bad', 'Quota', 'Expensive', 'Expensive', ' Please ',' Fix ',' Sousal ',' Kalok ',' Gini ',' Cave ',' Change ',' Card ',' Quota ',' Price ',' Collapin ',' Look ',' Search ' , 'money', 'difficult']</v>
      </c>
      <c r="D1226" s="3">
        <v>1.0</v>
      </c>
    </row>
    <row r="1227" ht="15.75" customHeight="1">
      <c r="A1227" s="1">
        <v>1225.0</v>
      </c>
      <c r="B1227" s="3" t="s">
        <v>1228</v>
      </c>
      <c r="C1227" s="3" t="str">
        <f>IFERROR(__xludf.DUMMYFUNCTION("GOOGLETRANSLATE(B1227,""id"",""en"")"),"['Star', 'entry', 'how', 'ngasik', 'sampean', 'entry', 'application', 'telkomsel', 'how', 'contact', 'please', 'fix', ' ']")</f>
        <v>['Star', 'entry', 'how', 'ngasik', 'sampean', 'entry', 'application', 'telkomsel', 'how', 'contact', 'please', 'fix', ' ']</v>
      </c>
      <c r="D1227" s="3">
        <v>1.0</v>
      </c>
    </row>
    <row r="1228" ht="15.75" customHeight="1">
      <c r="A1228" s="1">
        <v>1226.0</v>
      </c>
      <c r="B1228" s="3" t="s">
        <v>1229</v>
      </c>
      <c r="C1228" s="3" t="str">
        <f>IFERROR(__xludf.DUMMYFUNCTION("GOOGLETRANSLATE(B1228,""id"",""en"")"),"['Allo', 'Sis',' Delay ',' Very ',' Purchase ',' Package ',' Telkomsel ',' buy ',' directly ',' enter ',' TPI ',' Delay ',' ']")</f>
        <v>['Allo', 'Sis',' Delay ',' Very ',' Purchase ',' Package ',' Telkomsel ',' buy ',' directly ',' enter ',' TPI ',' Delay ',' ']</v>
      </c>
      <c r="D1228" s="3">
        <v>1.0</v>
      </c>
    </row>
    <row r="1229" ht="15.75" customHeight="1">
      <c r="A1229" s="1">
        <v>1227.0</v>
      </c>
      <c r="B1229" s="3" t="s">
        <v>1230</v>
      </c>
      <c r="C1229" s="3" t="str">
        <f>IFERROR(__xludf.DUMMYFUNCTION("GOOGLETRANSLATE(B1229,""id"",""en"")"),"['fun', 'card', 'Telkomsel', 'leaving it', 'serrated', 'to get' 'card', 'network', 'bad', 'performance', 'professional', ""]")</f>
        <v>['fun', 'card', 'Telkomsel', 'leaving it', 'serrated', 'to get' 'card', 'network', 'bad', 'performance', 'professional', "]</v>
      </c>
      <c r="D1229" s="3">
        <v>1.0</v>
      </c>
    </row>
    <row r="1230" ht="15.75" customHeight="1">
      <c r="A1230" s="1">
        <v>1228.0</v>
      </c>
      <c r="B1230" s="3" t="s">
        <v>1231</v>
      </c>
      <c r="C1230" s="3" t="str">
        <f>IFERROR(__xludf.DUMMYFUNCTION("GOOGLETRANSLATE(B1230,""id"",""en"")"),"['woi', 'notice', 'kouta', 'stay', 'little', 'effective', 'kada', 'sometimes',' no ',' deliberate ',' gmn ',' pulse ',' I ',' Suck ',' Telkomsel ',' I ',' Telkomsel ',' UDH ',' THN ',' GUE ',' MOVEMENT ',' OPERATOR ',' RICH ',' GINI ']")</f>
        <v>['woi', 'notice', 'kouta', 'stay', 'little', 'effective', 'kada', 'sometimes',' no ',' deliberate ',' gmn ',' pulse ',' I ',' Suck ',' Telkomsel ',' I ',' Telkomsel ',' UDH ',' THN ',' GUE ',' MOVEMENT ',' OPERATOR ',' RICH ',' GINI ']</v>
      </c>
      <c r="D1230" s="3">
        <v>1.0</v>
      </c>
    </row>
    <row r="1231" ht="15.75" customHeight="1">
      <c r="A1231" s="1">
        <v>1229.0</v>
      </c>
      <c r="B1231" s="3" t="s">
        <v>1232</v>
      </c>
      <c r="C1231" s="3" t="str">
        <f>IFERROR(__xludf.DUMMYFUNCTION("GOOGLETRANSLATE(B1231,""id"",""en"")"),"['application', 'good', 'makes it easier', 'kostumer', 'fill out', 'balance', 'purchase', 'kouta', 'thank', 'love', 'Telkomsel', 'hope', ' BIA ',' DoorPrize ',' Motor ',' Motor ',' Study ',' ']")</f>
        <v>['application', 'good', 'makes it easier', 'kostumer', 'fill out', 'balance', 'purchase', 'kouta', 'thank', 'love', 'Telkomsel', 'hope', ' BIA ',' DoorPrize ',' Motor ',' Motor ',' Study ',' ']</v>
      </c>
      <c r="D1231" s="3">
        <v>5.0</v>
      </c>
    </row>
    <row r="1232" ht="15.75" customHeight="1">
      <c r="A1232" s="1">
        <v>1230.0</v>
      </c>
      <c r="B1232" s="3" t="s">
        <v>1233</v>
      </c>
      <c r="C1232" s="3" t="str">
        <f>IFERROR(__xludf.DUMMYFUNCTION("GOOGLETRANSLATE(B1232,""id"",""en"")"),"['Thank you', 'Telkomsel', 'already', 'Win', 'Times',' Lottery ',' Telkomsel ',' Points', 'Toyota', 'Yaris',' Mercedes', 'Benz', ' Come on ',' Hurry ',' Download ',' Application ',' Recommendation ',' BNGET ',' Lucky ',' Hoaxs']")</f>
        <v>['Thank you', 'Telkomsel', 'already', 'Win', 'Times',' Lottery ',' Telkomsel ',' Points', 'Toyota', 'Yaris',' Mercedes', 'Benz', ' Come on ',' Hurry ',' Download ',' Application ',' Recommendation ',' BNGET ',' Lucky ',' Hoaxs']</v>
      </c>
      <c r="D1232" s="3">
        <v>5.0</v>
      </c>
    </row>
    <row r="1233" ht="15.75" customHeight="1">
      <c r="A1233" s="1">
        <v>1231.0</v>
      </c>
      <c r="B1233" s="3" t="s">
        <v>1234</v>
      </c>
      <c r="C1233" s="3" t="str">
        <f>IFERROR(__xludf.DUMMYFUNCTION("GOOGLETRANSLATE(B1233,""id"",""en"")"),"['application', 'error', 'signal', 'error', 'signal', 'please', 'fix', 'comfort', 'user', 'dear', 'Telkomsel', 'right', ' Open ',' apk ',' connection ',' stable ',' right ',' open ',' sosmed ',' smooth ',' should ',' stop ',' subscribe ', ""]")</f>
        <v>['application', 'error', 'signal', 'error', 'signal', 'please', 'fix', 'comfort', 'user', 'dear', 'Telkomsel', 'right', ' Open ',' apk ',' connection ',' stable ',' right ',' open ',' sosmed ',' smooth ',' should ',' stop ',' subscribe ', "]</v>
      </c>
      <c r="D1233" s="3">
        <v>1.0</v>
      </c>
    </row>
    <row r="1234" ht="15.75" customHeight="1">
      <c r="A1234" s="1">
        <v>1232.0</v>
      </c>
      <c r="B1234" s="3" t="s">
        <v>1235</v>
      </c>
      <c r="C1234" s="3" t="str">
        <f>IFERROR(__xludf.DUMMYFUNCTION("GOOGLETRANSLATE(B1234,""id"",""en"")"),"['Severe', 'really', 'Telkomsel', 'already', 'Taun', 'threat', 'network', 'internet', 'mainstay', 'internet', 'Telkomsel', 'rubbish', ' Please, 'Fix', 'Kampung', 'flagship', 'Telkomsel', 'Move', 'Telkomsel', 'forward', 'Severe', 'slow', 'slow', ""]")</f>
        <v>['Severe', 'really', 'Telkomsel', 'already', 'Taun', 'threat', 'network', 'internet', 'mainstay', 'internet', 'Telkomsel', 'rubbish', ' Please, 'Fix', 'Kampung', 'flagship', 'Telkomsel', 'Move', 'Telkomsel', 'forward', 'Severe', 'slow', 'slow', "]</v>
      </c>
      <c r="D1234" s="3">
        <v>1.0</v>
      </c>
    </row>
    <row r="1235" ht="15.75" customHeight="1">
      <c r="A1235" s="1">
        <v>1233.0</v>
      </c>
      <c r="B1235" s="3" t="s">
        <v>1236</v>
      </c>
      <c r="C1235" s="3" t="str">
        <f>IFERROR(__xludf.DUMMYFUNCTION("GOOGLETRANSLATE(B1235,""id"",""en"")"),"['Satisfying', 'Hopefully', 'Points', 'wasted', 'Join', 'Win', 'Hopefully', 'Lebaran', 'Car', 'Amin', 'Allahhumma', 'Ammin']")</f>
        <v>['Satisfying', 'Hopefully', 'Points', 'wasted', 'Join', 'Win', 'Hopefully', 'Lebaran', 'Car', 'Amin', 'Allahhumma', 'Ammin']</v>
      </c>
      <c r="D1235" s="3">
        <v>5.0</v>
      </c>
    </row>
    <row r="1236" ht="15.75" customHeight="1">
      <c r="A1236" s="1">
        <v>1234.0</v>
      </c>
      <c r="B1236" s="3" t="s">
        <v>1237</v>
      </c>
      <c r="C1236" s="3" t="str">
        <f>IFERROR(__xludf.DUMMYFUNCTION("GOOGLETRANSLATE(B1236,""id"",""en"")"),"['pulse', 'buy', 'package', 'thousand', 'unlimited', 'soschat', 'games',' music ',' tiktok ',' writing ',' sorry ',' disorder ',' system ',' fix ']")</f>
        <v>['pulse', 'buy', 'package', 'thousand', 'unlimited', 'soschat', 'games',' music ',' tiktok ',' writing ',' sorry ',' disorder ',' system ',' fix ']</v>
      </c>
      <c r="D1236" s="3">
        <v>1.0</v>
      </c>
    </row>
    <row r="1237" ht="15.75" customHeight="1">
      <c r="A1237" s="1">
        <v>1235.0</v>
      </c>
      <c r="B1237" s="3" t="s">
        <v>1238</v>
      </c>
      <c r="C1237" s="3" t="str">
        <f>IFERROR(__xludf.DUMMYFUNCTION("GOOGLETRANSLATE(B1237,""id"",""en"")"),"['application', 'MyTelkomsel', 'really', 'log', 'out', 'difficult', 'check', 'pulse', 'quota', 'apk', 'mytelkomsel', 'please' Fix ',' Thank "", 'Love',""]")</f>
        <v>['application', 'MyTelkomsel', 'really', 'log', 'out', 'difficult', 'check', 'pulse', 'quota', 'apk', 'mytelkomsel', 'please' Fix ',' Thank ", 'Love',"]</v>
      </c>
      <c r="D1237" s="3">
        <v>1.0</v>
      </c>
    </row>
    <row r="1238" ht="15.75" customHeight="1">
      <c r="A1238" s="1">
        <v>1236.0</v>
      </c>
      <c r="B1238" s="3" t="s">
        <v>1239</v>
      </c>
      <c r="C1238" s="3" t="str">
        <f>IFERROR(__xludf.DUMMYFUNCTION("GOOGLETRANSLATE(B1238,""id"",""en"")"),"['Sarannnnn', 'quota', 'run out', 'buy', 'quota', 'please', 'quota', 'used', ""]")</f>
        <v>['Sarannnnn', 'quota', 'run out', 'buy', 'quota', 'please', 'quota', 'used', "]</v>
      </c>
      <c r="D1238" s="3">
        <v>4.0</v>
      </c>
    </row>
    <row r="1239" ht="15.75" customHeight="1">
      <c r="A1239" s="1">
        <v>1237.0</v>
      </c>
      <c r="B1239" s="3" t="s">
        <v>1240</v>
      </c>
      <c r="C1239" s="3" t="str">
        <f>IFERROR(__xludf.DUMMYFUNCTION("GOOGLETRANSLATE(B1239,""id"",""en"")"),"['Telkomsel', 'Asked', 'Posts',' Unstable ',' Connection ',' Reload ',' Reload ',' Reload ',' Many ',' Tired ',' Network ',' Full ',' Sometimes', 'already', 'use', 'wifi', 'please', 'repair', '']")</f>
        <v>['Telkomsel', 'Asked', 'Posts',' Unstable ',' Connection ',' Reload ',' Reload ',' Reload ',' Many ',' Tired ',' Network ',' Full ',' Sometimes', 'already', 'use', 'wifi', 'please', 'repair', '']</v>
      </c>
      <c r="D1239" s="3">
        <v>2.0</v>
      </c>
    </row>
    <row r="1240" ht="15.75" customHeight="1">
      <c r="A1240" s="1">
        <v>1238.0</v>
      </c>
      <c r="B1240" s="3" t="s">
        <v>1241</v>
      </c>
      <c r="C1240" s="3" t="str">
        <f>IFERROR(__xludf.DUMMYFUNCTION("GOOGLETRANSLATE(B1240,""id"",""en"")"),"['here', 'buy', 'package', 'quota', 'expensive', 'different', 'operator', 'next door', 'package', 'quota', 'verytttt', 'affordable', ' among ',' community ',' sorry ',' customers', 'Telkomsel', 'comfortable', 'As',' price ',' buy ',' package ',' expensive"&amp;" ',' move ',' operator ' , 'Next', 'Please', 'Customer', 'blur', 'Switch', 'Operator', 'Trusted', 'Cheap', 'Terimakadih', ""]")</f>
        <v>['here', 'buy', 'package', 'quota', 'expensive', 'different', 'operator', 'next door', 'package', 'quota', 'verytttt', 'affordable', ' among ',' community ',' sorry ',' customers', 'Telkomsel', 'comfortable', 'As',' price ',' buy ',' package ',' expensive ',' move ',' operator ' , 'Next', 'Please', 'Customer', 'blur', 'Switch', 'Operator', 'Trusted', 'Cheap', 'Terimakadih', "]</v>
      </c>
      <c r="D1240" s="3">
        <v>1.0</v>
      </c>
    </row>
    <row r="1241" ht="15.75" customHeight="1">
      <c r="A1241" s="1">
        <v>1239.0</v>
      </c>
      <c r="B1241" s="3" t="s">
        <v>1242</v>
      </c>
      <c r="C1241" s="3" t="str">
        <f>IFERROR(__xludf.DUMMYFUNCTION("GOOGLETRANSLATE(B1241,""id"",""en"")"),"['Alhamdulillah', 'users',' Telkomsel ',' package ',' cheap ',' cheap ',' really ',' spit ',' package ',' GB ',' expenditure ',' per month ',' Buy ',' Package ',' Telkomsel ',' cheap ',' really ',' grateful ',' know ',' Telkomsel ']")</f>
        <v>['Alhamdulillah', 'users',' Telkomsel ',' package ',' cheap ',' cheap ',' really ',' spit ',' package ',' GB ',' expenditure ',' per month ',' Buy ',' Package ',' Telkomsel ',' cheap ',' really ',' grateful ',' know ',' Telkomsel ']</v>
      </c>
      <c r="D1241" s="3">
        <v>5.0</v>
      </c>
    </row>
    <row r="1242" ht="15.75" customHeight="1">
      <c r="A1242" s="1">
        <v>1240.0</v>
      </c>
      <c r="B1242" s="3" t="s">
        <v>1243</v>
      </c>
      <c r="C1242" s="3" t="str">
        <f>IFERROR(__xludf.DUMMYFUNCTION("GOOGLETRANSLATE(B1242,""id"",""en"")"),"['Telkomsel', 'disappointing', 'system', 'busy', 'already', 'expensive', 'system', 'busy', 'then', 'entered', 'voucher', 'system', ' Busy ',' disappointing ',' Severe ',' ']")</f>
        <v>['Telkomsel', 'disappointing', 'system', 'busy', 'already', 'expensive', 'system', 'busy', 'then', 'entered', 'voucher', 'system', ' Busy ',' disappointing ',' Severe ',' ']</v>
      </c>
      <c r="D1242" s="3">
        <v>1.0</v>
      </c>
    </row>
    <row r="1243" ht="15.75" customHeight="1">
      <c r="A1243" s="1">
        <v>1241.0</v>
      </c>
      <c r="B1243" s="3" t="s">
        <v>1244</v>
      </c>
      <c r="C1243" s="3" t="str">
        <f>IFERROR(__xludf.DUMMYFUNCTION("GOOGLETRANSLATE(B1243,""id"",""en"")"),"['use', 'card', 'Telkomsel', 'already', 'yrs',' customer ',' service ',' disappointing ',' package ',' expensive ',' customer ',' enjoy ',' rows', 'packages',' cheap ',' profit ',' card ',' use ',' card ',' telponan ',' makai ',' network ',' internet ',' "&amp;"']")</f>
        <v>['use', 'card', 'Telkomsel', 'already', 'yrs',' customer ',' service ',' disappointing ',' package ',' expensive ',' customer ',' enjoy ',' rows', 'packages',' cheap ',' profit ',' card ',' use ',' card ',' telponan ',' makai ',' network ',' internet ',' ']</v>
      </c>
      <c r="D1243" s="3">
        <v>1.0</v>
      </c>
    </row>
    <row r="1244" ht="15.75" customHeight="1">
      <c r="A1244" s="1">
        <v>1242.0</v>
      </c>
      <c r="B1244" s="3" t="s">
        <v>1245</v>
      </c>
      <c r="C1244" s="3" t="str">
        <f>IFERROR(__xludf.DUMMYFUNCTION("GOOGLETRANSLATE(B1244,""id"",""en"")"),"['Customer', 'Telkomsel', 'already', 'ksini', 'signal', 'stable', 'easier', 'troublesome', 'work', 'disappointed', 'network', ""]")</f>
        <v>['Customer', 'Telkomsel', 'already', 'ksini', 'signal', 'stable', 'easier', 'troublesome', 'work', 'disappointed', 'network', "]</v>
      </c>
      <c r="D1244" s="3">
        <v>1.0</v>
      </c>
    </row>
    <row r="1245" ht="15.75" customHeight="1">
      <c r="A1245" s="1">
        <v>1243.0</v>
      </c>
      <c r="B1245" s="3" t="s">
        <v>1246</v>
      </c>
      <c r="C1245" s="3" t="str">
        <f>IFERROR(__xludf.DUMMYFUNCTION("GOOGLETRANSLATE(B1245,""id"",""en"")"),"['App', 'good', 'yesterday', 'buy', 'package', 'enter', 'already', 'keelel', 'package', 'enter', 'pulses',' lose ',' Telkomsel ',' Please ',' Fix ',' Sangat ',' Disturbed ',' Okay ',' Okay ',' TTD ',' Package ',' GB ',' Discount ',' ']")</f>
        <v>['App', 'good', 'yesterday', 'buy', 'package', 'enter', 'already', 'keelel', 'package', 'enter', 'pulses',' lose ',' Telkomsel ',' Please ',' Fix ',' Sangat ',' Disturbed ',' Okay ',' Okay ',' TTD ',' Package ',' GB ',' Discount ',' ']</v>
      </c>
      <c r="D1245" s="3">
        <v>3.0</v>
      </c>
    </row>
    <row r="1246" ht="15.75" customHeight="1">
      <c r="A1246" s="1">
        <v>1244.0</v>
      </c>
      <c r="B1246" s="3" t="s">
        <v>1247</v>
      </c>
      <c r="C1246" s="3" t="str">
        <f>IFERROR(__xludf.DUMMYFUNCTION("GOOGLETRANSLATE(B1246,""id"",""en"")"),"['', 'right', 'Telkomsel', 'slow', 'telephone', 'operator', 'operator', 'temple', 'hear', 'fraudster', 'suck', 'pulses',' doang ',' service ',' satisfying ']")</f>
        <v>['', 'right', 'Telkomsel', 'slow', 'telephone', 'operator', 'operator', 'temple', 'hear', 'fraudster', 'suck', 'pulses',' doang ',' service ',' satisfying ']</v>
      </c>
      <c r="D1246" s="3">
        <v>1.0</v>
      </c>
    </row>
    <row r="1247" ht="15.75" customHeight="1">
      <c r="A1247" s="1">
        <v>1245.0</v>
      </c>
      <c r="B1247" s="3" t="s">
        <v>1248</v>
      </c>
      <c r="C1247" s="3" t="str">
        <f>IFERROR(__xludf.DUMMYFUNCTION("GOOGLETRANSLATE(B1247,""id"",""en"")"),"['Price', 'Quality', 'Preeeettttttt', 'Package', 'Swadaya', 'Originally', 'Purchased', 'Package', 'Bought', 'Buy', 'Package', ' Thinking ',' Thinking ',' DLU ',' Peace ',' Quality ',' Network ',' Parahhh ',' Mending ',' Package ',' Next to ',' Promo ',' Q"&amp;"uality ',' Network ' , 'according to', 'price', 'BENR', 'BENR', 'already', 'expensive', 'network', 'parahhh', ""]")</f>
        <v>['Price', 'Quality', 'Preeeettttttt', 'Package', 'Swadaya', 'Originally', 'Purchased', 'Package', 'Bought', 'Buy', 'Package', ' Thinking ',' Thinking ',' DLU ',' Peace ',' Quality ',' Network ',' Parahhh ',' Mending ',' Package ',' Next to ',' Promo ',' Quality ',' Network ' , 'according to', 'price', 'BENR', 'BENR', 'already', 'expensive', 'network', 'parahhh', "]</v>
      </c>
      <c r="D1247" s="3">
        <v>1.0</v>
      </c>
    </row>
    <row r="1248" ht="15.75" customHeight="1">
      <c r="A1248" s="1">
        <v>1246.0</v>
      </c>
      <c r="B1248" s="3" t="s">
        <v>1249</v>
      </c>
      <c r="C1248" s="3" t="str">
        <f>IFERROR(__xludf.DUMMYFUNCTION("GOOGLETRANSLATE(B1248,""id"",""en"")"),"['times',' disappointed ',' transaction ',' Tlkomsel ',' managed ',' buy ',' package ',' internet ',' package ',' blm ',' as a result ',' pulse ',' truncated ',' RB ',' BBRAPA ',' second ']")</f>
        <v>['times',' disappointed ',' transaction ',' Tlkomsel ',' managed ',' buy ',' package ',' internet ',' package ',' blm ',' as a result ',' pulse ',' truncated ',' RB ',' BBRAPA ',' second ']</v>
      </c>
      <c r="D1248" s="3">
        <v>1.0</v>
      </c>
    </row>
    <row r="1249" ht="15.75" customHeight="1">
      <c r="A1249" s="1">
        <v>1247.0</v>
      </c>
      <c r="B1249" s="3" t="s">
        <v>1250</v>
      </c>
      <c r="C1249" s="3" t="str">
        <f>IFERROR(__xludf.DUMMYFUNCTION("GOOGLETRANSLATE(B1249,""id"",""en"")"),"['', 'The network', 'stable', 'Please', 'repaired', 'users', 'Telkomsel', 'Satisfied', 'Please', 'fix', 'connection', 'the network', "" ]")</f>
        <v>['', 'The network', 'stable', 'Please', 'repaired', 'users', 'Telkomsel', 'Satisfied', 'Please', 'fix', 'connection', 'the network', " ]</v>
      </c>
      <c r="D1249" s="3">
        <v>2.0</v>
      </c>
    </row>
    <row r="1250" ht="15.75" customHeight="1">
      <c r="A1250" s="1">
        <v>1248.0</v>
      </c>
      <c r="B1250" s="3" t="s">
        <v>1251</v>
      </c>
      <c r="C1250" s="3" t="str">
        <f>IFERROR(__xludf.DUMMYFUNCTION("GOOGLETRANSLATE(B1250,""id"",""en"")"),"['Check', 'quota', 'pulse', 'problem', 'quota', 'credit', 'card', 'SIM', 'solve', 'NGK', 'Grafari', ""]")</f>
        <v>['Check', 'quota', 'pulse', 'problem', 'quota', 'credit', 'card', 'SIM', 'solve', 'NGK', 'Grafari', "]</v>
      </c>
      <c r="D1250" s="3">
        <v>4.0</v>
      </c>
    </row>
    <row r="1251" ht="15.75" customHeight="1">
      <c r="A1251" s="1">
        <v>1249.0</v>
      </c>
      <c r="B1251" s="3" t="s">
        <v>1252</v>
      </c>
      <c r="C1251" s="3" t="str">
        <f>IFERROR(__xludf.DUMMYFUNCTION("GOOGLETRANSLATE(B1251,""id"",""en"")"),"['Use', 'Card', 'Telkomsel', 'The network', 'Constraints', 'Puaaaas', 'Thank "",' Love ',' Telkomsel ',' Increases ',' Service ',' The Network ',' ']")</f>
        <v>['Use', 'Card', 'Telkomsel', 'The network', 'Constraints', 'Puaaaas', 'Thank ",' Love ',' Telkomsel ',' Increases ',' Service ',' The Network ',' ']</v>
      </c>
      <c r="D1251" s="3">
        <v>5.0</v>
      </c>
    </row>
    <row r="1252" ht="15.75" customHeight="1">
      <c r="A1252" s="1">
        <v>1250.0</v>
      </c>
      <c r="B1252" s="3" t="s">
        <v>1253</v>
      </c>
      <c r="C1252" s="3" t="str">
        <f>IFERROR(__xludf.DUMMYFUNCTION("GOOGLETRANSLATE(B1252,""id"",""en"")"),"['Yesterday', 'buy', 'pulse', 'dipake', 'package', 'daily', 'tomorrow', 'pulse', 'please', 'telkom', 'so', 'udh', ' "", 'times', 'ngelamin', 'kek', 'gini', 'loss', 'oath', 'no', 'heart']")</f>
        <v>['Yesterday', 'buy', 'pulse', 'dipake', 'package', 'daily', 'tomorrow', 'pulse', 'please', 'telkom', 'so', 'udh', ' ", 'times', 'ngelamin', 'kek', 'gini', 'loss', 'oath', 'no', 'heart']</v>
      </c>
      <c r="D1252" s="3">
        <v>1.0</v>
      </c>
    </row>
    <row r="1253" ht="15.75" customHeight="1">
      <c r="A1253" s="1">
        <v>1251.0</v>
      </c>
      <c r="B1253" s="3" t="s">
        <v>1254</v>
      </c>
      <c r="C1253" s="3" t="str">
        <f>IFERROR(__xludf.DUMMYFUNCTION("GOOGLETRANSLATE(B1253,""id"",""en"")"),"['Sending', 'Package', 'UnlimitedMax', 'Speed', 'Out', 'Reduce', 'Speed', 'Application', 'Encourage', 'Lying', 'proof', 'YouTube', ' Reduce ',' Speed ​​',' YouTube ',' Wrong ',' Application ',' Anjurka ',' Telkomsel ',' Fraudster ',' Want ',' Untung ',' s"&amp;"queeze ',' Customer ',' Telkomsel ' , 'Sensara', 'Customer', 'prayer', 'Hopefully', 'Tower', 'Telkomsel', 'patient', 'lightning', 'destroyed', 'Amin', ""]")</f>
        <v>['Sending', 'Package', 'UnlimitedMax', 'Speed', 'Out', 'Reduce', 'Speed', 'Application', 'Encourage', 'Lying', 'proof', 'YouTube', ' Reduce ',' Speed ​​',' YouTube ',' Wrong ',' Application ',' Anjurka ',' Telkomsel ',' Fraudster ',' Want ',' Untung ',' squeeze ',' Customer ',' Telkomsel ' , 'Sensara', 'Customer', 'prayer', 'Hopefully', 'Tower', 'Telkomsel', 'patient', 'lightning', 'destroyed', 'Amin', "]</v>
      </c>
      <c r="D1253" s="3">
        <v>1.0</v>
      </c>
    </row>
    <row r="1254" ht="15.75" customHeight="1">
      <c r="A1254" s="1">
        <v>1252.0</v>
      </c>
      <c r="B1254" s="3" t="s">
        <v>1255</v>
      </c>
      <c r="C1254" s="3" t="str">
        <f>IFERROR(__xludf.DUMMYFUNCTION("GOOGLETRANSLATE(B1254,""id"",""en"")"),"['Package', 'unlimited', 'pairs',' package ',' unlimited ',' super ',' deal ',' please ',' package ',' unlimited ',' hold ',' renewal ',' Telkomsel ',' buy ',' pulse ',' pay ',' use ',' card ',' bni ',' difficult ',' update ',' telkomsel ',' transaction '"&amp;",' tasty ',' difficult ' , 'failed', 'Please', 'Miss', ""]")</f>
        <v>['Package', 'unlimited', 'pairs',' package ',' unlimited ',' super ',' deal ',' please ',' package ',' unlimited ',' hold ',' renewal ',' Telkomsel ',' buy ',' pulse ',' pay ',' use ',' card ',' bni ',' difficult ',' update ',' telkomsel ',' transaction ',' tasty ',' difficult ' , 'failed', 'Please', 'Miss', "]</v>
      </c>
      <c r="D1254" s="3">
        <v>5.0</v>
      </c>
    </row>
    <row r="1255" ht="15.75" customHeight="1">
      <c r="A1255" s="1">
        <v>1253.0</v>
      </c>
      <c r="B1255" s="3" t="s">
        <v>1256</v>
      </c>
      <c r="C1255" s="3" t="str">
        <f>IFERROR(__xludf.DUMMYFUNCTION("GOOGLETRANSLATE(B1255,""id"",""en"")"),"['knp', 'network', 'good', 'open', 'learn', 'online', 'difficult', 'play', 'game', 'please', 'Telkomsel', 'fix', ' Jarigan ',' SayasyLalu ',' buy ',' package ',' combo ',' per month ',' TPI ',' wasted ',' Sia ',' Sia ',' Karana ',' network ',' point ' , '"&amp;"Leet']")</f>
        <v>['knp', 'network', 'good', 'open', 'learn', 'online', 'difficult', 'play', 'game', 'please', 'Telkomsel', 'fix', ' Jarigan ',' SayasyLalu ',' buy ',' package ',' combo ',' per month ',' TPI ',' wasted ',' Sia ',' Sia ',' Karana ',' network ',' point ' , 'Leet']</v>
      </c>
      <c r="D1255" s="3">
        <v>2.0</v>
      </c>
    </row>
    <row r="1256" ht="15.75" customHeight="1">
      <c r="A1256" s="1">
        <v>1254.0</v>
      </c>
      <c r="B1256" s="3" t="s">
        <v>1257</v>
      </c>
      <c r="C1256" s="3" t="str">
        <f>IFERROR(__xludf.DUMMYFUNCTION("GOOGLETRANSLATE(B1256,""id"",""en"")"),"['', 'Limitation', 'user', 'that's',' watch ',' Batasana ',' user ',' Gituu ',' Nya ',' Package ',' unlimited ',' already ',' limit ',' Please ',' bales']")</f>
        <v>['', 'Limitation', 'user', 'that's',' watch ',' Batasana ',' user ',' Gituu ',' Nya ',' Package ',' unlimited ',' already ',' limit ',' Please ',' bales']</v>
      </c>
      <c r="D1256" s="3">
        <v>4.0</v>
      </c>
    </row>
    <row r="1257" ht="15.75" customHeight="1">
      <c r="A1257" s="1">
        <v>1255.0</v>
      </c>
      <c r="B1257" s="3" t="s">
        <v>1258</v>
      </c>
      <c r="C1257" s="3" t="str">
        <f>IFERROR(__xludf.DUMMYFUNCTION("GOOGLETRANSLATE(B1257,""id"",""en"")"),"['Assalamualaikum', 'min', 'just', 'love', 'tissue', 'Telkomsel', 'slow', 'mengelek', 'already', 'package', 'unlimitid', 'please', ' improve ',' network ',' palembang ',' suggestion ',' mksi ']")</f>
        <v>['Assalamualaikum', 'min', 'just', 'love', 'tissue', 'Telkomsel', 'slow', 'mengelek', 'already', 'package', 'unlimitid', 'please', ' improve ',' network ',' palembang ',' suggestion ',' mksi ']</v>
      </c>
      <c r="D1257" s="3">
        <v>2.0</v>
      </c>
    </row>
    <row r="1258" ht="15.75" customHeight="1">
      <c r="A1258" s="1">
        <v>1256.0</v>
      </c>
      <c r="B1258" s="3" t="s">
        <v>1259</v>
      </c>
      <c r="C1258" s="3" t="str">
        <f>IFERROR(__xludf.DUMMYFUNCTION("GOOGLETRANSLATE(B1258,""id"",""en"")"),"['difficult', 'buy', 'package', 'application', 'pulss',' buy ',' package ',' description ',' failed ',' pulse ',' max ',' twlkomsel ',' Nggk ', ""]")</f>
        <v>['difficult', 'buy', 'package', 'application', 'pulss',' buy ',' package ',' description ',' failed ',' pulse ',' max ',' twlkomsel ',' Nggk ', "]</v>
      </c>
      <c r="D1258" s="3">
        <v>1.0</v>
      </c>
    </row>
    <row r="1259" ht="15.75" customHeight="1">
      <c r="A1259" s="1">
        <v>1257.0</v>
      </c>
      <c r="B1259" s="3" t="s">
        <v>1260</v>
      </c>
      <c r="C1259" s="3" t="str">
        <f>IFERROR(__xludf.DUMMYFUNCTION("GOOGLETRANSLATE(B1259,""id"",""en"")"),"['Disappointed', 'Change', 'Package', 'Unlimited', 'FUP', 'Down', 'Kbps',' Version ',' Package ',' Out ',' Title ',' Package ',' Emples', 'Ukel', 'unlimited', 'package', 'sense', 'Akalan', 'Disappointed', 'Change', 'Package', 'Unlimited', 'SBLM', 'Changed"&amp;"', 'Msh' , 'Worth', 'Worth', 'msh', 'watch', 'youtube', 'calm', 'as', 'consumer', 'disappointed', 'disappointed', ""]")</f>
        <v>['Disappointed', 'Change', 'Package', 'Unlimited', 'FUP', 'Down', 'Kbps',' Version ',' Package ',' Out ',' Title ',' Package ',' Emples', 'Ukel', 'unlimited', 'package', 'sense', 'Akalan', 'Disappointed', 'Change', 'Package', 'Unlimited', 'SBLM', 'Changed', 'Msh' , 'Worth', 'Worth', 'msh', 'watch', 'youtube', 'calm', 'as', 'consumer', 'disappointed', 'disappointed', "]</v>
      </c>
      <c r="D1259" s="3">
        <v>1.0</v>
      </c>
    </row>
    <row r="1260" ht="15.75" customHeight="1">
      <c r="A1260" s="1">
        <v>1258.0</v>
      </c>
      <c r="B1260" s="3" t="s">
        <v>1261</v>
      </c>
      <c r="C1260" s="3" t="str">
        <f>IFERROR(__xludf.DUMMYFUNCTION("GOOGLETRANSLATE(B1260,""id"",""en"")"),"['sick', 'Telkomsel', 'improvement', 'service', 'customer', 'reason', 'thousand', 'reason', 'service', 'customers',' destroyed ',' ngak ',' boss', 'Telkomsel', 'service', 'disappointed', 'heavy', '']")</f>
        <v>['sick', 'Telkomsel', 'improvement', 'service', 'customer', 'reason', 'thousand', 'reason', 'service', 'customers',' destroyed ',' ngak ',' boss', 'Telkomsel', 'service', 'disappointed', 'heavy', '']</v>
      </c>
      <c r="D1260" s="3">
        <v>1.0</v>
      </c>
    </row>
    <row r="1261" ht="15.75" customHeight="1">
      <c r="A1261" s="1">
        <v>1259.0</v>
      </c>
      <c r="B1261" s="3" t="s">
        <v>1262</v>
      </c>
      <c r="C1261" s="3" t="str">
        <f>IFERROR(__xludf.DUMMYFUNCTION("GOOGLETRANSLATE(B1261,""id"",""en"")"),"['Telkomsel', 'provider', 'biggest', 'Indonesia', 'service', 'satisfying', 'aspects',' facilities', 'application', 'error', 'network', 'like', ' Lost ',' Ntah ',' Cause ',' Troubled ',' Quota ',' Expensive ',' Different ',' Provider ',' Competitor ',' Nei"&amp;"ghbor ',' Win ',' Top ',' Brand ' , 'Please', 'repaired', 'servant', 'Believe', 'Service', 'Please', 'Feedback', 'Customer', 'King', 'Customer']")</f>
        <v>['Telkomsel', 'provider', 'biggest', 'Indonesia', 'service', 'satisfying', 'aspects',' facilities', 'application', 'error', 'network', 'like', ' Lost ',' Ntah ',' Cause ',' Troubled ',' Quota ',' Expensive ',' Different ',' Provider ',' Competitor ',' Neighbor ',' Win ',' Top ',' Brand ' , 'Please', 'repaired', 'servant', 'Believe', 'Service', 'Please', 'Feedback', 'Customer', 'King', 'Customer']</v>
      </c>
      <c r="D1261" s="3">
        <v>3.0</v>
      </c>
    </row>
    <row r="1262" ht="15.75" customHeight="1">
      <c r="A1262" s="1">
        <v>1260.0</v>
      </c>
      <c r="B1262" s="3" t="s">
        <v>1263</v>
      </c>
      <c r="C1262" s="3" t="str">
        <f>IFERROR(__xludf.DUMMYFUNCTION("GOOGLETRANSLATE(B1262,""id"",""en"")"),"['Ngilan', 'pket', 'unlimited', 'card', 'saktinya', 'oath', 'card', 'gaje', 'really', 'unlimited', 'tetep', 'quota', ' main ',' kpake ',' strange ',' oath ',' extortion ',' this is', 'example', 'ditched', 'written', 'YouTube', 'unlimited', 'checked', 'app"&amp;"lication' , 'Tetep', 'run out', 'quota', 'main', 'already', 'unlimited', 'nipu', ""]")</f>
        <v>['Ngilan', 'pket', 'unlimited', 'card', 'saktinya', 'oath', 'card', 'gaje', 'really', 'unlimited', 'tetep', 'quota', ' main ',' kpake ',' strange ',' oath ',' extortion ',' this is', 'example', 'ditched', 'written', 'YouTube', 'unlimited', 'checked', 'application' , 'Tetep', 'run out', 'quota', 'main', 'already', 'unlimited', 'nipu', "]</v>
      </c>
      <c r="D1262" s="3">
        <v>1.0</v>
      </c>
    </row>
    <row r="1263" ht="15.75" customHeight="1">
      <c r="A1263" s="1">
        <v>1261.0</v>
      </c>
      <c r="B1263" s="3" t="s">
        <v>1264</v>
      </c>
      <c r="C1263" s="3" t="str">
        <f>IFERROR(__xludf.DUMMYFUNCTION("GOOGLETRANSLATE(B1263,""id"",""en"")"),"['Telkomsel', 'Dear', 'please', 'explanation', 'contents',' pulse ',' active ',' add ',' klw ',' active ',' run out ',' card ',' dead ',' data ',' ewalet ',' banking ',' ngelamin ',' card ',' dead ',' activate ',' ']")</f>
        <v>['Telkomsel', 'Dear', 'please', 'explanation', 'contents',' pulse ',' active ',' add ',' klw ',' active ',' run out ',' card ',' dead ',' data ',' ewalet ',' banking ',' ngelamin ',' card ',' dead ',' activate ',' ']</v>
      </c>
      <c r="D1263" s="3">
        <v>1.0</v>
      </c>
    </row>
    <row r="1264" ht="15.75" customHeight="1">
      <c r="A1264" s="1">
        <v>1262.0</v>
      </c>
      <c r="B1264" s="3" t="s">
        <v>1265</v>
      </c>
      <c r="C1264" s="3" t="str">
        <f>IFERROR(__xludf.DUMMYFUNCTION("GOOGLETRANSLATE(B1264,""id"",""en"")"),"['faithful', 'wear', 'card', 'Telkomsel', 'age', 'Thun', 'smpai', 'age', 'uda', 'Thun', 'gave', 'suggestion', ' replace ',' card ',' listen ',' talk ',' org ',' fall ',' love ',' high school ',' Telkomsel ',' essence ',' moved ',' card ',' Telkomsel ' , '"&amp;"Success', 'Thank you', ""]")</f>
        <v>['faithful', 'wear', 'card', 'Telkomsel', 'age', 'Thun', 'smpai', 'age', 'uda', 'Thun', 'gave', 'suggestion', ' replace ',' card ',' listen ',' talk ',' org ',' fall ',' love ',' high school ',' Telkomsel ',' essence ',' moved ',' card ',' Telkomsel ' , 'Success', 'Thank you', "]</v>
      </c>
      <c r="D1264" s="3">
        <v>5.0</v>
      </c>
    </row>
    <row r="1265" ht="15.75" customHeight="1">
      <c r="A1265" s="1">
        <v>1263.0</v>
      </c>
      <c r="B1265" s="3" t="s">
        <v>1266</v>
      </c>
      <c r="C1265" s="3" t="str">
        <f>IFERROR(__xludf.DUMMYFUNCTION("GOOGLETRANSLATE(B1265,""id"",""en"")"),"['card', 'TPI', 'TMEN', 'Telkomsel', 'Package', 'Unlimited', 'Try', 'Doang', 'Addicted', 'Telkom', 'Unlimited', 'Gausah', ' given ',' restrictions', 'dlu', 'cave', 'mabar', 'then', 'ama', 'friend', 'krna', 'unlimited', 'tpi', 'skrg', 'rare' , 'unlimited',"&amp;" 'given', 'limit', 'quota', 'my message', 'Telkomsel', 'return', 'unlimited', '']")</f>
        <v>['card', 'TPI', 'TMEN', 'Telkomsel', 'Package', 'Unlimited', 'Try', 'Doang', 'Addicted', 'Telkom', 'Unlimited', 'Gausah', ' given ',' restrictions', 'dlu', 'cave', 'mabar', 'then', 'ama', 'friend', 'krna', 'unlimited', 'tpi', 'skrg', 'rare' , 'unlimited', 'given', 'limit', 'quota', 'my message', 'Telkomsel', 'return', 'unlimited', '']</v>
      </c>
      <c r="D1265" s="3">
        <v>1.0</v>
      </c>
    </row>
    <row r="1266" ht="15.75" customHeight="1">
      <c r="A1266" s="1">
        <v>1264.0</v>
      </c>
      <c r="B1266" s="3" t="s">
        <v>1267</v>
      </c>
      <c r="C1266" s="3" t="str">
        <f>IFERROR(__xludf.DUMMYFUNCTION("GOOGLETRANSLATE(B1266,""id"",""en"")"),"['satisfying', 'signal', 'area', 'jeleeek', 'really', 'network', 'widest', 'what', 'kampung', 'edge', 'city', 'good', ' Fix ',' signal ',' area ',' DLU ',' SPRTI ',' Sangaaaat ',' Looking up ',' ']")</f>
        <v>['satisfying', 'signal', 'area', 'jeleeek', 'really', 'network', 'widest', 'what', 'kampung', 'edge', 'city', 'good', ' Fix ',' signal ',' area ',' DLU ',' SPRTI ',' Sangaaaat ',' Looking up ',' ']</v>
      </c>
      <c r="D1266" s="3">
        <v>1.0</v>
      </c>
    </row>
    <row r="1267" ht="15.75" customHeight="1">
      <c r="A1267" s="1">
        <v>1265.0</v>
      </c>
      <c r="B1267" s="3" t="s">
        <v>1268</v>
      </c>
      <c r="C1267" s="3" t="str">
        <f>IFERROR(__xludf.DUMMYFUNCTION("GOOGLETRANSLATE(B1267,""id"",""en"")"),"['Telkomsel', 'please', 'service', 'disappointing', 'pay', 'BLM', 'special', 'user', 'card', 'Hallo', 'hard', 'kapok', ' poko ',' use ',' service ',' aboden ',' hello ',' ']")</f>
        <v>['Telkomsel', 'please', 'service', 'disappointing', 'pay', 'BLM', 'special', 'user', 'card', 'Hallo', 'hard', 'kapok', ' poko ',' use ',' service ',' aboden ',' hello ',' ']</v>
      </c>
      <c r="D1267" s="3">
        <v>1.0</v>
      </c>
    </row>
    <row r="1268" ht="15.75" customHeight="1">
      <c r="A1268" s="1">
        <v>1266.0</v>
      </c>
      <c r="B1268" s="3" t="s">
        <v>1269</v>
      </c>
      <c r="C1268" s="3" t="str">
        <f>IFERROR(__xludf.DUMMYFUNCTION("GOOGLETRANSLATE(B1268,""id"",""en"")"),"['Disappointed', 'quota', 'unlimited', 'speed', 'internet', 'kek', 'lemes',' delinquent ',' unlimited ',' speed ',' internet ',' forgive ',' Plans ',' Change ',' Telkomsel ',' I've been 'bye', 'Telkomsel', 'rotten', 'skrg']")</f>
        <v>['Disappointed', 'quota', 'unlimited', 'speed', 'internet', 'kek', 'lemes',' delinquent ',' unlimited ',' speed ',' internet ',' forgive ',' Plans ',' Change ',' Telkomsel ',' I've been 'bye', 'Telkomsel', 'rotten', 'skrg']</v>
      </c>
      <c r="D1268" s="3">
        <v>2.0</v>
      </c>
    </row>
    <row r="1269" ht="15.75" customHeight="1">
      <c r="A1269" s="1">
        <v>1267.0</v>
      </c>
      <c r="B1269" s="3" t="s">
        <v>1270</v>
      </c>
      <c r="C1269" s="3" t="str">
        <f>IFERROR(__xludf.DUMMYFUNCTION("GOOGLETRANSLATE(B1269,""id"",""en"")"),"['Sorry', 'Telkomsen', 'Knp', 'Telkomsel', 'expensive', 'fasting', 'promo', 'discount', 'event', 'NGK', 'expensive', 'price', ' Isoh ',' expensive ',' good ',' signal ',' knp ',' down ',' bngt ',' play ',' gane ',' online ',' laq ',' down ',' network ' , "&amp;"'Wonder', 'right', 'price', 'setabilia', 'Sorry', 'Please', 'Fix', 'Signal', 'Sanggat', 'Disturbing', 'Lampung', 'Lampung']")</f>
        <v>['Sorry', 'Telkomsen', 'Knp', 'Telkomsel', 'expensive', 'fasting', 'promo', 'discount', 'event', 'NGK', 'expensive', 'price', ' Isoh ',' expensive ',' good ',' signal ',' knp ',' down ',' bngt ',' play ',' gane ',' online ',' laq ',' down ',' network ' , 'Wonder', 'right', 'price', 'setabilia', 'Sorry', 'Please', 'Fix', 'Signal', 'Sanggat', 'Disturbing', 'Lampung', 'Lampung']</v>
      </c>
      <c r="D1269" s="3">
        <v>2.0</v>
      </c>
    </row>
    <row r="1270" ht="15.75" customHeight="1">
      <c r="A1270" s="1">
        <v>1268.0</v>
      </c>
      <c r="B1270" s="3" t="s">
        <v>1271</v>
      </c>
      <c r="C1270" s="3" t="str">
        <f>IFERROR(__xludf.DUMMYFUNCTION("GOOGLETRANSLATE(B1270,""id"",""en"")"),"['Yesterday', 'Application', 'MyTelkomsel', 'Loading', 'Seconds',' Loading ',' Connection ',' Stable ',' Use ',' WiFi ',' right ',' replace ',' Packages', 'Loading', 'Kersips',' ']")</f>
        <v>['Yesterday', 'Application', 'MyTelkomsel', 'Loading', 'Seconds',' Loading ',' Connection ',' Stable ',' Use ',' WiFi ',' right ',' replace ',' Packages', 'Loading', 'Kersips',' ']</v>
      </c>
      <c r="D1270" s="3">
        <v>1.0</v>
      </c>
    </row>
    <row r="1271" ht="15.75" customHeight="1">
      <c r="A1271" s="1">
        <v>1269.0</v>
      </c>
      <c r="B1271" s="3" t="s">
        <v>1272</v>
      </c>
      <c r="C1271" s="3" t="str">
        <f>IFERROR(__xludf.DUMMYFUNCTION("GOOGLETRANSLATE(B1271,""id"",""en"")"),"['name', 'promo', 'package', 'combo', 'Sakti', 'unlimited', 'TPI', 'unlimited', 'buy', 'GB', 'unlimited', 'GB', ' Internet ',' The rest ',' unlimited ',' skrng ',' GB ',' internet ',' GB ',' unlimited ',' unlimited ',' disappointed ',' already ',' comfort"&amp;"able ',' pakek ' , 'card', 'please', 'change', 'package', 'internet', '']")</f>
        <v>['name', 'promo', 'package', 'combo', 'Sakti', 'unlimited', 'TPI', 'unlimited', 'buy', 'GB', 'unlimited', 'GB', ' Internet ',' The rest ',' unlimited ',' skrng ',' GB ',' internet ',' GB ',' unlimited ',' unlimited ',' disappointed ',' already ',' comfortable ',' pakek ' , 'card', 'please', 'change', 'package', 'internet', '']</v>
      </c>
      <c r="D1271" s="3">
        <v>2.0</v>
      </c>
    </row>
    <row r="1272" ht="15.75" customHeight="1">
      <c r="A1272" s="1">
        <v>1270.0</v>
      </c>
      <c r="B1272" s="3" t="s">
        <v>1273</v>
      </c>
      <c r="C1272" s="3" t="str">
        <f>IFERROR(__xludf.DUMMYFUNCTION("GOOGLETRANSLATE(B1272,""id"",""en"")"),"['Sorry', 'Network', 'Telkomsel', 'Slow', 'Champion', 'Network', 'Leet', 'Please', 'Fix', 'As soon as', 'Thank you']")</f>
        <v>['Sorry', 'Network', 'Telkomsel', 'Slow', 'Champion', 'Network', 'Leet', 'Please', 'Fix', 'As soon as', 'Thank you']</v>
      </c>
      <c r="D1272" s="3">
        <v>5.0</v>
      </c>
    </row>
    <row r="1273" ht="15.75" customHeight="1">
      <c r="A1273" s="1">
        <v>1271.0</v>
      </c>
      <c r="B1273" s="3" t="s">
        <v>1274</v>
      </c>
      <c r="C1273" s="3" t="str">
        <f>IFERROR(__xludf.DUMMYFUNCTION("GOOGLETRANSLATE(B1273,""id"",""en"")"),"['quota', 'gamesmax', 'feel', 'download', 'data', 'game', 'tetep', 'quota', 'main', 'pdhal', 'download', 'data', ' games', 'right', 'open', 'game', 'except', 'right', 'download', 'playstore', 'eat', 'quota', 'main', 'data', 'gamesmax' , 'Try', 'Maen', 'Ga"&amp;"me', 'Doang', 'mah', 'buy', 'oath', ""]")</f>
        <v>['quota', 'gamesmax', 'feel', 'download', 'data', 'game', 'tetep', 'quota', 'main', 'pdhal', 'download', 'data', ' games', 'right', 'open', 'game', 'except', 'right', 'download', 'playstore', 'eat', 'quota', 'main', 'data', 'gamesmax' , 'Try', 'Maen', 'Game', 'Doang', 'mah', 'buy', 'oath', "]</v>
      </c>
      <c r="D1273" s="3">
        <v>1.0</v>
      </c>
    </row>
    <row r="1274" ht="15.75" customHeight="1">
      <c r="A1274" s="1">
        <v>1272.0</v>
      </c>
      <c r="B1274" s="3" t="s">
        <v>1275</v>
      </c>
      <c r="C1274" s="3" t="str">
        <f>IFERROR(__xludf.DUMMYFUNCTION("GOOGLETRANSLATE(B1274,""id"",""en"")"),"['quality', 'signal', 'worst', 'package', 'promo', 'combo', 'GB', 'ugly', 'signal', 'easy', 'really', 'ilang', ' Browsing ',' Padhal ',' Stay ',' City ',' Rich ',' Very ',' Quality ',' Best ',' Already ',' Paketan ',' Expensive ',' Quality ',' Cheap ' , '"&amp;"Nyesek', 'saia', '']")</f>
        <v>['quality', 'signal', 'worst', 'package', 'promo', 'combo', 'GB', 'ugly', 'signal', 'easy', 'really', 'ilang', ' Browsing ',' Padhal ',' Stay ',' City ',' Rich ',' Very ',' Quality ',' Best ',' Already ',' Paketan ',' Expensive ',' Quality ',' Cheap ' , 'Nyesek', 'saia', '']</v>
      </c>
      <c r="D1274" s="3">
        <v>1.0</v>
      </c>
    </row>
    <row r="1275" ht="15.75" customHeight="1">
      <c r="A1275" s="1">
        <v>1273.0</v>
      </c>
      <c r="B1275" s="3" t="s">
        <v>1276</v>
      </c>
      <c r="C1275" s="3" t="str">
        <f>IFERROR(__xludf.DUMMYFUNCTION("GOOGLETRANSLATE(B1275,""id"",""en"")"),"['Language', 'Turnling', 'Changed', 'Scorched', 'PDHAL', 'Active', 'Nanggepin', 'Joking', 'Signal', 'ugly', 'Profitable', 'Customer', ' Telkomsel ',' Songo ', ""]")</f>
        <v>['Language', 'Turnling', 'Changed', 'Scorched', 'PDHAL', 'Active', 'Nanggepin', 'Joking', 'Signal', 'ugly', 'Profitable', 'Customer', ' Telkomsel ',' Songo ', "]</v>
      </c>
      <c r="D1275" s="3">
        <v>1.0</v>
      </c>
    </row>
    <row r="1276" ht="15.75" customHeight="1">
      <c r="A1276" s="1">
        <v>1274.0</v>
      </c>
      <c r="B1276" s="3" t="s">
        <v>1277</v>
      </c>
      <c r="C1276" s="3" t="str">
        <f>IFERROR(__xludf.DUMMYFUNCTION("GOOGLETRANSLATE(B1276,""id"",""en"")"),"['Contents',' pulse ',' go home ',' see ',' pulse ',' direct ',' chick ',' automatic ',' package ',' call ',' a week ',' ngk ',' Subscriptions', 'NGK', 'Buy', 'Package', 'Call', 'Good', 'Confirm', 'Customer', 'Dapst', 'SMS', 'Package', 'Call', 'On' , 'cri"&amp;"tical', '']")</f>
        <v>['Contents',' pulse ',' go home ',' see ',' pulse ',' direct ',' chick ',' automatic ',' package ',' call ',' a week ',' ngk ',' Subscriptions', 'NGK', 'Buy', 'Package', 'Call', 'Good', 'Confirm', 'Customer', 'Dapst', 'SMS', 'Package', 'Call', 'On' , 'critical', '']</v>
      </c>
      <c r="D1276" s="3">
        <v>2.0</v>
      </c>
    </row>
    <row r="1277" ht="15.75" customHeight="1">
      <c r="A1277" s="1">
        <v>1275.0</v>
      </c>
      <c r="B1277" s="3" t="s">
        <v>1278</v>
      </c>
      <c r="C1277" s="3" t="str">
        <f>IFERROR(__xludf.DUMMYFUNCTION("GOOGLETRANSLATE(B1277,""id"",""en"")"),"['strange', 'understand', 'usually', 'promo', 'package', 'number', 'Different', 'really', 'promo', 'cheap', 'number', 'number', ' get ',' number ',' replace ',' provider ',' function ',' button ',' share ',' package ',' used ',' number ', ""]")</f>
        <v>['strange', 'understand', 'usually', 'promo', 'package', 'number', 'Different', 'really', 'promo', 'cheap', 'number', 'number', ' get ',' number ',' replace ',' provider ',' function ',' button ',' share ',' package ',' used ',' number ', "]</v>
      </c>
      <c r="D1277" s="3">
        <v>1.0</v>
      </c>
    </row>
    <row r="1278" ht="15.75" customHeight="1">
      <c r="A1278" s="1">
        <v>1276.0</v>
      </c>
      <c r="B1278" s="3" t="s">
        <v>1279</v>
      </c>
      <c r="C1278" s="3" t="str">
        <f>IFERROR(__xludf.DUMMYFUNCTION("GOOGLETRANSLATE(B1278,""id"",""en"")"),"['Related', 'mimin', 'help', 'login', 'junior high school', 'signal', 'improvement', 'heart', 'lgi', 'emang', 'heart', 'response', ' Bahakn ',' Slow ',' response ',' repairs', 'Leave', ""]")</f>
        <v>['Related', 'mimin', 'help', 'login', 'junior high school', 'signal', 'improvement', 'heart', 'lgi', 'emang', 'heart', 'response', ' Bahakn ',' Slow ',' response ',' repairs', 'Leave', "]</v>
      </c>
      <c r="D1278" s="3">
        <v>1.0</v>
      </c>
    </row>
    <row r="1279" ht="15.75" customHeight="1">
      <c r="A1279" s="1">
        <v>1277.0</v>
      </c>
      <c r="B1279" s="3" t="s">
        <v>1280</v>
      </c>
      <c r="C1279" s="3" t="str">
        <f>IFERROR(__xludf.DUMMYFUNCTION("GOOGLETRANSLATE(B1279,""id"",""en"")"),"['Hello', 'Telokomsel', 'buy', 'Package', 'Yutub', 'Thinking', 'Harapan', 'Take', 'Credit', 'Regulaber', 'Pashal', 'Telkonsel', ' Package ',' Yutub ',' AKTIP ',' Unlimited ',' Canapa ',' Loss', ""]")</f>
        <v>['Hello', 'Telokomsel', 'buy', 'Package', 'Yutub', 'Thinking', 'Harapan', 'Take', 'Credit', 'Regulaber', 'Pashal', 'Telkonsel', ' Package ',' Yutub ',' AKTIP ',' Unlimited ',' Canapa ',' Loss', "]</v>
      </c>
      <c r="D1279" s="3">
        <v>1.0</v>
      </c>
    </row>
    <row r="1280" ht="15.75" customHeight="1">
      <c r="A1280" s="1">
        <v>1278.0</v>
      </c>
      <c r="B1280" s="3" t="s">
        <v>1281</v>
      </c>
      <c r="C1280" s="3" t="str">
        <f>IFERROR(__xludf.DUMMYFUNCTION("GOOGLETRANSLATE(B1280,""id"",""en"")"),"['card', 'Telkomsel', 'gajelas',' signal ',' good ',' threat ',' waste ',' card ',' telkom ',' change ',' pket ',' exorbitant ',' Quality ',' signal ',' Lowh ',' cuihhhhhh ',' ']")</f>
        <v>['card', 'Telkomsel', 'gajelas',' signal ',' good ',' threat ',' waste ',' card ',' telkom ',' change ',' pket ',' exorbitant ',' Quality ',' signal ',' Lowh ',' cuihhhhhh ',' ']</v>
      </c>
      <c r="D1280" s="3">
        <v>1.0</v>
      </c>
    </row>
    <row r="1281" ht="15.75" customHeight="1">
      <c r="A1281" s="1">
        <v>1279.0</v>
      </c>
      <c r="B1281" s="3" t="s">
        <v>1282</v>
      </c>
      <c r="C1281" s="3" t="str">
        <f>IFERROR(__xludf.DUMMYFUNCTION("GOOGLETRANSLATE(B1281,""id"",""en"")"),"['internet', 'smooth', 'app', 'error', 'price', 'internet', 'expensive', 'please', 'fix', '']")</f>
        <v>['internet', 'smooth', 'app', 'error', 'price', 'internet', 'expensive', 'please', 'fix', '']</v>
      </c>
      <c r="D1281" s="3">
        <v>1.0</v>
      </c>
    </row>
    <row r="1282" ht="15.75" customHeight="1">
      <c r="A1282" s="1">
        <v>1280.0</v>
      </c>
      <c r="B1282" s="3" t="s">
        <v>1283</v>
      </c>
      <c r="C1282" s="3" t="str">
        <f>IFERROR(__xludf.DUMMYFUNCTION("GOOGLETRANSLATE(B1282,""id"",""en"")"),"[ 'Apaaaaa', 'sihh', 'jaringaaaaaaannnnnn', 'cohabited', 'jaringaaannnnnn', 'full', 'ngeluhh', 'lohh', 'bold', 'toxic', 'astaghfirullah', 'please', ' Maap ',' Not yet ',' APK ',' Good ',' CMA ',' Network ',' No ',' Good ', ""]")</f>
        <v>[ 'Apaaaaa', 'sihh', 'jaringaaaaaaannnnnn', 'cohabited', 'jaringaaannnnnn', 'full', 'ngeluhh', 'lohh', 'bold', 'toxic', 'astaghfirullah', 'please', ' Maap ',' Not yet ',' APK ',' Good ',' CMA ',' Network ',' No ',' Good ', "]</v>
      </c>
      <c r="D1282" s="3">
        <v>2.0</v>
      </c>
    </row>
    <row r="1283" ht="15.75" customHeight="1">
      <c r="A1283" s="1">
        <v>1281.0</v>
      </c>
      <c r="B1283" s="3" t="s">
        <v>1284</v>
      </c>
      <c r="C1283" s="3" t="str">
        <f>IFERROR(__xludf.DUMMYFUNCTION("GOOGLETRANSLATE(B1283,""id"",""en"")"),"['Please', 'credit', 'reduced', 'pdhal', 'bills', 'use', 'please', 'loss', 'kek', 'gini', 'raya', 'please' Respond to ', ""]")</f>
        <v>['Please', 'credit', 'reduced', 'pdhal', 'bills', 'use', 'please', 'loss', 'kek', 'gini', 'raya', 'please' Respond to ', "]</v>
      </c>
      <c r="D1283" s="3">
        <v>4.0</v>
      </c>
    </row>
    <row r="1284" ht="15.75" customHeight="1">
      <c r="A1284" s="1">
        <v>1282.0</v>
      </c>
      <c r="B1284" s="3" t="s">
        <v>1285</v>
      </c>
      <c r="C1284" s="3" t="str">
        <f>IFERROR(__xludf.DUMMYFUNCTION("GOOGLETRANSLATE(B1284,""id"",""en"")"),"['disappointing', 'package', 'provided', 'combo', 'Sakti', 'unlimited', 'use', 'limit', 'usage', 'normal', 'used to', 'good', ' Consumers', 'Satisfied', 'Please', 'Policy', 'Satisfaction', 'Consumers',' ']")</f>
        <v>['disappointing', 'package', 'provided', 'combo', 'Sakti', 'unlimited', 'use', 'limit', 'usage', 'normal', 'used to', 'good', ' Consumers', 'Satisfied', 'Please', 'Policy', 'Satisfaction', 'Consumers',' ']</v>
      </c>
      <c r="D1284" s="3">
        <v>1.0</v>
      </c>
    </row>
    <row r="1285" ht="15.75" customHeight="1">
      <c r="A1285" s="1">
        <v>1283.0</v>
      </c>
      <c r="B1285" s="3" t="s">
        <v>1286</v>
      </c>
      <c r="C1285" s="3" t="str">
        <f>IFERROR(__xludf.DUMMYFUNCTION("GOOGLETRANSLATE(B1285,""id"",""en"")"),"['Customer', 'Telkomsel', 'Disappointed', 'Package', 'Combo', 'Sakti', 'Unlimited', 'Previously', 'Quota', 'Unlimited', 'Limit', 'Use', ' Fair ',' package ',' bought ',' expensive ',' satisfaction ',' customer ',' please ',' consistent ',' policy ', ""]")</f>
        <v>['Customer', 'Telkomsel', 'Disappointed', 'Package', 'Combo', 'Sakti', 'Unlimited', 'Previously', 'Quota', 'Unlimited', 'Limit', 'Use', ' Fair ',' package ',' bought ',' expensive ',' satisfaction ',' customer ',' please ',' consistent ',' policy ', "]</v>
      </c>
      <c r="D1285" s="3">
        <v>1.0</v>
      </c>
    </row>
    <row r="1286" ht="15.75" customHeight="1">
      <c r="A1286" s="1">
        <v>1284.0</v>
      </c>
      <c r="B1286" s="3" t="s">
        <v>1287</v>
      </c>
      <c r="C1286" s="3" t="str">
        <f>IFERROR(__xludf.DUMMYFUNCTION("GOOGLETRANSLATE(B1286,""id"",""en"")"),"['Satisfied', 'TPI', 'here', 'annoyed', 'Disappointed', 'dlu', 'dlu', 'quota', 'unlimited', 'limit', 'use', 'quota', ' The core ',' run out ',' according to ',' name ',' unlimited ',' limit ',' now ',' use ',' Ukl ',' unlimited ',' reality ',' quota ',' l"&amp;"imited ' , 'his name', 'consumer', 'lied to', 'unlimited', 'pdhl', 'after', 'used', 'data', 'border', 'please', 'repaired', 'quota', ' unlimited ',' lied to ',' consumer ',' thank ',' love ', ""]")</f>
        <v>['Satisfied', 'TPI', 'here', 'annoyed', 'Disappointed', 'dlu', 'dlu', 'quota', 'unlimited', 'limit', 'use', 'quota', ' The core ',' run out ',' according to ',' name ',' unlimited ',' limit ',' now ',' use ',' Ukl ',' unlimited ',' reality ',' quota ',' limited ' , 'his name', 'consumer', 'lied to', 'unlimited', 'pdhl', 'after', 'used', 'data', 'border', 'please', 'repaired', 'quota', ' unlimited ',' lied to ',' consumer ',' thank ',' love ', "]</v>
      </c>
      <c r="D1286" s="3">
        <v>1.0</v>
      </c>
    </row>
    <row r="1287" ht="15.75" customHeight="1">
      <c r="A1287" s="1">
        <v>1285.0</v>
      </c>
      <c r="B1287" s="3" t="s">
        <v>1288</v>
      </c>
      <c r="C1287" s="3" t="str">
        <f>IFERROR(__xludf.DUMMYFUNCTION("GOOGLETRANSLATE(B1287,""id"",""en"")"),"['Package', 'unlimited', 'max', 'price', 'expensive', 'package', 'unlimited', 'restricted', 'gini', 'tired', 'moved', 'operator', ' already ',' fed up ',' Telkomsel ',' price ',' package ',' expensive ',' comparable ',' quality ',' network ',' super ',' u"&amp;"gly ',' congratulations', 'live' , 'Tekomsel', 'UDH', 'Nemenin', 'Move', 'Operator']")</f>
        <v>['Package', 'unlimited', 'max', 'price', 'expensive', 'package', 'unlimited', 'restricted', 'gini', 'tired', 'moved', 'operator', ' already ',' fed up ',' Telkomsel ',' price ',' package ',' expensive ',' comparable ',' quality ',' network ',' super ',' ugly ',' congratulations', 'live' , 'Tekomsel', 'UDH', 'Nemenin', 'Move', 'Operator']</v>
      </c>
      <c r="D1287" s="3">
        <v>1.0</v>
      </c>
    </row>
    <row r="1288" ht="15.75" customHeight="1">
      <c r="A1288" s="1">
        <v>1286.0</v>
      </c>
      <c r="B1288" s="3" t="s">
        <v>1289</v>
      </c>
      <c r="C1288" s="3" t="str">
        <f>IFERROR(__xludf.DUMMYFUNCTION("GOOGLETRANSLATE(B1288,""id"",""en"")"),"['hope', 'Telkomsel', 'users',' Telkomsel ',' disappointed ',' network ',' Telkomsel ',' stable ',' Peliamggan ',' Switch ',' server ',' hope ',' Telkomsel ',' Customer ',' Disappointed ',' ']")</f>
        <v>['hope', 'Telkomsel', 'users',' Telkomsel ',' disappointed ',' network ',' Telkomsel ',' stable ',' Peliamggan ',' Switch ',' server ',' hope ',' Telkomsel ',' Customer ',' Disappointed ',' ']</v>
      </c>
      <c r="D1288" s="3">
        <v>1.0</v>
      </c>
    </row>
    <row r="1289" ht="15.75" customHeight="1">
      <c r="A1289" s="1">
        <v>1287.0</v>
      </c>
      <c r="B1289" s="3" t="s">
        <v>1290</v>
      </c>
      <c r="C1289" s="3" t="str">
        <f>IFERROR(__xludf.DUMMYFUNCTION("GOOGLETRANSLATE(B1289,""id"",""en"")"),"['Telkomsel', 'unlimited', 'restrictions',' use ',' Naturally ',' have ',' UDH ',' Not bad ',' happy ',' msh ',' lag ',' severe ',' rich ',' smartfren ',' because 'unlimited', 'boundary', 'usage', 'normal', 'moved', 'card', 'prime', 'MLS', 'please', 'fix'"&amp;" , 'Rich', 'Yesterday', 'Yesterday']")</f>
        <v>['Telkomsel', 'unlimited', 'restrictions',' use ',' Naturally ',' have ',' UDH ',' Not bad ',' happy ',' msh ',' lag ',' severe ',' rich ',' smartfren ',' because 'unlimited', 'boundary', 'usage', 'normal', 'moved', 'card', 'prime', 'MLS', 'please', 'fix' , 'Rich', 'Yesterday', 'Yesterday']</v>
      </c>
      <c r="D1289" s="3">
        <v>1.0</v>
      </c>
    </row>
    <row r="1290" ht="15.75" customHeight="1">
      <c r="A1290" s="1">
        <v>1288.0</v>
      </c>
      <c r="B1290" s="3" t="s">
        <v>1291</v>
      </c>
      <c r="C1290" s="3" t="str">
        <f>IFERROR(__xludf.DUMMYFUNCTION("GOOGLETRANSLATE(B1290,""id"",""en"")"),"['expensive', 'ngellag', 'buy', 'package', 'money', 'leaves',' quota ',' unlimited ',' the network ',' please ',' unlimited ',' limit ',' His name is', 'unlimited', 'please', 'appreciate', 'person', 'earning', 'minimal']")</f>
        <v>['expensive', 'ngellag', 'buy', 'package', 'money', 'leaves',' quota ',' unlimited ',' the network ',' please ',' unlimited ',' limit ',' His name is', 'unlimited', 'please', 'appreciate', 'person', 'earning', 'minimal']</v>
      </c>
      <c r="D1290" s="3">
        <v>1.0</v>
      </c>
    </row>
    <row r="1291" ht="15.75" customHeight="1">
      <c r="A1291" s="1">
        <v>1289.0</v>
      </c>
      <c r="B1291" s="3" t="s">
        <v>1292</v>
      </c>
      <c r="C1291" s="3" t="str">
        <f>IFERROR(__xludf.DUMMYFUNCTION("GOOGLETRANSLATE(B1291,""id"",""en"")"),"['Network', 'bad', 'quality', 'play', 'game', 'ping it', 'stable', 'tlg', 'telkomsel', 'sllu', 'check', 'quality', ' Signal ',' Region ',' Village ',' Kyk ',' Region ',' UDH ',' LMA ',' PLGGN ',' loyal ',' Telkomsel ',' MSA ',' prioritize ',' City ' , 'vi"&amp;"llage', 'Dibialdin', 'quota', 'expensive', 'gpp', 'quality', 'network', 'optimize', '']")</f>
        <v>['Network', 'bad', 'quality', 'play', 'game', 'ping it', 'stable', 'tlg', 'telkomsel', 'sllu', 'check', 'quality', ' Signal ',' Region ',' Village ',' Kyk ',' Region ',' UDH ',' LMA ',' PLGGN ',' loyal ',' Telkomsel ',' MSA ',' prioritize ',' City ' , 'village', 'Dibialdin', 'quota', 'expensive', 'gpp', 'quality', 'network', 'optimize', '']</v>
      </c>
      <c r="D1291" s="3">
        <v>5.0</v>
      </c>
    </row>
    <row r="1292" ht="15.75" customHeight="1">
      <c r="A1292" s="1">
        <v>1290.0</v>
      </c>
      <c r="B1292" s="3" t="s">
        <v>1293</v>
      </c>
      <c r="C1292" s="3" t="str">
        <f>IFERROR(__xludf.DUMMYFUNCTION("GOOGLETRANSLATE(B1292,""id"",""en"")"),"['Mangkin', 'Mangkin', 'Telkomsel', 'error', 'Network', 'Mulu', 'AJG', 'Network', 'Good', 'Fix', 'Woy', 'already', ' ',' ']")</f>
        <v>['Mangkin', 'Mangkin', 'Telkomsel', 'error', 'Network', 'Mulu', 'AJG', 'Network', 'Good', 'Fix', 'Woy', 'already', ' ',' ']</v>
      </c>
      <c r="D1292" s="3">
        <v>1.0</v>
      </c>
    </row>
    <row r="1293" ht="15.75" customHeight="1">
      <c r="A1293" s="1">
        <v>1291.0</v>
      </c>
      <c r="B1293" s="3" t="s">
        <v>1294</v>
      </c>
      <c r="C1293" s="3" t="str">
        <f>IFERROR(__xludf.DUMMYFUNCTION("GOOGLETRANSLATE(B1293,""id"",""en"")"),"['Please', 'fix', 'Kouta', 'expensive', 'network', 'ugly', 'play', 'games', 'melted', 'please', 'fix', 'sometimes' Sometimes', 'it's'' down ',' playing ',' Games', 'please', 'Murah', 'card', 'expensive', 'meyesal', 'card', 'Telkomsel', ""]")</f>
        <v>['Please', 'fix', 'Kouta', 'expensive', 'network', 'ugly', 'play', 'games', 'melted', 'please', 'fix', 'sometimes' Sometimes', 'it's'' down ',' playing ',' Games', 'please', 'Murah', 'card', 'expensive', 'meyesal', 'card', 'Telkomsel', "]</v>
      </c>
      <c r="D1293" s="3">
        <v>1.0</v>
      </c>
    </row>
    <row r="1294" ht="15.75" customHeight="1">
      <c r="A1294" s="1">
        <v>1292.0</v>
      </c>
      <c r="B1294" s="3" t="s">
        <v>1295</v>
      </c>
      <c r="C1294" s="3" t="str">
        <f>IFERROR(__xludf.DUMMYFUNCTION("GOOGLETRANSLATE(B1294,""id"",""en"")"),"['App', 'Telkomsel', 'Mantulllll', 'help', 'makes it easy', 'in' 'business',' contents', 'quota', 'etc.', 'Jamin', 'ngak', ' Overcome ',' Lottery ',' SGT ',' Iyak ',' Anyway ',' Steady ',' Easy ',' Han ',' Rejeki ',' Lottery ',' Car ',' Times', ""]")</f>
        <v>['App', 'Telkomsel', 'Mantulllll', 'help', 'makes it easy', 'in' 'business',' contents', 'quota', 'etc.', 'Jamin', 'ngak', ' Overcome ',' Lottery ',' SGT ',' Iyak ',' Anyway ',' Steady ',' Easy ',' Han ',' Rejeki ',' Lottery ',' Car ',' Times', "]</v>
      </c>
      <c r="D1294" s="3">
        <v>5.0</v>
      </c>
    </row>
    <row r="1295" ht="15.75" customHeight="1">
      <c r="A1295" s="1">
        <v>1293.0</v>
      </c>
      <c r="B1295" s="3" t="s">
        <v>1296</v>
      </c>
      <c r="C1295" s="3" t="str">
        <f>IFERROR(__xludf.DUMMYFUNCTION("GOOGLETRANSLATE(B1295,""id"",""en"")"),"['application', 'Install', 'application', 'difficult', 'opened', 'Munsul', 'warning', 'error', 'system', 'connection', 'stable', ""]")</f>
        <v>['application', 'Install', 'application', 'difficult', 'opened', 'Munsul', 'warning', 'error', 'system', 'connection', 'stable', "]</v>
      </c>
      <c r="D1295" s="3">
        <v>2.0</v>
      </c>
    </row>
    <row r="1296" ht="15.75" customHeight="1">
      <c r="A1296" s="1">
        <v>1294.0</v>
      </c>
      <c r="B1296" s="3" t="s">
        <v>1297</v>
      </c>
      <c r="C1296" s="3" t="str">
        <f>IFERROR(__xludf.DUMMYFUNCTION("GOOGLETRANSLATE(B1296,""id"",""en"")"),"['Review', 'deleted', 'KNP', 'Afraid', 'found out', 'minus',' habit ',' suck ',' pulse ',' package ',' data ',' uda ',' dead ',' buy ',' credit ',' rb ',' buy ',' quota ',' rb ',' left ',' rb ',' buy ',' pulse ',' rb ',' fill ' , 'quota', 'rb', 'leftover'"&amp;", 'pulse', 'rb', 'sumps',' before ',' emg ',' sorted ',' system ',' meras', 'pulses',' Telkomsel ']")</f>
        <v>['Review', 'deleted', 'KNP', 'Afraid', 'found out', 'minus',' habit ',' suck ',' pulse ',' package ',' data ',' uda ',' dead ',' buy ',' credit ',' rb ',' buy ',' quota ',' rb ',' left ',' rb ',' buy ',' pulse ',' rb ',' fill ' , 'quota', 'rb', 'leftover', 'pulse', 'rb', 'sumps',' before ',' emg ',' sorted ',' system ',' meras', 'pulses',' Telkomsel ']</v>
      </c>
      <c r="D1296" s="3">
        <v>1.0</v>
      </c>
    </row>
    <row r="1297" ht="15.75" customHeight="1">
      <c r="A1297" s="1">
        <v>1295.0</v>
      </c>
      <c r="B1297" s="3" t="s">
        <v>1298</v>
      </c>
      <c r="C1297" s="3" t="str">
        <f>IFERROR(__xludf.DUMMYFUNCTION("GOOGLETRANSLATE(B1297,""id"",""en"")"),"['Thank you', 'Telkomsel', 'accompany', 'daily life', 'chatting', 'family', 'family', 'even though', 'pendemi', 'covid', 'spirit', 'product', ' Hopefully ',' on duty ',' health ',' age ',' success', 'Telkomsel']")</f>
        <v>['Thank you', 'Telkomsel', 'accompany', 'daily life', 'chatting', 'family', 'family', 'even though', 'pendemi', 'covid', 'spirit', 'product', ' Hopefully ',' on duty ',' health ',' age ',' success', 'Telkomsel']</v>
      </c>
      <c r="D1297" s="3">
        <v>5.0</v>
      </c>
    </row>
    <row r="1298" ht="15.75" customHeight="1">
      <c r="A1298" s="1">
        <v>1296.0</v>
      </c>
      <c r="B1298" s="3" t="s">
        <v>1299</v>
      </c>
      <c r="C1298" s="3" t="str">
        <f>IFERROR(__xludf.DUMMYFUNCTION("GOOGLETRANSLATE(B1298,""id"",""en"")"),"['', 'already', 'serving', 'Telkomsel', 'network', 'sometimes',' slow ',' home ',' card ',' subscription ',' unlimited ',' already ',' free ',' worn ',' limit ',' Naturally ',' like ',' gini ',' unlimited ',' name ',' open ',' youtube ',' speed ',' kb ','"&amp;" second ', 'Eyes', 'sick', 'resolution', 'fix', 'move', 'card']")</f>
        <v>['', 'already', 'serving', 'Telkomsel', 'network', 'sometimes',' slow ',' home ',' card ',' subscription ',' unlimited ',' already ',' free ',' worn ',' limit ',' Naturally ',' like ',' gini ',' unlimited ',' name ',' open ',' youtube ',' speed ',' kb ',' second ', 'Eyes', 'sick', 'resolution', 'fix', 'move', 'card']</v>
      </c>
      <c r="D1298" s="3">
        <v>1.0</v>
      </c>
    </row>
    <row r="1299" ht="15.75" customHeight="1">
      <c r="A1299" s="1">
        <v>1297.0</v>
      </c>
      <c r="B1299" s="3" t="s">
        <v>1300</v>
      </c>
      <c r="C1299" s="3" t="str">
        <f>IFERROR(__xludf.DUMMYFUNCTION("GOOGLETRANSLATE(B1299,""id"",""en"")"),"['Dahlah', 'moved', 'provider', 'already', 'price', 'got', 'FUP', 'provider', 'the fastest', 'chat', 'WhatsApp', 'strong', ' Fix ',' Move ',' Provider ']")</f>
        <v>['Dahlah', 'moved', 'provider', 'already', 'price', 'got', 'FUP', 'provider', 'the fastest', 'chat', 'WhatsApp', 'strong', ' Fix ',' Move ',' Provider ']</v>
      </c>
      <c r="D1299" s="3">
        <v>1.0</v>
      </c>
    </row>
    <row r="1300" ht="15.75" customHeight="1">
      <c r="A1300" s="1">
        <v>1298.0</v>
      </c>
      <c r="B1300" s="3" t="s">
        <v>1301</v>
      </c>
      <c r="C1300" s="3" t="str">
        <f>IFERROR(__xludf.DUMMYFUNCTION("GOOGLETRANSLATE(B1300,""id"",""en"")"),"['Come here', 'poor', 'application', 'like', 'stop', 'VIRUS', 'NGADAT', 'Touch', 'Touch', 'Reinstall', 'Install', 'Uninstall', ' Horrified ',' Error ',' Gini ',' ']")</f>
        <v>['Come here', 'poor', 'application', 'like', 'stop', 'VIRUS', 'NGADAT', 'Touch', 'Touch', 'Reinstall', 'Install', 'Uninstall', ' Horrified ',' Error ',' Gini ',' ']</v>
      </c>
      <c r="D1300" s="3">
        <v>2.0</v>
      </c>
    </row>
    <row r="1301" ht="15.75" customHeight="1">
      <c r="A1301" s="1">
        <v>1299.0</v>
      </c>
      <c r="B1301" s="3" t="s">
        <v>1302</v>
      </c>
      <c r="C1301" s="3" t="str">
        <f>IFERROR(__xludf.DUMMYFUNCTION("GOOGLETRANSLATE(B1301,""id"",""en"")"),"['user', 'loyal', 'Telkomsel', 'Males',' Change ',' number ',' package ',' quota ',' cheap ',' buy ',' package ',' quota ',' Telkomsel ',' disappointed ',' org ',' wear ',' Telkomsel ',' package ',' quota ',' cheap ',' compared ',' buy ',' package ',' quo"&amp;"ta ',' mentang ' , 'user', 'quota', 'expensive', 'easy', 'provider', 'good', 'telkomsel', 'bsa', 'mnghrgai', 'pngguna', 'lmanya', 'Akn', ' Gnti ']")</f>
        <v>['user', 'loyal', 'Telkomsel', 'Males',' Change ',' number ',' package ',' quota ',' cheap ',' buy ',' package ',' quota ',' Telkomsel ',' disappointed ',' org ',' wear ',' Telkomsel ',' package ',' quota ',' cheap ',' compared ',' buy ',' package ',' quota ',' mentang ' , 'user', 'quota', 'expensive', 'easy', 'provider', 'good', 'telkomsel', 'bsa', 'mnghrgai', 'pngguna', 'lmanya', 'Akn', ' Gnti ']</v>
      </c>
      <c r="D1301" s="3">
        <v>1.0</v>
      </c>
    </row>
    <row r="1302" ht="15.75" customHeight="1">
      <c r="A1302" s="1">
        <v>1300.0</v>
      </c>
      <c r="B1302" s="3" t="s">
        <v>1303</v>
      </c>
      <c r="C1302" s="3" t="str">
        <f>IFERROR(__xludf.DUMMYFUNCTION("GOOGLETRANSLATE(B1302,""id"",""en"")"),"['Contents',' pulse ',' notification ',' pulses', 'missing', 'Where', 'Disappointed', 'Bener', 'check', 'Telkomsel', 'buy', 'package', ' Telfon ',' pulses', 'missing', 'kah', 'returned', 'pulse', '']")</f>
        <v>['Contents',' pulse ',' notification ',' pulses', 'missing', 'Where', 'Disappointed', 'Bener', 'check', 'Telkomsel', 'buy', 'package', ' Telfon ',' pulses', 'missing', 'kah', 'returned', 'pulse', '']</v>
      </c>
      <c r="D1302" s="3">
        <v>1.0</v>
      </c>
    </row>
    <row r="1303" ht="15.75" customHeight="1">
      <c r="A1303" s="1">
        <v>1301.0</v>
      </c>
      <c r="B1303" s="3" t="s">
        <v>1304</v>
      </c>
      <c r="C1303" s="3" t="str">
        <f>IFERROR(__xludf.DUMMYFUNCTION("GOOGLETRANSLATE(B1303,""id"",""en"")"),"['Quota', 'Telkomsel', 'wastek', 'pakek', 'Telkomsel', 'package', 'a month', 'change', 'application', 'use', 'zoom', 'meting', ' Data ',' GB ',' Maket ',' Date ',' Date ',' Live ',' MB ',' Wrong ',' HP ',' CART ',' WHOY ',' Application ',' Play ' , 'Game'"&amp;", 'Try', 'please', ""]")</f>
        <v>['Quota', 'Telkomsel', 'wastek', 'pakek', 'Telkomsel', 'package', 'a month', 'change', 'application', 'use', 'zoom', 'meting', ' Data ',' GB ',' Maket ',' Date ',' Date ',' Live ',' MB ',' Wrong ',' HP ',' CART ',' WHOY ',' Application ',' Play ' , 'Game', 'Try', 'please', "]</v>
      </c>
      <c r="D1303" s="3">
        <v>1.0</v>
      </c>
    </row>
    <row r="1304" ht="15.75" customHeight="1">
      <c r="A1304" s="1">
        <v>1302.0</v>
      </c>
      <c r="B1304" s="3" t="s">
        <v>1305</v>
      </c>
      <c r="C1304" s="3" t="str">
        <f>IFERROR(__xludf.DUMMYFUNCTION("GOOGLETRANSLATE(B1304,""id"",""en"")"),"['Telkomsel', 'credit', 'missing', 'chronology', 'buy', 'pulse', 'then', 'pairs',' package ',' then ',' buy ',' pulse ',' right ',' open ',' application ',' Telkomsel ',' balance ',' leftover ',' where ',' hey ',' buy ',' package ',' monthna ', ""]")</f>
        <v>['Telkomsel', 'credit', 'missing', 'chronology', 'buy', 'pulse', 'then', 'pairs',' package ',' then ',' buy ',' pulse ',' right ',' open ',' application ',' Telkomsel ',' balance ',' leftover ',' where ',' hey ',' buy ',' package ',' monthna ', "]</v>
      </c>
      <c r="D1304" s="3">
        <v>1.0</v>
      </c>
    </row>
    <row r="1305" ht="15.75" customHeight="1">
      <c r="A1305" s="1">
        <v>1303.0</v>
      </c>
      <c r="B1305" s="3" t="s">
        <v>1306</v>
      </c>
      <c r="C1305" s="3" t="str">
        <f>IFERROR(__xludf.DUMMYFUNCTION("GOOGLETRANSLATE(B1305,""id"",""en"")"),"['', 'Min', 'ask', 'Package', 'Combo', 'Sakti', 'Unlimited', 'Unlimited', 'Restricted', 'Yesterday', 'Yesterday', 'Nidak', 'Restricted ',' unlimited ',' please ',' clarity ',' shocked ',' unlimited ',' restricted ',' package ',' unlimited ']")</f>
        <v>['', 'Min', 'ask', 'Package', 'Combo', 'Sakti', 'Unlimited', 'Unlimited', 'Restricted', 'Yesterday', 'Yesterday', 'Nidak', 'Restricted ',' unlimited ',' please ',' clarity ',' shocked ',' unlimited ',' restricted ',' package ',' unlimited ']</v>
      </c>
      <c r="D1305" s="3">
        <v>3.0</v>
      </c>
    </row>
    <row r="1306" ht="15.75" customHeight="1">
      <c r="A1306" s="1">
        <v>1304.0</v>
      </c>
      <c r="B1306" s="3" t="s">
        <v>1307</v>
      </c>
      <c r="C1306" s="3" t="str">
        <f>IFERROR(__xludf.DUMMYFUNCTION("GOOGLETRANSLATE(B1306,""id"",""en"")"),"['Telkomsel', 'good', 'price', 'exorbitant', 'quality', 'tasty', 'make', 'open', 'anything', 'leg', 'suggestion', 'buy', ' Thinking ',' Mending ',' Cards', 'Price', 'Affordable', 'Quality', 'Not bad', 'Bandingin', 'Telkomsel']")</f>
        <v>['Telkomsel', 'good', 'price', 'exorbitant', 'quality', 'tasty', 'make', 'open', 'anything', 'leg', 'suggestion', 'buy', ' Thinking ',' Mending ',' Cards', 'Price', 'Affordable', 'Quality', 'Not bad', 'Bandingin', 'Telkomsel']</v>
      </c>
      <c r="D1306" s="3">
        <v>1.0</v>
      </c>
    </row>
    <row r="1307" ht="15.75" customHeight="1">
      <c r="A1307" s="1">
        <v>1305.0</v>
      </c>
      <c r="B1307" s="3" t="s">
        <v>1308</v>
      </c>
      <c r="C1307" s="3" t="str">
        <f>IFERROR(__xludf.DUMMYFUNCTION("GOOGLETRANSLATE(B1307,""id"",""en"")"),"['pulse', 'sucked', 'mysterious', 'internet', 'card', 'telephone', 'sms', 'make', '']")</f>
        <v>['pulse', 'sucked', 'mysterious', 'internet', 'card', 'telephone', 'sms', 'make', '']</v>
      </c>
      <c r="D1307" s="3">
        <v>1.0</v>
      </c>
    </row>
    <row r="1308" ht="15.75" customHeight="1">
      <c r="A1308" s="1">
        <v>1306.0</v>
      </c>
      <c r="B1308" s="3" t="s">
        <v>1309</v>
      </c>
      <c r="C1308" s="3" t="str">
        <f>IFERROR(__xludf.DUMMYFUNCTION("GOOGLETRANSLATE(B1308,""id"",""en"")"),"['Difficult', 'WiFi', 'smooth', 'data', 'cellular', 'ISA', 'Not bad', 'use', 'application', 'effsyient']")</f>
        <v>['Difficult', 'WiFi', 'smooth', 'data', 'cellular', 'ISA', 'Not bad', 'use', 'application', 'effsyient']</v>
      </c>
      <c r="D1308" s="3">
        <v>1.0</v>
      </c>
    </row>
    <row r="1309" ht="15.75" customHeight="1">
      <c r="A1309" s="1">
        <v>1307.0</v>
      </c>
      <c r="B1309" s="3" t="s">
        <v>1310</v>
      </c>
      <c r="C1309" s="3" t="str">
        <f>IFERROR(__xludf.DUMMYFUNCTION("GOOGLETRANSLATE(B1309,""id"",""en"")"),"['Excuse', 'card', 'accept', 'pulse', 'filled', 'pulse', 'enter', 'enter', 'already', 'times',' contents', 'pulses',' Pulsely ',' enter ']")</f>
        <v>['Excuse', 'card', 'accept', 'pulse', 'filled', 'pulse', 'enter', 'enter', 'already', 'times',' contents', 'pulses',' Pulsely ',' enter ']</v>
      </c>
      <c r="D1309" s="3">
        <v>2.0</v>
      </c>
    </row>
    <row r="1310" ht="15.75" customHeight="1">
      <c r="A1310" s="1">
        <v>1308.0</v>
      </c>
      <c r="B1310" s="3" t="s">
        <v>1311</v>
      </c>
      <c r="C1310" s="3" t="str">
        <f>IFERROR(__xludf.DUMMYFUNCTION("GOOGLETRANSLATE(B1310,""id"",""en"")"),"['quota', 'main', 'sumps',' open ',' youtube ',' buy ',' package ',' multimedia ',' unlimited ',' free ',' youtube ',' harm ',' Consumers', 'Kayak', 'Gini', 'EMG', 'Telkomsel', 'Tipu', 'Consumers',' Kayak ',' Gini ',' Please ',' Explanation ', ""]")</f>
        <v>['quota', 'main', 'sumps',' open ',' youtube ',' buy ',' package ',' multimedia ',' unlimited ',' free ',' youtube ',' harm ',' Consumers', 'Kayak', 'Gini', 'EMG', 'Telkomsel', 'Tipu', 'Consumers',' Kayak ',' Gini ',' Please ',' Explanation ', "]</v>
      </c>
      <c r="D1310" s="3">
        <v>1.0</v>
      </c>
    </row>
    <row r="1311" ht="15.75" customHeight="1">
      <c r="A1311" s="1">
        <v>1309.0</v>
      </c>
      <c r="B1311" s="3" t="s">
        <v>1312</v>
      </c>
      <c r="C1311" s="3" t="str">
        <f>IFERROR(__xludf.DUMMYFUNCTION("GOOGLETRANSLATE(B1311,""id"",""en"")"),"['Sorry', 'star', 'love', 'times',' enter ',' application ',' need ',' loading ',' APL ',' class', 'Telkomsel', 'slow', ' Users', 'loyal', 'Telkomsel', 'disappointed', 'service', 'please', 'enhanced', 'Thanks',' GBU ']")</f>
        <v>['Sorry', 'star', 'love', 'times',' enter ',' application ',' need ',' loading ',' APL ',' class', 'Telkomsel', 'slow', ' Users', 'loyal', 'Telkomsel', 'disappointed', 'service', 'please', 'enhanced', 'Thanks',' GBU ']</v>
      </c>
      <c r="D1311" s="3">
        <v>2.0</v>
      </c>
    </row>
    <row r="1312" ht="15.75" customHeight="1">
      <c r="A1312" s="1">
        <v>1310.0</v>
      </c>
      <c r="B1312" s="3" t="s">
        <v>1313</v>
      </c>
      <c r="C1312" s="3" t="str">
        <f>IFERROR(__xludf.DUMMYFUNCTION("GOOGLETRANSLATE(B1312,""id"",""en"")"),"['Quality', 'Signal', 'Telkomsel', 'Change', 'Price', 'Package', 'Expensive', 'Signal', 'Bad', 'User', 'Telkomsel', 'Disappointed', ' additional ',' complaints', 'pulses',' top ',' diamond ',' mobile ',' legends', 'bang', 'bang', 'difficult', 'update', 'a"&amp;"pplication']")</f>
        <v>['Quality', 'Signal', 'Telkomsel', 'Change', 'Price', 'Package', 'Expensive', 'Signal', 'Bad', 'User', 'Telkomsel', 'Disappointed', ' additional ',' complaints', 'pulses',' top ',' diamond ',' mobile ',' legends', 'bang', 'bang', 'difficult', 'update', 'application']</v>
      </c>
      <c r="D1312" s="3">
        <v>1.0</v>
      </c>
    </row>
    <row r="1313" ht="15.75" customHeight="1">
      <c r="A1313" s="1">
        <v>1311.0</v>
      </c>
      <c r="B1313" s="3" t="s">
        <v>1314</v>
      </c>
      <c r="C1313" s="3" t="str">
        <f>IFERROR(__xludf.DUMMYFUNCTION("GOOGLETRANSLATE(B1313,""id"",""en"")"),"['apk', 'Telkomsel', 'Severe', 'really', 'klw', 'buy', 'package', 'network', 'direct', 'good', 'open', 'network', ' Stable ',' Please ',' CPT ',' Fix ',' ']")</f>
        <v>['apk', 'Telkomsel', 'Severe', 'really', 'klw', 'buy', 'package', 'network', 'direct', 'good', 'open', 'network', ' Stable ',' Please ',' CPT ',' Fix ',' ']</v>
      </c>
      <c r="D1313" s="3">
        <v>3.0</v>
      </c>
    </row>
    <row r="1314" ht="15.75" customHeight="1">
      <c r="A1314" s="1">
        <v>1312.0</v>
      </c>
      <c r="B1314" s="3" t="s">
        <v>1315</v>
      </c>
      <c r="C1314" s="3" t="str">
        <f>IFERROR(__xludf.DUMMYFUNCTION("GOOGLETRANSLATE(B1314,""id"",""en"")"),"['here', 'inconsequential', 'price', 'package', 'package', 'missing', 'price', 'unlimited', 'max', 'no', 'rich', 'dlu', ' Limit ',' FUP ',' Price ',' Signal ',' Down ',' Server ',' Down ',' ']")</f>
        <v>['here', 'inconsequential', 'price', 'package', 'package', 'missing', 'price', 'unlimited', 'max', 'no', 'rich', 'dlu', ' Limit ',' FUP ',' Price ',' Signal ',' Down ',' Server ',' Down ',' ']</v>
      </c>
      <c r="D1314" s="3">
        <v>1.0</v>
      </c>
    </row>
    <row r="1315" ht="15.75" customHeight="1">
      <c r="A1315" s="1">
        <v>1313.0</v>
      </c>
      <c r="B1315" s="3" t="s">
        <v>1316</v>
      </c>
      <c r="C1315" s="3" t="str">
        <f>IFERROR(__xludf.DUMMYFUNCTION("GOOGLETRANSLATE(B1315,""id"",""en"")"),"['Top', 'Telkomsel', 'Enter', 'repeat', 'enter', 'Please', 'Terms', 'The rest', ""]")</f>
        <v>['Top', 'Telkomsel', 'Enter', 'repeat', 'enter', 'Please', 'Terms', 'The rest', "]</v>
      </c>
      <c r="D1315" s="3">
        <v>2.0</v>
      </c>
    </row>
    <row r="1316" ht="15.75" customHeight="1">
      <c r="A1316" s="1">
        <v>1314.0</v>
      </c>
      <c r="B1316" s="3" t="s">
        <v>1317</v>
      </c>
      <c r="C1316" s="3" t="str">
        <f>IFERROR(__xludf.DUMMYFUNCTION("GOOGLETRANSLATE(B1316,""id"",""en"")"),"['Exchange', 'Point', 'Honda', 'Jazz', 'Unit', 'Honda', 'Jazz', 'Unit', 'Honda', 'Jazz', 'Exchange', 'Unit', ' Brio ',' Love ',' Star ',' Unit ',' Distance ',' Exchange ',' Point ', ""]")</f>
        <v>['Exchange', 'Point', 'Honda', 'Jazz', 'Unit', 'Honda', 'Jazz', 'Unit', 'Honda', 'Jazz', 'Exchange', 'Unit', ' Brio ',' Love ',' Star ',' Unit ',' Distance ',' Exchange ',' Point ', "]</v>
      </c>
      <c r="D1316" s="3">
        <v>5.0</v>
      </c>
    </row>
    <row r="1317" ht="15.75" customHeight="1">
      <c r="A1317" s="1">
        <v>1315.0</v>
      </c>
      <c r="B1317" s="3" t="s">
        <v>1318</v>
      </c>
      <c r="C1317" s="3" t="str">
        <f>IFERROR(__xludf.DUMMYFUNCTION("GOOGLETRANSLATE(B1317,""id"",""en"")"),"['experience', 'obstacles',' transaction ',' Select ',' Package ',' Pulses', 'Notification', 'SMS', 'Enter', 'Credit', 'Curse', 'Please', ' improve ',' transaction ']")</f>
        <v>['experience', 'obstacles',' transaction ',' Select ',' Package ',' Pulses', 'Notification', 'SMS', 'Enter', 'Credit', 'Curse', 'Please', ' improve ',' transaction ']</v>
      </c>
      <c r="D1317" s="3">
        <v>3.0</v>
      </c>
    </row>
    <row r="1318" ht="15.75" customHeight="1">
      <c r="A1318" s="1">
        <v>1316.0</v>
      </c>
      <c r="B1318" s="3" t="s">
        <v>1319</v>
      </c>
      <c r="C1318" s="3" t="str">
        <f>IFERROR(__xludf.DUMMYFUNCTION("GOOGLETRANSLATE(B1318,""id"",""en"")"),"['Good', 'Masii', 'NGK', 'Understand', 'Open', 'Application', 'Data', 'manteng', 'Kerangs',' mode ',' operator ',' The network ',' Drain ',' Data ',' Why ',' What ',' sucked ',' Kenceng ',' That's', 'Please', 'Explanation', '']")</f>
        <v>['Good', 'Masii', 'NGK', 'Understand', 'Open', 'Application', 'Data', 'manteng', 'Kerangs',' mode ',' operator ',' The network ',' Drain ',' Data ',' Why ',' What ',' sucked ',' Kenceng ',' That's', 'Please', 'Explanation', '']</v>
      </c>
      <c r="D1318" s="3">
        <v>5.0</v>
      </c>
    </row>
    <row r="1319" ht="15.75" customHeight="1">
      <c r="A1319" s="1">
        <v>1317.0</v>
      </c>
      <c r="B1319" s="3" t="s">
        <v>1320</v>
      </c>
      <c r="C1319" s="3" t="str">
        <f>IFERROR(__xludf.DUMMYFUNCTION("GOOGLETRANSLATE(B1319,""id"",""en"")"),"['poor', 'Telkomnyet', 'buy', 'quota', 'emergency', 'told', 'punasin', 'pulse', 'pulse', 'cut', 'automatic', 'purchase', ' Ngaco ',' Telkomsel ',' Males', 'moved', 'smartfren']")</f>
        <v>['poor', 'Telkomnyet', 'buy', 'quota', 'emergency', 'told', 'punasin', 'pulse', 'pulse', 'cut', 'automatic', 'purchase', ' Ngaco ',' Telkomsel ',' Males', 'moved', 'smartfren']</v>
      </c>
      <c r="D1319" s="3">
        <v>1.0</v>
      </c>
    </row>
    <row r="1320" ht="15.75" customHeight="1">
      <c r="A1320" s="1">
        <v>1318.0</v>
      </c>
      <c r="B1320" s="3" t="s">
        <v>1321</v>
      </c>
      <c r="C1320" s="3" t="str">
        <f>IFERROR(__xludf.DUMMYFUNCTION("GOOGLETRANSLATE(B1320,""id"",""en"")"),"['unlimited', 'max', 'but', 'limited', 'quota', 'unlimited', 'tip', 'tip', 'limited', 'thank you', 'telkomsel', 'switch', ' card', '']")</f>
        <v>['unlimited', 'max', 'but', 'limited', 'quota', 'unlimited', 'tip', 'tip', 'limited', 'thank you', 'telkomsel', 'switch', ' card', '']</v>
      </c>
      <c r="D1320" s="3">
        <v>3.0</v>
      </c>
    </row>
    <row r="1321" ht="15.75" customHeight="1">
      <c r="A1321" s="1">
        <v>1319.0</v>
      </c>
      <c r="B1321" s="3" t="s">
        <v>1322</v>
      </c>
      <c r="C1321" s="3" t="str">
        <f>IFERROR(__xludf.DUMMYFUNCTION("GOOGLETRANSLATE(B1321,""id"",""en"")"),"['The application', 'slow', 'parahhh', 'kogin', 'difficult', 'what', 'check', 'quota', 'buy', 'quota', 'Yutuban', 'signal', ' Current ',' Pas', 'Used', 'Open', 'APK', 'Lemot', 'Ketulungan', '']")</f>
        <v>['The application', 'slow', 'parahhh', 'kogin', 'difficult', 'what', 'check', 'quota', 'buy', 'quota', 'Yutuban', 'signal', ' Current ',' Pas', 'Used', 'Open', 'APK', 'Lemot', 'Ketulungan', '']</v>
      </c>
      <c r="D1321" s="3">
        <v>1.0</v>
      </c>
    </row>
    <row r="1322" ht="15.75" customHeight="1">
      <c r="A1322" s="1">
        <v>1320.0</v>
      </c>
      <c r="B1322" s="3" t="s">
        <v>1323</v>
      </c>
      <c r="C1322" s="3" t="str">
        <f>IFERROR(__xludf.DUMMYFUNCTION("GOOGLETRANSLATE(B1322,""id"",""en"")"),"['Teruntuk', 'Telkomsel', 'pulse', 'sumps',' mulu ',' rb ',' sometimes', 'buy', 'package', 'like', 'response', 'Please', ' Fix ',' Thank you ', ""]")</f>
        <v>['Teruntuk', 'Telkomsel', 'pulse', 'sumps',' mulu ',' rb ',' sometimes', 'buy', 'package', 'like', 'response', 'Please', ' Fix ',' Thank you ', "]</v>
      </c>
      <c r="D1322" s="3">
        <v>1.0</v>
      </c>
    </row>
    <row r="1323" ht="15.75" customHeight="1">
      <c r="A1323" s="1">
        <v>1321.0</v>
      </c>
      <c r="B1323" s="3" t="s">
        <v>1324</v>
      </c>
      <c r="C1323" s="3" t="str">
        <f>IFERROR(__xludf.DUMMYFUNCTION("GOOGLETRANSLATE(B1323,""id"",""en"")"),"['Time', 'Telkomsel', 'Customer', 'Provider', 'Disappointed', 'Service', 'Internet', 'Stable', 'Region', 'Capital', 'Jakarta', 'Dide', ' bad signal', '']")</f>
        <v>['Time', 'Telkomsel', 'Customer', 'Provider', 'Disappointed', 'Service', 'Internet', 'Stable', 'Region', 'Capital', 'Jakarta', 'Dide', ' bad signal', '']</v>
      </c>
      <c r="D1323" s="3">
        <v>2.0</v>
      </c>
    </row>
    <row r="1324" ht="15.75" customHeight="1">
      <c r="A1324" s="1">
        <v>1322.0</v>
      </c>
      <c r="B1324" s="3" t="s">
        <v>1325</v>
      </c>
      <c r="C1324" s="3" t="str">
        <f>IFERROR(__xludf.DUMMYFUNCTION("GOOGLETRANSLATE(B1324,""id"",""en"")"),"['Woyy', 'abdate', 'koplak', 'abis',' update ',' see ',' package ',' yag ',' reading ',' error ',' please ',' try ',' Wonder ',' Package ',' Game ',' max ',' promo ',' buy ',' rib ',' nahh ',' play ',' game ',' kouta ',' main ',' finished ' , 'Nihh', 'Kou"&amp;"ta', 'main', 'run out', 'left', 'package', 'game', 'max', 'GB', 'play', 'game', 'Lahhh', ' Koutaa ',' try ',' kouta ',' garbage ']")</f>
        <v>['Woyy', 'abdate', 'koplak', 'abis',' update ',' see ',' package ',' yag ',' reading ',' error ',' please ',' try ',' Wonder ',' Package ',' Game ',' max ',' promo ',' buy ',' rib ',' nahh ',' play ',' game ',' kouta ',' main ',' finished ' , 'Nihh', 'Kouta', 'main', 'run out', 'left', 'package', 'game', 'max', 'GB', 'play', 'game', 'Lahhh', ' Koutaa ',' try ',' kouta ',' garbage ']</v>
      </c>
      <c r="D1324" s="3">
        <v>1.0</v>
      </c>
    </row>
    <row r="1325" ht="15.75" customHeight="1">
      <c r="A1325" s="1">
        <v>1323.0</v>
      </c>
      <c r="B1325" s="3" t="s">
        <v>1326</v>
      </c>
      <c r="C1325" s="3" t="str">
        <f>IFERROR(__xludf.DUMMYFUNCTION("GOOGLETRANSLATE(B1325,""id"",""en"")"),"['price', 'even', 'cook', 'used to', 'used to', 'topup', 'pulse', 'ngisa', 'skali', 'sorted', 'RSA', 'Telkomsel', ' In the future ',' serves', 'bad']")</f>
        <v>['price', 'even', 'cook', 'used to', 'used to', 'topup', 'pulse', 'ngisa', 'skali', 'sorted', 'RSA', 'Telkomsel', ' In the future ',' serves', 'bad']</v>
      </c>
      <c r="D1325" s="3">
        <v>1.0</v>
      </c>
    </row>
    <row r="1326" ht="15.75" customHeight="1">
      <c r="A1326" s="1">
        <v>1324.0</v>
      </c>
      <c r="B1326" s="3" t="s">
        <v>1327</v>
      </c>
      <c r="C1326" s="3" t="str">
        <f>IFERROR(__xludf.DUMMYFUNCTION("GOOGLETRANSLATE(B1326,""id"",""en"")"),"['connection', 'internet', 'good', 'fast', 'play', 'game', 'connection', 'stable', 'disconnected', 'lag', 'promo', 'quota', ' Cashbak ',' Mending ',' Move ',' Operator ']")</f>
        <v>['connection', 'internet', 'good', 'fast', 'play', 'game', 'connection', 'stable', 'disconnected', 'lag', 'promo', 'quota', ' Cashbak ',' Mending ',' Move ',' Operator ']</v>
      </c>
      <c r="D1326" s="3">
        <v>1.0</v>
      </c>
    </row>
    <row r="1327" ht="15.75" customHeight="1">
      <c r="A1327" s="1">
        <v>1325.0</v>
      </c>
      <c r="B1327" s="3" t="s">
        <v>1328</v>
      </c>
      <c r="C1327" s="3" t="str">
        <f>IFERROR(__xludf.DUMMYFUNCTION("GOOGLETRANSLATE(B1327,""id"",""en"")"),"['Maap', 'love', 'star', 'Raying', 'buy', 'quota', 'expensive', 'expensive', 'slow', 'network', 'me', 'good', ' Please, 'Fix', 'Have Mad', 'Consumers', 'Enjoy', 'Lemot']")</f>
        <v>['Maap', 'love', 'star', 'Raying', 'buy', 'quota', 'expensive', 'expensive', 'slow', 'network', 'me', 'good', ' Please, 'Fix', 'Have Mad', 'Consumers', 'Enjoy', 'Lemot']</v>
      </c>
      <c r="D1327" s="3">
        <v>1.0</v>
      </c>
    </row>
    <row r="1328" ht="15.75" customHeight="1">
      <c r="A1328" s="1">
        <v>1326.0</v>
      </c>
      <c r="B1328" s="3" t="s">
        <v>1329</v>
      </c>
      <c r="C1328" s="3" t="str">
        <f>IFERROR(__xludf.DUMMYFUNCTION("GOOGLETRANSLATE(B1328,""id"",""en"")"),"['Down', 'Bintang', 'habit', 'abis',' contents', 'pulse', 'direct', 'packagein', 'disorder', 'mulu', 'contact', 'customer', ' Sevice ',' Teparted ',' Tele ',' Laver ',' Mgrew ',' Link ']")</f>
        <v>['Down', 'Bintang', 'habit', 'abis',' contents', 'pulse', 'direct', 'packagein', 'disorder', 'mulu', 'contact', 'customer', ' Sevice ',' Teparted ',' Tele ',' Laver ',' Mgrew ',' Link ']</v>
      </c>
      <c r="D1328" s="3">
        <v>1.0</v>
      </c>
    </row>
    <row r="1329" ht="15.75" customHeight="1">
      <c r="A1329" s="1">
        <v>1327.0</v>
      </c>
      <c r="B1329" s="3" t="s">
        <v>1330</v>
      </c>
      <c r="C1329" s="3" t="str">
        <f>IFERROR(__xludf.DUMMYFUNCTION("GOOGLETRANSLATE(B1329,""id"",""en"")"),"['price', 'quota', 'quality', 'signal', 'Telkomsel', 'Customer', 'balanced', 'price', 'quota', 'expensive', 'balanced', 'quality', ' signal ',' good ',' signal ',' Telkomsel ',' in the area ',' bad ',' please ',' noticed ',' take ',' profit ',' thank ',' "&amp;"']")</f>
        <v>['price', 'quota', 'quality', 'signal', 'Telkomsel', 'Customer', 'balanced', 'price', 'quota', 'expensive', 'balanced', 'quality', ' signal ',' good ',' signal ',' Telkomsel ',' in the area ',' bad ',' please ',' noticed ',' take ',' profit ',' thank ',' ']</v>
      </c>
      <c r="D1329" s="3">
        <v>3.0</v>
      </c>
    </row>
    <row r="1330" ht="15.75" customHeight="1">
      <c r="A1330" s="1">
        <v>1328.0</v>
      </c>
      <c r="B1330" s="3" t="s">
        <v>1331</v>
      </c>
      <c r="C1330" s="3" t="str">
        <f>IFERROR(__xludf.DUMMYFUNCTION("GOOGLETRANSLATE(B1330,""id"",""en"")"),"['Card', 'Telkomsel', 'package', 'quota', 'unlimited', 'max', 'stop', 'already', 'buy', 'quota', 'kepake', 'unlimited', ' max ',' pdhl ',' unlimited ',' already ',' FUB ',' slow ',' staple ',' disappointed ',' Telkomsel ']")</f>
        <v>['Card', 'Telkomsel', 'package', 'quota', 'unlimited', 'max', 'stop', 'already', 'buy', 'quota', 'kepake', 'unlimited', ' max ',' pdhl ',' unlimited ',' already ',' FUB ',' slow ',' staple ',' disappointed ',' Telkomsel ']</v>
      </c>
      <c r="D1330" s="3">
        <v>1.0</v>
      </c>
    </row>
    <row r="1331" ht="15.75" customHeight="1">
      <c r="A1331" s="1">
        <v>1329.0</v>
      </c>
      <c r="B1331" s="3" t="s">
        <v>1332</v>
      </c>
      <c r="C1331" s="3" t="str">
        <f>IFERROR(__xludf.DUMMYFUNCTION("GOOGLETRANSLATE(B1331,""id"",""en"")"),"['Application', 'Telkomsel', 'Severe', 'Klu', 'Open', 'Application', 'Lemot', 'Very', 'Severe', 'Update', 'Severe', 'Heavy', ' really ',' NOT ',' HADEH ']")</f>
        <v>['Application', 'Telkomsel', 'Severe', 'Klu', 'Open', 'Application', 'Lemot', 'Very', 'Severe', 'Update', 'Severe', 'Heavy', ' really ',' NOT ',' HADEH ']</v>
      </c>
      <c r="D1331" s="3">
        <v>1.0</v>
      </c>
    </row>
    <row r="1332" ht="15.75" customHeight="1">
      <c r="A1332" s="1">
        <v>1330.0</v>
      </c>
      <c r="B1332" s="3" t="s">
        <v>1333</v>
      </c>
      <c r="C1332" s="3" t="str">
        <f>IFERROR(__xludf.DUMMYFUNCTION("GOOGLETRANSLATE(B1332,""id"",""en"")"),"['Please', 'Application', 'Repaired', 'Connection', 'Stable', 'Open', 'Application', 'Current', 'Open', 'Telkomsel', 'Change', 'Stable', ' Stable ',' connection ',' APK ',' ']")</f>
        <v>['Please', 'Application', 'Repaired', 'Connection', 'Stable', 'Open', 'Application', 'Current', 'Open', 'Telkomsel', 'Change', 'Stable', ' Stable ',' connection ',' APK ',' ']</v>
      </c>
      <c r="D1332" s="3">
        <v>2.0</v>
      </c>
    </row>
    <row r="1333" ht="15.75" customHeight="1">
      <c r="A1333" s="1">
        <v>1331.0</v>
      </c>
      <c r="B1333" s="3" t="s">
        <v>1334</v>
      </c>
      <c r="C1333" s="3" t="str">
        <f>IFERROR(__xludf.DUMMYFUNCTION("GOOGLETRANSLATE(B1333,""id"",""en"")"),"['signal', 'good', 'taik', 'signal', 'ugly', 'signal', 'timblellllllllllllllllllllllllllllllllllllllllllllllllllllllllllllllllllllllllllllll "" ']")</f>
        <v>['signal', 'good', 'taik', 'signal', 'ugly', 'signal', 'timblellllllllllllllllllllllllllllllllllllllllllllllllllllllllllllllllllllllllllllll " ']</v>
      </c>
      <c r="D1333" s="3">
        <v>1.0</v>
      </c>
    </row>
    <row r="1334" ht="15.75" customHeight="1">
      <c r="A1334" s="1">
        <v>1332.0</v>
      </c>
      <c r="B1334" s="3" t="s">
        <v>1335</v>
      </c>
      <c r="C1334" s="3" t="str">
        <f>IFERROR(__xludf.DUMMYFUNCTION("GOOGLETRANSLATE(B1334,""id"",""en"")"),"['Disappointed', 'unlimited', 'limit', 'Normal', 'smooth', 'already', 'price', 'limit', 'reasonable', 'comfortable', 'Telkomsel']")</f>
        <v>['Disappointed', 'unlimited', 'limit', 'Normal', 'smooth', 'already', 'price', 'limit', 'reasonable', 'comfortable', 'Telkomsel']</v>
      </c>
      <c r="D1334" s="3">
        <v>1.0</v>
      </c>
    </row>
    <row r="1335" ht="15.75" customHeight="1">
      <c r="A1335" s="1">
        <v>1333.0</v>
      </c>
      <c r="B1335" s="3" t="s">
        <v>1336</v>
      </c>
      <c r="C1335" s="3" t="str">
        <f>IFERROR(__xludf.DUMMYFUNCTION("GOOGLETRANSLATE(B1335,""id"",""en"")"),"['difficult', 'open', 'app', 'loading', 'slow', 'network', 'good', 'open', 'app', 'smooth', 'hope', 'fix', ' Bug ',' ']")</f>
        <v>['difficult', 'open', 'app', 'loading', 'slow', 'network', 'good', 'open', 'app', 'smooth', 'hope', 'fix', ' Bug ',' ']</v>
      </c>
      <c r="D1335" s="3">
        <v>2.0</v>
      </c>
    </row>
    <row r="1336" ht="15.75" customHeight="1">
      <c r="A1336" s="1">
        <v>1334.0</v>
      </c>
      <c r="B1336" s="3" t="s">
        <v>1337</v>
      </c>
      <c r="C1336" s="3" t="str">
        <f>IFERROR(__xludf.DUMMYFUNCTION("GOOGLETRANSLATE(B1336,""id"",""en"")"),"['ugly', 'apk', 'boong', 'good', 'love', 'star', '']")</f>
        <v>['ugly', 'apk', 'boong', 'good', 'love', 'star', '']</v>
      </c>
      <c r="D1336" s="3">
        <v>5.0</v>
      </c>
    </row>
    <row r="1337" ht="15.75" customHeight="1">
      <c r="A1337" s="1">
        <v>1335.0</v>
      </c>
      <c r="B1337" s="3" t="s">
        <v>1338</v>
      </c>
      <c r="C1337" s="3" t="str">
        <f>IFERROR(__xludf.DUMMYFUNCTION("GOOGLETRANSLATE(B1337,""id"",""en"")"),"['Disappointed', 'really', 'back', 'combo', 'Sakti', 'unlimited', 'rich', 'multimedia', 'unlimited', 'love', 'quota', 'Ong', ' Mending ',' Delete ',' Package ',' Combo ',' Sakti ',' Change ',' Operator ']")</f>
        <v>['Disappointed', 'really', 'back', 'combo', 'Sakti', 'unlimited', 'rich', 'multimedia', 'unlimited', 'love', 'quota', 'Ong', ' Mending ',' Delete ',' Package ',' Combo ',' Sakti ',' Change ',' Operator ']</v>
      </c>
      <c r="D1337" s="3">
        <v>1.0</v>
      </c>
    </row>
    <row r="1338" ht="15.75" customHeight="1">
      <c r="A1338" s="1">
        <v>1336.0</v>
      </c>
      <c r="B1338" s="3" t="s">
        <v>1339</v>
      </c>
      <c r="C1338" s="3" t="str">
        <f>IFERROR(__xludf.DUMMYFUNCTION("GOOGLETRANSLATE(B1338,""id"",""en"")"),"['Min', 'ask', 'combo', 'sick', 'Telkomsel', 'leftover', 'package', 'multimedia', 'watch', 'youtube', 'etc.', 'error', ' Min ',' Delasin ',' TRS ',' Main ',' Game ',' Network ',' Busy ',' Kouta ',' Sampe ',' Date ',' May ',' Error ']")</f>
        <v>['Min', 'ask', 'combo', 'sick', 'Telkomsel', 'leftover', 'package', 'multimedia', 'watch', 'youtube', 'etc.', 'error', ' Min ',' Delasin ',' TRS ',' Main ',' Game ',' Network ',' Busy ',' Kouta ',' Sampe ',' Date ',' May ',' Error ']</v>
      </c>
      <c r="D1338" s="3">
        <v>1.0</v>
      </c>
    </row>
    <row r="1339" ht="15.75" customHeight="1">
      <c r="A1339" s="1">
        <v>1337.0</v>
      </c>
      <c r="B1339" s="3" t="s">
        <v>1340</v>
      </c>
      <c r="C1339" s="3" t="str">
        <f>IFERROR(__xludf.DUMMYFUNCTION("GOOGLETRANSLATE(B1339,""id"",""en"")"),"['free', 'game', 'game', 'lag', 'disappointed', 'cave', 'buy', 'package', 'Telkomsel', 'mending', 'buy', 'quota', ' already ',' good ',' smooth ',' not ',' rich ',' Telkomsel ',' regret ',' cave ',' buy ',' quota ',' telkomsel ']")</f>
        <v>['free', 'game', 'game', 'lag', 'disappointed', 'cave', 'buy', 'package', 'Telkomsel', 'mending', 'buy', 'quota', ' already ',' good ',' smooth ',' not ',' rich ',' Telkomsel ',' regret ',' cave ',' buy ',' quota ',' telkomsel ']</v>
      </c>
      <c r="D1339" s="3">
        <v>1.0</v>
      </c>
    </row>
    <row r="1340" ht="15.75" customHeight="1">
      <c r="A1340" s="1">
        <v>1338.0</v>
      </c>
      <c r="B1340" s="3" t="s">
        <v>1341</v>
      </c>
      <c r="C1340" s="3" t="str">
        <f>IFERROR(__xludf.DUMMYFUNCTION("GOOGLETRANSLATE(B1340,""id"",""en"")"),"['Telkomsel', 'tissue', 'slow', 'beaten', 'cloudy', 'little', 'already', 'co-to', 'open', 'please', 'the network', 'repaired', ' BLI ',' quota ',' money ', ""]")</f>
        <v>['Telkomsel', 'tissue', 'slow', 'beaten', 'cloudy', 'little', 'already', 'co-to', 'open', 'please', 'the network', 'repaired', ' BLI ',' quota ',' money ', "]</v>
      </c>
      <c r="D1340" s="3">
        <v>1.0</v>
      </c>
    </row>
    <row r="1341" ht="15.75" customHeight="1">
      <c r="A1341" s="1">
        <v>1339.0</v>
      </c>
      <c r="B1341" s="3" t="s">
        <v>1342</v>
      </c>
      <c r="C1341" s="3" t="str">
        <f>IFERROR(__xludf.DUMMYFUNCTION("GOOGLETRANSLATE(B1341,""id"",""en"")"),"['min', 'please', 'user', 'Telkomsel', 'loyal', 'please', 'please', 'signal', 'fix', 'price', 'card', 'Telkomsel', ' expensive ',' signal ',' good ',' please ',' fix ',' signal ', ""]")</f>
        <v>['min', 'please', 'user', 'Telkomsel', 'loyal', 'please', 'please', 'signal', 'fix', 'price', 'card', 'Telkomsel', ' expensive ',' signal ',' good ',' please ',' fix ',' signal ', "]</v>
      </c>
      <c r="D1341" s="3">
        <v>1.0</v>
      </c>
    </row>
    <row r="1342" ht="15.75" customHeight="1">
      <c r="A1342" s="1">
        <v>1340.0</v>
      </c>
      <c r="B1342" s="3" t="s">
        <v>1343</v>
      </c>
      <c r="C1342" s="3" t="str">
        <f>IFERROR(__xludf.DUMMYFUNCTION("GOOGLETRANSLATE(B1342,""id"",""en"")"),"['Play', 'Store', 'Direct', 'Ngeapain', 'Issle', 'Mail', 'Need', 'Solution', 'Mimin', 'Monk', 'Blank', 'Hadeh', ' Contact ',' Mail ',' Twitter ',' Solution ',' ']")</f>
        <v>['Play', 'Store', 'Direct', 'Ngeapain', 'Issle', 'Mail', 'Need', 'Solution', 'Mimin', 'Monk', 'Blank', 'Hadeh', ' Contact ',' Mail ',' Twitter ',' Solution ',' ']</v>
      </c>
      <c r="D1342" s="3">
        <v>1.0</v>
      </c>
    </row>
    <row r="1343" ht="15.75" customHeight="1">
      <c r="A1343" s="1">
        <v>1341.0</v>
      </c>
      <c r="B1343" s="3" t="s">
        <v>1344</v>
      </c>
      <c r="C1343" s="3" t="str">
        <f>IFERROR(__xludf.DUMMYFUNCTION("GOOGLETRANSLATE(B1343,""id"",""en"")"),"['apk', 'already', 'update', 'until', 'problematic', 'network', 'network', 'full', 'connect', 'quota', 'internet', 'disappointed', ' Severe ',' Telkomsel ',' Network ',' Telkom ',' Lost ',' Tree ',' Shyu ']")</f>
        <v>['apk', 'already', 'update', 'until', 'problematic', 'network', 'network', 'full', 'connect', 'quota', 'internet', 'disappointed', ' Severe ',' Telkomsel ',' Network ',' Telkom ',' Lost ',' Tree ',' Shyu ']</v>
      </c>
      <c r="D1343" s="3">
        <v>1.0</v>
      </c>
    </row>
    <row r="1344" ht="15.75" customHeight="1">
      <c r="A1344" s="1">
        <v>1342.0</v>
      </c>
      <c r="B1344" s="3" t="s">
        <v>1345</v>
      </c>
      <c r="C1344" s="3" t="str">
        <f>IFERROR(__xludf.DUMMYFUNCTION("GOOGLETRANSLATE(B1344,""id"",""en"")"),"['Telkomsel', 'package', 'expensive', 'network', 'ugly', 'Lahh', 'like', 'buy', 'package', 'unlinmited', 'Mahalin', 'unlinmuted', ' ilang ',' please ',' love ',' package ',' price ',' tasty ',' gituh ',' buy ']")</f>
        <v>['Telkomsel', 'package', 'expensive', 'network', 'ugly', 'Lahh', 'like', 'buy', 'package', 'unlinmited', 'Mahalin', 'unlinmuted', ' ilang ',' please ',' love ',' package ',' price ',' tasty ',' gituh ',' buy ']</v>
      </c>
      <c r="D1344" s="3">
        <v>1.0</v>
      </c>
    </row>
    <row r="1345" ht="15.75" customHeight="1">
      <c r="A1345" s="1">
        <v>1343.0</v>
      </c>
      <c r="B1345" s="3" t="s">
        <v>1346</v>
      </c>
      <c r="C1345" s="3" t="str">
        <f>IFERROR(__xludf.DUMMYFUNCTION("GOOGLETRANSLATE(B1345,""id"",""en"")"),"['many years',' users', 'Telkomsel', 'Internet', 'TLP', 'etc.', 'times',' Sekasewa ',' Telkomsel ',' users', 'package', 'combo', ' Sakti ',' Combo ',' Sakti ',' Unlimited ',' Brief ',' Story ',' Yesterday ',' Out ',' Package ',' Combo ',' Sakti ',' Buy ',"&amp;"' Paketan ' , 'APP', 'Telkomsel', 'already', 'Words',' Use ',' Package ',' Internet ',' Combo ',' Sakti ',' Combo ',' Sakti ',' Already ',' Subscriptions', 'Disappointed', '']")</f>
        <v>['many years',' users', 'Telkomsel', 'Internet', 'TLP', 'etc.', 'times',' Sekasewa ',' Telkomsel ',' users', 'package', 'combo', ' Sakti ',' Combo ',' Sakti ',' Unlimited ',' Brief ',' Story ',' Yesterday ',' Out ',' Package ',' Combo ',' Sakti ',' Buy ',' Paketan ' , 'APP', 'Telkomsel', 'already', 'Words',' Use ',' Package ',' Internet ',' Combo ',' Sakti ',' Combo ',' Sakti ',' Already ',' Subscriptions', 'Disappointed', '']</v>
      </c>
      <c r="D1345" s="3">
        <v>1.0</v>
      </c>
    </row>
    <row r="1346" ht="15.75" customHeight="1">
      <c r="A1346" s="1">
        <v>1344.0</v>
      </c>
      <c r="B1346" s="3" t="s">
        <v>1347</v>
      </c>
      <c r="C1346" s="3" t="str">
        <f>IFERROR(__xludf.DUMMYFUNCTION("GOOGLETRANSLATE(B1346,""id"",""en"")"),"['signal', 'bad', 'Kirain', 'expensive', 'signal', 'card', 'ngeta', 'ngepain', 'game', 'error', 'yotube', 'error', ' Loading ',' Loading ',' Internet ',' Usually ',' Please ',' Fix ',' Network ',' Already ',' Expensive ',' Lemot ']")</f>
        <v>['signal', 'bad', 'Kirain', 'expensive', 'signal', 'card', 'ngeta', 'ngepain', 'game', 'error', 'yotube', 'error', ' Loading ',' Loading ',' Internet ',' Usually ',' Please ',' Fix ',' Network ',' Already ',' Expensive ',' Lemot ']</v>
      </c>
      <c r="D1346" s="3">
        <v>1.0</v>
      </c>
    </row>
    <row r="1347" ht="15.75" customHeight="1">
      <c r="A1347" s="1">
        <v>1345.0</v>
      </c>
      <c r="B1347" s="3" t="s">
        <v>1348</v>
      </c>
      <c r="C1347" s="3" t="str">
        <f>IFERROR(__xludf.DUMMYFUNCTION("GOOGLETRANSLATE(B1347,""id"",""en"")"),"['Condition', 'Combo', 'Sakti', 'Unlimited', 'Unlimited', 'Limit', 'Naturally', 'Use', 'PlusLagi', 'Quota', 'Gamemax', 'NDK', ' Maximum ',' Bangat ',' Open ',' pub ',' ping ',' ms', 'how', 'Telkomsel', ""]")</f>
        <v>['Condition', 'Combo', 'Sakti', 'Unlimited', 'Unlimited', 'Limit', 'Naturally', 'Use', 'PlusLagi', 'Quota', 'Gamemax', 'NDK', ' Maximum ',' Bangat ',' Open ',' pub ',' ping ',' ms', 'how', 'Telkomsel', "]</v>
      </c>
      <c r="D1347" s="3">
        <v>1.0</v>
      </c>
    </row>
    <row r="1348" ht="15.75" customHeight="1">
      <c r="A1348" s="1">
        <v>1346.0</v>
      </c>
      <c r="B1348" s="3" t="s">
        <v>1349</v>
      </c>
      <c r="C1348" s="3" t="str">
        <f>IFERROR(__xludf.DUMMYFUNCTION("GOOGLETRANSLATE(B1348,""id"",""en"")"),"['Login', 'Game', 'Free', 'Fire', 'Like', 'Error', 'Connection', 'Ngelag', 'APK', 'Current', 'then', 'quota', ' expensive ',' network ',' bagusan ',' card ',' card ']")</f>
        <v>['Login', 'Game', 'Free', 'Fire', 'Like', 'Error', 'Connection', 'Ngelag', 'APK', 'Current', 'then', 'quota', ' expensive ',' network ',' bagusan ',' card ',' card ']</v>
      </c>
      <c r="D1348" s="3">
        <v>1.0</v>
      </c>
    </row>
    <row r="1349" ht="15.75" customHeight="1">
      <c r="A1349" s="1">
        <v>1347.0</v>
      </c>
      <c r="B1349" s="3" t="s">
        <v>1350</v>
      </c>
      <c r="C1349" s="3" t="str">
        <f>IFERROR(__xludf.DUMMYFUNCTION("GOOGLETRANSLATE(B1349,""id"",""en"")"),"['open', 'application', 'Telkomsel', 'difficult', 'really', 'contents',' credit ',' Telkomsel ',' difficult ',' really ',' wifi ',' network ',' Ajuorr ']")</f>
        <v>['open', 'application', 'Telkomsel', 'difficult', 'really', 'contents',' credit ',' Telkomsel ',' difficult ',' really ',' wifi ',' network ',' Ajuorr ']</v>
      </c>
      <c r="D1349" s="3">
        <v>1.0</v>
      </c>
    </row>
    <row r="1350" ht="15.75" customHeight="1">
      <c r="A1350" s="1">
        <v>1348.0</v>
      </c>
      <c r="B1350" s="3" t="s">
        <v>1351</v>
      </c>
      <c r="C1350" s="3" t="str">
        <f>IFERROR(__xludf.DUMMYFUNCTION("GOOGLETRANSLATE(B1350,""id"",""en"")"),"['Kasi', 'star', 'Feature', 'Telkomsel', 'buy', 'credit', 'data', 'Crypto', 'rare', 'hold', 'money', 'form', ' Physical ',' already ',' following ',' world ',' just ',' suggestion ',' min ',' ']")</f>
        <v>['Kasi', 'star', 'Feature', 'Telkomsel', 'buy', 'credit', 'data', 'Crypto', 'rare', 'hold', 'money', 'form', ' Physical ',' already ',' following ',' world ',' just ',' suggestion ',' min ',' ']</v>
      </c>
      <c r="D1350" s="3">
        <v>2.0</v>
      </c>
    </row>
    <row r="1351" ht="15.75" customHeight="1">
      <c r="A1351" s="1">
        <v>1349.0</v>
      </c>
      <c r="B1351" s="3" t="s">
        <v>1352</v>
      </c>
      <c r="C1351" s="3" t="str">
        <f>IFERROR(__xludf.DUMMYFUNCTION("GOOGLETRANSLATE(B1351,""id"",""en"")"),"['Sis',' the network ',' difficult ',' really ',' smooth ',' obstacles', 'TPI', 'open', 'hard', 'forgiveness',' please ',' repaired ',' The network is 'comparable', 'price', 'package']")</f>
        <v>['Sis',' the network ',' difficult ',' really ',' smooth ',' obstacles', 'TPI', 'open', 'hard', 'forgiveness',' please ',' repaired ',' The network is 'comparable', 'price', 'package']</v>
      </c>
      <c r="D1351" s="3">
        <v>1.0</v>
      </c>
    </row>
    <row r="1352" ht="15.75" customHeight="1">
      <c r="A1352" s="1">
        <v>1350.0</v>
      </c>
      <c r="B1352" s="3" t="s">
        <v>1353</v>
      </c>
      <c r="C1352" s="3" t="str">
        <f>IFERROR(__xludf.DUMMYFUNCTION("GOOGLETRANSLATE(B1352,""id"",""en"")"),"['quota', 'unlimited', 'GB', 'Severe', 'Kayak', 'previous',' taste ',' Tipu ',' Dipake ',' GB ',' Udh ',' Abis', ' Nge ',' a week ',' Taunya ',' GB ',' quota ',' application ',' abis', 'unlimited', 'slow', 'pending', 'that way', 'country', 'internet' , 'U"&amp;"DH', 'Unlimited', 'Indo', 'Gimmick', 'Unlimited', '']")</f>
        <v>['quota', 'unlimited', 'GB', 'Severe', 'Kayak', 'previous',' taste ',' Tipu ',' Dipake ',' GB ',' Udh ',' Abis', ' Nge ',' a week ',' Taunya ',' GB ',' quota ',' application ',' abis', 'unlimited', 'slow', 'pending', 'that way', 'country', 'internet' , 'UDH', 'Unlimited', 'Indo', 'Gimmick', 'Unlimited', '']</v>
      </c>
      <c r="D1352" s="3">
        <v>1.0</v>
      </c>
    </row>
    <row r="1353" ht="15.75" customHeight="1">
      <c r="A1353" s="1">
        <v>1351.0</v>
      </c>
      <c r="B1353" s="3" t="s">
        <v>1354</v>
      </c>
      <c r="C1353" s="3" t="str">
        <f>IFERROR(__xludf.DUMMYFUNCTION("GOOGLETRANSLATE(B1353,""id"",""en"")"),"['', 'method', 'payment', 'in line', 'application', 'slow', 'responding', 'complaints',' customer ',' Veronika ',' help ',' settlement ',' transaction ',' Package ',' offered ',' bought ',' Login ',' repeat ',' reset ', ""]")</f>
        <v>['', 'method', 'payment', 'in line', 'application', 'slow', 'responding', 'complaints',' customer ',' Veronika ',' help ',' settlement ',' transaction ',' Package ',' offered ',' bought ',' Login ',' repeat ',' reset ', "]</v>
      </c>
      <c r="D1353" s="3">
        <v>1.0</v>
      </c>
    </row>
    <row r="1354" ht="15.75" customHeight="1">
      <c r="A1354" s="1">
        <v>1352.0</v>
      </c>
      <c r="B1354" s="3" t="s">
        <v>1355</v>
      </c>
      <c r="C1354" s="3" t="str">
        <f>IFERROR(__xludf.DUMMYFUNCTION("GOOGLETRANSLATE(B1354,""id"",""en"")"),"['', 'Region', 'Javanese', 'West', 'Wrong', 'Region', 'Priority', 'Telkomsel', 'Suggestions',' Please ',' Region ',' remote ',' remote ',' Increase ',' related ',' stability ',' signal ',' regular ',' signal ',' internet ',' work ',' field ',' because ','"&amp;" sometimes', 'task', 'Region', 'remote', 'difficult', 'data', 'realtime', 'center', 'example', 'area', 'kab', 'bdg', 'brt', ""]")</f>
        <v>['', 'Region', 'Javanese', 'West', 'Wrong', 'Region', 'Priority', 'Telkomsel', 'Suggestions',' Please ',' Region ',' remote ',' remote ',' Increase ',' related ',' stability ',' signal ',' regular ',' signal ',' internet ',' work ',' field ',' because ',' sometimes', 'task', 'Region', 'remote', 'difficult', 'data', 'realtime', 'center', 'example', 'area', 'kab', 'bdg', 'brt', "]</v>
      </c>
      <c r="D1354" s="3">
        <v>3.0</v>
      </c>
    </row>
    <row r="1355" ht="15.75" customHeight="1">
      <c r="A1355" s="1">
        <v>1353.0</v>
      </c>
      <c r="B1355" s="3" t="s">
        <v>1356</v>
      </c>
      <c r="C1355" s="3" t="str">
        <f>IFERROR(__xludf.DUMMYFUNCTION("GOOGLETRANSLATE(B1355,""id"",""en"")"),"['Price', 'Package', 'UnlimitedMax', 'Dri', 'Cheer out', 'Package', 'Unlimited', 'Batesin', 'Speed', 'Quota', 'Out', 'Mrnding', ' Telkomsel ',' Fox ',' Mending ',' Rich ',' Package ',' then ',' Unlimited ',' Limit ',' Speed ​​',' Disappointed ',' Move ','"&amp;" Card ']")</f>
        <v>['Price', 'Package', 'UnlimitedMax', 'Dri', 'Cheer out', 'Package', 'Unlimited', 'Batesin', 'Speed', 'Quota', 'Out', 'Mrnding', ' Telkomsel ',' Fox ',' Mending ',' Rich ',' Package ',' then ',' Unlimited ',' Limit ',' Speed ​​',' Disappointed ',' Move ',' Card ']</v>
      </c>
      <c r="D1355" s="3">
        <v>1.0</v>
      </c>
    </row>
    <row r="1356" ht="15.75" customHeight="1">
      <c r="A1356" s="1">
        <v>1354.0</v>
      </c>
      <c r="B1356" s="3" t="s">
        <v>1357</v>
      </c>
      <c r="C1356" s="3" t="str">
        <f>IFERROR(__xludf.DUMMYFUNCTION("GOOGLETRANSLATE(B1356,""id"",""en"")"),"['Please', 'Network', 'Telkomsel', 'repaired', 'see', 'missing', 'connection', 'network', 'setabilia', 'drawback', 'please', 'repaired', ' network', '']")</f>
        <v>['Please', 'Network', 'Telkomsel', 'repaired', 'see', 'missing', 'connection', 'network', 'setabilia', 'drawback', 'please', 'repaired', ' network', '']</v>
      </c>
      <c r="D1356" s="3">
        <v>1.0</v>
      </c>
    </row>
    <row r="1357" ht="15.75" customHeight="1">
      <c r="A1357" s="1">
        <v>1355.0</v>
      </c>
      <c r="B1357" s="3" t="s">
        <v>1358</v>
      </c>
      <c r="C1357" s="3" t="str">
        <f>IFERROR(__xludf.DUMMYFUNCTION("GOOGLETRANSLATE(B1357,""id"",""en"")"),"['Changed', 'Telkomsel', 'Yesterday', 'Paketan', 'Unlimited', 'No', 'Limit', 'Naturally', 'Disappointed', 'Watch', 'Already', 'Hard', ' Please, 'unlimited', 'no', 'limit', 'Naturally', 'watch', 'until', 'limit', 'date', '']")</f>
        <v>['Changed', 'Telkomsel', 'Yesterday', 'Paketan', 'Unlimited', 'No', 'Limit', 'Naturally', 'Disappointed', 'Watch', 'Already', 'Hard', ' Please, 'unlimited', 'no', 'limit', 'Naturally', 'watch', 'until', 'limit', 'date', '']</v>
      </c>
      <c r="D1357" s="3">
        <v>5.0</v>
      </c>
    </row>
    <row r="1358" ht="15.75" customHeight="1">
      <c r="A1358" s="1">
        <v>1356.0</v>
      </c>
      <c r="B1358" s="3" t="s">
        <v>1359</v>
      </c>
      <c r="C1358" s="3" t="str">
        <f>IFERROR(__xludf.DUMMYFUNCTION("GOOGLETRANSLATE(B1358,""id"",""en"")"),"['Telkomsel', 'Different', 'customers', 'loyal', 'Telkomsel', 'Knp', 'price', 'package', 'more', 'in', 'one thousand', 'sometimes' Package ',' Midnight ',' missing ',' buy ',' Customer ',' Telkomsel ',' SIM ',' Card ',' sister ',' buy ',' package ',' chea"&amp;"p ',' right ' , 'Gaming', 'Ngelag']")</f>
        <v>['Telkomsel', 'Different', 'customers', 'loyal', 'Telkomsel', 'Knp', 'price', 'package', 'more', 'in', 'one thousand', 'sometimes' Package ',' Midnight ',' missing ',' buy ',' Customer ',' Telkomsel ',' SIM ',' Card ',' sister ',' buy ',' package ',' cheap ',' right ' , 'Gaming', 'Ngelag']</v>
      </c>
      <c r="D1358" s="3">
        <v>1.0</v>
      </c>
    </row>
    <row r="1359" ht="15.75" customHeight="1">
      <c r="A1359" s="1">
        <v>1357.0</v>
      </c>
      <c r="B1359" s="3" t="s">
        <v>1360</v>
      </c>
      <c r="C1359" s="3" t="str">
        <f>IFERROR(__xludf.DUMMYFUNCTION("GOOGLETRANSLATE(B1359,""id"",""en"")"),"['MyTelkomsel', 'application', 'best', 'Indonesia', 'community', 'Indonesia', 'use', 'information', 'information', 'proud', 'application', 'MyTelkomsel', ' ']")</f>
        <v>['MyTelkomsel', 'application', 'best', 'Indonesia', 'community', 'Indonesia', 'use', 'information', 'information', 'proud', 'application', 'MyTelkomsel', ' ']</v>
      </c>
      <c r="D1359" s="3">
        <v>5.0</v>
      </c>
    </row>
    <row r="1360" ht="15.75" customHeight="1">
      <c r="A1360" s="1">
        <v>1358.0</v>
      </c>
      <c r="B1360" s="3" t="s">
        <v>1361</v>
      </c>
      <c r="C1360" s="3" t="str">
        <f>IFERROR(__xludf.DUMMYFUNCTION("GOOGLETRANSLATE(B1360,""id"",""en"")"),"['hi', 'Sis',' active ',' just ',' buy ',' pulse ',' package ',' active ',' add ',' solution ',' how ',' yak ',' ']")</f>
        <v>['hi', 'Sis',' active ',' just ',' buy ',' pulse ',' package ',' active ',' add ',' solution ',' how ',' yak ',' ']</v>
      </c>
      <c r="D1360" s="3">
        <v>1.0</v>
      </c>
    </row>
    <row r="1361" ht="15.75" customHeight="1">
      <c r="A1361" s="1">
        <v>1359.0</v>
      </c>
      <c r="B1361" s="3" t="s">
        <v>1362</v>
      </c>
      <c r="C1361" s="3" t="str">
        <f>IFERROR(__xludf.DUMMYFUNCTION("GOOGLETRANSLATE(B1361,""id"",""en"")"),"['Funny', 'buy', 'Paketan', 'GB', 'Dipake', 'BLM', 'a week', 'and then', 'more than', 'chat', 'quota', ' Abis', 'funny', 'funny', 'card', 'tollll']")</f>
        <v>['Funny', 'buy', 'Paketan', 'GB', 'Dipake', 'BLM', 'a week', 'and then', 'more than', 'chat', 'quota', ' Abis', 'funny', 'funny', 'card', 'tollll']</v>
      </c>
      <c r="D1361" s="3">
        <v>1.0</v>
      </c>
    </row>
    <row r="1362" ht="15.75" customHeight="1">
      <c r="A1362" s="1">
        <v>1360.0</v>
      </c>
      <c r="B1362" s="3" t="s">
        <v>1363</v>
      </c>
      <c r="C1362" s="3" t="str">
        <f>IFERROR(__xludf.DUMMYFUNCTION("GOOGLETRANSLATE(B1362,""id"",""en"")"),"['Welcome', 'Back', 'Name', 'RDHT', 'Gaming', 'Chennel', 'Video', 'Gaming', 'Vlog', 'Etc.', 'Focus',' Gaming ',' Forgot ',' Livein ',' Like ',' Comment ',' Forgot ',' Shere ',' Subscribe ',' Free ',' Karna ',' Update ',' Video ',' Miss', 'Eat it' , 'Subsc"&amp;"ribe', 'RDHT', 'Gaming', '']")</f>
        <v>['Welcome', 'Back', 'Name', 'RDHT', 'Gaming', 'Chennel', 'Video', 'Gaming', 'Vlog', 'Etc.', 'Focus',' Gaming ',' Forgot ',' Livein ',' Like ',' Comment ',' Forgot ',' Shere ',' Subscribe ',' Free ',' Karna ',' Update ',' Video ',' Miss', 'Eat it' , 'Subscribe', 'RDHT', 'Gaming', '']</v>
      </c>
      <c r="D1362" s="3">
        <v>5.0</v>
      </c>
    </row>
    <row r="1363" ht="15.75" customHeight="1">
      <c r="A1363" s="1">
        <v>1361.0</v>
      </c>
      <c r="B1363" s="3" t="s">
        <v>1364</v>
      </c>
      <c r="C1363" s="3" t="str">
        <f>IFERROR(__xludf.DUMMYFUNCTION("GOOGLETRANSLATE(B1363,""id"",""en"")"),"['Packagein', 'Package', 'Kouta', 'Ulnimited', 'Date', 'Date', 'Open', 'Tiktok', 'Tiktok', 'Entering', 'Ulnimited', 'Loding', ' trs', 'post', 'status',' difficult ',' gajelas', 'semiemggu', 'open', 'Inter', 'loss',' cave ',' cave ',' buy ',' package ' , '"&amp;"card', 'Gajelas', '']")</f>
        <v>['Packagein', 'Package', 'Kouta', 'Ulnimited', 'Date', 'Date', 'Open', 'Tiktok', 'Tiktok', 'Entering', 'Ulnimited', 'Loding', ' trs', 'post', 'status',' difficult ',' gajelas', 'semiemggu', 'open', 'Inter', 'loss',' cave ',' cave ',' buy ',' package ' , 'card', 'Gajelas', '']</v>
      </c>
      <c r="D1363" s="3">
        <v>1.0</v>
      </c>
    </row>
    <row r="1364" ht="15.75" customHeight="1">
      <c r="A1364" s="1">
        <v>1362.0</v>
      </c>
      <c r="B1364" s="3" t="s">
        <v>1365</v>
      </c>
      <c r="C1364" s="3" t="str">
        <f>IFERROR(__xludf.DUMMYFUNCTION("GOOGLETRANSLATE(B1364,""id"",""en"")"),"['Network', 'good', 'really', 'region', 'Java', 'Please', 'Ngelah', 'min', 'my friend', 'ngeluh', 'tasty', 'really', ' Telkomsel ',' Network ',' ugly ',' really ',' hostpot ',' laptop ',' heavy ',' really ',' rich ',' zoom ',' etc ',' good ',' no ' , 'tas"&amp;"ty', 'really', 'please', 'adjust', 'price', 'quality', 'min', 'no', 'lose', 'competitiveness']")</f>
        <v>['Network', 'good', 'really', 'region', 'Java', 'Please', 'Ngelah', 'min', 'my friend', 'ngeluh', 'tasty', 'really', ' Telkomsel ',' Network ',' ugly ',' really ',' hostpot ',' laptop ',' heavy ',' really ',' rich ',' zoom ',' etc ',' good ',' no ' , 'tasty', 'really', 'please', 'adjust', 'price', 'quality', 'min', 'no', 'lose', 'competitiveness']</v>
      </c>
      <c r="D1364" s="3">
        <v>1.0</v>
      </c>
    </row>
    <row r="1365" ht="15.75" customHeight="1">
      <c r="A1365" s="1">
        <v>1363.0</v>
      </c>
      <c r="B1365" s="3" t="s">
        <v>1366</v>
      </c>
      <c r="C1365" s="3" t="str">
        <f>IFERROR(__xludf.DUMMYFUNCTION("GOOGLETRANSLATE(B1365,""id"",""en"")"),"['Min', 'buy', 'package', 'cheerful', 'RB', 'GB', 'enter', 'enter', 'Min', 'a week', 'right', 'try', ' Date ',' May ',' UDH ',' KLI ',' Fill ',' Credit ',' Gara ',' Gara ',' Credit ',' Cut ',' Trs', 'Please', 'Fix' , 'bug', 'buy', 'package', 'error', 'tec"&amp;"hnical', 'buy', 'package']")</f>
        <v>['Min', 'buy', 'package', 'cheerful', 'RB', 'GB', 'enter', 'enter', 'Min', 'a week', 'right', 'try', ' Date ',' May ',' UDH ',' KLI ',' Fill ',' Credit ',' Gara ',' Gara ',' Credit ',' Cut ',' Trs', 'Please', 'Fix' , 'bug', 'buy', 'package', 'error', 'technical', 'buy', 'package']</v>
      </c>
      <c r="D1365" s="3">
        <v>1.0</v>
      </c>
    </row>
    <row r="1366" ht="15.75" customHeight="1">
      <c r="A1366" s="1">
        <v>1364.0</v>
      </c>
      <c r="B1366" s="3" t="s">
        <v>1367</v>
      </c>
      <c r="C1366" s="3" t="str">
        <f>IFERROR(__xludf.DUMMYFUNCTION("GOOGLETRANSLATE(B1366,""id"",""en"")"),"['apk', 'Telkomsel', 'bukak', 'connection', 'setabilia', 'smooth', 'network', 'comedy', 'how', 'telkom', 'error', 'telong', ' repair', '']")</f>
        <v>['apk', 'Telkomsel', 'bukak', 'connection', 'setabilia', 'smooth', 'network', 'comedy', 'how', 'telkom', 'error', 'telong', ' repair', '']</v>
      </c>
      <c r="D1366" s="3">
        <v>1.0</v>
      </c>
    </row>
    <row r="1367" ht="15.75" customHeight="1">
      <c r="A1367" s="1">
        <v>1365.0</v>
      </c>
      <c r="B1367" s="3" t="s">
        <v>1368</v>
      </c>
      <c r="C1367" s="3" t="str">
        <f>IFERROR(__xludf.DUMMYFUNCTION("GOOGLETRANSLATE(B1367,""id"",""en"")"),"['apk', 'help', 'makes it easy', 'customer', 'check', 'leftover', 'pulse', 'quota', 'charging', 'reset', 'pulse', 'quota', ' Promo ',' interesting ',' exciting ',' gift ',' exchange ',' Points', 'Undi', 'week', 'Undi', 'Wait', 'Download', 'APK', 'MyTelkom"&amp;"sel' , 'Playstore']")</f>
        <v>['apk', 'help', 'makes it easy', 'customer', 'check', 'leftover', 'pulse', 'quota', 'charging', 'reset', 'pulse', 'quota', ' Promo ',' interesting ',' exciting ',' gift ',' exchange ',' Points', 'Undi', 'week', 'Undi', 'Wait', 'Download', 'APK', 'MyTelkomsel' , 'Playstore']</v>
      </c>
      <c r="D1367" s="3">
        <v>5.0</v>
      </c>
    </row>
    <row r="1368" ht="15.75" customHeight="1">
      <c r="A1368" s="1">
        <v>1366.0</v>
      </c>
      <c r="B1368" s="3" t="s">
        <v>1369</v>
      </c>
      <c r="C1368" s="3" t="str">
        <f>IFERROR(__xludf.DUMMYFUNCTION("GOOGLETRANSLATE(B1368,""id"",""en"")"),"['Thank you', 'Telkomsel', 'Customer', 'Asmark', 'Thank you', 'launched', 'business',' communication ',' Telkomsel ',' enthusiasm ',' success', 'hope', ' Jaya ',' Congratulations', 'Welcomes',' IDulfitri ',' Please ',' Sorry ',' Born ',' Inner ',' ']")</f>
        <v>['Thank you', 'Telkomsel', 'Customer', 'Asmark', 'Thank you', 'launched', 'business',' communication ',' Telkomsel ',' enthusiasm ',' success', 'hope', ' Jaya ',' Congratulations', 'Welcomes',' IDulfitri ',' Please ',' Sorry ',' Born ',' Inner ',' ']</v>
      </c>
      <c r="D1368" s="3">
        <v>1.0</v>
      </c>
    </row>
    <row r="1369" ht="15.75" customHeight="1">
      <c r="A1369" s="1">
        <v>1367.0</v>
      </c>
      <c r="B1369" s="3" t="s">
        <v>1370</v>
      </c>
      <c r="C1369" s="3" t="str">
        <f>IFERROR(__xludf.DUMMYFUNCTION("GOOGLETRANSLATE(B1369,""id"",""en"")"),"['Telkomsel', 'quota', 'open', 'turn', 'buy', 'quota', 'package', 'quota', 'yesterday', 'please', 'fix', 'already', ' Buy ',' expensive ',' expensive ',' quality ',' Gili ',' already ',' his web ',' difficult ']")</f>
        <v>['Telkomsel', 'quota', 'open', 'turn', 'buy', 'quota', 'package', 'quota', 'yesterday', 'please', 'fix', 'already', ' Buy ',' expensive ',' expensive ',' quality ',' Gili ',' already ',' his web ',' difficult ']</v>
      </c>
      <c r="D1369" s="3">
        <v>1.0</v>
      </c>
    </row>
    <row r="1370" ht="15.75" customHeight="1">
      <c r="A1370" s="1">
        <v>1368.0</v>
      </c>
      <c r="B1370" s="3" t="s">
        <v>1371</v>
      </c>
      <c r="C1370" s="3" t="str">
        <f>IFERROR(__xludf.DUMMYFUNCTION("GOOGLETRANSLATE(B1370,""id"",""en"")"),"['apk', 'stop', 'network', 'Telkomsel', 'chaotic', 'balu', 'repaired', 'stay', 'city', 'feels', 'interior', ""]")</f>
        <v>['apk', 'stop', 'network', 'Telkomsel', 'chaotic', 'balu', 'repaired', 'stay', 'city', 'feels', 'interior', "]</v>
      </c>
      <c r="D1370" s="3">
        <v>1.0</v>
      </c>
    </row>
    <row r="1371" ht="15.75" customHeight="1">
      <c r="A1371" s="1">
        <v>1369.0</v>
      </c>
      <c r="B1371" s="3" t="s">
        <v>1372</v>
      </c>
      <c r="C1371" s="3" t="str">
        <f>IFERROR(__xludf.DUMMYFUNCTION("GOOGLETRANSLATE(B1371,""id"",""en"")"),"['Thank you', 'Telkomsel', 'Really', 'Disappointing', 'Network', 'Pulp', 'Package', 'Game', 'What's',' Try ',' Package ',' Local ',' Abis', 'Maen', 'Kasih', 'Package', 'Game', 'GB', 'GB', 'GB', 'Local', 'Out', 'Dipake', 'Maen', 'MLBB' , 'Home', 'Find', 'M"&amp;"atch', 'FAILUR', 'MANAB', 'BOSS', 'Card', 'Perdana', 'Kek', 'Gini', 'Live', 'Discard', ' sea ​​',' ']")</f>
        <v>['Thank you', 'Telkomsel', 'Really', 'Disappointing', 'Network', 'Pulp', 'Package', 'Game', 'What's',' Try ',' Package ',' Local ',' Abis', 'Maen', 'Kasih', 'Package', 'Game', 'GB', 'GB', 'GB', 'Local', 'Out', 'Dipake', 'Maen', 'MLBB' , 'Home', 'Find', 'Match', 'FAILUR', 'MANAB', 'BOSS', 'Card', 'Perdana', 'Kek', 'Gini', 'Live', 'Discard', ' sea ​​',' ']</v>
      </c>
      <c r="D1371" s="3">
        <v>1.0</v>
      </c>
    </row>
    <row r="1372" ht="15.75" customHeight="1">
      <c r="A1372" s="1">
        <v>1370.0</v>
      </c>
      <c r="B1372" s="3" t="s">
        <v>1373</v>
      </c>
      <c r="C1372" s="3" t="str">
        <f>IFERROR(__xludf.DUMMYFUNCTION("GOOGLETRANSLATE(B1372,""id"",""en"")"),"['I', 'love', 'star', 'because', 'package', 'internet', 'special', 'game', 'dipake', 'quota', 'main', 'quota', ' Game ',' used ',' please ',' fix ',' as soon as possible ',' customer ',' moved ',' operator ',' next door ']")</f>
        <v>['I', 'love', 'star', 'because', 'package', 'internet', 'special', 'game', 'dipake', 'quota', 'main', 'quota', ' Game ',' used ',' please ',' fix ',' as soon as possible ',' customer ',' moved ',' operator ',' next door ']</v>
      </c>
      <c r="D1372" s="3">
        <v>1.0</v>
      </c>
    </row>
    <row r="1373" ht="15.75" customHeight="1">
      <c r="A1373" s="1">
        <v>1371.0</v>
      </c>
      <c r="B1373" s="3" t="s">
        <v>1374</v>
      </c>
      <c r="C1373" s="3" t="str">
        <f>IFERROR(__xludf.DUMMYFUNCTION("GOOGLETRANSLATE(B1373,""id"",""en"")"),"['', 'Telkomsel', 'grateful', 'network', 'Telkomsel', 'remote', 'quality', 'network', 'internet', 'according to', 'price', 'pay', 'stay ',' remote ',' difficult ',' looked ',' money ', ""]")</f>
        <v>['', 'Telkomsel', 'grateful', 'network', 'Telkomsel', 'remote', 'quality', 'network', 'internet', 'according to', 'price', 'pay', 'stay ',' remote ',' difficult ',' looked ',' money ', "]</v>
      </c>
      <c r="D1373" s="3">
        <v>1.0</v>
      </c>
    </row>
    <row r="1374" ht="15.75" customHeight="1">
      <c r="A1374" s="1">
        <v>1372.0</v>
      </c>
      <c r="B1374" s="3" t="s">
        <v>1375</v>
      </c>
      <c r="C1374" s="3" t="str">
        <f>IFERROR(__xludf.DUMMYFUNCTION("GOOGLETRANSLATE(B1374,""id"",""en"")"),"['Severe', 'network', 'Telkomsel', 'just', 'open', 'google', 'search', 'Instagram', 'slow', 'already', 'quality', 'network', ' already ',' complain ',' network ',' change ',' wait ',' complaints', 'action', 'work', 'complaints', ""]")</f>
        <v>['Severe', 'network', 'Telkomsel', 'just', 'open', 'google', 'search', 'Instagram', 'slow', 'already', 'quality', 'network', ' already ',' complain ',' network ',' change ',' wait ',' complaints', 'action', 'work', 'complaints', "]</v>
      </c>
      <c r="D1374" s="3">
        <v>1.0</v>
      </c>
    </row>
    <row r="1375" ht="15.75" customHeight="1">
      <c r="A1375" s="1">
        <v>1373.0</v>
      </c>
      <c r="B1375" s="3" t="s">
        <v>1376</v>
      </c>
      <c r="C1375" s="3" t="str">
        <f>IFERROR(__xludf.DUMMYFUNCTION("GOOGLETRANSLATE(B1375,""id"",""en"")"),"['Telkomsel', 'poor', 'pulse', 'run out', 'quota', 'full', 'quota', 'telephone', 'sms',' internet ',' complete ',' leftover ',' Credit ',' Curacy ',' Telkomsel ',' Disadvantages', 'Inmats',' Sampe ', ""]")</f>
        <v>['Telkomsel', 'poor', 'pulse', 'run out', 'quota', 'full', 'quota', 'telephone', 'sms',' internet ',' complete ',' leftover ',' Credit ',' Curacy ',' Telkomsel ',' Disadvantages', 'Inmats',' Sampe ', "]</v>
      </c>
      <c r="D1375" s="3">
        <v>1.0</v>
      </c>
    </row>
    <row r="1376" ht="15.75" customHeight="1">
      <c r="A1376" s="1">
        <v>1374.0</v>
      </c>
      <c r="B1376" s="3" t="s">
        <v>1377</v>
      </c>
      <c r="C1376" s="3" t="str">
        <f>IFERROR(__xludf.DUMMYFUNCTION("GOOGLETRANSLATE(B1376,""id"",""en"")"),"['move', 'card', 'Hello', 'friend', 'understand', 'regret', 'notification', 'quota', 'reduced', 'nagih', 'paying', 'ngincetin', ' Trrus', 'said', 'bonus',' quota ',' limit ',' poor ',' Telkomsel ',' recommendation ',' regret ',' move ',' card ',' hello ',"&amp;"' please ' , 'Maketing', 'schoolin', 'smart', 'little', 'he said', '']")</f>
        <v>['move', 'card', 'Hello', 'friend', 'understand', 'regret', 'notification', 'quota', 'reduced', 'nagih', 'paying', 'ngincetin', ' Trrus', 'said', 'bonus',' quota ',' limit ',' poor ',' Telkomsel ',' recommendation ',' regret ',' move ',' card ',' hello ',' please ' , 'Maketing', 'schoolin', 'smart', 'little', 'he said', '']</v>
      </c>
      <c r="D1376" s="3">
        <v>1.0</v>
      </c>
    </row>
    <row r="1377" ht="15.75" customHeight="1">
      <c r="A1377" s="1">
        <v>1375.0</v>
      </c>
      <c r="B1377" s="3" t="s">
        <v>1378</v>
      </c>
      <c r="C1377" s="3" t="str">
        <f>IFERROR(__xludf.DUMMYFUNCTION("GOOGLETRANSLATE(B1377,""id"",""en"")"),"['Customer', 'loyal', 'Tlkomsel', 'Telkomsel', 'please', 'network', 'repaired', 'oprator', 'school', 'need', 'network', ' network ',' in place ',' decent ',' trimakasih ']")</f>
        <v>['Customer', 'loyal', 'Tlkomsel', 'Telkomsel', 'please', 'network', 'repaired', 'oprator', 'school', 'need', 'network', ' network ',' in place ',' decent ',' trimakasih ']</v>
      </c>
      <c r="D1377" s="3">
        <v>1.0</v>
      </c>
    </row>
    <row r="1378" ht="15.75" customHeight="1">
      <c r="A1378" s="1">
        <v>1376.0</v>
      </c>
      <c r="B1378" s="3" t="s">
        <v>1379</v>
      </c>
      <c r="C1378" s="3" t="str">
        <f>IFERROR(__xludf.DUMMYFUNCTION("GOOGLETRANSLATE(B1378,""id"",""en"")"),"['Hello', 'Telkomsel', 'Loading', 'Update', 'Update', 'Muter', 'Muter', 'Network', 'ugly', 'WiFi', 'Mbps',' YouTube ',' Current ',' Wrong ',' Where ',' Wrong ', ""]")</f>
        <v>['Hello', 'Telkomsel', 'Loading', 'Update', 'Update', 'Muter', 'Muter', 'Network', 'ugly', 'WiFi', 'Mbps',' YouTube ',' Current ',' Wrong ',' Where ',' Wrong ', "]</v>
      </c>
      <c r="D1378" s="3">
        <v>1.0</v>
      </c>
    </row>
    <row r="1379" ht="15.75" customHeight="1">
      <c r="A1379" s="1">
        <v>1377.0</v>
      </c>
      <c r="B1379" s="3" t="s">
        <v>1380</v>
      </c>
      <c r="C1379" s="3" t="str">
        <f>IFERROR(__xludf.DUMMYFUNCTION("GOOGLETRANSLATE(B1379,""id"",""en"")"),"['Buy', 'Package', 'One', 'Time', 'Success',' Make sure ',' Addition ',' Quota ',' MyTelkomsel ',' Appear ',' Use ',' Sehen ',' YouTube ',' appears', 'Notif', 'SMS', 'Purchase', 'FAILURE', 'Credit', 'Lost', 'Quota', 'Promotions',' Didelete ',' Automatic '"&amp;",' System ' , 'Broken', 'negligent', 'update', 'promo', '']")</f>
        <v>['Buy', 'Package', 'One', 'Time', 'Success',' Make sure ',' Addition ',' Quota ',' MyTelkomsel ',' Appear ',' Use ',' Sehen ',' YouTube ',' appears', 'Notif', 'SMS', 'Purchase', 'FAILURE', 'Credit', 'Lost', 'Quota', 'Promotions',' Didelete ',' Automatic ',' System ' , 'Broken', 'negligent', 'update', 'promo', '']</v>
      </c>
      <c r="D1379" s="3">
        <v>1.0</v>
      </c>
    </row>
    <row r="1380" ht="15.75" customHeight="1">
      <c r="A1380" s="1">
        <v>1378.0</v>
      </c>
      <c r="B1380" s="3" t="s">
        <v>1381</v>
      </c>
      <c r="C1380" s="3" t="str">
        <f>IFERROR(__xludf.DUMMYFUNCTION("GOOGLETRANSLATE(B1380,""id"",""en"")"),"['Fasting', 'APK', 'Telkomsel', 'Error', 'Severe', 'Choice', 'Package', 'Data', 'Most', 'Pas',' Combo ',' Sakti ',' Already ',' ilang ',' Cui ',' Ditelen ',' Earth ',' Come ',' Updated ',' Please ',' Reply ',' Chat ',' Wait ', ""]")</f>
        <v>['Fasting', 'APK', 'Telkomsel', 'Error', 'Severe', 'Choice', 'Package', 'Data', 'Most', 'Pas',' Combo ',' Sakti ',' Already ',' ilang ',' Cui ',' Ditelen ',' Earth ',' Come ',' Updated ',' Please ',' Reply ',' Chat ',' Wait ', "]</v>
      </c>
      <c r="D1380" s="3">
        <v>2.0</v>
      </c>
    </row>
    <row r="1381" ht="15.75" customHeight="1">
      <c r="A1381" s="1">
        <v>1379.0</v>
      </c>
      <c r="B1381" s="3" t="s">
        <v>1382</v>
      </c>
      <c r="C1381" s="3" t="str">
        <f>IFERROR(__xludf.DUMMYFUNCTION("GOOGLETRANSLATE(B1381,""id"",""en"")"),"['Speed', 'Severe', 'Lemot', 'Banvet', 'Edit', 'Class',' Game ',' Light ',' Slot ',' Nge ',' Lag ',' Severe ',' Anjirrr ',' ']")</f>
        <v>['Speed', 'Severe', 'Lemot', 'Banvet', 'Edit', 'Class',' Game ',' Light ',' Slot ',' Nge ',' Lag ',' Severe ',' Anjirrr ',' ']</v>
      </c>
      <c r="D1381" s="3">
        <v>1.0</v>
      </c>
    </row>
    <row r="1382" ht="15.75" customHeight="1">
      <c r="A1382" s="1">
        <v>1380.0</v>
      </c>
      <c r="B1382" s="3" t="s">
        <v>1383</v>
      </c>
      <c r="C1382" s="3" t="str">
        <f>IFERROR(__xludf.DUMMYFUNCTION("GOOGLETRANSLATE(B1382,""id"",""en"")"),"['buy', 'kouta', 'unlimited', 'kouta', 'multimedia', 'run out', 'kouta', 'slow', 'really', 'open', 'facebook', 'whatsapp', ' Send ',' Vedio ',' Hadeh ',' Kayak ',' Sorry ',' Gini ',' Change ',' Card ',' Leet ',' Really ',' Unlimited ',' Please ',' repaire"&amp;"d ' , 'Network', 'kouta', 'multimedia', 'already', 'love', 'star', ""]")</f>
        <v>['buy', 'kouta', 'unlimited', 'kouta', 'multimedia', 'run out', 'kouta', 'slow', 'really', 'open', 'facebook', 'whatsapp', ' Send ',' Vedio ',' Hadeh ',' Kayak ',' Sorry ',' Gini ',' Change ',' Card ',' Leet ',' Really ',' Unlimited ',' Please ',' repaired ' , 'Network', 'kouta', 'multimedia', 'already', 'love', 'star', "]</v>
      </c>
      <c r="D1382" s="3">
        <v>1.0</v>
      </c>
    </row>
    <row r="1383" ht="15.75" customHeight="1">
      <c r="A1383" s="1">
        <v>1381.0</v>
      </c>
      <c r="B1383" s="3" t="s">
        <v>1384</v>
      </c>
      <c r="C1383" s="3" t="str">
        <f>IFERROR(__xludf.DUMMYFUNCTION("GOOGLETRANSLATE(B1383,""id"",""en"")"),"['', 'what', 'package', 'cheap', 'add', 'network', 'tasty', 'package', 'ride', 'money', 'run out', 'gegara', 'quota ',' Mulu ',' network ',' already ',' lag ',' regret ',' Gue ',' Telkomsel ']")</f>
        <v>['', 'what', 'package', 'cheap', 'add', 'network', 'tasty', 'package', 'ride', 'money', 'run out', 'gegara', 'quota ',' Mulu ',' network ',' already ',' lag ',' regret ',' Gue ',' Telkomsel ']</v>
      </c>
      <c r="D1383" s="3">
        <v>1.0</v>
      </c>
    </row>
    <row r="1384" ht="15.75" customHeight="1">
      <c r="A1384" s="1">
        <v>1382.0</v>
      </c>
      <c r="B1384" s="3" t="s">
        <v>1385</v>
      </c>
      <c r="C1384" s="3" t="str">
        <f>IFERROR(__xludf.DUMMYFUNCTION("GOOGLETRANSLATE(B1384,""id"",""en"")"),"['internet', 'stuck', 'slow', 'user', 'anticipation', 'add', 'capacity', 'buy', 'hundreds',' thousand ',' understand ',' employee ',' telkomsel ',' already ',' salary ',' big ',' check ',' mbak ',' inbok ',' bored ',' mnding ',' replace ',' provider ',' i"&amp;"nternet ',' Telkomsel ' , 'Number', 'Used', 'Hangus', 'Capeeee']")</f>
        <v>['internet', 'stuck', 'slow', 'user', 'anticipation', 'add', 'capacity', 'buy', 'hundreds',' thousand ',' understand ',' employee ',' telkomsel ',' already ',' salary ',' big ',' check ',' mbak ',' inbok ',' bored ',' mnding ',' replace ',' provider ',' internet ',' Telkomsel ' , 'Number', 'Used', 'Hangus', 'Capeeee']</v>
      </c>
      <c r="D1384" s="3">
        <v>1.0</v>
      </c>
    </row>
    <row r="1385" ht="15.75" customHeight="1">
      <c r="A1385" s="1">
        <v>1383.0</v>
      </c>
      <c r="B1385" s="3" t="s">
        <v>1386</v>
      </c>
      <c r="C1385" s="3" t="str">
        <f>IFERROR(__xludf.DUMMYFUNCTION("GOOGLETRANSLATE(B1385,""id"",""en"")"),"['users',' Telkomsel ',' loyal ',' Paketan ',' Sampe ',' SLLU ',' Changed ',' Certainty ',' Severe ',' Kerugu ',' Telkomsel ',' Different ',' Rates', 'users',' cheap ',' expensive ',' cards', 'relative', 'cheap', '']")</f>
        <v>['users',' Telkomsel ',' loyal ',' Paketan ',' Sampe ',' SLLU ',' Changed ',' Certainty ',' Severe ',' Kerugu ',' Telkomsel ',' Different ',' Rates', 'users',' cheap ',' expensive ',' cards', 'relative', 'cheap', '']</v>
      </c>
      <c r="D1385" s="3">
        <v>3.0</v>
      </c>
    </row>
    <row r="1386" ht="15.75" customHeight="1">
      <c r="A1386" s="1">
        <v>1384.0</v>
      </c>
      <c r="B1386" s="3" t="s">
        <v>1387</v>
      </c>
      <c r="C1386" s="3" t="str">
        <f>IFERROR(__xludf.DUMMYFUNCTION("GOOGLETRANSLATE(B1386,""id"",""en"")"),"['Help', 'really', 'application', 'fix', 'user', 'Telkomsel', 'slow', 'laun', 'the application', 'good', 'until', 'change', ' difficulties', 'in', 'application', 'need', 'duration', 'enter', 'application', 'stop', 'unfortunate']")</f>
        <v>['Help', 'really', 'application', 'fix', 'user', 'Telkomsel', 'slow', 'laun', 'the application', 'good', 'until', 'change', ' difficulties', 'in', 'application', 'need', 'duration', 'enter', 'application', 'stop', 'unfortunate']</v>
      </c>
      <c r="D1386" s="3">
        <v>1.0</v>
      </c>
    </row>
    <row r="1387" ht="15.75" customHeight="1">
      <c r="A1387" s="1">
        <v>1385.0</v>
      </c>
      <c r="B1387" s="3" t="s">
        <v>1388</v>
      </c>
      <c r="C1387" s="3" t="str">
        <f>IFERROR(__xludf.DUMMYFUNCTION("GOOGLETRANSLATE(B1387,""id"",""en"")"),"['Satisfied', 'Available', 'Check', 'Take', 'Gift', 'Update', 'Points',' Collected ',' Fitting ',' Check ',' Please ',' Accept ',' love', '']")</f>
        <v>['Satisfied', 'Available', 'Check', 'Take', 'Gift', 'Update', 'Points',' Collected ',' Fitting ',' Check ',' Please ',' Accept ',' love', '']</v>
      </c>
      <c r="D1387" s="3">
        <v>4.0</v>
      </c>
    </row>
    <row r="1388" ht="15.75" customHeight="1">
      <c r="A1388" s="1">
        <v>1386.0</v>
      </c>
      <c r="B1388" s="3" t="s">
        <v>1389</v>
      </c>
      <c r="C1388" s="3" t="str">
        <f>IFERROR(__xludf.DUMMYFUNCTION("GOOGLETRANSLATE(B1388,""id"",""en"")"),"['suggestion', 'contents',' quota ',' application ',' lngsng ',' bkn ',' phone ',' krna ',' telephone ',' error ',' right ',' fill ',' quota ',' mlh ',' failed ',' writing ',' sorry ',' system ',' busy ',' please ',' wait ',' right ',' awaited ',' really "&amp;"',' smpe ' , 'skrng', 'blm', 'contents', 'quota', 'gmna', '']")</f>
        <v>['suggestion', 'contents',' quota ',' application ',' lngsng ',' bkn ',' phone ',' krna ',' telephone ',' error ',' right ',' fill ',' quota ',' mlh ',' failed ',' writing ',' sorry ',' system ',' busy ',' please ',' wait ',' right ',' awaited ',' really ',' smpe ' , 'skrng', 'blm', 'contents', 'quota', 'gmna', '']</v>
      </c>
      <c r="D1388" s="3">
        <v>1.0</v>
      </c>
    </row>
    <row r="1389" ht="15.75" customHeight="1">
      <c r="A1389" s="1">
        <v>1387.0</v>
      </c>
      <c r="B1389" s="3" t="s">
        <v>1390</v>
      </c>
      <c r="C1389" s="3" t="str">
        <f>IFERROR(__xludf.DUMMYFUNCTION("GOOGLETRANSLATE(B1389,""id"",""en"")"),"['Story', 'Buy', 'Package', 'Unlimited', 'GB', 'Out', 'GB', 'Unlimited', 'Unlimited', 'YouTube', 'Nge', 'lag', ' Nge ',' Game ',' Doang ',' Disappointed ']")</f>
        <v>['Story', 'Buy', 'Package', 'Unlimited', 'GB', 'Out', 'GB', 'Unlimited', 'Unlimited', 'YouTube', 'Nge', 'lag', ' Nge ',' Game ',' Doang ',' Disappointed ']</v>
      </c>
      <c r="D1389" s="3">
        <v>1.0</v>
      </c>
    </row>
    <row r="1390" ht="15.75" customHeight="1">
      <c r="A1390" s="1">
        <v>1388.0</v>
      </c>
      <c r="B1390" s="3" t="s">
        <v>1391</v>
      </c>
      <c r="C1390" s="3" t="str">
        <f>IFERROR(__xludf.DUMMYFUNCTION("GOOGLETRANSLATE(B1390,""id"",""en"")"),"['Telkomsel', 'dilapidated', 'yesterday', 'quota', 'unlimited', 'real', 'skrg', 'buy', 'expensive', 'unlimited', 'GB', 'doang', ' Ryesel ',' buy ',' expensive ',' ']")</f>
        <v>['Telkomsel', 'dilapidated', 'yesterday', 'quota', 'unlimited', 'real', 'skrg', 'buy', 'expensive', 'unlimited', 'GB', 'doang', ' Ryesel ',' buy ',' expensive ',' ']</v>
      </c>
      <c r="D1390" s="3">
        <v>1.0</v>
      </c>
    </row>
    <row r="1391" ht="15.75" customHeight="1">
      <c r="A1391" s="1">
        <v>1389.0</v>
      </c>
      <c r="B1391" s="3" t="s">
        <v>1392</v>
      </c>
      <c r="C1391" s="3" t="str">
        <f>IFERROR(__xludf.DUMMYFUNCTION("GOOGLETRANSLATE(B1391,""id"",""en"")"),"['What', 'sihhh', 'buy', 'quota', 'unlimited', 'week', 'uninited', 'intention', 'no' disappointed ',' telephone ',' already ',' Expensive ',' Search ',' Fortunately ',' Kebangeretan ',' Males', 'Change', 'Card']")</f>
        <v>['What', 'sihhh', 'buy', 'quota', 'unlimited', 'week', 'uninited', 'intention', 'no' disappointed ',' telephone ',' already ',' Expensive ',' Search ',' Fortunately ',' Kebangeretan ',' Males', 'Change', 'Card']</v>
      </c>
      <c r="D1391" s="3">
        <v>1.0</v>
      </c>
    </row>
    <row r="1392" ht="15.75" customHeight="1">
      <c r="A1392" s="1">
        <v>1390.0</v>
      </c>
      <c r="B1392" s="3" t="s">
        <v>1393</v>
      </c>
      <c r="C1392" s="3" t="str">
        <f>IFERROR(__xludf.DUMMYFUNCTION("GOOGLETRANSLATE(B1392,""id"",""en"")"),"['', 'family', 'use', 'card', 'suggest', 'use', 'card', 'telkomsel', 'buy', 'pulse', 'add', 'active', 'reach ',' Indonesia ',' good ',' promo ',' promo ',' quota ',' month ',' ayoo ',' miss', 'install', 'Telkomsel', 'promo', 'promo', 'Share', 'Telkomsel',"&amp;" 'Get', 'Success', 'Telkomsel', 'Jaya', 'Amin']")</f>
        <v>['', 'family', 'use', 'card', 'suggest', 'use', 'card', 'telkomsel', 'buy', 'pulse', 'add', 'active', 'reach ',' Indonesia ',' good ',' promo ',' promo ',' quota ',' month ',' ayoo ',' miss', 'install', 'Telkomsel', 'promo', 'promo', 'Share', 'Telkomsel', 'Get', 'Success', 'Telkomsel', 'Jaya', 'Amin']</v>
      </c>
      <c r="D1392" s="3">
        <v>5.0</v>
      </c>
    </row>
    <row r="1393" ht="15.75" customHeight="1">
      <c r="A1393" s="1">
        <v>1391.0</v>
      </c>
      <c r="B1393" s="3" t="s">
        <v>1394</v>
      </c>
      <c r="C1393" s="3" t="str">
        <f>IFERROR(__xludf.DUMMYFUNCTION("GOOGLETRANSLATE(B1393,""id"",""en"")"),"['min', 'promo', 'family', 'bnyk', 'promo', 'expensive', 'price', 'quota', 'card', 'udh', 'platinum', 'family', ' GOLD ',' quota ',' provided ',' expensive ',' comparable ',' orng ',' heat and 'promo', 'trimakasih']")</f>
        <v>['min', 'promo', 'family', 'bnyk', 'promo', 'expensive', 'price', 'quota', 'card', 'udh', 'platinum', 'family', ' GOLD ',' quota ',' provided ',' expensive ',' comparable ',' orng ',' heat and 'promo', 'trimakasih']</v>
      </c>
      <c r="D1393" s="3">
        <v>1.0</v>
      </c>
    </row>
    <row r="1394" ht="15.75" customHeight="1">
      <c r="A1394" s="1">
        <v>1392.0</v>
      </c>
      <c r="B1394" s="3" t="s">
        <v>1395</v>
      </c>
      <c r="C1394" s="3" t="str">
        <f>IFERROR(__xludf.DUMMYFUNCTION("GOOGLETRANSLATE(B1394,""id"",""en"")"),"['unlimited', 'slow', 'kek', 'min', 'local', 'run out', 'stay', 'unlimited', 'slow', 'kek', 'gini', 'knapa', ' LEGK ',' Bukak ',' YouTube ',' Boro ',' YouTube ',' Open ',' Snap ']")</f>
        <v>['unlimited', 'slow', 'kek', 'min', 'local', 'run out', 'stay', 'unlimited', 'slow', 'kek', 'gini', 'knapa', ' LEGK ',' Bukak ',' YouTube ',' Boro ',' YouTube ',' Open ',' Snap ']</v>
      </c>
      <c r="D1394" s="3">
        <v>3.0</v>
      </c>
    </row>
    <row r="1395" ht="15.75" customHeight="1">
      <c r="A1395" s="1">
        <v>1393.0</v>
      </c>
      <c r="B1395" s="3" t="s">
        <v>1396</v>
      </c>
      <c r="C1395" s="3" t="str">
        <f>IFERROR(__xludf.DUMMYFUNCTION("GOOGLETRANSLATE(B1395,""id"",""en"")"),"['Buy', 'Package', 'Data', 'Telkomsel', 'Payment', 'Shopee', 'Package', 'Data', 'Please', 'Noted', 'TRIMS']")</f>
        <v>['Buy', 'Package', 'Data', 'Telkomsel', 'Payment', 'Shopee', 'Package', 'Data', 'Please', 'Noted', 'TRIMS']</v>
      </c>
      <c r="D1395" s="3">
        <v>1.0</v>
      </c>
    </row>
    <row r="1396" ht="15.75" customHeight="1">
      <c r="A1396" s="1">
        <v>1394.0</v>
      </c>
      <c r="B1396" s="3" t="s">
        <v>1397</v>
      </c>
      <c r="C1396" s="3" t="str">
        <f>IFERROR(__xludf.DUMMYFUNCTION("GOOGLETRANSLATE(B1396,""id"",""en"")"),"['city', 'buy', 'package', 'internet', 'giga', 'package', 'quota', 'giga', 'package', 'local', 'use', 'city', ' Giga ',' use ',' area ',' buy ',' package ',' expensive ',' use ',' poor ',' before ',' choose ',' package ',' internet ',' network ' , 'Indone"&amp;"sia', 'maximum', 'customer', 'buy', 'package', 'used', '']")</f>
        <v>['city', 'buy', 'package', 'internet', 'giga', 'package', 'quota', 'giga', 'package', 'local', 'use', 'city', ' Giga ',' use ',' area ',' buy ',' package ',' expensive ',' use ',' poor ',' before ',' choose ',' package ',' internet ',' network ' , 'Indonesia', 'maximum', 'customer', 'buy', 'package', 'used', '']</v>
      </c>
      <c r="D1396" s="3">
        <v>1.0</v>
      </c>
    </row>
    <row r="1397" ht="15.75" customHeight="1">
      <c r="A1397" s="1">
        <v>1395.0</v>
      </c>
      <c r="B1397" s="3" t="s">
        <v>1398</v>
      </c>
      <c r="C1397" s="3" t="str">
        <f>IFERROR(__xludf.DUMMYFUNCTION("GOOGLETRANSLATE(B1397,""id"",""en"")"),"['difficult', 'take', 'buy', 'package', 'promo', 'check', 'application', 'karna', 'quota', 'thin', 'pulses',' pulses', ' thousand ',' asyuw ',' events', 'times',' a month ']")</f>
        <v>['difficult', 'take', 'buy', 'package', 'promo', 'check', 'application', 'karna', 'quota', 'thin', 'pulses',' pulses', ' thousand ',' asyuw ',' events', 'times',' a month ']</v>
      </c>
      <c r="D1397" s="3">
        <v>1.0</v>
      </c>
    </row>
    <row r="1398" ht="15.75" customHeight="1">
      <c r="A1398" s="1">
        <v>1396.0</v>
      </c>
      <c r="B1398" s="3" t="s">
        <v>1399</v>
      </c>
      <c r="C1398" s="3" t="str">
        <f>IFERROR(__xludf.DUMMYFUNCTION("GOOGLETRANSLATE(B1398,""id"",""en"")"),"['Disappointed', 'really', 'buy', 'unlimited', 'limit', 'reasonable', 'usage', 'quota', 'main', 'run out', 'already', 'limit', ' Fair ',' send ',' WhatsApp ',' Wait ',' Send ',' ']")</f>
        <v>['Disappointed', 'really', 'buy', 'unlimited', 'limit', 'reasonable', 'usage', 'quota', 'main', 'run out', 'already', 'limit', ' Fair ',' send ',' WhatsApp ',' Wait ',' Send ',' ']</v>
      </c>
      <c r="D1398" s="3">
        <v>2.0</v>
      </c>
    </row>
    <row r="1399" ht="15.75" customHeight="1">
      <c r="A1399" s="1">
        <v>1397.0</v>
      </c>
      <c r="B1399" s="3" t="s">
        <v>1400</v>
      </c>
      <c r="C1399" s="3" t="str">
        <f>IFERROR(__xludf.DUMMYFUNCTION("GOOGLETRANSLATE(B1399,""id"",""en"")"),"['contents',' quota ',' smooth ',' Veronica ',' Telkomsel ',' center ',' slow ',' help ',' pdahal ',' customers', 'telkomsel', 'persulit', ' Just ',' contents', 'voucher', 'please', 'fix', 'system']")</f>
        <v>['contents',' quota ',' smooth ',' Veronica ',' Telkomsel ',' center ',' slow ',' help ',' pdahal ',' customers', 'telkomsel', 'persulit', ' Just ',' contents', 'voucher', 'please', 'fix', 'system']</v>
      </c>
      <c r="D1399" s="3">
        <v>2.0</v>
      </c>
    </row>
    <row r="1400" ht="15.75" customHeight="1">
      <c r="A1400" s="1">
        <v>1398.0</v>
      </c>
      <c r="B1400" s="3" t="s">
        <v>1401</v>
      </c>
      <c r="C1400" s="3" t="str">
        <f>IFERROR(__xludf.DUMMYFUNCTION("GOOGLETRANSLATE(B1400,""id"",""en"")"),"['Telkomsel', 'here', 'signal', 'slow', 'disappointed', 'oath', 'replace', 'provider', 'ajalah', 'card', 'cheap', 'signal', ' Stable ',' card ',' Telkomsel ']")</f>
        <v>['Telkomsel', 'here', 'signal', 'slow', 'disappointed', 'oath', 'replace', 'provider', 'ajalah', 'card', 'cheap', 'signal', ' Stable ',' card ',' Telkomsel ']</v>
      </c>
      <c r="D1400" s="3">
        <v>1.0</v>
      </c>
    </row>
    <row r="1401" ht="15.75" customHeight="1">
      <c r="A1401" s="1">
        <v>1399.0</v>
      </c>
      <c r="B1401" s="3" t="s">
        <v>1402</v>
      </c>
      <c r="C1401" s="3" t="str">
        <f>IFERROR(__xludf.DUMMYFUNCTION("GOOGLETRANSLATE(B1401,""id"",""en"")"),"['cave', 'user', 'Telkomsel', 'Help', 'Jelays',' Fix ',' Cave ',' Maen ',' Gem ',' Sampe ',' exposed ',' Perlatition ',' AFK ',' cave ',' buy ',' package ',' money ',' leaves', 'min', 'price', 'comparable', 'quality', 'kenapaya', 'right', 'cave' , 'Maen',"&amp;" 'game', 'right', 'cave', 'see', 'vidio', 'porn', 'card', 'macama', 'cave', 'already', 'chat', ' Instagram ',' Telkomsel ',' response ',' please ',' fix ',' network ',' uda ',' that's', 'card', 'haram', ""]")</f>
        <v>['cave', 'user', 'Telkomsel', 'Help', 'Jelays',' Fix ',' Cave ',' Maen ',' Gem ',' Sampe ',' exposed ',' Perlatition ',' AFK ',' cave ',' buy ',' package ',' money ',' leaves', 'min', 'price', 'comparable', 'quality', 'kenapaya', 'right', 'cave' , 'Maen', 'game', 'right', 'cave', 'see', 'vidio', 'porn', 'card', 'macama', 'cave', 'already', 'chat', ' Instagram ',' Telkomsel ',' response ',' please ',' fix ',' network ',' uda ',' that's', 'card', 'haram', "]</v>
      </c>
      <c r="D1401" s="3">
        <v>1.0</v>
      </c>
    </row>
    <row r="1402" ht="15.75" customHeight="1">
      <c r="A1402" s="1">
        <v>1400.0</v>
      </c>
      <c r="B1402" s="3" t="s">
        <v>1403</v>
      </c>
      <c r="C1402" s="3" t="str">
        <f>IFERROR(__xludf.DUMMYFUNCTION("GOOGLETRANSLATE(B1402,""id"",""en"")"),"['Telkomsel', 'bad', 'servant', 'smartfren', 'live', 'Live', 'chat', 'free', 'simple', 'fast', 'finish', 'Telkomsel', ' convoluted ',' turnover ',' waste ',' waste ',' direct ',' live ',' chat ',' sjgnal ',' severe ',' lose ',' SSMA ',' smartfren ',' pric"&amp;"e ' , 'expensive', 'signal', 'bad', 'disappointed', 'Live', 'chat', 'direct', 'connected', '']")</f>
        <v>['Telkomsel', 'bad', 'servant', 'smartfren', 'live', 'Live', 'chat', 'free', 'simple', 'fast', 'finish', 'Telkomsel', ' convoluted ',' turnover ',' waste ',' waste ',' direct ',' live ',' chat ',' sjgnal ',' severe ',' lose ',' SSMA ',' smartfren ',' price ' , 'expensive', 'signal', 'bad', 'disappointed', 'Live', 'chat', 'direct', 'connected', '']</v>
      </c>
      <c r="D1402" s="3">
        <v>1.0</v>
      </c>
    </row>
    <row r="1403" ht="15.75" customHeight="1">
      <c r="A1403" s="1">
        <v>1401.0</v>
      </c>
      <c r="B1403" s="3" t="s">
        <v>1404</v>
      </c>
      <c r="C1403" s="3" t="str">
        <f>IFERROR(__xludf.DUMMYFUNCTION("GOOGLETRANSLATE(B1403,""id"",""en"")"),"['Disappointed', 'Telkomsel', 'Turnlined', 'Activate', 'Paspabay', 'On', 'Review', 'YouTube', 'Activate', 'Already', 'GraPARI']")</f>
        <v>['Disappointed', 'Telkomsel', 'Turnlined', 'Activate', 'Paspabay', 'On', 'Review', 'YouTube', 'Activate', 'Already', 'GraPARI']</v>
      </c>
      <c r="D1403" s="3">
        <v>1.0</v>
      </c>
    </row>
    <row r="1404" ht="15.75" customHeight="1">
      <c r="A1404" s="1">
        <v>1402.0</v>
      </c>
      <c r="B1404" s="3" t="s">
        <v>1405</v>
      </c>
      <c r="C1404" s="3" t="str">
        <f>IFERROR(__xludf.DUMMYFUNCTION("GOOGLETRANSLATE(B1404,""id"",""en"")"),"['Telkomsel', 'disappointed', 'quota', 'expensive', 'network', 'slow', 'provider', 'laen', 'gtu', 'feeling', 'dead', 'lights',' network ',' go out ',' Telkomsel ',' provider ',' maker ',' disappointed ',' customers', '']")</f>
        <v>['Telkomsel', 'disappointed', 'quota', 'expensive', 'network', 'slow', 'provider', 'laen', 'gtu', 'feeling', 'dead', 'lights',' network ',' go out ',' Telkomsel ',' provider ',' maker ',' disappointed ',' customers', '']</v>
      </c>
      <c r="D1404" s="3">
        <v>1.0</v>
      </c>
    </row>
    <row r="1405" ht="15.75" customHeight="1">
      <c r="A1405" s="1">
        <v>1403.0</v>
      </c>
      <c r="B1405" s="3" t="s">
        <v>1406</v>
      </c>
      <c r="C1405" s="3" t="str">
        <f>IFERROR(__xludf.DUMMYFUNCTION("GOOGLETRANSLATE(B1405,""id"",""en"")"),"['Signal', 'Network', 'Telkomsel', 'ugly', 'really', 'quality', 'skrg', 'below', 'celluler', 'hope', 'Telkomsel', 'fast', ' finished ',' in ',' improvement ',' network ',' shg ',' best ',' top ',' sorry ',' right ',' comment ',' ignore ',' mksh ', ""]")</f>
        <v>['Signal', 'Network', 'Telkomsel', 'ugly', 'really', 'quality', 'skrg', 'below', 'celluler', 'hope', 'Telkomsel', 'fast', ' finished ',' in ',' improvement ',' network ',' shg ',' best ',' top ',' sorry ',' right ',' comment ',' ignore ',' mksh ', "]</v>
      </c>
      <c r="D1405" s="3">
        <v>1.0</v>
      </c>
    </row>
    <row r="1406" ht="15.75" customHeight="1">
      <c r="A1406" s="1">
        <v>1404.0</v>
      </c>
      <c r="B1406" s="3" t="s">
        <v>1407</v>
      </c>
      <c r="C1406" s="3" t="str">
        <f>IFERROR(__xludf.DUMMYFUNCTION("GOOGLETRANSLATE(B1406,""id"",""en"")"),"['Hello', 'quota', 'game', 'max', 'used', 'play', 'free', 'fire', 'already', 'there', 'written', 'free', ' Fire ',' Mending ',' Write ',' Free ',' Fire ',' Clarification ',' Quota ',' Flash ',' Paint ',' Open ',' Already ',' Fishing Rod ',' Tetep ' , 'Kek"&amp;"eke', 'quota', 'Flash', 'Different', 'already', 'fishing fish', 'just', 'mobile', 'legens',' doang ',' Flash ',' please ',' Fix ',' cave ',' kasi ',' branch ',' bad ']")</f>
        <v>['Hello', 'quota', 'game', 'max', 'used', 'play', 'free', 'fire', 'already', 'there', 'written', 'free', ' Fire ',' Mending ',' Write ',' Free ',' Fire ',' Clarification ',' Quota ',' Flash ',' Paint ',' Open ',' Already ',' Fishing Rod ',' Tetep ' , 'Kekeke', 'quota', 'Flash', 'Different', 'already', 'fishing fish', 'just', 'mobile', 'legens',' doang ',' Flash ',' please ',' Fix ',' cave ',' kasi ',' branch ',' bad ']</v>
      </c>
      <c r="D1406" s="3">
        <v>1.0</v>
      </c>
    </row>
    <row r="1407" ht="15.75" customHeight="1">
      <c r="A1407" s="1">
        <v>1405.0</v>
      </c>
      <c r="B1407" s="3" t="s">
        <v>1408</v>
      </c>
      <c r="C1407" s="3" t="str">
        <f>IFERROR(__xludf.DUMMYFUNCTION("GOOGLETRANSLATE(B1407,""id"",""en"")"),"['Disappointed', 'Heavy', 'App', 'MyTelkomsel', 'Times',' Install ',' Buy ',' Package ',' Internet ',' Payment ',' Shoppepay ',' Transaction ',' successfully ',' service ',' internet ',' no ',' already ',' submit ',' help ',' reply ',' Please ',' waiting "&amp;"',' work ',' right ',' already ' , 'Wait', 'quota', 'internet', 'no', 'balance', 'already', 'chick', 'transaction', 'missing', 'vain', 'sia', 'no', ' Clarity ',' ']")</f>
        <v>['Disappointed', 'Heavy', 'App', 'MyTelkomsel', 'Times',' Install ',' Buy ',' Package ',' Internet ',' Payment ',' Shoppepay ',' Transaction ',' successfully ',' service ',' internet ',' no ',' already ',' submit ',' help ',' reply ',' Please ',' waiting ',' work ',' right ',' already ' , 'Wait', 'quota', 'internet', 'no', 'balance', 'already', 'chick', 'transaction', 'missing', 'vain', 'sia', 'no', ' Clarity ',' ']</v>
      </c>
      <c r="D1407" s="3">
        <v>1.0</v>
      </c>
    </row>
    <row r="1408" ht="15.75" customHeight="1">
      <c r="A1408" s="1">
        <v>1406.0</v>
      </c>
      <c r="B1408" s="3" t="s">
        <v>1409</v>
      </c>
      <c r="C1408" s="3" t="str">
        <f>IFERROR(__xludf.DUMMYFUNCTION("GOOGLETRANSLATE(B1408,""id"",""en"")"),"['GBLK', 'kid', 'buy', 'package', 'Emak', 'not', 'offered', 'internet', 'max', 'unlimited', 'child', 'bingsul', ' Select ',' love ',' plis', 'tulung', 'kid', 'buy', 'package', 'unlimited', 'laa', ""]")</f>
        <v>['GBLK', 'kid', 'buy', 'package', 'Emak', 'not', 'offered', 'internet', 'max', 'unlimited', 'child', 'bingsul', ' Select ',' love ',' plis', 'tulung', 'kid', 'buy', 'package', 'unlimited', 'laa', "]</v>
      </c>
      <c r="D1408" s="3">
        <v>1.0</v>
      </c>
    </row>
    <row r="1409" ht="15.75" customHeight="1">
      <c r="A1409" s="1">
        <v>1407.0</v>
      </c>
      <c r="B1409" s="3" t="s">
        <v>1410</v>
      </c>
      <c r="C1409" s="3" t="str">
        <f>IFERROR(__xludf.DUMMYFUNCTION("GOOGLETRANSLATE(B1409,""id"",""en"")"),"['Telkomsel', 'poor', 'package', 'expensive', 'network', 'hard', 'slow', 'disorder', 'fix', 'bnyak', 'switch']")</f>
        <v>['Telkomsel', 'poor', 'package', 'expensive', 'network', 'hard', 'slow', 'disorder', 'fix', 'bnyak', 'switch']</v>
      </c>
      <c r="D1409" s="3">
        <v>1.0</v>
      </c>
    </row>
    <row r="1410" ht="15.75" customHeight="1">
      <c r="A1410" s="1">
        <v>1408.0</v>
      </c>
      <c r="B1410" s="3" t="s">
        <v>1411</v>
      </c>
      <c r="C1410" s="3" t="str">
        <f>IFERROR(__xludf.DUMMYFUNCTION("GOOGLETRANSLATE(B1410,""id"",""en"")"),"['Please', 'Maap', 'yaaa', 'application', 'difficult', 'open', 'mslh', 'connection', 'signal', 'smooth', 'good', 'difficult', ' Check ',' quota ',' buy ',' package ',' data ',' plisss', 'please', 'repaired', 'gpp', 'emang', 'mslh', 'signal', 'mah' , 'Diff"&amp;"erent', 'watch', 'youtube', 'smooth', 'oas',' open ',' application ',' difficult ',' really ',' udh ',' install ',' reset ',' Application ',' TTP ',' Lemot ']")</f>
        <v>['Please', 'Maap', 'yaaa', 'application', 'difficult', 'open', 'mslh', 'connection', 'signal', 'smooth', 'good', 'difficult', ' Check ',' quota ',' buy ',' package ',' data ',' plisss', 'please', 'repaired', 'gpp', 'emang', 'mslh', 'signal', 'mah' , 'Different', 'watch', 'youtube', 'smooth', 'oas',' open ',' application ',' difficult ',' really ',' udh ',' install ',' reset ',' Application ',' TTP ',' Lemot ']</v>
      </c>
      <c r="D1410" s="3">
        <v>3.0</v>
      </c>
    </row>
    <row r="1411" ht="15.75" customHeight="1">
      <c r="A1411" s="1">
        <v>1409.0</v>
      </c>
      <c r="B1411" s="3" t="s">
        <v>1412</v>
      </c>
      <c r="C1411" s="3" t="str">
        <f>IFERROR(__xludf.DUMMYFUNCTION("GOOGLETRANSLATE(B1411,""id"",""en"")"),"['move', 'Telkomsel', 'deh', 'suggestion', 'network', 'bad', 'price', 'quota', 'expensive', 'pulse', 'sumps',' ngapa ',' What's about ',' force ',' Yasudah ',' prepare ',' mentally ', ""]")</f>
        <v>['move', 'Telkomsel', 'deh', 'suggestion', 'network', 'bad', 'price', 'quota', 'expensive', 'pulse', 'sumps',' ngapa ',' What's about ',' force ',' Yasudah ',' prepare ',' mentally ', "]</v>
      </c>
      <c r="D1411" s="3">
        <v>1.0</v>
      </c>
    </row>
    <row r="1412" ht="15.75" customHeight="1">
      <c r="A1412" s="1">
        <v>1410.0</v>
      </c>
      <c r="B1412" s="3" t="s">
        <v>1413</v>
      </c>
      <c r="C1412" s="3" t="str">
        <f>IFERROR(__xludf.DUMMYFUNCTION("GOOGLETRANSLATE(B1412,""id"",""en"")"),"['like', 'really', 'Telkomsel', 'promo', 'bonus',' daily ',' check ',' buy ',' package ',' combo ',' Sakti ',' Telkomsel ',' Direct ',' subscribe ',' Disney ',' Plus', 'Hotstar', '']")</f>
        <v>['like', 'really', 'Telkomsel', 'promo', 'bonus',' daily ',' check ',' buy ',' package ',' combo ',' Sakti ',' Telkomsel ',' Direct ',' subscribe ',' Disney ',' Plus', 'Hotstar', '']</v>
      </c>
      <c r="D1412" s="3">
        <v>5.0</v>
      </c>
    </row>
    <row r="1413" ht="15.75" customHeight="1">
      <c r="A1413" s="1">
        <v>1411.0</v>
      </c>
      <c r="B1413" s="3" t="s">
        <v>1414</v>
      </c>
      <c r="C1413" s="3" t="str">
        <f>IFERROR(__xludf.DUMMYFUNCTION("GOOGLETRANSLATE(B1413,""id"",""en"")"),"['Please', 'Application', 'Telkomsel', 'Fix', 'Difficult', 'Check', 'Data', 'Buy', 'Data', 'Internet', 'Ganguan', 'Disappointed', ' network ',' ganguan ',' buy ',' data ',' expensive ',' expensive ']")</f>
        <v>['Please', 'Application', 'Telkomsel', 'Fix', 'Difficult', 'Check', 'Data', 'Buy', 'Data', 'Internet', 'Ganguan', 'Disappointed', ' network ',' ganguan ',' buy ',' data ',' expensive ',' expensive ']</v>
      </c>
      <c r="D1413" s="3">
        <v>1.0</v>
      </c>
    </row>
    <row r="1414" ht="15.75" customHeight="1">
      <c r="A1414" s="1">
        <v>1412.0</v>
      </c>
      <c r="B1414" s="3" t="s">
        <v>1415</v>
      </c>
      <c r="C1414" s="3" t="str">
        <f>IFERROR(__xludf.DUMMYFUNCTION("GOOGLETRANSLATE(B1414,""id"",""en"")"),"['signal', 'mAh', 'full', 'open', 'sosmed', 'youtube', 'behavior', 'open', 'video', 'here', 'severe', 'the network', ' Rich ',' here ',' speeding ', ""]")</f>
        <v>['signal', 'mAh', 'full', 'open', 'sosmed', 'youtube', 'behavior', 'open', 'video', 'here', 'severe', 'the network', ' Rich ',' here ',' speeding ', "]</v>
      </c>
      <c r="D1414" s="3">
        <v>1.0</v>
      </c>
    </row>
    <row r="1415" ht="15.75" customHeight="1">
      <c r="A1415" s="1">
        <v>1413.0</v>
      </c>
      <c r="B1415" s="3" t="s">
        <v>1416</v>
      </c>
      <c r="C1415" s="3" t="str">
        <f>IFERROR(__xludf.DUMMYFUNCTION("GOOGLETRANSLATE(B1415,""id"",""en"")"),"['Please', 'Telkomsel', 'Cut', 'Credit', 'Donk', 'seconds',' already ',' Cut ',' Tens', 'thousand', 'Try', 'live', ' Data ',' doang ',' Rp ',' Rp ',' cut ',' pulse ',' TPI ',' Most ',' that's', 'donk', 'eat', 'pulses', ""]")</f>
        <v>['Please', 'Telkomsel', 'Cut', 'Credit', 'Donk', 'seconds',' already ',' Cut ',' Tens', 'thousand', 'Try', 'live', ' Data ',' doang ',' Rp ',' Rp ',' cut ',' pulse ',' TPI ',' Most ',' that's', 'donk', 'eat', 'pulses', "]</v>
      </c>
      <c r="D1415" s="3">
        <v>1.0</v>
      </c>
    </row>
    <row r="1416" ht="15.75" customHeight="1">
      <c r="A1416" s="1">
        <v>1414.0</v>
      </c>
      <c r="B1416" s="3" t="s">
        <v>1417</v>
      </c>
      <c r="C1416" s="3" t="str">
        <f>IFERROR(__xludf.DUMMYFUNCTION("GOOGLETRANSLATE(B1416,""id"",""en"")"),"['telkontol', 'buy', 'pulse', 'already', 'cut', 'activated', 'package', 'emergency', 'no', 'activated', 'already', 'package', ' Data ',' Telfon ',' SMS ',' MOTH ',' Credit ',' Move ',' Provider ',' No ',' Telkomsel ',' Loss']")</f>
        <v>['telkontol', 'buy', 'pulse', 'already', 'cut', 'activated', 'package', 'emergency', 'no', 'activated', 'already', 'package', ' Data ',' Telfon ',' SMS ',' MOTH ',' Credit ',' Move ',' Provider ',' No ',' Telkomsel ',' Loss']</v>
      </c>
      <c r="D1416" s="3">
        <v>1.0</v>
      </c>
    </row>
    <row r="1417" ht="15.75" customHeight="1">
      <c r="A1417" s="1">
        <v>1415.0</v>
      </c>
      <c r="B1417" s="3" t="s">
        <v>1418</v>
      </c>
      <c r="C1417" s="3" t="str">
        <f>IFERROR(__xludf.DUMMYFUNCTION("GOOGLETRANSLATE(B1417,""id"",""en"")"),"['Telkomsel', 'yahud', 'dech', 'wrong', 'package', 'fast', 'abis',' love ',' lightness', 'little', 'tuk', 'customer', ' TRM ',' ksh ']")</f>
        <v>['Telkomsel', 'yahud', 'dech', 'wrong', 'package', 'fast', 'abis',' love ',' lightness', 'little', 'tuk', 'customer', ' TRM ',' ksh ']</v>
      </c>
      <c r="D1417" s="3">
        <v>4.0</v>
      </c>
    </row>
    <row r="1418" ht="15.75" customHeight="1">
      <c r="A1418" s="1">
        <v>1416.0</v>
      </c>
      <c r="B1418" s="3" t="s">
        <v>1419</v>
      </c>
      <c r="C1418" s="3" t="str">
        <f>IFERROR(__xludf.DUMMYFUNCTION("GOOGLETRANSLATE(B1418,""id"",""en"")"),"['serious',' GB ',' Wadoo ',' really ',' Sis', 'BTW', 'Search', 'doi', 'girl', 'work', 'Telkomsel', 'Mayan', ' push ',' thinking ',' quota ']")</f>
        <v>['serious',' GB ',' Wadoo ',' really ',' Sis', 'BTW', 'Search', 'doi', 'girl', 'work', 'Telkomsel', 'Mayan', ' push ',' thinking ',' quota ']</v>
      </c>
      <c r="D1418" s="3">
        <v>5.0</v>
      </c>
    </row>
    <row r="1419" ht="15.75" customHeight="1">
      <c r="A1419" s="1">
        <v>1417.0</v>
      </c>
      <c r="B1419" s="3" t="s">
        <v>1420</v>
      </c>
      <c r="C1419" s="3" t="str">
        <f>IFERROR(__xludf.DUMMYFUNCTION("GOOGLETRANSLATE(B1419,""id"",""en"")"),"['protest', 'buy', 'quota', 'gamesmax', 'use', 'buy', 'package', 'gamesmax', 'kepakai', 'internet', 'quota', 'games',' special ',' game ',' enter ',' game ',' internet ',' run out ',' quota ',' game ',' no ',' entry ', ""]")</f>
        <v>['protest', 'buy', 'quota', 'gamesmax', 'use', 'buy', 'package', 'gamesmax', 'kepakai', 'internet', 'quota', 'games',' special ',' game ',' enter ',' game ',' internet ',' run out ',' quota ',' game ',' no ',' entry ', "]</v>
      </c>
      <c r="D1419" s="3">
        <v>1.0</v>
      </c>
    </row>
    <row r="1420" ht="15.75" customHeight="1">
      <c r="A1420" s="1">
        <v>1418.0</v>
      </c>
      <c r="B1420" s="3" t="s">
        <v>1421</v>
      </c>
      <c r="C1420" s="3" t="str">
        <f>IFERROR(__xludf.DUMMYFUNCTION("GOOGLETRANSLATE(B1420,""id"",""en"")"),"['Feature', 'Login', 'Fix', 'Open', 'Logout', 'Login', 'Already', 'Login', 'Appear', 'SMS', 'Magic', 'Link', ' complicated ',' checked ',' pulse ',' package ',' need ',' login ',' develop ',' apps', 'use', 'webview', 'use', 'framework', 'base' , 'web', 'n"&amp;"ative', 'loading', 'heavy', 'comfortable']")</f>
        <v>['Feature', 'Login', 'Fix', 'Open', 'Logout', 'Login', 'Already', 'Login', 'Appear', 'SMS', 'Magic', 'Link', ' complicated ',' checked ',' pulse ',' package ',' need ',' login ',' develop ',' apps', 'use', 'webview', 'use', 'framework', 'base' , 'web', 'native', 'loading', 'heavy', 'comfortable']</v>
      </c>
      <c r="D1420" s="3">
        <v>1.0</v>
      </c>
    </row>
    <row r="1421" ht="15.75" customHeight="1">
      <c r="A1421" s="1">
        <v>1419.0</v>
      </c>
      <c r="B1421" s="3" t="s">
        <v>1422</v>
      </c>
      <c r="C1421" s="3" t="str">
        <f>IFERROR(__xludf.DUMMYFUNCTION("GOOGLETRANSLATE(B1421,""id"",""en"")"),"['Help', 'purchase', 'data', 'according to', 'choice', 'signal', 'speed', 'Please', 'Customize', 'speed', 'tks', ""]")</f>
        <v>['Help', 'purchase', 'data', 'according to', 'choice', 'signal', 'speed', 'Please', 'Customize', 'speed', 'tks', "]</v>
      </c>
      <c r="D1421" s="3">
        <v>3.0</v>
      </c>
    </row>
    <row r="1422" ht="15.75" customHeight="1">
      <c r="A1422" s="1">
        <v>1420.0</v>
      </c>
      <c r="B1422" s="3" t="s">
        <v>1423</v>
      </c>
      <c r="C1422" s="3" t="str">
        <f>IFERROR(__xludf.DUMMYFUNCTION("GOOGLETRANSLATE(B1422,""id"",""en"")"),"['Migration', 'use', 'Hello', 'Unlimited', 'RB', 'Pay', 'Quota', 'GB', 'Out', 'Total', 'Super', 'Great', ' STLH ',' quota ',' GB ',' Out ',' Entertainment ',' Unlimited ',' MaxStream ',' Super ',' Leet ',' Tel ',' Operator ',' Meaned ',' report ' , 'PRNH'"&amp;", 'Response', 'Helooo', 'MOVER', 'PKAI', 'Super', 'Combo', 'Sakti', 'Rb', 'use', 'as much as',' a month ',' "", 'quota', 'GB', 'Sunday', 'SOP', 'Solution', 'Ryesel', 'Use', 'Hello', 'Kejebak', 'Tel',""]")</f>
        <v>['Migration', 'use', 'Hello', 'Unlimited', 'RB', 'Pay', 'Quota', 'GB', 'Out', 'Total', 'Super', 'Great', ' STLH ',' quota ',' GB ',' Out ',' Entertainment ',' Unlimited ',' MaxStream ',' Super ',' Leet ',' Tel ',' Operator ',' Meaned ',' report ' , 'PRNH', 'Response', 'Helooo', 'MOVER', 'PKAI', 'Super', 'Combo', 'Sakti', 'Rb', 'use', 'as much as',' a month ',' ", 'quota', 'GB', 'Sunday', 'SOP', 'Solution', 'Ryesel', 'Use', 'Hello', 'Kejebak', 'Tel',"]</v>
      </c>
      <c r="D1422" s="3">
        <v>5.0</v>
      </c>
    </row>
    <row r="1423" ht="15.75" customHeight="1">
      <c r="A1423" s="1">
        <v>1421.0</v>
      </c>
      <c r="B1423" s="3" t="s">
        <v>1424</v>
      </c>
      <c r="C1423" s="3" t="str">
        <f>IFERROR(__xludf.DUMMYFUNCTION("GOOGLETRANSLATE(B1423,""id"",""en"")"),"['Telkomsel', 'Yesterday', 'Signal', 'Error', 'Mulu', 'Believe', 'Send', 'Send', 'Knpa', 'BYK', 'BNGET', 'GANGUAN', ' Please, 'Fix', 'Canal', 'Mending', 'Card', 'Telkomsel', 'Network', 'Rich', 'Pig', ""]")</f>
        <v>['Telkomsel', 'Yesterday', 'Signal', 'Error', 'Mulu', 'Believe', 'Send', 'Send', 'Knpa', 'BYK', 'BNGET', 'GANGUAN', ' Please, 'Fix', 'Canal', 'Mending', 'Card', 'Telkomsel', 'Network', 'Rich', 'Pig', "]</v>
      </c>
      <c r="D1423" s="3">
        <v>1.0</v>
      </c>
    </row>
    <row r="1424" ht="15.75" customHeight="1">
      <c r="A1424" s="1">
        <v>1422.0</v>
      </c>
      <c r="B1424" s="3" t="s">
        <v>1425</v>
      </c>
      <c r="C1424" s="3" t="str">
        <f>IFERROR(__xludf.DUMMYFUNCTION("GOOGLETRANSLATE(B1424,""id"",""en"")"),"['like', 'application', 'makes it easy', 'buy', 'package', 'internet', 'price', 'Different', 'number', 'next door', 'account', 'update', ' expensive price', '']")</f>
        <v>['like', 'application', 'makes it easy', 'buy', 'package', 'internet', 'price', 'Different', 'number', 'next door', 'account', 'update', ' expensive price', '']</v>
      </c>
      <c r="D1424" s="3">
        <v>2.0</v>
      </c>
    </row>
    <row r="1425" ht="15.75" customHeight="1">
      <c r="A1425" s="1">
        <v>1423.0</v>
      </c>
      <c r="B1425" s="3" t="s">
        <v>1426</v>
      </c>
      <c r="C1425" s="3" t="str">
        <f>IFERROR(__xludf.DUMMYFUNCTION("GOOGLETRANSLATE(B1425,""id"",""en"")"),"['Please', 'users',' Telkomsel ',' Paketan ',' expensive ',' expensive ',' user ',' doang ',' package ',' cheap ',' cheap ',' want ',' ']")</f>
        <v>['Please', 'users',' Telkomsel ',' Paketan ',' expensive ',' expensive ',' user ',' doang ',' package ',' cheap ',' cheap ',' want ',' ']</v>
      </c>
      <c r="D1425" s="3">
        <v>4.0</v>
      </c>
    </row>
    <row r="1426" ht="15.75" customHeight="1">
      <c r="A1426" s="1">
        <v>1424.0</v>
      </c>
      <c r="B1426" s="3" t="s">
        <v>1427</v>
      </c>
      <c r="C1426" s="3" t="str">
        <f>IFERROR(__xludf.DUMMYFUNCTION("GOOGLETRANSLATE(B1426,""id"",""en"")"),"['Honest', 'fasting', 'lie', 'MyTelkomsel', 'slow', 'blum', 'run', 'maximum', 'release', 'update', 'star', 'down', ' Telkomsel ',' spirit ']")</f>
        <v>['Honest', 'fasting', 'lie', 'MyTelkomsel', 'slow', 'blum', 'run', 'maximum', 'release', 'update', 'star', 'down', ' Telkomsel ',' spirit ']</v>
      </c>
      <c r="D1426" s="3">
        <v>1.0</v>
      </c>
    </row>
    <row r="1427" ht="15.75" customHeight="1">
      <c r="A1427" s="1">
        <v>1425.0</v>
      </c>
      <c r="B1427" s="3" t="s">
        <v>1428</v>
      </c>
      <c r="C1427" s="3" t="str">
        <f>IFERROR(__xludf.DUMMYFUNCTION("GOOGLETRANSLATE(B1427,""id"",""en"")"),"['Network', 'ugly', 'maen', 'game', 'ngeprem', 'network', 'price', 'expensive', 'network', 'stable', 'no', 'rich', ' Gini ',' Network ',' How ',' Nii ',' Boy ',' BLI ',' Package ',' RB ',' Monthly ',' Network ',' Rich ',' Gini ',' Disorders' , 'knapa', 'n"&amp;"iii', '']")</f>
        <v>['Network', 'ugly', 'maen', 'game', 'ngeprem', 'network', 'price', 'expensive', 'network', 'stable', 'no', 'rich', ' Gini ',' Network ',' How ',' Nii ',' Boy ',' BLI ',' Package ',' RB ',' Monthly ',' Network ',' Rich ',' Gini ',' Disorders' , 'knapa', 'niii', '']</v>
      </c>
      <c r="D1427" s="3">
        <v>1.0</v>
      </c>
    </row>
    <row r="1428" ht="15.75" customHeight="1">
      <c r="A1428" s="1">
        <v>1426.0</v>
      </c>
      <c r="B1428" s="3" t="s">
        <v>1429</v>
      </c>
      <c r="C1428" s="3" t="str">
        <f>IFERROR(__xludf.DUMMYFUNCTION("GOOGLETRANSLATE(B1428,""id"",""en"")"),"['Sorry', 'min', 'gini', 'right', 'buy', 'telkom', 'price', 'unlimited', 'just', 'thousand', 'until', 'a month', ' price ',' expensive ',' to ',' thousand ',' want ',' right ',' already ',' fasting ',' price ',' normalin ',' minimal ',' thousand ',' pleas"&amp;"e ' , 'Min', 'already', 'down', 'price', 'love', 'star', 'mah', 'star', '']")</f>
        <v>['Sorry', 'min', 'gini', 'right', 'buy', 'telkom', 'price', 'unlimited', 'just', 'thousand', 'until', 'a month', ' price ',' expensive ',' to ',' thousand ',' want ',' right ',' already ',' fasting ',' price ',' normalin ',' minimal ',' thousand ',' please ' , 'Min', 'already', 'down', 'price', 'love', 'star', 'mah', 'star', '']</v>
      </c>
      <c r="D1428" s="3">
        <v>2.0</v>
      </c>
    </row>
    <row r="1429" ht="15.75" customHeight="1">
      <c r="A1429" s="1">
        <v>1427.0</v>
      </c>
      <c r="B1429" s="3" t="s">
        <v>1430</v>
      </c>
      <c r="C1429" s="3" t="str">
        <f>IFERROR(__xludf.DUMMYFUNCTION("GOOGLETRANSLATE(B1429,""id"",""en"")"),"['Applikai', 'Telkomsel', 'poor', 'buy', 'Package', 'Combo', 'Sakti', 'Telkomsel', 'Method', 'Payment', 'Shoopepay', 'Transaction', ' Successful ',' Balance ',' Shoopepay ',' Cutting ',' Package ',' Combo ',' Visit ',' Active ',' Turn ',' Chat ',' Veronik"&amp;"a ',' Wait ',' Date ' , 'May', 'right', 'Date', 'patient', 'application', 'mosque', 'person', 'already', 'money', 'told', 'patient', 'system', ' application ',' Telkomsel ',' chaotic ']")</f>
        <v>['Applikai', 'Telkomsel', 'poor', 'buy', 'Package', 'Combo', 'Sakti', 'Telkomsel', 'Method', 'Payment', 'Shoopepay', 'Transaction', ' Successful ',' Balance ',' Shoopepay ',' Cutting ',' Package ',' Combo ',' Visit ',' Active ',' Turn ',' Chat ',' Veronika ',' Wait ',' Date ' , 'May', 'right', 'Date', 'patient', 'application', 'mosque', 'person', 'already', 'money', 'told', 'patient', 'system', ' application ',' Telkomsel ',' chaotic ']</v>
      </c>
      <c r="D1429" s="3">
        <v>2.0</v>
      </c>
    </row>
    <row r="1430" ht="15.75" customHeight="1">
      <c r="A1430" s="1">
        <v>1428.0</v>
      </c>
      <c r="B1430" s="3" t="s">
        <v>1431</v>
      </c>
      <c r="C1430" s="3" t="str">
        <f>IFERROR(__xludf.DUMMYFUNCTION("GOOGLETRANSLATE(B1430,""id"",""en"")"),"['right', 'buy', 'Package', 'Telkomsel', 'Open', 'Menu', 'Shop', 'Click', 'Internet', 'Package', 'Rich', 'Gini', ' Package ',' Hot ',' offer ',' ']")</f>
        <v>['right', 'buy', 'Package', 'Telkomsel', 'Open', 'Menu', 'Shop', 'Click', 'Internet', 'Package', 'Rich', 'Gini', ' Package ',' Hot ',' offer ',' ']</v>
      </c>
      <c r="D1430" s="3">
        <v>5.0</v>
      </c>
    </row>
    <row r="1431" ht="15.75" customHeight="1">
      <c r="A1431" s="1">
        <v>1429.0</v>
      </c>
      <c r="B1431" s="3" t="s">
        <v>1432</v>
      </c>
      <c r="C1431" s="3" t="str">
        <f>IFERROR(__xludf.DUMMYFUNCTION("GOOGLETRANSLATE(B1431,""id"",""en"")"),"['Not bad', 'hope', 'congratulations', 'bismillah', 'thank', 'love', 'progress', 'kindness', 'solution', 'greetings', ""]")</f>
        <v>['Not bad', 'hope', 'congratulations', 'bismillah', 'thank', 'love', 'progress', 'kindness', 'solution', 'greetings', "]</v>
      </c>
      <c r="D1431" s="3">
        <v>5.0</v>
      </c>
    </row>
    <row r="1432" ht="15.75" customHeight="1">
      <c r="A1432" s="1">
        <v>1430.0</v>
      </c>
      <c r="B1432" s="3" t="s">
        <v>1433</v>
      </c>
      <c r="C1432" s="3" t="str">
        <f>IFERROR(__xludf.DUMMYFUNCTION("GOOGLETRANSLATE(B1432,""id"",""en"")"),"['Credit', 'enter', 'contents',' shopepay ',' balance ',' reduced ',' pulses', 'enter', 'operator', 'service', 'eat', 'salary', ' blind ',' Teparted ',' tele ',' complicated ',' nya ',' enter ',' pulse ',' sincere ',' application ',' take ',' application "&amp;"',' garbage ',' heart ' , 'Heart', 'People', 'Dewakiimi']")</f>
        <v>['Credit', 'enter', 'contents',' shopepay ',' balance ',' reduced ',' pulses', 'enter', 'operator', 'service', 'eat', 'salary', ' blind ',' Teparted ',' tele ',' complicated ',' nya ',' enter ',' pulse ',' sincere ',' application ',' take ',' application ',' garbage ',' heart ' , 'Heart', 'People', 'Dewakiimi']</v>
      </c>
      <c r="D1432" s="3">
        <v>1.0</v>
      </c>
    </row>
    <row r="1433" ht="15.75" customHeight="1">
      <c r="A1433" s="1">
        <v>1431.0</v>
      </c>
      <c r="B1433" s="3" t="s">
        <v>1434</v>
      </c>
      <c r="C1433" s="3" t="str">
        <f>IFERROR(__xludf.DUMMYFUNCTION("GOOGLETRANSLATE(B1433,""id"",""en"")"),"['Original', 'Disappointed', 'Telkomsel', 'Skarang', 'Since', 'WiFi', 'Signal', 'Telkomsel', 'Rich', 'Cave', 'Maen', 'Games',' Whatever ',' hours', 'brapa', 'safe', 'safe', 'skarang', 'waiting', 'hours',' malem ',' until ',' original ',' disappointed ',' "&amp;"cave ' , 'Ampe', 'slamming', 'Gara', 'Gara', 'signal', 'skirnya', 'gave', 'satisfying', 'Mending', 'bankrupt', 'Udh', 'quota', ' Mahalin ']")</f>
        <v>['Original', 'Disappointed', 'Telkomsel', 'Skarang', 'Since', 'WiFi', 'Signal', 'Telkomsel', 'Rich', 'Cave', 'Maen', 'Games',' Whatever ',' hours', 'brapa', 'safe', 'safe', 'skarang', 'waiting', 'hours',' malem ',' until ',' original ',' disappointed ',' cave ' , 'Ampe', 'slamming', 'Gara', 'Gara', 'signal', 'skirnya', 'gave', 'satisfying', 'Mending', 'bankrupt', 'Udh', 'quota', ' Mahalin ']</v>
      </c>
      <c r="D1433" s="3">
        <v>1.0</v>
      </c>
    </row>
    <row r="1434" ht="15.75" customHeight="1">
      <c r="A1434" s="1">
        <v>1432.0</v>
      </c>
      <c r="B1434" s="3" t="s">
        <v>1435</v>
      </c>
      <c r="C1434" s="3" t="str">
        <f>IFERROR(__xludf.DUMMYFUNCTION("GOOGLETRANSLATE(B1434,""id"",""en"")"),"['Disappointed', 'Telkomsel', 'buy', 'package', 'unlimitedmax', 'signal', 'stable', 'quota', 'out', 'udh', 'mah', 'price', ' quota ',' unlimited ',' batesin ',' slow ',' please ',' telkomsel ',' mending ',' package ',' unlimited ',' batesin ',' speed ',' "&amp;"udh ',' price ' , 'Limit', 'Speed', 'Disappointed', 'Telkomsel']")</f>
        <v>['Disappointed', 'Telkomsel', 'buy', 'package', 'unlimitedmax', 'signal', 'stable', 'quota', 'out', 'udh', 'mah', 'price', ' quota ',' unlimited ',' batesin ',' slow ',' please ',' telkomsel ',' mending ',' package ',' unlimited ',' batesin ',' speed ',' udh ',' price ' , 'Limit', 'Speed', 'Disappointed', 'Telkomsel']</v>
      </c>
      <c r="D1434" s="3">
        <v>1.0</v>
      </c>
    </row>
    <row r="1435" ht="15.75" customHeight="1">
      <c r="A1435" s="1">
        <v>1433.0</v>
      </c>
      <c r="B1435" s="3" t="s">
        <v>1436</v>
      </c>
      <c r="C1435" s="3" t="str">
        <f>IFERROR(__xludf.DUMMYFUNCTION("GOOGLETRANSLATE(B1435,""id"",""en"")"),"['love', 'star', 'Gara', 'Gara', 'already', 'week', 'signal', 'missing', 'vivo', 'replace', 'card', 'card', ' Telkomsel ',' ']")</f>
        <v>['love', 'star', 'Gara', 'Gara', 'already', 'week', 'signal', 'missing', 'vivo', 'replace', 'card', 'card', ' Telkomsel ',' ']</v>
      </c>
      <c r="D1435" s="3">
        <v>1.0</v>
      </c>
    </row>
    <row r="1436" ht="15.75" customHeight="1">
      <c r="A1436" s="1">
        <v>1434.0</v>
      </c>
      <c r="B1436" s="3" t="s">
        <v>1437</v>
      </c>
      <c r="C1436" s="3" t="str">
        <f>IFERROR(__xludf.DUMMYFUNCTION("GOOGLETRANSLATE(B1436,""id"",""en"")"),"['Hold', 'Thun', 'Card', 'Decide', 'Stop', 'Karna', 'Network', 'Visit', 'Improved', 'Please', 'Definition', ""]")</f>
        <v>['Hold', 'Thun', 'Card', 'Decide', 'Stop', 'Karna', 'Network', 'Visit', 'Improved', 'Please', 'Definition', "]</v>
      </c>
      <c r="D1436" s="3">
        <v>1.0</v>
      </c>
    </row>
    <row r="1437" ht="15.75" customHeight="1">
      <c r="A1437" s="1">
        <v>1435.0</v>
      </c>
      <c r="B1437" s="3" t="s">
        <v>1438</v>
      </c>
      <c r="C1437" s="3" t="str">
        <f>IFERROR(__xludf.DUMMYFUNCTION("GOOGLETRANSLATE(B1437,""id"",""en"")"),"['App', 'Help', 'already', 'clicked', 'package', 'activation', 'price', 'package', 'expensive', 'recommended', 'bangett', 'app']")</f>
        <v>['App', 'Help', 'already', 'clicked', 'package', 'activation', 'price', 'package', 'expensive', 'recommended', 'bangett', 'app']</v>
      </c>
      <c r="D1437" s="3">
        <v>1.0</v>
      </c>
    </row>
    <row r="1438" ht="15.75" customHeight="1">
      <c r="A1438" s="1">
        <v>1436.0</v>
      </c>
      <c r="B1438" s="3" t="s">
        <v>1439</v>
      </c>
      <c r="C1438" s="3" t="str">
        <f>IFERROR(__xludf.DUMMYFUNCTION("GOOGLETRANSLATE(B1438,""id"",""en"")"),"['card', 'register', 'package', 'sms',' work ',' difficult ',' network ',' internet ',' please ',' admin ',' process', 'request', ' Register ',' Package ',' SMS ',' ']")</f>
        <v>['card', 'register', 'package', 'sms',' work ',' difficult ',' network ',' internet ',' please ',' admin ',' process', 'request', ' Register ',' Package ',' SMS ',' ']</v>
      </c>
      <c r="D1438" s="3">
        <v>4.0</v>
      </c>
    </row>
    <row r="1439" ht="15.75" customHeight="1">
      <c r="A1439" s="1">
        <v>1437.0</v>
      </c>
      <c r="B1439" s="3" t="s">
        <v>1440</v>
      </c>
      <c r="C1439" s="3" t="str">
        <f>IFERROR(__xludf.DUMMYFUNCTION("GOOGLETRANSLATE(B1439,""id"",""en"")"),"['fed up', 'SMS', 'promo', 'then', 'Telkomsel', 'promo', 'cheap', 'right', 'click', 'package', 'available', 'muaaaaak', ' SMS ',' operator ',' Telkomsel ',' ']")</f>
        <v>['fed up', 'SMS', 'promo', 'then', 'Telkomsel', 'promo', 'cheap', 'right', 'click', 'package', 'available', 'muaaaaak', ' SMS ',' operator ',' Telkomsel ',' ']</v>
      </c>
      <c r="D1439" s="3">
        <v>1.0</v>
      </c>
    </row>
    <row r="1440" ht="15.75" customHeight="1">
      <c r="A1440" s="1">
        <v>1438.0</v>
      </c>
      <c r="B1440" s="3" t="s">
        <v>1441</v>
      </c>
      <c r="C1440" s="3" t="str">
        <f>IFERROR(__xludf.DUMMYFUNCTION("GOOGLETRANSLATE(B1440,""id"",""en"")"),"['Stop', 'subscribe', 'version', 'complicated', 'Delete', 'Kouta', 'unlimited', 'game', 'sosmed', 'already', 'difficult', ' his signal ',' deleted ',' please ',' delete ',' package ']")</f>
        <v>['Stop', 'subscribe', 'version', 'complicated', 'Delete', 'Kouta', 'unlimited', 'game', 'sosmed', 'already', 'difficult', ' his signal ',' deleted ',' please ',' delete ',' package ']</v>
      </c>
      <c r="D1440" s="3">
        <v>1.0</v>
      </c>
    </row>
    <row r="1441" ht="15.75" customHeight="1">
      <c r="A1441" s="1">
        <v>1439.0</v>
      </c>
      <c r="B1441" s="3" t="s">
        <v>1442</v>
      </c>
      <c r="C1441" s="3" t="str">
        <f>IFERROR(__xludf.DUMMYFUNCTION("GOOGLETRANSLATE(B1441,""id"",""en"")"),"['Love', 'Star', 'Satisfied', 'Speed', 'Use', 'Package', 'Sakti', 'Leet', 'Forgiveness', 'Speed', 'Already', 'Good' Stars', 'Please', 'solution', '']")</f>
        <v>['Love', 'Star', 'Satisfied', 'Speed', 'Use', 'Package', 'Sakti', 'Leet', 'Forgiveness', 'Speed', 'Already', 'Good' Stars', 'Please', 'solution', '']</v>
      </c>
      <c r="D1441" s="3">
        <v>3.0</v>
      </c>
    </row>
    <row r="1442" ht="15.75" customHeight="1">
      <c r="A1442" s="1">
        <v>1440.0</v>
      </c>
      <c r="B1442" s="3" t="s">
        <v>1443</v>
      </c>
      <c r="C1442" s="3" t="str">
        <f>IFERROR(__xludf.DUMMYFUNCTION("GOOGLETRANSLATE(B1442,""id"",""en"")"),"['Buy', 'Package', 'Data', 'Quota', 'Chat', 'Music', 'Games', 'Sosmed', 'YouTube', 'Unlimated', 'Chat', ""]")</f>
        <v>['Buy', 'Package', 'Data', 'Quota', 'Chat', 'Music', 'Games', 'Sosmed', 'YouTube', 'Unlimated', 'Chat', "]</v>
      </c>
      <c r="D1442" s="3">
        <v>5.0</v>
      </c>
    </row>
    <row r="1443" ht="15.75" customHeight="1">
      <c r="A1443" s="1">
        <v>1441.0</v>
      </c>
      <c r="B1443" s="3" t="s">
        <v>1444</v>
      </c>
      <c r="C1443" s="3" t="str">
        <f>IFERROR(__xludf.DUMMYFUNCTION("GOOGLETRANSLATE(B1443,""id"",""en"")"),"['', 'Telkomsel', 'like', 'satisfied', 'Telkomsel', 'minus',' ksh ',' proposal ',' suggestion ',' input ',' minus', 'purchase', 'paketan ',' Telkomsel ',' data ',' offline ',' hrs', 'TTP', 'buy', 'package', 'data', 'Telkomsel', 'org', 'Abident', 'quota', "&amp;"'Data', 'offline', 'bru', 'contents',' pls', 'contents',' package ',' data ',' kga ',' offline ',' pls', 'sumps',' first ']")</f>
        <v>['', 'Telkomsel', 'like', 'satisfied', 'Telkomsel', 'minus',' ksh ',' proposal ',' suggestion ',' input ',' minus', 'purchase', 'paketan ',' Telkomsel ',' data ',' offline ',' hrs', 'TTP', 'buy', 'package', 'data', 'Telkomsel', 'org', 'Abident', 'quota', 'Data', 'offline', 'bru', 'contents',' pls', 'contents',' package ',' data ',' kga ',' offline ',' pls', 'sumps',' first ']</v>
      </c>
      <c r="D1443" s="3">
        <v>5.0</v>
      </c>
    </row>
    <row r="1444" ht="15.75" customHeight="1">
      <c r="A1444" s="1">
        <v>1442.0</v>
      </c>
      <c r="B1444" s="3" t="s">
        <v>1445</v>
      </c>
      <c r="C1444" s="3" t="str">
        <f>IFERROR(__xludf.DUMMYFUNCTION("GOOGLETRANSLATE(B1444,""id"",""en"")"),"['Gosh', 'connection', 'internet', 'bad', 'price', 'expensive', 'weather', 'provider', 'tmpt', 'select', 'provider']")</f>
        <v>['Gosh', 'connection', 'internet', 'bad', 'price', 'expensive', 'weather', 'provider', 'tmpt', 'select', 'provider']</v>
      </c>
      <c r="D1444" s="3">
        <v>1.0</v>
      </c>
    </row>
    <row r="1445" ht="15.75" customHeight="1">
      <c r="A1445" s="1">
        <v>1443.0</v>
      </c>
      <c r="B1445" s="3" t="s">
        <v>1446</v>
      </c>
      <c r="C1445" s="3" t="str">
        <f>IFERROR(__xludf.DUMMYFUNCTION("GOOGLETRANSLATE(B1445,""id"",""en"")"),"['Update', 'Please', 'provided', 'Feature', 'Lock', 'Credit', 'Feature', 'Lock', 'Button', 'Provider', 'Next to', 'Provider', ' Purple ',' Provider ',' Segede ',' Telkomsel ',' Features', 'Please', 'Noted', ""]")</f>
        <v>['Update', 'Please', 'provided', 'Feature', 'Lock', 'Credit', 'Feature', 'Lock', 'Button', 'Provider', 'Next to', 'Provider', ' Purple ',' Provider ',' Segede ',' Telkomsel ',' Features', 'Please', 'Noted', "]</v>
      </c>
      <c r="D1445" s="3">
        <v>1.0</v>
      </c>
    </row>
    <row r="1446" ht="15.75" customHeight="1">
      <c r="A1446" s="1">
        <v>1444.0</v>
      </c>
      <c r="B1446" s="3" t="s">
        <v>1447</v>
      </c>
      <c r="C1446" s="3" t="str">
        <f>IFERROR(__xludf.DUMMYFUNCTION("GOOGLETRANSLATE(B1446,""id"",""en"")"),"['already', 'price', 'package', 'internet', 'expensive', 'contents',' data ',' honest ',' network ',' taik ',' create a ',' game ',' Mobile ',' Legend ',' Severe ',' Times', 'Anyway', 'Out', 'Credit', 'Score', 'Gegara', 'Signal', 'Poor', 'Forgiveness',' P"&amp;"rice ' , 'collide', 'expensive', 'quality', 'network', 'game', 'severe', 'times', 'lag', 'fucking', 'bener', ""]")</f>
        <v>['already', 'price', 'package', 'internet', 'expensive', 'contents',' data ',' honest ',' network ',' taik ',' create a ',' game ',' Mobile ',' Legend ',' Severe ',' Times', 'Anyway', 'Out', 'Credit', 'Score', 'Gegara', 'Signal', 'Poor', 'Forgiveness',' Price ' , 'collide', 'expensive', 'quality', 'network', 'game', 'severe', 'times', 'lag', 'fucking', 'bener', "]</v>
      </c>
      <c r="D1446" s="3">
        <v>1.0</v>
      </c>
    </row>
    <row r="1447" ht="15.75" customHeight="1">
      <c r="A1447" s="1">
        <v>1445.0</v>
      </c>
      <c r="B1447" s="3" t="s">
        <v>1448</v>
      </c>
      <c r="C1447" s="3" t="str">
        <f>IFERROR(__xludf.DUMMYFUNCTION("GOOGLETRANSLATE(B1447,""id"",""en"")"),"['Telkomsel', 'expensive', 'package', 'expensive', 'surgical', 'price', 'complaints',' told ',' report ',' report ',' Males', 'Nggk', ' Response ',' Points', 'Try', 'Nggk', 'Exchange', 'Credit', 'Gini', 'then', 'Mending', 'Move', 'Card']")</f>
        <v>['Telkomsel', 'expensive', 'package', 'expensive', 'surgical', 'price', 'complaints',' told ',' report ',' report ',' Males', 'Nggk', ' Response ',' Points', 'Try', 'Nggk', 'Exchange', 'Credit', 'Gini', 'then', 'Mending', 'Move', 'Card']</v>
      </c>
      <c r="D1447" s="3">
        <v>1.0</v>
      </c>
    </row>
    <row r="1448" ht="15.75" customHeight="1">
      <c r="A1448" s="1">
        <v>1446.0</v>
      </c>
      <c r="B1448" s="3" t="s">
        <v>1449</v>
      </c>
      <c r="C1448" s="3" t="str">
        <f>IFERROR(__xludf.DUMMYFUNCTION("GOOGLETRANSLATE(B1448,""id"",""en"")"),"['Yesterday', 'yesterday', 'tasty', 'unlimited', 'already', 'Fup', 'disappointed', 'week', 'already', 'get', 'FUP', 'active', ' YouTube ',' FUP ',' Customer ',' Thank ',' Love ']")</f>
        <v>['Yesterday', 'yesterday', 'tasty', 'unlimited', 'already', 'Fup', 'disappointed', 'week', 'already', 'get', 'FUP', 'active', ' YouTube ',' FUP ',' Customer ',' Thank ',' Love ']</v>
      </c>
      <c r="D1448" s="3">
        <v>5.0</v>
      </c>
    </row>
    <row r="1449" ht="15.75" customHeight="1">
      <c r="A1449" s="1">
        <v>1447.0</v>
      </c>
      <c r="B1449" s="3" t="s">
        <v>1450</v>
      </c>
      <c r="C1449" s="3" t="str">
        <f>IFERROR(__xludf.DUMMYFUNCTION("GOOGLETRANSLATE(B1449,""id"",""en"")"),"['Seringing', 'promo', 'internet', 'maxstream', 'rb', 'skrg', 'udh', 'kek', 'loss',' buy ',' data ',' tip ',' The ends', 'then', 'Gara', 'Gara', 'Udh', 'Nyampe', 'boundary', 'make', 'loss',' buy ',' tip ',' end ' , 'Cave', 'CMN', 'GB', 'GB', 'Loss',' Buy "&amp;"',' RB ',' GB ',' UDH ',' Loss', 'Cave', 'Make', ' wifi ',' cave ',' buy ',' quota ',' cmn ',' play ',' whose ',' buy ',' rb ',' please ',' lots', 'promo', 'rb' , '']")</f>
        <v>['Seringing', 'promo', 'internet', 'maxstream', 'rb', 'skrg', 'udh', 'kek', 'loss',' buy ',' data ',' tip ',' The ends', 'then', 'Gara', 'Gara', 'Udh', 'Nyampe', 'boundary', 'make', 'loss',' buy ',' tip ',' end ' , 'Cave', 'CMN', 'GB', 'GB', 'Loss',' Buy ',' RB ',' GB ',' UDH ',' Loss', 'Cave', 'Make', ' wifi ',' cave ',' buy ',' quota ',' cmn ',' play ',' whose ',' buy ',' rb ',' please ',' lots', 'promo', 'rb' , '']</v>
      </c>
      <c r="D1449" s="3">
        <v>2.0</v>
      </c>
    </row>
    <row r="1450" ht="15.75" customHeight="1">
      <c r="A1450" s="1">
        <v>1448.0</v>
      </c>
      <c r="B1450" s="3" t="s">
        <v>1451</v>
      </c>
      <c r="C1450" s="3" t="str">
        <f>IFERROR(__xludf.DUMMYFUNCTION("GOOGLETRANSLATE(B1450,""id"",""en"")"),"['Knapa', 'AHIR', 'Telkomsel', 'Sousal', 'ugly', 'pdhal', 'users',' Telkomsel ',' Network ',' Seburuk ',' JLEK ',' quota ',' difficult ',' play ',' video ',' tick ',' slow ',' please ',' repaired ',' region ',' cianjur ',' java ',' west ',' ']")</f>
        <v>['Knapa', 'AHIR', 'Telkomsel', 'Sousal', 'ugly', 'pdhal', 'users',' Telkomsel ',' Network ',' Seburuk ',' JLEK ',' quota ',' difficult ',' play ',' video ',' tick ',' slow ',' please ',' repaired ',' region ',' cianjur ',' java ',' west ',' ']</v>
      </c>
      <c r="D1450" s="3">
        <v>1.0</v>
      </c>
    </row>
    <row r="1451" ht="15.75" customHeight="1">
      <c r="A1451" s="1">
        <v>1449.0</v>
      </c>
      <c r="B1451" s="3" t="s">
        <v>1452</v>
      </c>
      <c r="C1451" s="3" t="str">
        <f>IFERROR(__xludf.DUMMYFUNCTION("GOOGLETRANSLATE(B1451,""id"",""en"")"),"['ugly', 'really', 'Player', 'use', 'Telkomsel', 'Network', 'Not bad', 'payment', 'Telkomsel', 'take', 'profit', 'Naturally', ' buy ',' Membership ',' Weekly ',' Free ',' Fire ',' price ',' just ',' thousand ',' Rupiah ',' Telkomsel ',' take ',' profit ',"&amp;"' really ' , 'Telkomsel', 'take', 'thousand', 'rupiah', 'additional', 'pay', 'thousand', 'rupiah', 'just', 'thousand', 'Rupiah', 'Telkomsel', ' point', '']")</f>
        <v>['ugly', 'really', 'Player', 'use', 'Telkomsel', 'Network', 'Not bad', 'payment', 'Telkomsel', 'take', 'profit', 'Naturally', ' buy ',' Membership ',' Weekly ',' Free ',' Fire ',' price ',' just ',' thousand ',' Rupiah ',' Telkomsel ',' take ',' profit ',' really ' , 'Telkomsel', 'take', 'thousand', 'rupiah', 'additional', 'pay', 'thousand', 'rupiah', 'just', 'thousand', 'Rupiah', 'Telkomsel', ' point', '']</v>
      </c>
      <c r="D1451" s="3">
        <v>1.0</v>
      </c>
    </row>
    <row r="1452" ht="15.75" customHeight="1">
      <c r="A1452" s="1">
        <v>1450.0</v>
      </c>
      <c r="B1452" s="3" t="s">
        <v>1453</v>
      </c>
      <c r="C1452" s="3" t="str">
        <f>IFERROR(__xludf.DUMMYFUNCTION("GOOGLETRANSLATE(B1452,""id"",""en"")"),"['Buriq', 'Buriq', 'signal', 'package', 'ngeleag', 'Cobain', 'Telkomsel', 'ehhh', 'disappointed', 'already', 'package', 'expensive', ' network ',' ngeleag ',' really ',' disappointing ',' play ',' game ',' signal ',' lost ',' buriq ']")</f>
        <v>['Buriq', 'Buriq', 'signal', 'package', 'ngeleag', 'Cobain', 'Telkomsel', 'ehhh', 'disappointed', 'already', 'package', 'expensive', ' network ',' ngeleag ',' really ',' disappointing ',' play ',' game ',' signal ',' lost ',' buriq ']</v>
      </c>
      <c r="D1452" s="3">
        <v>1.0</v>
      </c>
    </row>
    <row r="1453" ht="15.75" customHeight="1">
      <c r="A1453" s="1">
        <v>1451.0</v>
      </c>
      <c r="B1453" s="3" t="s">
        <v>1454</v>
      </c>
      <c r="C1453" s="3" t="str">
        <f>IFERROR(__xludf.DUMMYFUNCTION("GOOGLETRANSLATE(B1453,""id"",""en"")"),"['Restore', 'package', 'combo', 'unlimited', 'price', 'thousand', 'price', 'package', 'thousand', 'quota', 'unlimited', 'GB', ' The limit ',' usage ',' reasonable ',' application ',' applied ',' please ',' Telkomsel ',' best ',' heart ', ""]")</f>
        <v>['Restore', 'package', 'combo', 'unlimited', 'price', 'thousand', 'price', 'package', 'thousand', 'quota', 'unlimited', 'GB', ' The limit ',' usage ',' reasonable ',' application ',' applied ',' please ',' Telkomsel ',' best ',' heart ', "]</v>
      </c>
      <c r="D1453" s="3">
        <v>1.0</v>
      </c>
    </row>
    <row r="1454" ht="15.75" customHeight="1">
      <c r="A1454" s="1">
        <v>1452.0</v>
      </c>
      <c r="B1454" s="3" t="s">
        <v>1455</v>
      </c>
      <c r="C1454" s="3" t="str">
        <f>IFERROR(__xludf.DUMMYFUNCTION("GOOGLETRANSLATE(B1454,""id"",""en"")"),"['Severe', 'Siih', 'users',' Telkomsel ',' use ',' card ',' already ',' buy ',' package ',' save ',' package ',' combo ',' Sakti ',' Unlimited ',' YouTube ',' Sosmed ',' Game ',' Etc. ',' already ',' Ngrasa ',' Thankful ',' Eeh ',' Change ',' Change ',' l"&amp;"imit ' , 'Unlimited', 'GB', 'Disappointed', 'Siih', 'Customer', '']")</f>
        <v>['Severe', 'Siih', 'users',' Telkomsel ',' use ',' card ',' already ',' buy ',' package ',' save ',' package ',' combo ',' Sakti ',' Unlimited ',' YouTube ',' Sosmed ',' Game ',' Etc. ',' already ',' Ngrasa ',' Thankful ',' Eeh ',' Change ',' Change ',' limit ' , 'Unlimited', 'GB', 'Disappointed', 'Siih', 'Customer', '']</v>
      </c>
      <c r="D1454" s="3">
        <v>1.0</v>
      </c>
    </row>
    <row r="1455" ht="15.75" customHeight="1">
      <c r="A1455" s="1">
        <v>1453.0</v>
      </c>
      <c r="B1455" s="3" t="s">
        <v>1456</v>
      </c>
      <c r="C1455" s="3" t="str">
        <f>IFERROR(__xludf.DUMMYFUNCTION("GOOGLETRANSLATE(B1455,""id"",""en"")"),"['Please', 'repay', 'Open', 'Application', 'MyTelkomsel', 'Access',' Network ',' Good ',' Open ',' Application ',' Current ',' Current ',' Buy ',' Package ',' MyTelkomsel ']")</f>
        <v>['Please', 'repay', 'Open', 'Application', 'MyTelkomsel', 'Access',' Network ',' Good ',' Open ',' Application ',' Current ',' Current ',' Buy ',' Package ',' MyTelkomsel ']</v>
      </c>
      <c r="D1455" s="3">
        <v>4.0</v>
      </c>
    </row>
    <row r="1456" ht="15.75" customHeight="1">
      <c r="A1456" s="1">
        <v>1454.0</v>
      </c>
      <c r="B1456" s="3" t="s">
        <v>1457</v>
      </c>
      <c r="C1456" s="3" t="str">
        <f>IFERROR(__xludf.DUMMYFUNCTION("GOOGLETRANSLATE(B1456,""id"",""en"")"),"['buy', 'unlimited', 'after', 'quota', 'run out', 'tomorrow', 'sms',' sorry ',' limit ',' quota ',' application ',' reach ',' maximum ',' cave ',' open ',' youtube ',' difficult ',' ']")</f>
        <v>['buy', 'unlimited', 'after', 'quota', 'run out', 'tomorrow', 'sms',' sorry ',' limit ',' quota ',' application ',' reach ',' maximum ',' cave ',' open ',' youtube ',' difficult ',' ']</v>
      </c>
      <c r="D1456" s="3">
        <v>1.0</v>
      </c>
    </row>
    <row r="1457" ht="15.75" customHeight="1">
      <c r="A1457" s="1">
        <v>1455.0</v>
      </c>
      <c r="B1457" s="3" t="s">
        <v>1458</v>
      </c>
      <c r="C1457" s="3" t="str">
        <f>IFERROR(__xludf.DUMMYFUNCTION("GOOGLETRANSLATE(B1457,""id"",""en"")"),"['The network', 'slow', 'so', 'kagak', 'contents',' package ',' data ',' bagusan ',' byu ',' bagan ',' byu ',' network ',' Telkomsel ',' ']")</f>
        <v>['The network', 'slow', 'so', 'kagak', 'contents',' package ',' data ',' bagusan ',' byu ',' bagan ',' byu ',' network ',' Telkomsel ',' ']</v>
      </c>
      <c r="D1457" s="3">
        <v>1.0</v>
      </c>
    </row>
    <row r="1458" ht="15.75" customHeight="1">
      <c r="A1458" s="1">
        <v>1456.0</v>
      </c>
      <c r="B1458" s="3" t="s">
        <v>1459</v>
      </c>
      <c r="C1458" s="3" t="str">
        <f>IFERROR(__xludf.DUMMYFUNCTION("GOOGLETRANSLATE(B1458,""id"",""en"")"),"['Customer', 'Telkomsel', 'Disappointed', 'Karna', 'The network', 'as fast as',' trouble ',' forgiveness', 'oath', 'slow', 'bet', 'Telkomsel', ' Please, 'Fix', 'The Network', 'Thank', 'Love']")</f>
        <v>['Customer', 'Telkomsel', 'Disappointed', 'Karna', 'The network', 'as fast as',' trouble ',' forgiveness', 'oath', 'slow', 'bet', 'Telkomsel', ' Please, 'Fix', 'The Network', 'Thank', 'Love']</v>
      </c>
      <c r="D1458" s="3">
        <v>2.0</v>
      </c>
    </row>
    <row r="1459" ht="15.75" customHeight="1">
      <c r="A1459" s="1">
        <v>1457.0</v>
      </c>
      <c r="B1459" s="3" t="s">
        <v>1460</v>
      </c>
      <c r="C1459" s="3" t="str">
        <f>IFERROR(__xludf.DUMMYFUNCTION("GOOGLETRANSLATE(B1459,""id"",""en"")"),"['suggestion', 'mending', 'closed', 'network', 'Telkomsel', 'expensive', 'slow', 'forgiveness', 'lose', 'network', 'private', ""]")</f>
        <v>['suggestion', 'mending', 'closed', 'network', 'Telkomsel', 'expensive', 'slow', 'forgiveness', 'lose', 'network', 'private', "]</v>
      </c>
      <c r="D1459" s="3">
        <v>1.0</v>
      </c>
    </row>
    <row r="1460" ht="15.75" customHeight="1">
      <c r="A1460" s="1">
        <v>1458.0</v>
      </c>
      <c r="B1460" s="3" t="s">
        <v>1461</v>
      </c>
      <c r="C1460" s="3" t="str">
        <f>IFERROR(__xludf.DUMMYFUNCTION("GOOGLETRANSLATE(B1460,""id"",""en"")"),"['strange', 'telkom', 'quota', 'msh', 'pulse', 'cut', 'pakek', 'ask', 'clock', 'date', 'tkp', 'nmr', ' prnah ',' hub ',' active ',' grace ',' data ',' kyak ',' gituan ',' udh ',' live ',' see ',' NMR ',' registered ',' Udh ' , 'Kliatan', 'system', 'data',"&amp;" 'customer', 'telkom', 'klw', 'ask', 'org', 'support', 'bgmn', 'system', ' Walking ',' tnya ',' turning back ',' pulse ',' ']")</f>
        <v>['strange', 'telkom', 'quota', 'msh', 'pulse', 'cut', 'pakek', 'ask', 'clock', 'date', 'tkp', 'nmr', ' prnah ',' hub ',' active ',' grace ',' data ',' kyak ',' gituan ',' udh ',' live ',' see ',' NMR ',' registered ',' Udh ' , 'Kliatan', 'system', 'data', 'customer', 'telkom', 'klw', 'ask', 'org', 'support', 'bgmn', 'system', ' Walking ',' tnya ',' turning back ',' pulse ',' ']</v>
      </c>
      <c r="D1460" s="3">
        <v>1.0</v>
      </c>
    </row>
    <row r="1461" ht="15.75" customHeight="1">
      <c r="A1461" s="1">
        <v>1459.0</v>
      </c>
      <c r="B1461" s="3" t="s">
        <v>1462</v>
      </c>
      <c r="C1461" s="3" t="str">
        <f>IFERROR(__xludf.DUMMYFUNCTION("GOOGLETRANSLATE(B1461,""id"",""en"")"),"['buy', 'pulse', 'MyTelkomsel', 'payment', 'shopepay', 'success',' balance ',' enter ',' told ',' reporting ',' complex ',' application ',' Cooperation ',' application ',' Mending ',' cooperation ',' deh ', ""]")</f>
        <v>['buy', 'pulse', 'MyTelkomsel', 'payment', 'shopepay', 'success',' balance ',' enter ',' told ',' reporting ',' complex ',' application ',' Cooperation ',' application ',' Mending ',' cooperation ',' deh ', "]</v>
      </c>
      <c r="D1461" s="3">
        <v>1.0</v>
      </c>
    </row>
    <row r="1462" ht="15.75" customHeight="1">
      <c r="A1462" s="1">
        <v>1460.0</v>
      </c>
      <c r="B1462" s="3" t="s">
        <v>1463</v>
      </c>
      <c r="C1462" s="3" t="str">
        <f>IFERROR(__xludf.DUMMYFUNCTION("GOOGLETRANSLATE(B1462,""id"",""en"")"),"['entry', 'the application', 'Wait', 'confirm', 'number', 'automatic', 'entry', 'network', 'Telkomsel', 'ugly', 'severe', 'internet', ' ']")</f>
        <v>['entry', 'the application', 'Wait', 'confirm', 'number', 'automatic', 'entry', 'network', 'Telkomsel', 'ugly', 'severe', 'internet', ' ']</v>
      </c>
      <c r="D1462" s="3">
        <v>1.0</v>
      </c>
    </row>
    <row r="1463" ht="15.75" customHeight="1">
      <c r="A1463" s="1">
        <v>1461.0</v>
      </c>
      <c r="B1463" s="3" t="s">
        <v>1464</v>
      </c>
      <c r="C1463" s="3" t="str">
        <f>IFERROR(__xludf.DUMMYFUNCTION("GOOGLETRANSLATE(B1463,""id"",""en"")"),"['Sya', 'buy', 'package', 'Telkomsel', 'smpai', 'package', 'I've entered', 'balance', 'Gopay', 'reduced', 'worth', ' Please ',' Action ',' Continue ',' Telkomsel ',' ']")</f>
        <v>['Sya', 'buy', 'package', 'Telkomsel', 'smpai', 'package', 'I've entered', 'balance', 'Gopay', 'reduced', 'worth', ' Please ',' Action ',' Continue ',' Telkomsel ',' ']</v>
      </c>
      <c r="D1463" s="3">
        <v>1.0</v>
      </c>
    </row>
    <row r="1464" ht="15.75" customHeight="1">
      <c r="A1464" s="1">
        <v>1462.0</v>
      </c>
      <c r="B1464" s="3" t="s">
        <v>1465</v>
      </c>
      <c r="C1464" s="3" t="str">
        <f>IFERROR(__xludf.DUMMYFUNCTION("GOOGLETRANSLATE(B1464,""id"",""en"")"),"['here', 'annoyed', 'quota', 'unlimited', 'limit', 'usage', 'Naturally', 'satisfied', 'annoying', 'klw', 'that's',' please ',' Consistent ',' changed ',' org ',' annoyed ',' consistent ',' Komplein ',' hard ',' forgiveness', 'after', 'connected', 'replied"&amp;"', 'the solution', 'connected' , 'weird', 'emang', ""]")</f>
        <v>['here', 'annoyed', 'quota', 'unlimited', 'limit', 'usage', 'Naturally', 'satisfied', 'annoying', 'klw', 'that's',' please ',' Consistent ',' changed ',' org ',' annoyed ',' consistent ',' Komplein ',' hard ',' forgiveness', 'after', 'connected', 'replied', 'the solution', 'connected' , 'weird', 'emang', "]</v>
      </c>
      <c r="D1464" s="3">
        <v>1.0</v>
      </c>
    </row>
    <row r="1465" ht="15.75" customHeight="1">
      <c r="A1465" s="1">
        <v>1463.0</v>
      </c>
      <c r="B1465" s="3" t="s">
        <v>1466</v>
      </c>
      <c r="C1465" s="3" t="str">
        <f>IFERROR(__xludf.DUMMYFUNCTION("GOOGLETRANSLATE(B1465,""id"",""en"")"),"['application', 'rich', 'free', 'access',' how ',' buy ',' quota ',' application ',' then ',' buy ',' quota ',' kepake ',' pulses', 'quota', 'pulses',' pulse ',' me ',' run out ',' base ',' think ',' buy ',' quota ',' leaves', 'think', 'I' , 'buy', 'pulse"&amp;"', 'money', 'great', '']")</f>
        <v>['application', 'rich', 'free', 'access',' how ',' buy ',' quota ',' application ',' then ',' buy ',' quota ',' kepake ',' pulses', 'quota', 'pulses',' pulse ',' me ',' run out ',' base ',' think ',' buy ',' quota ',' leaves', 'think', 'I' , 'buy', 'pulse', 'money', 'great', '']</v>
      </c>
      <c r="D1465" s="3">
        <v>2.0</v>
      </c>
    </row>
    <row r="1466" ht="15.75" customHeight="1">
      <c r="A1466" s="1">
        <v>1464.0</v>
      </c>
      <c r="B1466" s="3" t="s">
        <v>1467</v>
      </c>
      <c r="C1466" s="3" t="str">
        <f>IFERROR(__xludf.DUMMYFUNCTION("GOOGLETRANSLATE(B1466,""id"",""en"")"),"['Woy', 'Telkomsel', 'I', 'Buy', 'Kouta', 'Games',' Max ',' Voucher ',' World ',' Games', 'appears',' ordered ',' Woyy ',' Corruption ',' ']")</f>
        <v>['Woy', 'Telkomsel', 'I', 'Buy', 'Kouta', 'Games',' Max ',' Voucher ',' World ',' Games', 'appears',' ordered ',' Woyy ',' Corruption ',' ']</v>
      </c>
      <c r="D1466" s="3">
        <v>1.0</v>
      </c>
    </row>
    <row r="1467" ht="15.75" customHeight="1">
      <c r="A1467" s="1">
        <v>1465.0</v>
      </c>
      <c r="B1467" s="3" t="s">
        <v>1468</v>
      </c>
      <c r="C1467" s="3" t="str">
        <f>IFERROR(__xludf.DUMMYFUNCTION("GOOGLETRANSLATE(B1467,""id"",""en"")"),"['garbage', 'application', 'feeling', 'open', 'reload', 'mulu', 'ampe', 'already', 'die', 'life', 'mode', 'fly', ' TTP ',' Ever ',' Open ',' YouTube ',' Maen ',' BEH ',' CURRENT ',' Please ',' Tsel ',' Fix ',' Facilities', 'Customer', ""]")</f>
        <v>['garbage', 'application', 'feeling', 'open', 'reload', 'mulu', 'ampe', 'already', 'die', 'life', 'mode', 'fly', ' TTP ',' Ever ',' Open ',' YouTube ',' Maen ',' BEH ',' CURRENT ',' Please ',' Tsel ',' Fix ',' Facilities', 'Customer', "]</v>
      </c>
      <c r="D1467" s="3">
        <v>1.0</v>
      </c>
    </row>
    <row r="1468" ht="15.75" customHeight="1">
      <c r="A1468" s="1">
        <v>1466.0</v>
      </c>
      <c r="B1468" s="3" t="s">
        <v>1469</v>
      </c>
      <c r="C1468" s="3" t="str">
        <f>IFERROR(__xludf.DUMMYFUNCTION("GOOGLETRANSLATE(B1468,""id"",""en"")"),"['Bags',' Bett ',' oath ',' Network ',' already ',' bedebesss', 'world', 'sangking', 'good', 'photo', 'cave', 'edit', ' difficult ',' poor ',' ilang ',' Gara ',' network ',' good ',' really ',' thank ',' love ',' bangettt ',' already ',' try ',' batalin '"&amp;" , 'fasting', 'cave', 'fish', 'emotionsiiiiii', 'cave', 'emang', 'bedebessss',' basics', 'ehh', 'telkom', 'loa', 'ama', ' Cave ',' Yesterday ',' Cave ',' Season ',' Ama ',' Angry ',' You ',' Overnight ',' Quota ',' Buy ',' You ',' Where ',' Where ' , 'quo"&amp;"ta', 'buy', 'date', 'run out', 'date', 'assssuee']")</f>
        <v>['Bags',' Bett ',' oath ',' Network ',' already ',' bedebesss', 'world', 'sangking', 'good', 'photo', 'cave', 'edit', ' difficult ',' poor ',' ilang ',' Gara ',' network ',' good ',' really ',' thank ',' love ',' bangettt ',' already ',' try ',' batalin ' , 'fasting', 'cave', 'fish', 'emotionsiiiiii', 'cave', 'emang', 'bedebessss',' basics', 'ehh', 'telkom', 'loa', 'ama', ' Cave ',' Yesterday ',' Cave ',' Season ',' Ama ',' Angry ',' You ',' Overnight ',' Quota ',' Buy ',' You ',' Where ',' Where ' , 'quota', 'buy', 'date', 'run out', 'date', 'assssuee']</v>
      </c>
      <c r="D1468" s="3">
        <v>1.0</v>
      </c>
    </row>
    <row r="1469" ht="15.75" customHeight="1">
      <c r="A1469" s="1">
        <v>1467.0</v>
      </c>
      <c r="B1469" s="3" t="s">
        <v>1470</v>
      </c>
      <c r="C1469" s="3" t="str">
        <f>IFERROR(__xludf.DUMMYFUNCTION("GOOGLETRANSLATE(B1469,""id"",""en"")"),"['The package', 'cheap', 'cheap', 'package', 'cheap', 'cheap', 'Mahalu', 'package', 'GB', 'price', 'pasaya', 'buy', ' Tmpat ',' The price ',' Veda ',' Different ',' Reduced ',' GB ',' Price ',' How ',' Confused ',' Cave ', ""]")</f>
        <v>['The package', 'cheap', 'cheap', 'package', 'cheap', 'cheap', 'Mahalu', 'package', 'GB', 'price', 'pasaya', 'buy', ' Tmpat ',' The price ',' Veda ',' Different ',' Reduced ',' GB ',' Price ',' How ',' Confused ',' Cave ', "]</v>
      </c>
      <c r="D1469" s="3">
        <v>3.0</v>
      </c>
    </row>
    <row r="1470" ht="15.75" customHeight="1">
      <c r="A1470" s="1">
        <v>1468.0</v>
      </c>
      <c r="B1470" s="3" t="s">
        <v>1471</v>
      </c>
      <c r="C1470" s="3" t="str">
        <f>IFERROR(__xludf.DUMMYFUNCTION("GOOGLETRANSLATE(B1470,""id"",""en"")"),"['Village', 'Jambon', 'Hamlet', 'Krajan', 'Kec', 'Pulokulon', 'Kab', 'Grobogan', 'Centraleng', 'side', 'home', 'Tower', ' Telkomsel ',' signal ',' internet ',' slow ',' severe ',' network ',' writing ',' ']")</f>
        <v>['Village', 'Jambon', 'Hamlet', 'Krajan', 'Kec', 'Pulokulon', 'Kab', 'Grobogan', 'Centraleng', 'side', 'home', 'Tower', ' Telkomsel ',' signal ',' internet ',' slow ',' severe ',' network ',' writing ',' ']</v>
      </c>
      <c r="D1470" s="3">
        <v>1.0</v>
      </c>
    </row>
    <row r="1471" ht="15.75" customHeight="1">
      <c r="A1471" s="1">
        <v>1469.0</v>
      </c>
      <c r="B1471" s="3" t="s">
        <v>1472</v>
      </c>
      <c r="C1471" s="3" t="str">
        <f>IFERROR(__xludf.DUMMYFUNCTION("GOOGLETRANSLATE(B1471,""id"",""en"")"),"['', 'buy', 'package', 'GB', 'number', 'make', 'apk', 'buy', 'package', 'price', 'rb', 'try', 'the APK ',' right ',' friend ',' try ',' search ',' account ',' package ',' ']")</f>
        <v>['', 'buy', 'package', 'GB', 'number', 'make', 'apk', 'buy', 'package', 'price', 'rb', 'try', 'the APK ',' right ',' friend ',' try ',' search ',' account ',' package ',' ']</v>
      </c>
      <c r="D1471" s="3">
        <v>1.0</v>
      </c>
    </row>
    <row r="1472" ht="15.75" customHeight="1">
      <c r="A1472" s="1">
        <v>1470.0</v>
      </c>
      <c r="B1472" s="3" t="s">
        <v>1473</v>
      </c>
      <c r="C1472" s="3" t="str">
        <f>IFERROR(__xludf.DUMMYFUNCTION("GOOGLETRANSLATE(B1472,""id"",""en"")"),"['', 'buy', 'package', 'data', 'Telkomsel', 'method', 'payment', 'shoppe', 'pay', 'shoppe', 'balance', 'automatic', 'reduced ',' for ',' package ',' buy ',' notip ',' Telkomsel ',' transaction ',' fail ',' package ',' data ',' nyampe ',' money ',' huh ', "&amp;"'disappointed']")</f>
        <v>['', 'buy', 'package', 'data', 'Telkomsel', 'method', 'payment', 'shoppe', 'pay', 'shoppe', 'balance', 'automatic', 'reduced ',' for ',' package ',' buy ',' notip ',' Telkomsel ',' transaction ',' fail ',' package ',' data ',' nyampe ',' money ',' huh ', 'disappointed']</v>
      </c>
      <c r="D1472" s="3">
        <v>1.0</v>
      </c>
    </row>
    <row r="1473" ht="15.75" customHeight="1">
      <c r="A1473" s="1">
        <v>1471.0</v>
      </c>
      <c r="B1473" s="3" t="s">
        <v>1474</v>
      </c>
      <c r="C1473" s="3" t="str">
        <f>IFERROR(__xludf.DUMMYFUNCTION("GOOGLETRANSLATE(B1473,""id"",""en"")"),"['disappointing', 'transaction', 'balance', 'chick', 'package', 'data', 'accept', 'report', 'nil', 'profitable', 'detrimental', 'nominal', ' Taken ',' Customer ',' harmed ',' ']")</f>
        <v>['disappointing', 'transaction', 'balance', 'chick', 'package', 'data', 'accept', 'report', 'nil', 'profitable', 'detrimental', 'nominal', ' Taken ',' Customer ',' harmed ',' ']</v>
      </c>
      <c r="D1473" s="3">
        <v>1.0</v>
      </c>
    </row>
    <row r="1474" ht="15.75" customHeight="1">
      <c r="A1474" s="1">
        <v>1472.0</v>
      </c>
      <c r="B1474" s="3" t="s">
        <v>1475</v>
      </c>
      <c r="C1474" s="3" t="str">
        <f>IFERROR(__xludf.DUMMYFUNCTION("GOOGLETRANSLATE(B1474,""id"",""en"")"),"['Telkomsel', 'price', 'package', 'data', 'expensive', 'signal', 'slow', 'bright', 'cave', 'disappointed', 'increase', 'price', ' package ',' data ',' internet ',' omg ',' thousand ',' thousand ',' severe ',' difference ',' price ',' user ',' number ',' t"&amp;"elkomsel ',' different ' , 'package', 'data', 'come on', 'Telkomsel', 'fair', 'little', 'cave', 'buy', 'package', 'data', 'yarda', 'cave', ' Surve out ']")</f>
        <v>['Telkomsel', 'price', 'package', 'data', 'expensive', 'signal', 'slow', 'bright', 'cave', 'disappointed', 'increase', 'price', ' package ',' data ',' internet ',' omg ',' thousand ',' thousand ',' severe ',' difference ',' price ',' user ',' number ',' telkomsel ',' different ' , 'package', 'data', 'come on', 'Telkomsel', 'fair', 'little', 'cave', 'buy', 'package', 'data', 'yarda', 'cave', ' Surve out ']</v>
      </c>
      <c r="D1474" s="3">
        <v>2.0</v>
      </c>
    </row>
    <row r="1475" ht="15.75" customHeight="1">
      <c r="A1475" s="1">
        <v>1473.0</v>
      </c>
      <c r="B1475" s="3" t="s">
        <v>1476</v>
      </c>
      <c r="C1475" s="3" t="str">
        <f>IFERROR(__xludf.DUMMYFUNCTION("GOOGLETRANSLATE(B1475,""id"",""en"")"),"['Buy', 'Credit', 'Enter', 'Pay', 'Shopee', 'Money', 'Reduced', 'Application', 'MyTelkomsel', 'Payment', 'SUCCESS', 'CREATE', ' Buy ',' pulse ',' application ']")</f>
        <v>['Buy', 'Credit', 'Enter', 'Pay', 'Shopee', 'Money', 'Reduced', 'Application', 'MyTelkomsel', 'Payment', 'SUCCESS', 'CREATE', ' Buy ',' pulse ',' application ']</v>
      </c>
      <c r="D1475" s="3">
        <v>1.0</v>
      </c>
    </row>
    <row r="1476" ht="15.75" customHeight="1">
      <c r="A1476" s="1">
        <v>1474.0</v>
      </c>
      <c r="B1476" s="3" t="s">
        <v>1477</v>
      </c>
      <c r="C1476" s="3" t="str">
        <f>IFERROR(__xludf.DUMMYFUNCTION("GOOGLETRANSLATE(B1476,""id"",""en"")"),"['Application', 'Update', 'Loading', 'Open', 'Application', 'Telkomsel', 'Pekah', 'Customer', 'Setia', 'Telkomsel', ""]")</f>
        <v>['Application', 'Update', 'Loading', 'Open', 'Application', 'Telkomsel', 'Pekah', 'Customer', 'Setia', 'Telkomsel', "]</v>
      </c>
      <c r="D1476" s="3">
        <v>2.0</v>
      </c>
    </row>
    <row r="1477" ht="15.75" customHeight="1">
      <c r="A1477" s="1">
        <v>1475.0</v>
      </c>
      <c r="B1477" s="3" t="s">
        <v>1478</v>
      </c>
      <c r="C1477" s="3" t="str">
        <f>IFERROR(__xludf.DUMMYFUNCTION("GOOGLETRANSLATE(B1477,""id"",""en"")"),"['pulse', 'sucked', 'run out', 'there', 'package', 'data', 'surprised', 'disappointed', 'Telkomsel', ""]")</f>
        <v>['pulse', 'sucked', 'run out', 'there', 'package', 'data', 'surprised', 'disappointed', 'Telkomsel', "]</v>
      </c>
      <c r="D1477" s="3">
        <v>1.0</v>
      </c>
    </row>
    <row r="1478" ht="15.75" customHeight="1">
      <c r="A1478" s="1">
        <v>1476.0</v>
      </c>
      <c r="B1478" s="3" t="s">
        <v>1479</v>
      </c>
      <c r="C1478" s="3" t="str">
        <f>IFERROR(__xludf.DUMMYFUNCTION("GOOGLETRANSLATE(B1478,""id"",""en"")"),"['Please', 'repaired', 'the application', 'slow', 'really', 'display', 'menu', 'sometimes',' appears', 'connection', 'internet', 'use', ' WiFi ',' Kenceng ',' home ',' Buru ',' contents', 'pulse', 'appears',' menu ',' slow ',' really ', ""]")</f>
        <v>['Please', 'repaired', 'the application', 'slow', 'really', 'display', 'menu', 'sometimes',' appears', 'connection', 'internet', 'use', ' WiFi ',' Kenceng ',' home ',' Buru ',' contents', 'pulse', 'appears',' menu ',' slow ',' really ', "]</v>
      </c>
      <c r="D1478" s="3">
        <v>1.0</v>
      </c>
    </row>
    <row r="1479" ht="15.75" customHeight="1">
      <c r="A1479" s="1">
        <v>1477.0</v>
      </c>
      <c r="B1479" s="3" t="s">
        <v>1480</v>
      </c>
      <c r="C1479" s="3" t="str">
        <f>IFERROR(__xludf.DUMMYFUNCTION("GOOGLETRANSLATE(B1479,""id"",""en"")"),"['message', 'card', 'Hello', 'online', 'site', 'official', 'Telkomsel', 'package', 'thousand', 'payment', 'use', 'link', ' unfortunate ',' card ',' sent ',' send ',' week ',' description ',' cheater ',' Telkomsel ']")</f>
        <v>['message', 'card', 'Hello', 'online', 'site', 'official', 'Telkomsel', 'package', 'thousand', 'payment', 'use', 'link', ' unfortunate ',' card ',' sent ',' send ',' week ',' description ',' cheater ',' Telkomsel ']</v>
      </c>
      <c r="D1479" s="3">
        <v>1.0</v>
      </c>
    </row>
    <row r="1480" ht="15.75" customHeight="1">
      <c r="A1480" s="1">
        <v>1478.0</v>
      </c>
      <c r="B1480" s="3" t="s">
        <v>1481</v>
      </c>
      <c r="C1480" s="3" t="str">
        <f>IFERROR(__xludf.DUMMYFUNCTION("GOOGLETRANSLATE(B1480,""id"",""en"")"),"['Suggestion', 'Telkomsel', 'Please', 'Fix', 'Access',' Internet ',' Pulse ',' Sedikir ',' Uncomfortable ',' Use ',' Data ',' Internet ',' run out ',' automatic ',' inedible ',' pulse ',' please ',' distinguished ',' use ',' pulse ',' package ',' package "&amp;"',' internet ',' finished ',' pulses' , 'Inedaya', 'hope', ""]")</f>
        <v>['Suggestion', 'Telkomsel', 'Please', 'Fix', 'Access',' Internet ',' Pulse ',' Sedikir ',' Uncomfortable ',' Use ',' Data ',' Internet ',' run out ',' automatic ',' inedible ',' pulse ',' please ',' distinguished ',' use ',' pulse ',' package ',' package ',' internet ',' finished ',' pulses' , 'Inedaya', 'hope', "]</v>
      </c>
      <c r="D1480" s="3">
        <v>1.0</v>
      </c>
    </row>
    <row r="1481" ht="15.75" customHeight="1">
      <c r="A1481" s="1">
        <v>1479.0</v>
      </c>
      <c r="B1481" s="3" t="s">
        <v>1482</v>
      </c>
      <c r="C1481" s="3" t="str">
        <f>IFERROR(__xludf.DUMMYFUNCTION("GOOGLETRANSLATE(B1481,""id"",""en"")"),"['Excuse me', 'Sorry', 'friend', 'friend', 'rough', 'commented', 'min', 'complaints',' application ',' Telkomsel ',' sign ',' read ',' Unstable ',' Connection ',' Situation ',' Network ',' at home ',' Safe ',' Safe ',' Please ',' Help ',' Min ',' Thank yo"&amp;"u ', ""]")</f>
        <v>['Excuse me', 'Sorry', 'friend', 'friend', 'rough', 'commented', 'min', 'complaints',' application ',' Telkomsel ',' sign ',' read ',' Unstable ',' Connection ',' Situation ',' Network ',' at home ',' Safe ',' Safe ',' Please ',' Help ',' Min ',' Thank you ', "]</v>
      </c>
      <c r="D1481" s="3">
        <v>3.0</v>
      </c>
    </row>
    <row r="1482" ht="15.75" customHeight="1">
      <c r="A1482" s="1">
        <v>1480.0</v>
      </c>
      <c r="B1482" s="3" t="s">
        <v>1483</v>
      </c>
      <c r="C1482" s="3" t="str">
        <f>IFERROR(__xludf.DUMMYFUNCTION("GOOGLETRANSLATE(B1482,""id"",""en"")"),"['Talikin', 'Combo', 'Sakti', 'Unlimited', 'Unlimited', 'Apps',' Fupnya ',' Limit ',' Quota ',' Main ',' Out ',' Kmaren ',' maximum ',' kbps', 'kbps',' disappointed ',' already ',' times', 'buy', 'downgrade', 'sorry', 'star', 'change', 'reverse', 'Thanks'"&amp;" , '']")</f>
        <v>['Talikin', 'Combo', 'Sakti', 'Unlimited', 'Unlimited', 'Apps',' Fupnya ',' Limit ',' Quota ',' Main ',' Out ',' Kmaren ',' maximum ',' kbps', 'kbps',' disappointed ',' already ',' times', 'buy', 'downgrade', 'sorry', 'star', 'change', 'reverse', 'Thanks' , '']</v>
      </c>
      <c r="D1482" s="3">
        <v>1.0</v>
      </c>
    </row>
    <row r="1483" ht="15.75" customHeight="1">
      <c r="A1483" s="1">
        <v>1481.0</v>
      </c>
      <c r="B1483" s="3" t="s">
        <v>1484</v>
      </c>
      <c r="C1483" s="3" t="str">
        <f>IFERROR(__xludf.DUMMYFUNCTION("GOOGLETRANSLATE(B1483,""id"",""en"")"),"['The use', 'application', 'server', 'slow', 'disconect', 'point', 'bnyk', 'redeem', 'reason', 'system', 'busy', 'Telkomsel', ' "", 'Mgkin', 'Exchange', 'Telco', '']")</f>
        <v>['The use', 'application', 'server', 'slow', 'disconect', 'point', 'bnyk', 'redeem', 'reason', 'system', 'busy', 'Telkomsel', ' ", 'Mgkin', 'Exchange', 'Telco', '']</v>
      </c>
      <c r="D1483" s="3">
        <v>1.0</v>
      </c>
    </row>
    <row r="1484" ht="15.75" customHeight="1">
      <c r="A1484" s="1">
        <v>1482.0</v>
      </c>
      <c r="B1484" s="3" t="s">
        <v>1485</v>
      </c>
      <c r="C1484" s="3" t="str">
        <f>IFERROR(__xludf.DUMMYFUNCTION("GOOGLETRANSLATE(B1484,""id"",""en"")"),"['Not bad', 'signal', 'good', 'value', 'hope', 'good', 'in the future', 'lose', 'provider', 'popping', '']")</f>
        <v>['Not bad', 'signal', 'good', 'value', 'hope', 'good', 'in the future', 'lose', 'provider', 'popping', '']</v>
      </c>
      <c r="D1484" s="3">
        <v>4.0</v>
      </c>
    </row>
    <row r="1485" ht="15.75" customHeight="1">
      <c r="A1485" s="1">
        <v>1483.0</v>
      </c>
      <c r="B1485" s="3" t="s">
        <v>1486</v>
      </c>
      <c r="C1485" s="3" t="str">
        <f>IFERROR(__xludf.DUMMYFUNCTION("GOOGLETRANSLATE(B1485,""id"",""en"")"),"['buy', 'Package', 'Combo', 'Sakti', 'GB', 'unlimited', 'already', 'quota', 'main', 'out', 'unlimited', 'buy', ' Badk ',' really ',' ']")</f>
        <v>['buy', 'Package', 'Combo', 'Sakti', 'GB', 'unlimited', 'already', 'quota', 'main', 'out', 'unlimited', 'buy', ' Badk ',' really ',' ']</v>
      </c>
      <c r="D1485" s="3">
        <v>1.0</v>
      </c>
    </row>
    <row r="1486" ht="15.75" customHeight="1">
      <c r="A1486" s="1">
        <v>1484.0</v>
      </c>
      <c r="B1486" s="3" t="s">
        <v>1487</v>
      </c>
      <c r="C1486" s="3" t="str">
        <f>IFERROR(__xludf.DUMMYFUNCTION("GOOGLETRANSLATE(B1486,""id"",""en"")"),"['Notice', 'via', 'SMS', 'Sometimes',' scary ',' consumer ',' quota ',' abis', 'right', 'check', 'nakutin', 'consumer', ' Pay ',' monthly ',' usage ',' Pay ']")</f>
        <v>['Notice', 'via', 'SMS', 'Sometimes',' scary ',' consumer ',' quota ',' abis', 'right', 'check', 'nakutin', 'consumer', ' Pay ',' monthly ',' usage ',' Pay ']</v>
      </c>
      <c r="D1486" s="3">
        <v>2.0</v>
      </c>
    </row>
    <row r="1487" ht="15.75" customHeight="1">
      <c r="A1487" s="1">
        <v>1485.0</v>
      </c>
      <c r="B1487" s="3" t="s">
        <v>1488</v>
      </c>
      <c r="C1487" s="3" t="str">
        <f>IFERROR(__xludf.DUMMYFUNCTION("GOOGLETRANSLATE(B1487,""id"",""en"")"),"['min', 'KNPA', 'Telkomsel', 'Min', 'Network', 'ilang', 'arisen', 'Sometimes',' for a while ',' tasty ',' playing ',' missing ',' Please ',' explained ',' Min ',' Gini ',' Disappointed ',' Ama ',' Telkomsel ']")</f>
        <v>['min', 'KNPA', 'Telkomsel', 'Min', 'Network', 'ilang', 'arisen', 'Sometimes',' for a while ',' tasty ',' playing ',' missing ',' Please ',' explained ',' Min ',' Gini ',' Disappointed ',' Ama ',' Telkomsel ']</v>
      </c>
      <c r="D1487" s="3">
        <v>1.0</v>
      </c>
    </row>
    <row r="1488" ht="15.75" customHeight="1">
      <c r="A1488" s="1">
        <v>1486.0</v>
      </c>
      <c r="B1488" s="3" t="s">
        <v>1489</v>
      </c>
      <c r="C1488" s="3" t="str">
        <f>IFERROR(__xludf.DUMMYFUNCTION("GOOGLETRANSLATE(B1488,""id"",""en"")"),"['Assalamualaikum', 'Login', 'APK', 'Telkom', 'reading', 'connection', 'stable', 'Makai', 'wifi', 'trs',' try ',' use ',' Package ',' please ',' buy ',' PackageTtttttttt ',' ']")</f>
        <v>['Assalamualaikum', 'Login', 'APK', 'Telkom', 'reading', 'connection', 'stable', 'Makai', 'wifi', 'trs',' try ',' use ',' Package ',' please ',' buy ',' PackageTtttttttt ',' ']</v>
      </c>
      <c r="D1488" s="3">
        <v>3.0</v>
      </c>
    </row>
    <row r="1489" ht="15.75" customHeight="1">
      <c r="A1489" s="1">
        <v>1487.0</v>
      </c>
      <c r="B1489" s="3" t="s">
        <v>1490</v>
      </c>
      <c r="C1489" s="3" t="str">
        <f>IFERROR(__xludf.DUMMYFUNCTION("GOOGLETRANSLATE(B1489,""id"",""en"")"),"['Sply', 'Telkomsel', 'Gabisa', 'Open', 'Delete', 'Install', 'Tetep', 'Gabisa', 'Open', 'Signal', 'Full', 'Please', ' Enlightenment ',' ']")</f>
        <v>['Sply', 'Telkomsel', 'Gabisa', 'Open', 'Delete', 'Install', 'Tetep', 'Gabisa', 'Open', 'Signal', 'Full', 'Please', ' Enlightenment ',' ']</v>
      </c>
      <c r="D1489" s="3">
        <v>5.0</v>
      </c>
    </row>
    <row r="1490" ht="15.75" customHeight="1">
      <c r="A1490" s="1">
        <v>1488.0</v>
      </c>
      <c r="B1490" s="3" t="s">
        <v>1491</v>
      </c>
      <c r="C1490" s="3" t="str">
        <f>IFERROR(__xludf.DUMMYFUNCTION("GOOGLETRANSLATE(B1490,""id"",""en"")"),"['dozens',' yrs', 'use', 'Telkomsel', 'Sampa', 'second', 'prodak', 'offer', 'Siknal', 'good', 'slow', 'eeehhhh', ' past ',' Oooooccc ',' Putie ',' lang ',' closed ',' Telkomsel ',' One ',' Hadt ', ""]")</f>
        <v>['dozens',' yrs', 'use', 'Telkomsel', 'Sampa', 'second', 'prodak', 'offer', 'Siknal', 'good', 'slow', 'eeehhhh', ' past ',' Oooooccc ',' Putie ',' lang ',' closed ',' Telkomsel ',' One ',' Hadt ', "]</v>
      </c>
      <c r="D1490" s="3">
        <v>4.0</v>
      </c>
    </row>
    <row r="1491" ht="15.75" customHeight="1">
      <c r="A1491" s="1">
        <v>1489.0</v>
      </c>
      <c r="B1491" s="3" t="s">
        <v>1492</v>
      </c>
      <c r="C1491" s="3" t="str">
        <f>IFERROR(__xludf.DUMMYFUNCTION("GOOGLETRANSLATE(B1491,""id"",""en"")"),"['Disappointed', 'Customer', 'Package', 'Swadaya', 'Slama', 'already', 'ilanginn', 'package', 'tracet', 'wear', 'package', 'data', ' sympathy ',' expensive ',' because ',' forced ',' buy ',' pulse ',' thank you ']")</f>
        <v>['Disappointed', 'Customer', 'Package', 'Swadaya', 'Slama', 'already', 'ilanginn', 'package', 'tracet', 'wear', 'package', 'data', ' sympathy ',' expensive ',' because ',' forced ',' buy ',' pulse ',' thank you ']</v>
      </c>
      <c r="D1491" s="3">
        <v>1.0</v>
      </c>
    </row>
    <row r="1492" ht="15.75" customHeight="1">
      <c r="A1492" s="1">
        <v>1490.0</v>
      </c>
      <c r="B1492" s="3" t="s">
        <v>1493</v>
      </c>
      <c r="C1492" s="3" t="str">
        <f>IFERROR(__xludf.DUMMYFUNCTION("GOOGLETRANSLATE(B1492,""id"",""en"")"),"['Disappointed', 'Difficult', 'Access', 'Telkomsel', 'Reason', 'Connection', 'Open', 'Data', 'Information', 'Network', 'Troubled', ""]")</f>
        <v>['Disappointed', 'Difficult', 'Access', 'Telkomsel', 'Reason', 'Connection', 'Open', 'Data', 'Information', 'Network', 'Troubled', "]</v>
      </c>
      <c r="D1492" s="3">
        <v>2.0</v>
      </c>
    </row>
    <row r="1493" ht="15.75" customHeight="1">
      <c r="A1493" s="1">
        <v>1491.0</v>
      </c>
      <c r="B1493" s="3" t="s">
        <v>1494</v>
      </c>
      <c r="C1493" s="3" t="str">
        <f>IFERROR(__xludf.DUMMYFUNCTION("GOOGLETRANSLATE(B1493,""id"",""en"")"),"['Deceived', 'package', 'gamemax', 'quota', 'main', 'used', 'quota', 'gamemax', 'pulse', 'abis',' sumps', 'package', ' Unlimited ',' FUP ',' Unlimited ',' His name ', ""]")</f>
        <v>['Deceived', 'package', 'gamemax', 'quota', 'main', 'used', 'quota', 'gamemax', 'pulse', 'abis',' sumps', 'package', ' Unlimited ',' FUP ',' Unlimited ',' His name ', "]</v>
      </c>
      <c r="D1493" s="3">
        <v>1.0</v>
      </c>
    </row>
    <row r="1494" ht="15.75" customHeight="1">
      <c r="A1494" s="1">
        <v>1492.0</v>
      </c>
      <c r="B1494" s="3" t="s">
        <v>1495</v>
      </c>
      <c r="C1494" s="3" t="str">
        <f>IFERROR(__xludf.DUMMYFUNCTION("GOOGLETRANSLATE(B1494,""id"",""en"")"),"['Please', 'Sorry', 'Telkomsel', 'Kenap', 'Credit', 'Take', 'Credit', 'Say', 'thousand', 'please', 'brother', 'Telkom', ' weve ',' kouta ',' already ',' abis', 'love', 'direct', 'take', 'pulse', 'back', 'pulse', 'brother', 'difficult', 'search' , 'Money',"&amp;" 'buy', 'pulse', 'teru', 'loss', 'Sis', 'brother', 'be careful', 'that's']")</f>
        <v>['Please', 'Sorry', 'Telkomsel', 'Kenap', 'Credit', 'Take', 'Credit', 'Say', 'thousand', 'please', 'brother', 'Telkom', ' weve ',' kouta ',' already ',' abis', 'love', 'direct', 'take', 'pulse', 'back', 'pulse', 'brother', 'difficult', 'search' , 'Money', 'buy', 'pulse', 'teru', 'loss', 'Sis', 'brother', 'be careful', 'that's']</v>
      </c>
      <c r="D1494" s="3">
        <v>3.0</v>
      </c>
    </row>
    <row r="1495" ht="15.75" customHeight="1">
      <c r="A1495" s="1">
        <v>1493.0</v>
      </c>
      <c r="B1495" s="3" t="s">
        <v>1496</v>
      </c>
      <c r="C1495" s="3" t="str">
        <f>IFERROR(__xludf.DUMMYFUNCTION("GOOGLETRANSLATE(B1495,""id"",""en"")"),"['buy', 'credit', 'Telkomsel', 'payment', 'via', 'Shopepay', 'balance', 'Cut', 'pulse', 'GAM', 'enter', 'network', ' ugly ',' buy ',' quota ',' unlimited ',' batteries', 'auto', 'replace', 'card', 'gini']")</f>
        <v>['buy', 'credit', 'Telkomsel', 'payment', 'via', 'Shopepay', 'balance', 'Cut', 'pulse', 'GAM', 'enter', 'network', ' ugly ',' buy ',' quota ',' unlimited ',' batteries', 'auto', 'replace', 'card', 'gini']</v>
      </c>
      <c r="D1495" s="3">
        <v>1.0</v>
      </c>
    </row>
    <row r="1496" ht="15.75" customHeight="1">
      <c r="A1496" s="1">
        <v>1494.0</v>
      </c>
      <c r="B1496" s="3" t="s">
        <v>1497</v>
      </c>
      <c r="C1496" s="3" t="str">
        <f>IFERROR(__xludf.DUMMYFUNCTION("GOOGLETRANSLATE(B1496,""id"",""en"")"),"['open', 'application', 'Telkomsel', 'crash', 'system', 'appear', 'google', 'play', 'stop', 'care', 'device', 'stop', ' sysdefault ',' stop ',' etc. ',' restart ',' hp ', ""]")</f>
        <v>['open', 'application', 'Telkomsel', 'crash', 'system', 'appear', 'google', 'play', 'stop', 'care', 'device', 'stop', ' sysdefault ',' stop ',' etc. ',' restart ',' hp ', "]</v>
      </c>
      <c r="D1496" s="3">
        <v>1.0</v>
      </c>
    </row>
    <row r="1497" ht="15.75" customHeight="1">
      <c r="A1497" s="1">
        <v>1495.0</v>
      </c>
      <c r="B1497" s="3" t="s">
        <v>1498</v>
      </c>
      <c r="C1497" s="3" t="str">
        <f>IFERROR(__xludf.DUMMYFUNCTION("GOOGLETRANSLATE(B1497,""id"",""en"")"),"['sensitive', 'network', 'little', 'disconecting', 'operator', 'Telkomsel', 'application', 'ngeblank', 'application', 'amateur', 'star', 'Dri', ' Value ',' Dadly ',' Sattle ',' trimakasih ']")</f>
        <v>['sensitive', 'network', 'little', 'disconecting', 'operator', 'Telkomsel', 'application', 'ngeblank', 'application', 'amateur', 'star', 'Dri', ' Value ',' Dadly ',' Sattle ',' trimakasih ']</v>
      </c>
      <c r="D1497" s="3">
        <v>1.0</v>
      </c>
    </row>
    <row r="1498" ht="15.75" customHeight="1">
      <c r="A1498" s="1">
        <v>1496.0</v>
      </c>
      <c r="B1498" s="3" t="s">
        <v>1499</v>
      </c>
      <c r="C1498" s="3" t="str">
        <f>IFERROR(__xludf.DUMMYFUNCTION("GOOGLETRANSLATE(B1498,""id"",""en"")"),"['Gajelas', 'Babget', 'Quota', 'Writing', 'Access', 'Internet', 'Rates', 'Non', 'Package', 'Lost', 'Credit', ""]")</f>
        <v>['Gajelas', 'Babget', 'Quota', 'Writing', 'Access', 'Internet', 'Rates', 'Non', 'Package', 'Lost', 'Credit', "]</v>
      </c>
      <c r="D1498" s="3">
        <v>1.0</v>
      </c>
    </row>
    <row r="1499" ht="15.75" customHeight="1">
      <c r="A1499" s="1">
        <v>1497.0</v>
      </c>
      <c r="B1499" s="3" t="s">
        <v>1500</v>
      </c>
      <c r="C1499" s="3" t="str">
        <f>IFERROR(__xludf.DUMMYFUNCTION("GOOGLETRANSLATE(B1499,""id"",""en"")"),"['Package', 'Gamemax', 'Genshin', 'Impact', 'Dlam', 'Use', 'Data', 'Play', 'Genshin', 'use', 'a little', 'quota', ' Drpda ',' game ',' other ',' TPI ',' update ',' game ',' genshin ',' jdi ',' bsa ',' think ',' reset ',' put ',' game ' , 'Genshin', 'Impac"&amp;"t', 'quota', 'gamemax', 'pleaseee']")</f>
        <v>['Package', 'Gamemax', 'Genshin', 'Impact', 'Dlam', 'Use', 'Data', 'Play', 'Genshin', 'use', 'a little', 'quota', ' Drpda ',' game ',' other ',' TPI ',' update ',' game ',' genshin ',' jdi ',' bsa ',' think ',' reset ',' put ',' game ' , 'Genshin', 'Impact', 'quota', 'gamemax', 'pleaseee']</v>
      </c>
      <c r="D1499" s="3">
        <v>4.0</v>
      </c>
    </row>
    <row r="1500" ht="15.75" customHeight="1">
      <c r="A1500" s="1">
        <v>1498.0</v>
      </c>
      <c r="B1500" s="3" t="s">
        <v>1501</v>
      </c>
      <c r="C1500" s="3" t="str">
        <f>IFERROR(__xludf.DUMMYFUNCTION("GOOGLETRANSLATE(B1500,""id"",""en"")"),"['Congratulations',' Package ',' Call ',' Unlimited ',' Tsel ',' MNT ',' Allopria ',' On ',' Apply ',' date ',' PKL ',' WIB ',' Check ',' Status', 'Stop', 'Subscribe', 'Telkomsel', 'Apps',' Hub ',' Info ',' Bankrupt ',' Telkomsel ', ""]")</f>
        <v>['Congratulations',' Package ',' Call ',' Unlimited ',' Tsel ',' MNT ',' Allopria ',' On ',' Apply ',' date ',' PKL ',' WIB ',' Check ',' Status', 'Stop', 'Subscribe', 'Telkomsel', 'Apps',' Hub ',' Info ',' Bankrupt ',' Telkomsel ', "]</v>
      </c>
      <c r="D1500" s="3">
        <v>1.0</v>
      </c>
    </row>
    <row r="1501" ht="15.75" customHeight="1">
      <c r="A1501" s="1">
        <v>1499.0</v>
      </c>
      <c r="B1501" s="3" t="s">
        <v>1502</v>
      </c>
      <c r="C1501" s="3" t="str">
        <f>IFERROR(__xludf.DUMMYFUNCTION("GOOGLETRANSLATE(B1501,""id"",""en"")"),"['increase', 'price', 'quota', 'significant', 'brave', 'take', 'price', 'fantastic', 'dizziness',' users', 'concessions',' price ',' Towards', 'Raya', 'Gini', 'already', 'rich', 'price', 'groceries',' dahhh ']")</f>
        <v>['increase', 'price', 'quota', 'significant', 'brave', 'take', 'price', 'fantastic', 'dizziness',' users', 'concessions',' price ',' Towards', 'Raya', 'Gini', 'already', 'rich', 'price', 'groceries',' dahhh ']</v>
      </c>
      <c r="D1501" s="3">
        <v>1.0</v>
      </c>
    </row>
    <row r="1502" ht="15.75" customHeight="1">
      <c r="A1502" s="1">
        <v>1500.0</v>
      </c>
      <c r="B1502" s="3" t="s">
        <v>1503</v>
      </c>
      <c r="C1502" s="3" t="str">
        <f>IFERROR(__xludf.DUMMYFUNCTION("GOOGLETRANSLATE(B1502,""id"",""en"")"),"['argghh', 'times',' login ',' times', 'verification', 'reload', 'keep', 'heels',' connection ',' unstable ',' browse ',' smooth ',' Jaya ',' Turn ',' Open ',' APK ',' Super ',' Leet ']")</f>
        <v>['argghh', 'times',' login ',' times', 'verification', 'reload', 'keep', 'heels',' connection ',' unstable ',' browse ',' smooth ',' Jaya ',' Turn ',' Open ',' APK ',' Super ',' Leet ']</v>
      </c>
      <c r="D1502" s="3">
        <v>1.0</v>
      </c>
    </row>
    <row r="1503" ht="15.75" customHeight="1">
      <c r="A1503" s="1">
        <v>1501.0</v>
      </c>
      <c r="B1503" s="3" t="s">
        <v>1504</v>
      </c>
      <c r="C1503" s="3" t="str">
        <f>IFERROR(__xludf.DUMMYFUNCTION("GOOGLETRANSLATE(B1503,""id"",""en"")"),"['Recommendation', 'karti', 'prime', 'signal', 'tasty', 'Telkomsel', 'signal you', 'already', 'andelin', 'package', 'expensive', 'singnyal', ' weak ',' name ',' comparable ',' price ',' fix ',' waste ',' replace ',' cheap ',' signal ',' strong ',' bye ','"&amp;" Telkomsel ',' congratulations' , 'Perdana', ""]")</f>
        <v>['Recommendation', 'karti', 'prime', 'signal', 'tasty', 'Telkomsel', 'signal you', 'already', 'andelin', 'package', 'expensive', 'singnyal', ' weak ',' name ',' comparable ',' price ',' fix ',' waste ',' replace ',' cheap ',' signal ',' strong ',' bye ',' Telkomsel ',' congratulations' , 'Perdana', "]</v>
      </c>
      <c r="D1503" s="3">
        <v>1.0</v>
      </c>
    </row>
    <row r="1504" ht="15.75" customHeight="1">
      <c r="A1504" s="1">
        <v>1502.0</v>
      </c>
      <c r="B1504" s="3" t="s">
        <v>1505</v>
      </c>
      <c r="C1504" s="3" t="str">
        <f>IFERROR(__xludf.DUMMYFUNCTION("GOOGLETRANSLATE(B1504,""id"",""en"")"),"['Please', 'Explanation', 'Telkomsel', 'Quota', 'Multimedia', 'GB', 'Combo', 'Unlimited', 'Chat', 'Music', 'Games',' Sosmed ',' YouTube ',' used ',' use ',' quota ',' internet ',' loss', 'buy', 'rb', 'combo', 'daet', 'unlimited', 'multimedia', 'GB' , 'use"&amp;"d', ""]")</f>
        <v>['Please', 'Explanation', 'Telkomsel', 'Quota', 'Multimedia', 'GB', 'Combo', 'Unlimited', 'Chat', 'Music', 'Games',' Sosmed ',' YouTube ',' used ',' use ',' quota ',' internet ',' loss', 'buy', 'rb', 'combo', 'daet', 'unlimited', 'multimedia', 'GB' , 'used', "]</v>
      </c>
      <c r="D1504" s="3">
        <v>1.0</v>
      </c>
    </row>
    <row r="1505" ht="15.75" customHeight="1">
      <c r="A1505" s="1">
        <v>1503.0</v>
      </c>
      <c r="B1505" s="3" t="s">
        <v>1506</v>
      </c>
      <c r="C1505" s="3" t="str">
        <f>IFERROR(__xludf.DUMMYFUNCTION("GOOGLETRANSLATE(B1505,""id"",""en"")"),"['Quality', 'Naikan', 'Naikan', 'Price', 'Package', 'Unlimited', 'Limit', 'Naturally', 'Set', 'Unlimited', 'Name', 'Unlimited', ' Emples', 'unlimited', '']")</f>
        <v>['Quality', 'Naikan', 'Naikan', 'Price', 'Package', 'Unlimited', 'Limit', 'Naturally', 'Set', 'Unlimited', 'Name', 'Unlimited', ' Emples', 'unlimited', '']</v>
      </c>
      <c r="D1505" s="3">
        <v>1.0</v>
      </c>
    </row>
    <row r="1506" ht="15.75" customHeight="1">
      <c r="A1506" s="1">
        <v>1504.0</v>
      </c>
      <c r="B1506" s="3" t="s">
        <v>1507</v>
      </c>
      <c r="C1506" s="3" t="str">
        <f>IFERROR(__xludf.DUMMYFUNCTION("GOOGLETRANSLATE(B1506,""id"",""en"")"),"['Please', 'Delete', 'Unlimated', 'Nipu', 'Unlimated', 'Batesin', 'Try', 'Learning', 'Dictionary', 'Language', 'Ergreees',' meaning ',' Unlimated ',' ']")</f>
        <v>['Please', 'Delete', 'Unlimated', 'Nipu', 'Unlimated', 'Batesin', 'Try', 'Learning', 'Dictionary', 'Language', 'Ergreees',' meaning ',' Unlimated ',' ']</v>
      </c>
      <c r="D1506" s="3">
        <v>5.0</v>
      </c>
    </row>
    <row r="1507" ht="15.75" customHeight="1">
      <c r="A1507" s="1">
        <v>1505.0</v>
      </c>
      <c r="B1507" s="3" t="s">
        <v>1508</v>
      </c>
      <c r="C1507" s="3" t="str">
        <f>IFERROR(__xludf.DUMMYFUNCTION("GOOGLETRANSLATE(B1507,""id"",""en"")"),"['Telkomsel', 'Siyal', 'ugly', 'really', 'play', 'online', 'leg', 'severe', 'really', 'no', 'rich', 'siyal', ' good ',' ugly ',' really ',' price ',' quota ',' combo ',' sick ',' used to ',' oh, 'parahhhhh', ""]")</f>
        <v>['Telkomsel', 'Siyal', 'ugly', 'really', 'play', 'online', 'leg', 'severe', 'really', 'no', 'rich', 'siyal', ' good ',' ugly ',' really ',' price ',' quota ',' combo ',' sick ',' used to ',' oh, 'parahhhhh', "]</v>
      </c>
      <c r="D1507" s="3">
        <v>2.0</v>
      </c>
    </row>
    <row r="1508" ht="15.75" customHeight="1">
      <c r="A1508" s="1">
        <v>1506.0</v>
      </c>
      <c r="B1508" s="3" t="s">
        <v>1509</v>
      </c>
      <c r="C1508" s="3" t="str">
        <f>IFERROR(__xludf.DUMMYFUNCTION("GOOGLETRANSLATE(B1508,""id"",""en"")"),"['What', 'buy', 'quota', 'Telkomsel', 'via', 'Shopeepay', 'Shopee', 'already', 'SUCCESS', 'quota', 'Ampe', 'seconds',' Enter ',' in ',' Biasanaya ',' Gini ',' Network ',' Telkomsel ',' sympathy ',' Telkomsel ',' card ',' Haloo ',' network ',' stable ',' C"&amp;"ity ' , 'Ngak', 'plngkampung', 'how', 'solution', 'Try', 'Matiin', 'already', 'restart', 'already', 'updet', 'apk', 'already', ' ']")</f>
        <v>['What', 'buy', 'quota', 'Telkomsel', 'via', 'Shopeepay', 'Shopee', 'already', 'SUCCESS', 'quota', 'Ampe', 'seconds',' Enter ',' in ',' Biasanaya ',' Gini ',' Network ',' Telkomsel ',' sympathy ',' Telkomsel ',' card ',' Haloo ',' network ',' stable ',' City ' , 'Ngak', 'plngkampung', 'how', 'solution', 'Try', 'Matiin', 'already', 'restart', 'already', 'updet', 'apk', 'already', ' ']</v>
      </c>
      <c r="D1508" s="3">
        <v>1.0</v>
      </c>
    </row>
    <row r="1509" ht="15.75" customHeight="1">
      <c r="A1509" s="1">
        <v>1507.0</v>
      </c>
      <c r="B1509" s="3" t="s">
        <v>1510</v>
      </c>
      <c r="C1509" s="3" t="str">
        <f>IFERROR(__xludf.DUMMYFUNCTION("GOOGLETRANSLATE(B1509,""id"",""en"")"),"['Price', 'expensive', 'Siknal', 'Ancur', 'SERES', 'Telkomsel', 'subscribers',' expensive ',' price ',' im ',' cheap ',' half ',' The price ',' Mesk ',' Mending ',' Thinking ']")</f>
        <v>['Price', 'expensive', 'Siknal', 'Ancur', 'SERES', 'Telkomsel', 'subscribers',' expensive ',' price ',' im ',' cheap ',' half ',' The price ',' Mesk ',' Mending ',' Thinking ']</v>
      </c>
      <c r="D1509" s="3">
        <v>1.0</v>
      </c>
    </row>
    <row r="1510" ht="15.75" customHeight="1">
      <c r="A1510" s="1">
        <v>1508.0</v>
      </c>
      <c r="B1510" s="3" t="s">
        <v>1511</v>
      </c>
      <c r="C1510" s="3" t="str">
        <f>IFERROR(__xludf.DUMMYFUNCTION("GOOGLETRANSLATE(B1510,""id"",""en"")"),"['package', 'internet', 'run out', 'clock', 'night', 'afraid', 'pulse', 'main', 'first', 'package', 'internet', 'run out', ' Register ',' Package ',' Internet ',' Ditelkomsel ',' Notification ',' On ',' Internet ',' Out ',' Night ',' Wrong ',' Read ',' Th"&amp;"ickness', 'Disappointed' , 'Program', 'Internet', 'Telkomsel']")</f>
        <v>['package', 'internet', 'run out', 'clock', 'night', 'afraid', 'pulse', 'main', 'first', 'package', 'internet', 'run out', ' Register ',' Package ',' Internet ',' Ditelkomsel ',' Notification ',' On ',' Internet ',' Out ',' Night ',' Wrong ',' Read ',' Thickness', 'Disappointed' , 'Program', 'Internet', 'Telkomsel']</v>
      </c>
      <c r="D1510" s="3">
        <v>1.0</v>
      </c>
    </row>
    <row r="1511" ht="15.75" customHeight="1">
      <c r="A1511" s="1">
        <v>1509.0</v>
      </c>
      <c r="B1511" s="3" t="s">
        <v>1512</v>
      </c>
      <c r="C1511" s="3" t="str">
        <f>IFERROR(__xludf.DUMMYFUNCTION("GOOGLETRANSLATE(B1511,""id"",""en"")"),"['Paketan', 'Unlimited', 'GB', 'Limit', 'CMA', 'Gada', 'Notification', 'Rich', 'Gini', 'Mending', 'Move', 'Operator', ' already ',' tasty ',' rich ',' yesterday ',' replace ',' package ',' notification ',' severe ',' ']")</f>
        <v>['Paketan', 'Unlimited', 'GB', 'Limit', 'CMA', 'Gada', 'Notification', 'Rich', 'Gini', 'Mending', 'Move', 'Operator', ' already ',' tasty ',' rich ',' yesterday ',' replace ',' package ',' notification ',' severe ',' ']</v>
      </c>
      <c r="D1511" s="3">
        <v>1.0</v>
      </c>
    </row>
    <row r="1512" ht="15.75" customHeight="1">
      <c r="A1512" s="1">
        <v>1510.0</v>
      </c>
      <c r="B1512" s="3" t="s">
        <v>1513</v>
      </c>
      <c r="C1512" s="3" t="str">
        <f>IFERROR(__xludf.DUMMYFUNCTION("GOOGLETRANSLATE(B1512,""id"",""en"")"),"['Disappointed', 'Network', 'Telkomsel', 'Package', 'Leet', 'Astaghfirullah', 'Disappointed', 'Please', 'Repaired', 'Price', 'Expensive', 'Network', ' Troubled ',' ']")</f>
        <v>['Disappointed', 'Network', 'Telkomsel', 'Package', 'Leet', 'Astaghfirullah', 'Disappointed', 'Please', 'Repaired', 'Price', 'Expensive', 'Network', ' Troubled ',' ']</v>
      </c>
      <c r="D1512" s="3">
        <v>1.0</v>
      </c>
    </row>
    <row r="1513" ht="15.75" customHeight="1">
      <c r="A1513" s="1">
        <v>1511.0</v>
      </c>
      <c r="B1513" s="3" t="s">
        <v>1514</v>
      </c>
      <c r="C1513" s="3" t="str">
        <f>IFERROR(__xludf.DUMMYFUNCTION("GOOGLETRANSLATE(B1513,""id"",""en"")"),"['Severe', 'Application', 'Good', 'Updated', 'Error', 'Open toaaa', 'Check', 'Credit', 'Check', 'Buy', 'Quota', 'Menu', ' Occupational ',' ']")</f>
        <v>['Severe', 'Application', 'Good', 'Updated', 'Error', 'Open toaaa', 'Check', 'Credit', 'Check', 'Buy', 'Quota', 'Menu', ' Occupational ',' ']</v>
      </c>
      <c r="D1513" s="3">
        <v>1.0</v>
      </c>
    </row>
    <row r="1514" ht="15.75" customHeight="1">
      <c r="A1514" s="1">
        <v>1512.0</v>
      </c>
      <c r="B1514" s="3" t="s">
        <v>1515</v>
      </c>
      <c r="C1514" s="3" t="str">
        <f>IFERROR(__xludf.DUMMYFUNCTION("GOOGLETRANSLATE(B1514,""id"",""en"")"),"['The network', 'damaged', 'rich', 'play', 'game', 'connection', 'signal', 'down', 'disappointed', 'network', 'BURIK', '']")</f>
        <v>['The network', 'damaged', 'rich', 'play', 'game', 'connection', 'signal', 'down', 'disappointed', 'network', 'BURIK', '']</v>
      </c>
      <c r="D1514" s="3">
        <v>1.0</v>
      </c>
    </row>
    <row r="1515" ht="15.75" customHeight="1">
      <c r="A1515" s="1">
        <v>1513.0</v>
      </c>
      <c r="B1515" s="3" t="s">
        <v>1516</v>
      </c>
      <c r="C1515" s="3" t="str">
        <f>IFERROR(__xludf.DUMMYFUNCTION("GOOGLETRANSLATE(B1515,""id"",""en"")"),"['Destroyed', 'Severe', 'Signal', 'Telkomsel', 'Forgiveness',' Use ',' And ',' Network ',' Uda ',' Tens', 'Use', 'Telkomsel', ' time ',' disappointed ',' please ',' repay ',' network ',' ']")</f>
        <v>['Destroyed', 'Severe', 'Signal', 'Telkomsel', 'Forgiveness',' Use ',' And ',' Network ',' Uda ',' Tens', 'Use', 'Telkomsel', ' time ',' disappointed ',' please ',' repay ',' network ',' ']</v>
      </c>
      <c r="D1515" s="3">
        <v>1.0</v>
      </c>
    </row>
    <row r="1516" ht="15.75" customHeight="1">
      <c r="A1516" s="1">
        <v>1514.0</v>
      </c>
      <c r="B1516" s="3" t="s">
        <v>1517</v>
      </c>
      <c r="C1516" s="3" t="str">
        <f>IFERROR(__xludf.DUMMYFUNCTION("GOOGLETRANSLATE(B1516,""id"",""en"")"),"['usually', 'Sorry', 'NGK', 'Linerin', 'NGK', 'Need', 'Sorry', 'Need', 'Proof', 'Loss',' Buy ',' Package ',' expensive ',' quality ',' low ',' kalok ',' success', 'kayak', 'person', 'corruption', 'take', 'lucky', 'ngk', 'proof', 'anything' ]")</f>
        <v>['usually', 'Sorry', 'NGK', 'Linerin', 'NGK', 'Need', 'Sorry', 'Need', 'Proof', 'Loss',' Buy ',' Package ',' expensive ',' quality ',' low ',' kalok ',' success', 'kayak', 'person', 'corruption', 'take', 'lucky', 'ngk', 'proof', 'anything' ]</v>
      </c>
      <c r="D1516" s="3">
        <v>1.0</v>
      </c>
    </row>
    <row r="1517" ht="15.75" customHeight="1">
      <c r="A1517" s="1">
        <v>1515.0</v>
      </c>
      <c r="B1517" s="3" t="s">
        <v>1518</v>
      </c>
      <c r="C1517" s="3" t="str">
        <f>IFERROR(__xludf.DUMMYFUNCTION("GOOGLETRANSLATE(B1517,""id"",""en"")"),"['kek', 'signal', 'customer', 'connection', 'tasty', 'jdi', 'karuan', 'chatingan', 'difficult', 'beg', 'developer', 'fix', ' ']")</f>
        <v>['kek', 'signal', 'customer', 'connection', 'tasty', 'jdi', 'karuan', 'chatingan', 'difficult', 'beg', 'developer', 'fix', ' ']</v>
      </c>
      <c r="D1517" s="3">
        <v>2.0</v>
      </c>
    </row>
    <row r="1518" ht="15.75" customHeight="1">
      <c r="A1518" s="1">
        <v>1516.0</v>
      </c>
      <c r="B1518" s="3" t="s">
        <v>1519</v>
      </c>
      <c r="C1518" s="3" t="str">
        <f>IFERROR(__xludf.DUMMYFUNCTION("GOOGLETRANSLATE(B1518,""id"",""en"")"),"['Please', 'Sorry', 'Star', 'because', 'Yesterday', 'Pulse', 'Lost', 'Used', 'Service', 'Good', 'Lost', 'Credit', ' Paketan ',' use ',' telephone ',' use ',' pulse ',' because ',' use ',' internet ',' dahlah ',' gakpapa ',' pulse ',' lost ',' fortune ' , "&amp;"'Hopefully', 'improvement', 'missing', 'pulse', 'thank you']")</f>
        <v>['Please', 'Sorry', 'Star', 'because', 'Yesterday', 'Pulse', 'Lost', 'Used', 'Service', 'Good', 'Lost', 'Credit', ' Paketan ',' use ',' telephone ',' use ',' pulse ',' because ',' use ',' internet ',' dahlah ',' gakpapa ',' pulse ',' lost ',' fortune ' , 'Hopefully', 'improvement', 'missing', 'pulse', 'thank you']</v>
      </c>
      <c r="D1518" s="3">
        <v>4.0</v>
      </c>
    </row>
    <row r="1519" ht="15.75" customHeight="1">
      <c r="A1519" s="1">
        <v>1517.0</v>
      </c>
      <c r="B1519" s="3" t="s">
        <v>1520</v>
      </c>
      <c r="C1519" s="3" t="str">
        <f>IFERROR(__xludf.DUMMYFUNCTION("GOOGLETRANSLATE(B1519,""id"",""en"")"),"['Package', 'Data', 'unlimited', 'access',' internet ',' restricted ',' free ',' chat ',' social ',' media ',' already ',' Powered ',' calok ',' kyk ',' gini ',' replace ',' card ',' already ',' signal ',' ugly ',' really ',' disappointed ',' Telkomsel ']")</f>
        <v>['Package', 'Data', 'unlimited', 'access',' internet ',' restricted ',' free ',' chat ',' social ',' media ',' already ',' Powered ',' calok ',' kyk ',' gini ',' replace ',' card ',' already ',' signal ',' ugly ',' really ',' disappointed ',' Telkomsel ']</v>
      </c>
      <c r="D1519" s="3">
        <v>1.0</v>
      </c>
    </row>
    <row r="1520" ht="15.75" customHeight="1">
      <c r="A1520" s="1">
        <v>1518.0</v>
      </c>
      <c r="B1520" s="3" t="s">
        <v>1521</v>
      </c>
      <c r="C1520" s="3" t="str">
        <f>IFERROR(__xludf.DUMMYFUNCTION("GOOGLETRANSLATE(B1520,""id"",""en"")"),"['Buy', 'Package', 'Unlimited', 'Games',' YouTube ',' Sosmed ',' Quota ',' Main ',' Out ',' Access', 'Karna', 'Speed', ' Internet ',' KB ',' ']")</f>
        <v>['Buy', 'Package', 'Unlimited', 'Games',' YouTube ',' Sosmed ',' Quota ',' Main ',' Out ',' Access', 'Karna', 'Speed', ' Internet ',' KB ',' ']</v>
      </c>
      <c r="D1520" s="3">
        <v>5.0</v>
      </c>
    </row>
    <row r="1521" ht="15.75" customHeight="1">
      <c r="A1521" s="1">
        <v>1519.0</v>
      </c>
      <c r="B1521" s="3" t="s">
        <v>1522</v>
      </c>
      <c r="C1521" s="3" t="str">
        <f>IFERROR(__xludf.DUMMYFUNCTION("GOOGLETRANSLATE(B1521,""id"",""en"")"),"['Promo', 'Published', 'Telkomsel', 'bought', 'SMS', 'Broadcast', 'Published', 'Telkomsel', 'Think', 'Pantes', 'Switch', 'Telkomsel']")</f>
        <v>['Promo', 'Published', 'Telkomsel', 'bought', 'SMS', 'Broadcast', 'Published', 'Telkomsel', 'Think', 'Pantes', 'Switch', 'Telkomsel']</v>
      </c>
      <c r="D1521" s="3">
        <v>1.0</v>
      </c>
    </row>
    <row r="1522" ht="15.75" customHeight="1">
      <c r="A1522" s="1">
        <v>1520.0</v>
      </c>
      <c r="B1522" s="3" t="s">
        <v>1523</v>
      </c>
      <c r="C1522" s="3" t="str">
        <f>IFERROR(__xludf.DUMMYFUNCTION("GOOGLETRANSLATE(B1522,""id"",""en"")"),"['Sorry', 'complain', 'Telkomsel', 'Lite', 'Klu', 'Telkomsel', 'Difficult', 'Entering', 'Verification', 'Number', 'Click', 'Link', ' Sent ',' admin ',' ']")</f>
        <v>['Sorry', 'complain', 'Telkomsel', 'Lite', 'Klu', 'Telkomsel', 'Difficult', 'Entering', 'Verification', 'Number', 'Click', 'Link', ' Sent ',' admin ',' ']</v>
      </c>
      <c r="D1522" s="3">
        <v>5.0</v>
      </c>
    </row>
    <row r="1523" ht="15.75" customHeight="1">
      <c r="A1523" s="1">
        <v>1521.0</v>
      </c>
      <c r="B1523" s="3" t="s">
        <v>1524</v>
      </c>
      <c r="C1523" s="3" t="str">
        <f>IFERROR(__xludf.DUMMYFUNCTION("GOOGLETRANSLATE(B1523,""id"",""en"")"),"['Coment', 'Just', 'Keselllllllll', 'Udh', 'UDH', 'Update', 'Tetep', 'Link', 'Entering', 'Invalid', 'Star', 'Red', ' Sihh ',' coment ',' abis', 'buy', 'pulse', 'intention', 'buy', 'package', 'ehh', 'tb', 'pulse', 'reduced', 'complaint' , 'Mr.', 'Please', "&amp;"'Fix', 'Lalod', 'My APK', 'Hmm', 'Serasa', 'Change', 'Card']")</f>
        <v>['Coment', 'Just', 'Keselllllllll', 'Udh', 'UDH', 'Update', 'Tetep', 'Link', 'Entering', 'Invalid', 'Star', 'Red', ' Sihh ',' coment ',' abis', 'buy', 'pulse', 'intention', 'buy', 'package', 'ehh', 'tb', 'pulse', 'reduced', 'complaint' , 'Mr.', 'Please', 'Fix', 'Lalod', 'My APK', 'Hmm', 'Serasa', 'Change', 'Card']</v>
      </c>
      <c r="D1523" s="3">
        <v>1.0</v>
      </c>
    </row>
    <row r="1524" ht="15.75" customHeight="1">
      <c r="A1524" s="1">
        <v>1522.0</v>
      </c>
      <c r="B1524" s="3" t="s">
        <v>1525</v>
      </c>
      <c r="C1524" s="3" t="str">
        <f>IFERROR(__xludf.DUMMYFUNCTION("GOOGLETRANSLATE(B1524,""id"",""en"")"),"['application', 'good', 'really', 'Lord', 'love', 'promo', 'quantity', 'Thank you', 'Lopyu', 'MyTelkomsel', 'APK', ' Good ',' Match ',' APK ',' proof ',' disappointed ',' Save ',' APK ',' ']")</f>
        <v>['application', 'good', 'really', 'Lord', 'love', 'promo', 'quantity', 'Thank you', 'Lopyu', 'MyTelkomsel', 'APK', ' Good ',' Match ',' APK ',' proof ',' disappointed ',' Save ',' APK ',' ']</v>
      </c>
      <c r="D1524" s="3">
        <v>5.0</v>
      </c>
    </row>
    <row r="1525" ht="15.75" customHeight="1">
      <c r="A1525" s="1">
        <v>1523.0</v>
      </c>
      <c r="B1525" s="3" t="s">
        <v>1526</v>
      </c>
      <c r="C1525" s="3" t="str">
        <f>IFERROR(__xludf.DUMMYFUNCTION("GOOGLETRANSLATE(B1525,""id"",""en"")"),"['signal', 'internet', 'Telkomsel', 'Region', 'ugly', 'sympathy', 'good', 'signal', 'ugly', 'please', 'fix', 'signal', ' Internet ',' area ',' card ',' prime ',' signal ',' sometimes', 'good', 'signal', 'address',' kel ',' keturnen ',' near ',' office ' ,"&amp;" 'Kelurahan', 'Kemuren', 'Kec', 'Tegal', 'South', 'City', 'Tegal', 'Central Java', 'Cards',' Perdana ',' Signal ',' Signal ',' Normal ',' Normal ']")</f>
        <v>['signal', 'internet', 'Telkomsel', 'Region', 'ugly', 'sympathy', 'good', 'signal', 'ugly', 'please', 'fix', 'signal', ' Internet ',' area ',' card ',' prime ',' signal ',' sometimes', 'good', 'signal', 'address',' kel ',' keturnen ',' near ',' office ' , 'Kelurahan', 'Kemuren', 'Kec', 'Tegal', 'South', 'City', 'Tegal', 'Central Java', 'Cards',' Perdana ',' Signal ',' Signal ',' Normal ',' Normal ']</v>
      </c>
      <c r="D1525" s="3">
        <v>1.0</v>
      </c>
    </row>
    <row r="1526" ht="15.75" customHeight="1">
      <c r="A1526" s="1">
        <v>1524.0</v>
      </c>
      <c r="B1526" s="3" t="s">
        <v>1527</v>
      </c>
      <c r="C1526" s="3" t="str">
        <f>IFERROR(__xludf.DUMMYFUNCTION("GOOGLETRANSLATE(B1526,""id"",""en"")"),"['Application', 'Muter', 'AJJ', 'Network', 'Mnyebalkan', 'Difficult', 'State', 'Already', 'Asik', 'Rich', 'Pdhl', 'Telkomsel', ' famous', 'card', 'pling', 'expensive', 'know', 'expensive', 'buy', 'smooth', 'Jaya', 'skrg', 'ndeh', 'boro', 'complain' , 'Mul"&amp;"u', ""]")</f>
        <v>['Application', 'Muter', 'AJJ', 'Network', 'Mnyebalkan', 'Difficult', 'State', 'Already', 'Asik', 'Rich', 'Pdhl', 'Telkomsel', ' famous', 'card', 'pling', 'expensive', 'know', 'expensive', 'buy', 'smooth', 'Jaya', 'skrg', 'ndeh', 'boro', 'complain' , 'Mulu', "]</v>
      </c>
      <c r="D1526" s="3">
        <v>1.0</v>
      </c>
    </row>
    <row r="1527" ht="15.75" customHeight="1">
      <c r="A1527" s="1">
        <v>1525.0</v>
      </c>
      <c r="B1527" s="3" t="s">
        <v>1528</v>
      </c>
      <c r="C1527" s="3" t="str">
        <f>IFERROR(__xludf.DUMMYFUNCTION("GOOGLETRANSLATE(B1527,""id"",""en"")"),"['Congratulations',' Package ',' On ',' Apply ',' Date ',' PKL ',' WIB ',' Check ',' Status', 'Stop', 'Subscribe', 'Telkomsel', ' Apps', 'hub', 'info', 'buy', 'repay']")</f>
        <v>['Congratulations',' Package ',' On ',' Apply ',' Date ',' PKL ',' WIB ',' Check ',' Status', 'Stop', 'Subscribe', 'Telkomsel', ' Apps', 'hub', 'info', 'buy', 'repay']</v>
      </c>
      <c r="D1527" s="3">
        <v>5.0</v>
      </c>
    </row>
    <row r="1528" ht="15.75" customHeight="1">
      <c r="A1528" s="1">
        <v>1526.0</v>
      </c>
      <c r="B1528" s="3" t="s">
        <v>1529</v>
      </c>
      <c r="C1528" s="3" t="str">
        <f>IFERROR(__xludf.DUMMYFUNCTION("GOOGLETRANSLATE(B1528,""id"",""en"")"),"['Telkomsel', 'Khan', 'Pelangement', 'loyal', 'love', 'fortune', 'Connect', 'Life', 'Anaku', 'pray for', 'administrator', 'Take', ' Telkomsel ',' Add ',' fortune ',' health ',' SLL ',' Protection ',' Lord ',' GBU ',' Always']")</f>
        <v>['Telkomsel', 'Khan', 'Pelangement', 'loyal', 'love', 'fortune', 'Connect', 'Life', 'Anaku', 'pray for', 'administrator', 'Take', ' Telkomsel ',' Add ',' fortune ',' health ',' SLL ',' Protection ',' Lord ',' GBU ',' Always']</v>
      </c>
      <c r="D1528" s="3">
        <v>5.0</v>
      </c>
    </row>
    <row r="1529" ht="15.75" customHeight="1">
      <c r="A1529" s="1">
        <v>1527.0</v>
      </c>
      <c r="B1529" s="3" t="s">
        <v>1530</v>
      </c>
      <c r="C1529" s="3" t="str">
        <f>IFERROR(__xludf.DUMMYFUNCTION("GOOGLETRANSLATE(B1529,""id"",""en"")"),"['application', 'good', 'students',' need ',' quota ',' internet ',' continuous', 'help', 'really', 'cost', 'purchase', 'package', ' quota ',' cheap ']")</f>
        <v>['application', 'good', 'students',' need ',' quota ',' internet ',' continuous', 'help', 'really', 'cost', 'purchase', 'package', ' quota ',' cheap ']</v>
      </c>
      <c r="D1529" s="3">
        <v>5.0</v>
      </c>
    </row>
    <row r="1530" ht="15.75" customHeight="1">
      <c r="A1530" s="1">
        <v>1528.0</v>
      </c>
      <c r="B1530" s="3" t="s">
        <v>1531</v>
      </c>
      <c r="C1530" s="3" t="str">
        <f>IFERROR(__xludf.DUMMYFUNCTION("GOOGLETRANSLATE(B1530,""id"",""en"")"),"['Suggestion', 'Addin', 'Features',' Key ',' Credit ',' Credit ',' ilang ',' times', 'pulse', 'ilang', 'please', 'Partial', ' Loss', 'times',' reduction ',' pulse ',' software ',' pakek ',' direct ',' ilang ',' direct ',' tens', 'thousand']")</f>
        <v>['Suggestion', 'Addin', 'Features',' Key ',' Credit ',' Credit ',' ilang ',' times', 'pulse', 'ilang', 'please', 'Partial', ' Loss', 'times',' reduction ',' pulse ',' software ',' pakek ',' direct ',' ilang ',' direct ',' tens', 'thousand']</v>
      </c>
      <c r="D1530" s="3">
        <v>1.0</v>
      </c>
    </row>
    <row r="1531" ht="15.75" customHeight="1">
      <c r="A1531" s="1">
        <v>1529.0</v>
      </c>
      <c r="B1531" s="3" t="s">
        <v>1532</v>
      </c>
      <c r="C1531" s="3" t="str">
        <f>IFERROR(__xludf.DUMMYFUNCTION("GOOGLETRANSLATE(B1531,""id"",""en"")"),"['card', 'kek', 'gini', 'ngeleg', 'times',' ajg ',' play ',' game ',' lose ',' muli ',' gara ',' card ',' WKWKW ',' Tobat ',' Telkomsel ',' Next ',' Deh ',' Always', 'Ngelag', 'Browsing', 'Game', 'Gada', 'Good', 'Nya', 'Dilap' , 'OTW', 'Change', 'card']")</f>
        <v>['card', 'kek', 'gini', 'ngeleg', 'times',' ajg ',' play ',' game ',' lose ',' muli ',' gara ',' card ',' WKWKW ',' Tobat ',' Telkomsel ',' Next ',' Deh ',' Always', 'Ngelag', 'Browsing', 'Game', 'Gada', 'Good', 'Nya', 'Dilap' , 'OTW', 'Change', 'card']</v>
      </c>
      <c r="D1531" s="3">
        <v>1.0</v>
      </c>
    </row>
    <row r="1532" ht="15.75" customHeight="1">
      <c r="A1532" s="1">
        <v>1530.0</v>
      </c>
      <c r="B1532" s="3" t="s">
        <v>1533</v>
      </c>
      <c r="C1532" s="3" t="str">
        <f>IFERROR(__xludf.DUMMYFUNCTION("GOOGLETRANSLATE(B1532,""id"",""en"")"),"['Dlu', 'Telkomsel', 'Top', 'smooth', 'Anyway', 'Skrg', 'ugly', 'signal', 'gada', 'Samsek', 'Ngegame', 'ping', ' Red ',' above ',' Lose ',' Provider ',' Pintarteman ',' ']")</f>
        <v>['Dlu', 'Telkomsel', 'Top', 'smooth', 'Anyway', 'Skrg', 'ugly', 'signal', 'gada', 'Samsek', 'Ngegame', 'ping', ' Red ',' above ',' Lose ',' Provider ',' Pintarteman ',' ']</v>
      </c>
      <c r="D1532" s="3">
        <v>3.0</v>
      </c>
    </row>
    <row r="1533" ht="15.75" customHeight="1">
      <c r="A1533" s="1">
        <v>1531.0</v>
      </c>
      <c r="B1533" s="3" t="s">
        <v>1534</v>
      </c>
      <c r="C1533" s="3" t="str">
        <f>IFERROR(__xludf.DUMMYFUNCTION("GOOGLETRANSLATE(B1533,""id"",""en"")"),"['Network', 'stable', 'location', 'on the middle', 'city', 'network', 'connection', 'events', 'detrimental', 'customers', '']")</f>
        <v>['Network', 'stable', 'location', 'on the middle', 'city', 'network', 'connection', 'events', 'detrimental', 'customers', '']</v>
      </c>
      <c r="D1533" s="3">
        <v>1.0</v>
      </c>
    </row>
    <row r="1534" ht="15.75" customHeight="1">
      <c r="A1534" s="1">
        <v>1532.0</v>
      </c>
      <c r="B1534" s="3" t="s">
        <v>1535</v>
      </c>
      <c r="C1534" s="3" t="str">
        <f>IFERROR(__xludf.DUMMYFUNCTION("GOOGLETRANSLATE(B1534,""id"",""en"")"),"['', 'Becus',' apps', 'heavy', 'specnya', 'high', 'tox', 'features',' macem ',' light ',' transaction ',' pulses', 'doank ',' Heavy ',' really ',' like ',' price ',' already ',' expensive ',' run ',' Where ', ""]")</f>
        <v>['', 'Becus',' apps', 'heavy', 'specnya', 'high', 'tox', 'features',' macem ',' light ',' transaction ',' pulses', 'doank ',' Heavy ',' really ',' like ',' price ',' already ',' expensive ',' run ',' Where ', "]</v>
      </c>
      <c r="D1534" s="3">
        <v>1.0</v>
      </c>
    </row>
    <row r="1535" ht="15.75" customHeight="1">
      <c r="A1535" s="1">
        <v>1533.0</v>
      </c>
      <c r="B1535" s="3" t="s">
        <v>1536</v>
      </c>
      <c r="C1535" s="3" t="str">
        <f>IFERROR(__xludf.DUMMYFUNCTION("GOOGLETRANSLATE(B1535,""id"",""en"")"),"['astounding', 'iPhone', 'Telkomsel', 'RMH', 'level', 'download', 'wrong', 'type', 'norma', 'apply', 'Indonesia', 'RMH', ' Level ',' Start ',' This', 'Rental', 'Motor', 'Teacher', 'Sis',' Package ',' Road ',' Teacher ',' Sis', 'Seto', 'Mulyadi' , 'search'"&amp;", 'foreclosure', 'car', 'Sis',' Dewi ',' peach ',' listed ',' listed ',' zdi ',' send ',' via ',' JNE ',' RMH ',' Grandma ']")</f>
        <v>['astounding', 'iPhone', 'Telkomsel', 'RMH', 'level', 'download', 'wrong', 'type', 'norma', 'apply', 'Indonesia', 'RMH', ' Level ',' Start ',' This', 'Rental', 'Motor', 'Teacher', 'Sis',' Package ',' Road ',' Teacher ',' Sis', 'Seto', 'Mulyadi' , 'search', 'foreclosure', 'car', 'Sis',' Dewi ',' peach ',' listed ',' listed ',' zdi ',' send ',' via ',' JNE ',' RMH ',' Grandma ']</v>
      </c>
      <c r="D1535" s="3">
        <v>1.0</v>
      </c>
    </row>
    <row r="1536" ht="15.75" customHeight="1">
      <c r="A1536" s="1">
        <v>1534.0</v>
      </c>
      <c r="B1536" s="3" t="s">
        <v>1537</v>
      </c>
      <c r="C1536" s="3" t="str">
        <f>IFERROR(__xludf.DUMMYFUNCTION("GOOGLETRANSLATE(B1536,""id"",""en"")"),"['Hi', 'already', 'card', 'emang', 'Telkomsel', 'sii', 'good', 'obstacles',' try ',' communicated ',' Telkomsel ',' resolved ',' thank you', '']")</f>
        <v>['Hi', 'already', 'card', 'emang', 'Telkomsel', 'sii', 'good', 'obstacles',' try ',' communicated ',' Telkomsel ',' resolved ',' thank you', '']</v>
      </c>
      <c r="D1536" s="3">
        <v>5.0</v>
      </c>
    </row>
    <row r="1537" ht="15.75" customHeight="1">
      <c r="A1537" s="1">
        <v>1535.0</v>
      </c>
      <c r="B1537" s="3" t="s">
        <v>1538</v>
      </c>
      <c r="C1537" s="3" t="str">
        <f>IFERROR(__xludf.DUMMYFUNCTION("GOOGLETRANSLATE(B1537,""id"",""en"")"),"['Please', 'Telkomsel', 'Fill', 'Credit', 'Bonus',' Quota ',' Karna ',' Card ',' Im ',' Free ',' Card ',' Telkomsel ',' Free ',' Disappointed ',' Treatment ',' Telkomsel ',' ']")</f>
        <v>['Please', 'Telkomsel', 'Fill', 'Credit', 'Bonus',' Quota ',' Karna ',' Card ',' Im ',' Free ',' Card ',' Telkomsel ',' Free ',' Disappointed ',' Treatment ',' Telkomsel ',' ']</v>
      </c>
      <c r="D1537" s="3">
        <v>1.0</v>
      </c>
    </row>
    <row r="1538" ht="15.75" customHeight="1">
      <c r="A1538" s="1">
        <v>1536.0</v>
      </c>
      <c r="B1538" s="3" t="s">
        <v>1539</v>
      </c>
      <c r="C1538" s="3" t="str">
        <f>IFERROR(__xludf.DUMMYFUNCTION("GOOGLETRANSLATE(B1538,""id"",""en"")"),"['Week', 'backward', 'network', 'Telkomsel', 'ugly', 'really', 'friend', 'neighbor', 'ugly', 'ugly', 'people', 'complain', ' quota ',' expensive ',' even though ',' ultimated ',' network ',' ugly ',' broken and ',' annoying ',' price ',' expected ',' supp"&amp;"ort ',' network ',' good ' , 'Regions',' Network ',' Telkomsel ',' Good ',' Since ',' Ultimated ',' Network ',' Jeeeek ',' Bangeeeeeet ',' dizzy ',' annoyed ',' really ',' KUAYA ',' Durable ',' first ',' Out ']")</f>
        <v>['Week', 'backward', 'network', 'Telkomsel', 'ugly', 'really', 'friend', 'neighbor', 'ugly', 'ugly', 'people', 'complain', ' quota ',' expensive ',' even though ',' ultimated ',' network ',' ugly ',' broken and ',' annoying ',' price ',' expected ',' support ',' network ',' good ' , 'Regions',' Network ',' Telkomsel ',' Good ',' Since ',' Ultimated ',' Network ',' Jeeeek ',' Bangeeeeeet ',' dizzy ',' annoyed ',' really ',' KUAYA ',' Durable ',' first ',' Out ']</v>
      </c>
      <c r="D1538" s="3">
        <v>1.0</v>
      </c>
    </row>
    <row r="1539" ht="15.75" customHeight="1">
      <c r="A1539" s="1">
        <v>1537.0</v>
      </c>
      <c r="B1539" s="3" t="s">
        <v>1540</v>
      </c>
      <c r="C1539" s="3" t="str">
        <f>IFERROR(__xludf.DUMMYFUNCTION("GOOGLETRANSLATE(B1539,""id"",""en"")"),"['how', 'Telkomsel', 'inconsequently', 'package', 'bought', 'expensive', 'signal', 'dokkung', 'ugly', 'network', 'nntn', 'vidio', ' Vid ',' Call ',' Connect ',' pdhal ',' difficult ',' products', 'expensive', 'signal', 'ugly', 'pdhal', 'signal', 'dokkung'"&amp;", 'Telkomsel' , 'Current', 'gini']")</f>
        <v>['how', 'Telkomsel', 'inconsequently', 'package', 'bought', 'expensive', 'signal', 'dokkung', 'ugly', 'network', 'nntn', 'vidio', ' Vid ',' Call ',' Connect ',' pdhal ',' difficult ',' products', 'expensive', 'signal', 'ugly', 'pdhal', 'signal', 'dokkung', 'Telkomsel' , 'Current', 'gini']</v>
      </c>
      <c r="D1539" s="3">
        <v>1.0</v>
      </c>
    </row>
    <row r="1540" ht="15.75" customHeight="1">
      <c r="A1540" s="1">
        <v>1538.0</v>
      </c>
      <c r="B1540" s="3" t="s">
        <v>1541</v>
      </c>
      <c r="C1540" s="3" t="str">
        <f>IFERROR(__xludf.DUMMYFUNCTION("GOOGLETRANSLATE(B1540,""id"",""en"")"),"['Application', 'MyTelkomsel', 'Dilapidated', 'Disappointing', 'Promo', 'Urus', 'The Application', 'Becus', ""]")</f>
        <v>['Application', 'MyTelkomsel', 'Dilapidated', 'Disappointing', 'Promo', 'Urus', 'The Application', 'Becus', "]</v>
      </c>
      <c r="D1540" s="3">
        <v>1.0</v>
      </c>
    </row>
    <row r="1541" ht="15.75" customHeight="1">
      <c r="A1541" s="1">
        <v>1539.0</v>
      </c>
      <c r="B1541" s="3" t="s">
        <v>1542</v>
      </c>
      <c r="C1541" s="3" t="str">
        <f>IFERROR(__xludf.DUMMYFUNCTION("GOOGLETRANSLATE(B1541,""id"",""en"")"),"['users',' Telkomsel ',' loyal ',' Please ',' Min ',' The network ',' repaired ',' playing ',' game ',' until ',' exposed ',' warning ',' AFK ',' buy ',' quota ',' money ',' min ',' price ',' according to ',' quality ',' cba ',' chat ',' Instagram ',' Tel"&amp;"komsel ',' wastener ' , 'Response', 'Please', 'Fix', 'Network', 'Min', 'Please', 'Price', 'Quality', 'Network', 'Jga', ""]")</f>
        <v>['users',' Telkomsel ',' loyal ',' Please ',' Min ',' The network ',' repaired ',' playing ',' game ',' until ',' exposed ',' warning ',' AFK ',' buy ',' quota ',' money ',' min ',' price ',' according to ',' quality ',' cba ',' chat ',' Instagram ',' Telkomsel ',' wastener ' , 'Response', 'Please', 'Fix', 'Network', 'Min', 'Please', 'Price', 'Quality', 'Network', 'Jga', "]</v>
      </c>
      <c r="D1541" s="3">
        <v>1.0</v>
      </c>
    </row>
    <row r="1542" ht="15.75" customHeight="1">
      <c r="A1542" s="1">
        <v>1540.0</v>
      </c>
      <c r="B1542" s="3" t="s">
        <v>1543</v>
      </c>
      <c r="C1542" s="3" t="str">
        <f>IFERROR(__xludf.DUMMYFUNCTION("GOOGLETRANSLATE(B1542,""id"",""en"")"),"['Thank you', 'accompany', 'At its',' gmati ',' oprator ',' already ',' tasty ',' ehhh ',' Selawain ',' sick ',' heart ',' Sehh ',' Unlimited ',' Max ',' FUP ',' Maxda ',' Padahl ',' orng ',' Sell ',' Jga ',' ehhh ',' Tsel ',' really ',' disappointed ',' "&amp;"disappointed ' , '']")</f>
        <v>['Thank you', 'accompany', 'At its',' gmati ',' oprator ',' already ',' tasty ',' ehhh ',' Selawain ',' sick ',' heart ',' Sehh ',' Unlimited ',' Max ',' FUP ',' Maxda ',' Padahl ',' orng ',' Sell ',' Jga ',' ehhh ',' Tsel ',' really ',' disappointed ',' disappointed ' , '']</v>
      </c>
      <c r="D1542" s="3">
        <v>1.0</v>
      </c>
    </row>
    <row r="1543" ht="15.75" customHeight="1">
      <c r="A1543" s="1">
        <v>1541.0</v>
      </c>
      <c r="B1543" s="3" t="s">
        <v>1544</v>
      </c>
      <c r="C1543" s="3" t="str">
        <f>IFERROR(__xludf.DUMMYFUNCTION("GOOGLETRANSLATE(B1543,""id"",""en"")"),"['enter', 'list', 'reset', 'already', 'list', 'reset', 'connection', 'bad', 'enter', 'list', 'reset', 'number', ' active ',' pulse ',' contents', 'card', 'no', 'obstacle', 'sms',' notification ',' error ',' the application ',' stupid ']")</f>
        <v>['enter', 'list', 'reset', 'already', 'list', 'reset', 'connection', 'bad', 'enter', 'list', 'reset', 'number', ' active ',' pulse ',' contents', 'card', 'no', 'obstacle', 'sms',' notification ',' error ',' the application ',' stupid ']</v>
      </c>
      <c r="D1543" s="3">
        <v>1.0</v>
      </c>
    </row>
    <row r="1544" ht="15.75" customHeight="1">
      <c r="A1544" s="1">
        <v>1542.0</v>
      </c>
      <c r="B1544" s="3" t="s">
        <v>1545</v>
      </c>
      <c r="C1544" s="3" t="str">
        <f>IFERROR(__xludf.DUMMYFUNCTION("GOOGLETRANSLATE(B1544,""id"",""en"")"),"['complicated', 'pay', 'bills',' virtual ',' account ',' then ',' SKR ',' use ',' Ovo ',' Linkaja ',' Shopeepay ',' credit ',' card ',' discharge ',' no ',' business', 'yaaa', 'business',' times', 'laaah', 'meapa', 'hrs',' partner ',' payment ',' Telkomse"&amp;"l ' , 'no', 'changed', 'community', 'believes',' Dul ',' pay ',' difficult ',' can ',' profit ',' lie ',' believe ',' pret ',' Telkomsel ']")</f>
        <v>['complicated', 'pay', 'bills',' virtual ',' account ',' then ',' SKR ',' use ',' Ovo ',' Linkaja ',' Shopeepay ',' credit ',' card ',' discharge ',' no ',' business', 'yaaa', 'business',' times', 'laaah', 'meapa', 'hrs',' partner ',' payment ',' Telkomsel ' , 'no', 'changed', 'community', 'believes',' Dul ',' pay ',' difficult ',' can ',' profit ',' lie ',' believe ',' pret ',' Telkomsel ']</v>
      </c>
      <c r="D1544" s="3">
        <v>1.0</v>
      </c>
    </row>
    <row r="1545" ht="15.75" customHeight="1">
      <c r="A1545" s="1">
        <v>1543.0</v>
      </c>
      <c r="B1545" s="3" t="s">
        <v>1546</v>
      </c>
      <c r="C1545" s="3" t="str">
        <f>IFERROR(__xludf.DUMMYFUNCTION("GOOGLETRANSLATE(B1545,""id"",""en"")"),"['Tissue', 'Telkomsel', 'apparial "",' suggest ',' replace ',' card ',' complaints', 'Tekomsel', 'respond', 'jancccoooookk', 'Telkomsel']")</f>
        <v>['Tissue', 'Telkomsel', 'apparial ",' suggest ',' replace ',' card ',' complaints', 'Tekomsel', 'respond', 'jancccoooookk', 'Telkomsel']</v>
      </c>
      <c r="D1545" s="3">
        <v>1.0</v>
      </c>
    </row>
    <row r="1546" ht="15.75" customHeight="1">
      <c r="A1546" s="1">
        <v>1544.0</v>
      </c>
      <c r="B1546" s="3" t="s">
        <v>1547</v>
      </c>
      <c r="C1546" s="3" t="str">
        <f>IFERROR(__xludf.DUMMYFUNCTION("GOOGLETRANSLATE(B1546,""id"",""en"")"),"['experience', 'use', 'Telkom', 'knapa', 'quota', 'fast', 'really', 'tacking', 'Wktu', 'clock', 'already', 'spent', ' Check ',' setting ',' data ',' cellular ',' expenditure ',' quota ',' gini ',' quota ',' blh ',' already ',' watch ',' Yutub ',' please '"&amp;" , 'Fix', 'yaa', 'udh', 'bnyak', 'money', 'out', 'purchase', 'quota', 'already', 'repaired', 'star', 'thank', ' love', '']")</f>
        <v>['experience', 'use', 'Telkom', 'knapa', 'quota', 'fast', 'really', 'tacking', 'Wktu', 'clock', 'already', 'spent', ' Check ',' setting ',' data ',' cellular ',' expenditure ',' quota ',' gini ',' quota ',' blh ',' already ',' watch ',' Yutub ',' please ' , 'Fix', 'yaa', 'udh', 'bnyak', 'money', 'out', 'purchase', 'quota', 'already', 'repaired', 'star', 'thank', ' love', '']</v>
      </c>
      <c r="D1546" s="3">
        <v>1.0</v>
      </c>
    </row>
    <row r="1547" ht="15.75" customHeight="1">
      <c r="A1547" s="1">
        <v>1545.0</v>
      </c>
      <c r="B1547" s="3" t="s">
        <v>1548</v>
      </c>
      <c r="C1547" s="3" t="str">
        <f>IFERROR(__xludf.DUMMYFUNCTION("GOOGLETRANSLATE(B1547,""id"",""en"")"),"['buy', 'card', 'unlimited', 'application', 'youtube', 'instragram', 'run out', 'kouta', 'main', 'for a while', 'unlimited', 'active', ' Basic ',' Fraudster ',' You ',' Telkomsel ',' Search ',' Provider ',' Basic ',' Cheater ']")</f>
        <v>['buy', 'card', 'unlimited', 'application', 'youtube', 'instragram', 'run out', 'kouta', 'main', 'for a while', 'unlimited', 'active', ' Basic ',' Fraudster ',' You ',' Telkomsel ',' Search ',' Provider ',' Basic ',' Cheater ']</v>
      </c>
      <c r="D1547" s="3">
        <v>1.0</v>
      </c>
    </row>
    <row r="1548" ht="15.75" customHeight="1">
      <c r="A1548" s="1">
        <v>1546.0</v>
      </c>
      <c r="B1548" s="3" t="s">
        <v>1549</v>
      </c>
      <c r="C1548" s="3" t="str">
        <f>IFERROR(__xludf.DUMMYFUNCTION("GOOGLETRANSLATE(B1548,""id"",""en"")"),"['application', 'njengjelin', 'check', 'pulse', 'buy', 'package', 'hard', 'forgiveness',' send ',' link ',' via ',' sms', ' Browsing ',' Taik ',' Try ',' Main ',' Comfort ',' Customer ',' Use ',' Provider ',' Pay ',' Buy ',' Package ',' Serious', 'Signal'"&amp;" , 'Main', 'play', '']")</f>
        <v>['application', 'njengjelin', 'check', 'pulse', 'buy', 'package', 'hard', 'forgiveness',' send ',' link ',' via ',' sms', ' Browsing ',' Taik ',' Try ',' Main ',' Comfort ',' Customer ',' Use ',' Provider ',' Pay ',' Buy ',' Package ',' Serious', 'Signal' , 'Main', 'play', '']</v>
      </c>
      <c r="D1548" s="3">
        <v>1.0</v>
      </c>
    </row>
    <row r="1549" ht="15.75" customHeight="1">
      <c r="A1549" s="1">
        <v>1547.0</v>
      </c>
      <c r="B1549" s="3" t="s">
        <v>1550</v>
      </c>
      <c r="C1549" s="3" t="str">
        <f>IFERROR(__xludf.DUMMYFUNCTION("GOOGLETRANSLATE(B1549,""id"",""en"")"),"['Min', 'Kenpa', 'Skrang', 'Telkomsel', 'Disruption', 'System', 'Kadg', 'Hour', 'Inception', 'Transaction', 'Package', 'OK', ' Skarang ',' slow ',' Padhal ',' some "", 'times', 'Sya', 'hpus', 'cache', 'data', 'Please', 'fix', 'min', 'thx' ]")</f>
        <v>['Min', 'Kenpa', 'Skrang', 'Telkomsel', 'Disruption', 'System', 'Kadg', 'Hour', 'Inception', 'Transaction', 'Package', 'OK', ' Skarang ',' slow ',' Padhal ',' some ", 'times', 'Sya', 'hpus', 'cache', 'data', 'Please', 'fix', 'min', 'thx' ]</v>
      </c>
      <c r="D1549" s="3">
        <v>1.0</v>
      </c>
    </row>
    <row r="1550" ht="15.75" customHeight="1">
      <c r="A1550" s="1">
        <v>1548.0</v>
      </c>
      <c r="B1550" s="3" t="s">
        <v>1551</v>
      </c>
      <c r="C1550" s="3" t="str">
        <f>IFERROR(__xludf.DUMMYFUNCTION("GOOGLETRANSLATE(B1550,""id"",""en"")"),"['price', 'according to', 'quality', 'quality', 'network', 'garbage', 'provider', 'good', 'Indonesia', 'provider', 'comprised', 'Indonesia', ' yes', 'denying', 'emng', 'Telkomsel', 'expensive', 'doang', 'quality', '']")</f>
        <v>['price', 'according to', 'quality', 'quality', 'network', 'garbage', 'provider', 'good', 'Indonesia', 'provider', 'comprised', 'Indonesia', ' yes', 'denying', 'emng', 'Telkomsel', 'expensive', 'doang', 'quality', '']</v>
      </c>
      <c r="D1550" s="3">
        <v>1.0</v>
      </c>
    </row>
    <row r="1551" ht="15.75" customHeight="1">
      <c r="A1551" s="1">
        <v>1549.0</v>
      </c>
      <c r="B1551" s="3" t="s">
        <v>1552</v>
      </c>
      <c r="C1551" s="3" t="str">
        <f>IFERROR(__xludf.DUMMYFUNCTION("GOOGLETRANSLATE(B1551,""id"",""en"")"),"['pulse', 'run out', 'features',' AXIS ',' LOCK ',' pulses', 'package', 'internet', 'expensive', 'oklah', 'expensive', 'signal', ' Flashed ',' package ',' expensive ',' expensive ',' signal ',' ugly ',' ']")</f>
        <v>['pulse', 'run out', 'features',' AXIS ',' LOCK ',' pulses', 'package', 'internet', 'expensive', 'oklah', 'expensive', 'signal', ' Flashed ',' package ',' expensive ',' expensive ',' signal ',' ugly ',' ']</v>
      </c>
      <c r="D1551" s="3">
        <v>1.0</v>
      </c>
    </row>
    <row r="1552" ht="15.75" customHeight="1">
      <c r="A1552" s="1">
        <v>1550.0</v>
      </c>
      <c r="B1552" s="3" t="s">
        <v>1553</v>
      </c>
      <c r="C1552" s="3" t="str">
        <f>IFERROR(__xludf.DUMMYFUNCTION("GOOGLETRANSLATE(B1552,""id"",""en"")"),"['Thank you', 'Telkomsel', 'Win', 'Compared', 'Provider', 'aspect', 'anywhere', 'Telkomsel', 'price', 'quality', 'clock', ' difficult ',' signal ',' enhanced ',' related ',' problem ']")</f>
        <v>['Thank you', 'Telkomsel', 'Win', 'Compared', 'Provider', 'aspect', 'anywhere', 'Telkomsel', 'price', 'quality', 'clock', ' difficult ',' signal ',' enhanced ',' related ',' problem ']</v>
      </c>
      <c r="D1552" s="3">
        <v>5.0</v>
      </c>
    </row>
    <row r="1553" ht="15.75" customHeight="1">
      <c r="A1553" s="1">
        <v>1551.0</v>
      </c>
      <c r="B1553" s="3" t="s">
        <v>1554</v>
      </c>
      <c r="C1553" s="3" t="str">
        <f>IFERROR(__xludf.DUMMYFUNCTION("GOOGLETRANSLATE(B1553,""id"",""en"")"),"['Network', 'ugly', 'expensive', 'promise', 'sweet', 'promo', 'stealth', 'all-round', 'hoax', 'network', 'internet', 'slow', ' slow ',' network ',' snail ',' snail ',' fast ',' please ',' love ',' promo ',' just ',' promotion ',' doang ',' realization ','"&amp;" customer ' , 'Disappointed', 'Provider', 'Star', 'Star']")</f>
        <v>['Network', 'ugly', 'expensive', 'promise', 'sweet', 'promo', 'stealth', 'all-round', 'hoax', 'network', 'internet', 'slow', ' slow ',' network ',' snail ',' snail ',' fast ',' please ',' love ',' promo ',' just ',' promotion ',' doang ',' realization ',' customer ' , 'Disappointed', 'Provider', 'Star', 'Star']</v>
      </c>
      <c r="D1553" s="3">
        <v>1.0</v>
      </c>
    </row>
    <row r="1554" ht="15.75" customHeight="1">
      <c r="A1554" s="1">
        <v>1552.0</v>
      </c>
      <c r="B1554" s="3" t="s">
        <v>1555</v>
      </c>
      <c r="C1554" s="3" t="str">
        <f>IFERROR(__xludf.DUMMYFUNCTION("GOOGLETRANSLATE(B1554,""id"",""en"")"),"['buy', 'Thinking', 'YouTube', 'Use', 'Disappointed', 'Mending', 'Change', 'Ajalah', 'Credit', 'Drift', 'Quota', 'Use', ' NGK ',' Returns', 'Dana', 'Mending', 'Change', 'Ajalah']")</f>
        <v>['buy', 'Thinking', 'YouTube', 'Use', 'Disappointed', 'Mending', 'Change', 'Ajalah', 'Credit', 'Drift', 'Quota', 'Use', ' NGK ',' Returns', 'Dana', 'Mending', 'Change', 'Ajalah']</v>
      </c>
      <c r="D1554" s="3">
        <v>1.0</v>
      </c>
    </row>
    <row r="1555" ht="15.75" customHeight="1">
      <c r="A1555" s="1">
        <v>1553.0</v>
      </c>
      <c r="B1555" s="3" t="s">
        <v>1556</v>
      </c>
      <c r="C1555" s="3" t="str">
        <f>IFERROR(__xludf.DUMMYFUNCTION("GOOGLETRANSLATE(B1555,""id"",""en"")"),"['Disappointed', 'Telkomsel', 'buy', 'Package', 'Combo', 'Sakti', 'Max', 'right', 'Dipake', 'Nge', 'Game', 'Ngelag', ' Severe ',' Dahlah ',' buy ',' Package ',' Telkomsel ',' Thank you ',' Impertness', 'Safety', ""]")</f>
        <v>['Disappointed', 'Telkomsel', 'buy', 'Package', 'Combo', 'Sakti', 'Max', 'right', 'Dipake', 'Nge', 'Game', 'Ngelag', ' Severe ',' Dahlah ',' buy ',' Package ',' Telkomsel ',' Thank you ',' Impertness', 'Safety', "]</v>
      </c>
      <c r="D1555" s="3">
        <v>1.0</v>
      </c>
    </row>
    <row r="1556" ht="15.75" customHeight="1">
      <c r="A1556" s="1">
        <v>1554.0</v>
      </c>
      <c r="B1556" s="3" t="s">
        <v>1557</v>
      </c>
      <c r="C1556" s="3" t="str">
        <f>IFERROR(__xludf.DUMMYFUNCTION("GOOGLETRANSLATE(B1556,""id"",""en"")"),"['improvement', 'network', 'signal', 'fix', 'closed', 'Telkomsel', 'subscription', 'Telkomsel', 'subscription', 'loss', 'signal']")</f>
        <v>['improvement', 'network', 'signal', 'fix', 'closed', 'Telkomsel', 'subscription', 'Telkomsel', 'subscription', 'loss', 'signal']</v>
      </c>
      <c r="D1556" s="3">
        <v>1.0</v>
      </c>
    </row>
    <row r="1557" ht="15.75" customHeight="1">
      <c r="A1557" s="1">
        <v>1555.0</v>
      </c>
      <c r="B1557" s="3" t="s">
        <v>1558</v>
      </c>
      <c r="C1557" s="3" t="str">
        <f>IFERROR(__xludf.DUMMYFUNCTION("GOOGLETRANSLATE(B1557,""id"",""en"")"),"['use', 'fill', 'cover', 'quota', 'fill', 'arising', 'writing', 'sorry', 'system', 'busy', 'please', 'try', ' Busy ',' Mulu ',' Thank you ']")</f>
        <v>['use', 'fill', 'cover', 'quota', 'fill', 'arising', 'writing', 'sorry', 'system', 'busy', 'please', 'try', ' Busy ',' Mulu ',' Thank you ']</v>
      </c>
      <c r="D1557" s="3">
        <v>1.0</v>
      </c>
    </row>
    <row r="1558" ht="15.75" customHeight="1">
      <c r="A1558" s="1">
        <v>1556.0</v>
      </c>
      <c r="B1558" s="3" t="s">
        <v>1559</v>
      </c>
      <c r="C1558" s="3" t="str">
        <f>IFERROR(__xludf.DUMMYFUNCTION("GOOGLETRANSLATE(B1558,""id"",""en"")"),"['quota', 'unlimited', 'getting', 'limit', 'reasonable', 'quota', 'unlimited', 'limit', 'normal', 'have', 'already', 'buy', ' expensive ',' expensive ',' ehh ',' gatanya ',' limit ',' uhh ',' gatau ',' deh ',' telkomsel ']")</f>
        <v>['quota', 'unlimited', 'getting', 'limit', 'reasonable', 'quota', 'unlimited', 'limit', 'normal', 'have', 'already', 'buy', ' expensive ',' expensive ',' ehh ',' gatanya ',' limit ',' uhh ',' gatau ',' deh ',' telkomsel ']</v>
      </c>
      <c r="D1558" s="3">
        <v>1.0</v>
      </c>
    </row>
    <row r="1559" ht="15.75" customHeight="1">
      <c r="A1559" s="1">
        <v>1557.0</v>
      </c>
      <c r="B1559" s="3" t="s">
        <v>1560</v>
      </c>
      <c r="C1559" s="3" t="str">
        <f>IFERROR(__xludf.DUMMYFUNCTION("GOOGLETRANSLATE(B1559,""id"",""en"")"),"['Please', 'yaa', 'Yesterday', 'good', 'APL', 'KOQ', 'strange', 'network', 'good', 'connection', 'check', 'BLI', ' Quota ',' difficult ',' Must ',' Refres', 'Many', 'Sometimes',' Install ',' Reset ',' Sucking ',' Delete ',' Cache ']")</f>
        <v>['Please', 'yaa', 'Yesterday', 'good', 'APL', 'KOQ', 'strange', 'network', 'good', 'connection', 'check', 'BLI', ' Quota ',' difficult ',' Must ',' Refres', 'Many', 'Sometimes',' Install ',' Reset ',' Sucking ',' Delete ',' Cache ']</v>
      </c>
      <c r="D1559" s="3">
        <v>1.0</v>
      </c>
    </row>
    <row r="1560" ht="15.75" customHeight="1">
      <c r="A1560" s="1">
        <v>1558.0</v>
      </c>
      <c r="B1560" s="3" t="s">
        <v>1561</v>
      </c>
      <c r="C1560" s="3" t="str">
        <f>IFERROR(__xludf.DUMMYFUNCTION("GOOGLETRANSLATE(B1560,""id"",""en"")"),"['Support', 'kek', 'goat', 'cave', 'UDH', 'Try', 'contact', 'LWT', 'Twitter', 'Gmail', 'gada', 'response', ' Yesterday ',' buy ',' prime ',' packagein ',' unlimax ',' buy ',' grapari ',' coke ',' cave ',' byr ',' card ',' prime ',' tsb ' , 'quota', 'main'"&amp;", 'GB', 'UDH', 'Package', 'Unlimax', 'Arriving', 'At Home', 'Cecant', 'Ehh', 'Gada', 'Package', ' unlimax ',' confirm ',' ']")</f>
        <v>['Support', 'kek', 'goat', 'cave', 'UDH', 'Try', 'contact', 'LWT', 'Twitter', 'Gmail', 'gada', 'response', ' Yesterday ',' buy ',' prime ',' packagein ',' unlimax ',' buy ',' grapari ',' coke ',' cave ',' byr ',' card ',' prime ',' tsb ' , 'quota', 'main', 'GB', 'UDH', 'Package', 'Unlimax', 'Arriving', 'At Home', 'Cecant', 'Ehh', 'Gada', 'Package', ' unlimax ',' confirm ',' ']</v>
      </c>
      <c r="D1560" s="3">
        <v>1.0</v>
      </c>
    </row>
    <row r="1561" ht="15.75" customHeight="1">
      <c r="A1561" s="1">
        <v>1559.0</v>
      </c>
      <c r="B1561" s="3" t="s">
        <v>1562</v>
      </c>
      <c r="C1561" s="3" t="str">
        <f>IFERROR(__xludf.DUMMYFUNCTION("GOOGLETRANSLATE(B1561,""id"",""en"")"),"['quota', 'unlimited', 'apply', 'FUP', 'restrictions',' please ',' Telkomsel ',' make ',' unlimited ',' Telkomsel ',' kayak ',' restricted ',' Males', 'Telkomsel', 'gini', 'please', 'make', 'fup']")</f>
        <v>['quota', 'unlimited', 'apply', 'FUP', 'restrictions',' please ',' Telkomsel ',' make ',' unlimited ',' Telkomsel ',' kayak ',' restricted ',' Males', 'Telkomsel', 'gini', 'please', 'make', 'fup']</v>
      </c>
      <c r="D1561" s="3">
        <v>1.0</v>
      </c>
    </row>
    <row r="1562" ht="15.75" customHeight="1">
      <c r="A1562" s="1">
        <v>1560.0</v>
      </c>
      <c r="B1562" s="3" t="s">
        <v>1563</v>
      </c>
      <c r="C1562" s="3" t="str">
        <f>IFERROR(__xludf.DUMMYFUNCTION("GOOGLETRANSLATE(B1562,""id"",""en"")"),"['Package', 'Combo', 'Sakti', 'Best', 'Deal', 'KOQ', 'Min', 'per month', 'just', 'SMS', 'appears',' right ',' Clicked ',' Link ',' ']")</f>
        <v>['Package', 'Combo', 'Sakti', 'Best', 'Deal', 'KOQ', 'Min', 'per month', 'just', 'SMS', 'appears',' right ',' Clicked ',' Link ',' ']</v>
      </c>
      <c r="D1562" s="3">
        <v>1.0</v>
      </c>
    </row>
    <row r="1563" ht="15.75" customHeight="1">
      <c r="A1563" s="1">
        <v>1561.0</v>
      </c>
      <c r="B1563" s="3" t="s">
        <v>1564</v>
      </c>
      <c r="C1563" s="3" t="str">
        <f>IFERROR(__xludf.DUMMYFUNCTION("GOOGLETRANSLATE(B1563,""id"",""en"")"),"['Update', 'Ngebleng', 'White', 'Hard', 'Open', 'Try', 'Turn Out', 'Reset', 'Tetep', 'Bleng', 'White', 'What', ' Telkomsel ',' difficult ',' gini ',' entry ']")</f>
        <v>['Update', 'Ngebleng', 'White', 'Hard', 'Open', 'Try', 'Turn Out', 'Reset', 'Tetep', 'Bleng', 'White', 'What', ' Telkomsel ',' difficult ',' gini ',' entry ']</v>
      </c>
      <c r="D1563" s="3">
        <v>1.0</v>
      </c>
    </row>
    <row r="1564" ht="15.75" customHeight="1">
      <c r="A1564" s="1">
        <v>1562.0</v>
      </c>
      <c r="B1564" s="3" t="s">
        <v>1565</v>
      </c>
      <c r="C1564" s="3" t="str">
        <f>IFERROR(__xludf.DUMMYFUNCTION("GOOGLETRANSLATE(B1564,""id"",""en"")"),"['update', 'frequency', 'application', 'NGK', 'progress',' slow ',' forgiveness', 'network', 'customer', 'loyal', 'Telkomsel', 'already', ' junior high school ',' use ',' Telkomsel ',' disappointed ']")</f>
        <v>['update', 'frequency', 'application', 'NGK', 'progress',' slow ',' forgiveness', 'network', 'customer', 'loyal', 'Telkomsel', 'already', ' junior high school ',' use ',' Telkomsel ',' disappointed ']</v>
      </c>
      <c r="D1564" s="3">
        <v>1.0</v>
      </c>
    </row>
    <row r="1565" ht="15.75" customHeight="1">
      <c r="A1565" s="1">
        <v>1563.0</v>
      </c>
      <c r="B1565" s="3" t="s">
        <v>1566</v>
      </c>
      <c r="C1565" s="3" t="str">
        <f>IFERROR(__xludf.DUMMYFUNCTION("GOOGLETRANSLATE(B1565,""id"",""en"")"),"['Hadeh', 'Package', 'UnlimitedMax', 'Use', 'Limit', 'Naturally', 'Telkomsel', 'Change', 'Package', 'Notification', 'Ngilak', 'Kom']")</f>
        <v>['Hadeh', 'Package', 'UnlimitedMax', 'Use', 'Limit', 'Naturally', 'Telkomsel', 'Change', 'Package', 'Notification', 'Ngilak', 'Kom']</v>
      </c>
      <c r="D1565" s="3">
        <v>1.0</v>
      </c>
    </row>
    <row r="1566" ht="15.75" customHeight="1">
      <c r="A1566" s="1">
        <v>1564.0</v>
      </c>
      <c r="B1566" s="3" t="s">
        <v>1567</v>
      </c>
      <c r="C1566" s="3" t="str">
        <f>IFERROR(__xludf.DUMMYFUNCTION("GOOGLETRANSLATE(B1566,""id"",""en"")"),"['happy', 'service', 'package', 'data', 'Telkomsel', 'times',' price ',' package ',' expensive ',' unlimited ',' limited ',' disappointed ',' Move ',' card ',' operator ',' network ',' here ',' ugly ',' add ',' good ',' price ',' package ',' expensive ','"&amp;" ask ',' satisfied ' , 'make a loss', '']")</f>
        <v>['happy', 'service', 'package', 'data', 'Telkomsel', 'times',' price ',' package ',' expensive ',' unlimited ',' limited ',' disappointed ',' Move ',' card ',' operator ',' network ',' here ',' ugly ',' add ',' good ',' price ',' package ',' expensive ',' ask ',' satisfied ' , 'make a loss', '']</v>
      </c>
      <c r="D1566" s="3">
        <v>1.0</v>
      </c>
    </row>
    <row r="1567" ht="15.75" customHeight="1">
      <c r="A1567" s="1">
        <v>1565.0</v>
      </c>
      <c r="B1567" s="3" t="s">
        <v>1568</v>
      </c>
      <c r="C1567" s="3" t="str">
        <f>IFERROR(__xludf.DUMMYFUNCTION("GOOGLETRANSLATE(B1567,""id"",""en"")"),"['Application', 'Telkomsel', 'help', 'makes it easier', 'check', 'leftover', 'pulse', 'data', 'Telkomsel', 'Telkomsel', 'wifi', 'if', ' Citizens', 'country', 'replace', 'card', 'buy', 'Vouch', 'wifi', 'throughout', 'remote', 'network', 'provider', 'Telkom"&amp;"sel', ""]")</f>
        <v>['Application', 'Telkomsel', 'help', 'makes it easier', 'check', 'leftover', 'pulse', 'data', 'Telkomsel', 'Telkomsel', 'wifi', 'if', ' Citizens', 'country', 'replace', 'card', 'buy', 'Vouch', 'wifi', 'throughout', 'remote', 'network', 'provider', 'Telkomsel', "]</v>
      </c>
      <c r="D1567" s="3">
        <v>5.0</v>
      </c>
    </row>
    <row r="1568" ht="15.75" customHeight="1">
      <c r="A1568" s="1">
        <v>1566.0</v>
      </c>
      <c r="B1568" s="3" t="s">
        <v>1569</v>
      </c>
      <c r="C1568" s="3" t="str">
        <f>IFERROR(__xludf.DUMMYFUNCTION("GOOGLETRANSLATE(B1568,""id"",""en"")"),"['Please', 'Telkomsel', 'delete', 'system', 'FUP', 'quota', 'troublesome', 'user', 'lure', 'iming', 'unlimited', 'signal', ' Unable ',' Review ',' Thank you ']")</f>
        <v>['Please', 'Telkomsel', 'delete', 'system', 'FUP', 'quota', 'troublesome', 'user', 'lure', 'iming', 'unlimited', 'signal', ' Unable ',' Review ',' Thank you ']</v>
      </c>
      <c r="D1568" s="3">
        <v>1.0</v>
      </c>
    </row>
    <row r="1569" ht="15.75" customHeight="1">
      <c r="A1569" s="1">
        <v>1567.0</v>
      </c>
      <c r="B1569" s="3" t="s">
        <v>1570</v>
      </c>
      <c r="C1569" s="3" t="str">
        <f>IFERROR(__xludf.DUMMYFUNCTION("GOOGLETRANSLATE(B1569,""id"",""en"")"),"['number', 'use', 'already', 'move', 'operator', 'application', 'pesen', 'sucked', 'sucked', 'package', 'try', 'check', ' right ',' open ',' app ',' ntar ',' looks', 'speed', 'strange', 'weve', 'want', 'package', 'customer', 'exhaust', 'what' , '']")</f>
        <v>['number', 'use', 'already', 'move', 'operator', 'application', 'pesen', 'sucked', 'sucked', 'package', 'try', 'check', ' right ',' open ',' app ',' ntar ',' looks', 'speed', 'strange', 'weve', 'want', 'package', 'customer', 'exhaust', 'what' , '']</v>
      </c>
      <c r="D1569" s="3">
        <v>1.0</v>
      </c>
    </row>
    <row r="1570" ht="15.75" customHeight="1">
      <c r="A1570" s="1">
        <v>1568.0</v>
      </c>
      <c r="B1570" s="3" t="s">
        <v>1571</v>
      </c>
      <c r="C1570" s="3" t="str">
        <f>IFERROR(__xludf.DUMMYFUNCTION("GOOGLETRANSLATE(B1570,""id"",""en"")"),"['Disappointed', 'really', 'upgrade', 'difficult', 'really', 'make', 'the application', 'claim', 'gift', 'daily', 'check', 'Veronika', ' Veronikya ',' gave ',' user ',' tmbah ',' confused ',' please ',' repaired ',' ']")</f>
        <v>['Disappointed', 'really', 'upgrade', 'difficult', 'really', 'make', 'the application', 'claim', 'gift', 'daily', 'check', 'Veronika', ' Veronikya ',' gave ',' user ',' tmbah ',' confused ',' please ',' repaired ',' ']</v>
      </c>
      <c r="D1570" s="3">
        <v>2.0</v>
      </c>
    </row>
    <row r="1571" ht="15.75" customHeight="1">
      <c r="A1571" s="1">
        <v>1569.0</v>
      </c>
      <c r="B1571" s="3" t="s">
        <v>1572</v>
      </c>
      <c r="C1571" s="3" t="str">
        <f>IFERROR(__xludf.DUMMYFUNCTION("GOOGLETRANSLATE(B1571,""id"",""en"")"),"['Developer', 'Mending', 'Unlimited', 'Rich', 'Dulkin', 'Limit', 'Naturally', 'Disappointed', 'Concept', 'Rich', 'Operator', 'Next to' disappointed ',' really ',' changed ',' already ',' Gede ',' out ',' money ',' unlimitted ',' name ',' restrictions', 'c"&amp;"oncept', 'point', 'voucher' , 'Gift', 'GMN', '']")</f>
        <v>['Developer', 'Mending', 'Unlimited', 'Rich', 'Dulkin', 'Limit', 'Naturally', 'Disappointed', 'Concept', 'Rich', 'Operator', 'Next to' disappointed ',' really ',' changed ',' already ',' Gede ',' out ',' money ',' unlimitted ',' name ',' restrictions', 'concept', 'point', 'voucher' , 'Gift', 'GMN', '']</v>
      </c>
      <c r="D1571" s="3">
        <v>2.0</v>
      </c>
    </row>
    <row r="1572" ht="15.75" customHeight="1">
      <c r="A1572" s="1">
        <v>1570.0</v>
      </c>
      <c r="B1572" s="3" t="s">
        <v>1573</v>
      </c>
      <c r="C1572" s="3" t="str">
        <f>IFERROR(__xludf.DUMMYFUNCTION("GOOGLETRANSLATE(B1572,""id"",""en"")"),"['It's',' steady ',' darling ',' package ',' unlimited ',' max ',' contains', 'limit', 'use', 'reasonable', 'fup', 'sad', ' Disappointed ',' Move ',' Network ',' Unlimited ',' Turbo ',' Thank you ',' Telkomsel ',' accompany ', ""]")</f>
        <v>['It's',' steady ',' darling ',' package ',' unlimited ',' max ',' contains', 'limit', 'use', 'reasonable', 'fup', 'sad', ' Disappointed ',' Move ',' Network ',' Unlimited ',' Turbo ',' Thank you ',' Telkomsel ',' accompany ', "]</v>
      </c>
      <c r="D1572" s="3">
        <v>3.0</v>
      </c>
    </row>
    <row r="1573" ht="15.75" customHeight="1">
      <c r="A1573" s="1">
        <v>1571.0</v>
      </c>
      <c r="B1573" s="3" t="s">
        <v>1574</v>
      </c>
      <c r="C1573" s="3" t="str">
        <f>IFERROR(__xludf.DUMMYFUNCTION("GOOGLETRANSLATE(B1573,""id"",""en"")"),"['package', 'expensive', 'pulse', 'sumps',' signal ',' bad ',' off ',' mode ',' plane ',' tetep ',' ugly ',' Telkomsel ',' times', 'complaints',' severe ',' really ',' disappointed ',' please ',' fix ',' ']")</f>
        <v>['package', 'expensive', 'pulse', 'sumps',' signal ',' bad ',' off ',' mode ',' plane ',' tetep ',' ugly ',' Telkomsel ',' times', 'complaints',' severe ',' really ',' disappointed ',' please ',' fix ',' ']</v>
      </c>
      <c r="D1573" s="3">
        <v>1.0</v>
      </c>
    </row>
    <row r="1574" ht="15.75" customHeight="1">
      <c r="A1574" s="1">
        <v>1572.0</v>
      </c>
      <c r="B1574" s="3" t="s">
        <v>1575</v>
      </c>
      <c r="C1574" s="3" t="str">
        <f>IFERROR(__xludf.DUMMYFUNCTION("GOOGLETRANSLATE(B1574,""id"",""en"")"),"['network', 'buy', 'package', 'expensive', 'Telkomsel', 'because', 'need', 'unlimited', 'per month', 'take', 'package', 'smooth', ' Current ',' Sampe ',' a month ',' Full ',' Gada ',' Disruption ',' Network ',' Ehh ',' Telkomsel ',' Addiction ',' Look "","&amp;" 'THR', 'THR' , 'network', 'full', 'connection', 'road', 'told', 'list', 'internet', 'comfortable', 'really', ""]")</f>
        <v>['network', 'buy', 'package', 'expensive', 'Telkomsel', 'because', 'need', 'unlimited', 'per month', 'take', 'package', 'smooth', ' Current ',' Sampe ',' a month ',' Full ',' Gada ',' Disruption ',' Network ',' Ehh ',' Telkomsel ',' Addiction ',' Look ", 'THR', 'THR' , 'network', 'full', 'connection', 'road', 'told', 'list', 'internet', 'comfortable', 'really', "]</v>
      </c>
      <c r="D1574" s="3">
        <v>1.0</v>
      </c>
    </row>
    <row r="1575" ht="15.75" customHeight="1">
      <c r="A1575" s="1">
        <v>1573.0</v>
      </c>
      <c r="B1575" s="3" t="s">
        <v>1576</v>
      </c>
      <c r="C1575" s="3" t="str">
        <f>IFERROR(__xludf.DUMMYFUNCTION("GOOGLETRANSLATE(B1575,""id"",""en"")"),"['user', 'card', 'hello', 'please', 'repaired', 'signal', 'the application', 'bad', 'fed up', 'provider', 'then' listen ',' Complaints', 'Customers',' Thank ',' Love ']")</f>
        <v>['user', 'card', 'hello', 'please', 'repaired', 'signal', 'the application', 'bad', 'fed up', 'provider', 'then' listen ',' Complaints', 'Customers',' Thank ',' Love ']</v>
      </c>
      <c r="D1575" s="3">
        <v>1.0</v>
      </c>
    </row>
    <row r="1576" ht="15.75" customHeight="1">
      <c r="A1576" s="1">
        <v>1574.0</v>
      </c>
      <c r="B1576" s="3" t="s">
        <v>1577</v>
      </c>
      <c r="C1576" s="3" t="str">
        <f>IFERROR(__xludf.DUMMYFUNCTION("GOOGLETRANSLATE(B1576,""id"",""en"")"),"['Sorry', 'Telkomsel', 'card', 'Package', 'Combo', 'Sakti', 'GB', 'Need', 'really', 'quota', 'quota', 'list', ' Baskets', 'expensive', '']")</f>
        <v>['Sorry', 'Telkomsel', 'card', 'Package', 'Combo', 'Sakti', 'GB', 'Need', 'really', 'quota', 'quota', 'list', ' Baskets', 'expensive', '']</v>
      </c>
      <c r="D1576" s="3">
        <v>5.0</v>
      </c>
    </row>
    <row r="1577" ht="15.75" customHeight="1">
      <c r="A1577" s="1">
        <v>1575.0</v>
      </c>
      <c r="B1577" s="3" t="s">
        <v>1578</v>
      </c>
      <c r="C1577" s="3" t="str">
        <f>IFERROR(__xludf.DUMMYFUNCTION("GOOGLETRANSLATE(B1577,""id"",""en"")"),"['Error', 'Chat', 'Veronika', 'Connected', 'Chat', 'Replied', 'Read', 'Select', 'Package', 'Unlimited', 'Clock', 'Night', ' Valid ',' Clock ',' Change ',' Hangus', '']")</f>
        <v>['Error', 'Chat', 'Veronika', 'Connected', 'Chat', 'Replied', 'Read', 'Select', 'Package', 'Unlimited', 'Clock', 'Night', ' Valid ',' Clock ',' Change ',' Hangus', '']</v>
      </c>
      <c r="D1577" s="3">
        <v>1.0</v>
      </c>
    </row>
    <row r="1578" ht="15.75" customHeight="1">
      <c r="A1578" s="1">
        <v>1576.0</v>
      </c>
      <c r="B1578" s="3" t="s">
        <v>1579</v>
      </c>
      <c r="C1578" s="3" t="str">
        <f>IFERROR(__xludf.DUMMYFUNCTION("GOOGLETRANSLATE(B1578,""id"",""en"")"),"['oath', 'internet', 'expensive', 'price', 'doang', 'slow', 'squeezed', 'mending', 'card', 'please', 'network', 'Depok', ' Optimize ',' yes', 'card', 'get', 'message', 'info', 'subscribe', 'my', 'card', ""]")</f>
        <v>['oath', 'internet', 'expensive', 'price', 'doang', 'slow', 'squeezed', 'mending', 'card', 'please', 'network', 'Depok', ' Optimize ',' yes', 'card', 'get', 'message', 'info', 'subscribe', 'my', 'card', "]</v>
      </c>
      <c r="D1578" s="3">
        <v>1.0</v>
      </c>
    </row>
    <row r="1579" ht="15.75" customHeight="1">
      <c r="A1579" s="1">
        <v>1577.0</v>
      </c>
      <c r="B1579" s="3" t="s">
        <v>1580</v>
      </c>
      <c r="C1579" s="3" t="str">
        <f>IFERROR(__xludf.DUMMYFUNCTION("GOOGLETRANSLATE(B1579,""id"",""en"")"),"['Knapa', 'Pay', 'Shopeepay', 'Bank', 'PDAVY', 'Make it easier', 'payment', 'Yesterday', 'Pay', 'Spay', 'already', 'Please', ' Expandable ']")</f>
        <v>['Knapa', 'Pay', 'Shopeepay', 'Bank', 'PDAVY', 'Make it easier', 'payment', 'Yesterday', 'Pay', 'Spay', 'already', 'Please', ' Expandable ']</v>
      </c>
      <c r="D1579" s="3">
        <v>1.0</v>
      </c>
    </row>
    <row r="1580" ht="15.75" customHeight="1">
      <c r="A1580" s="1">
        <v>1578.0</v>
      </c>
      <c r="B1580" s="3" t="s">
        <v>1581</v>
      </c>
      <c r="C1580" s="3" t="str">
        <f>IFERROR(__xludf.DUMMYFUNCTION("GOOGLETRANSLATE(B1580,""id"",""en"")"),"['Network', 'Good', 'Maen', 'Game', 'Online', 'Greed', 'Atmosphere', 'Knp', 'Network', 'Best', 'Really', 'Disappointed', ' Skali ',' fix it ',' ']")</f>
        <v>['Network', 'Good', 'Maen', 'Game', 'Online', 'Greed', 'Atmosphere', 'Knp', 'Network', 'Best', 'Really', 'Disappointed', ' Skali ',' fix it ',' ']</v>
      </c>
      <c r="D1580" s="3">
        <v>3.0</v>
      </c>
    </row>
    <row r="1581" ht="15.75" customHeight="1">
      <c r="A1581" s="1">
        <v>1579.0</v>
      </c>
      <c r="B1581" s="3" t="s">
        <v>1582</v>
      </c>
      <c r="C1581" s="3" t="str">
        <f>IFERROR(__xludf.DUMMYFUNCTION("GOOGLETRANSLATE(B1581,""id"",""en"")"),"['pulse', 'lost', 'corruption', 'thousand', 'ilangkan', 'week', 'decent', 'nomornemed', 'belom', 'in someone', 'profit', 'take', ' already ',' difficult ',' made ',' difficult ',' ']")</f>
        <v>['pulse', 'lost', 'corruption', 'thousand', 'ilangkan', 'week', 'decent', 'nomornemed', 'belom', 'in someone', 'profit', 'take', ' already ',' difficult ',' made ',' difficult ',' ']</v>
      </c>
      <c r="D1581" s="3">
        <v>1.0</v>
      </c>
    </row>
    <row r="1582" ht="15.75" customHeight="1">
      <c r="A1582" s="1">
        <v>1580.0</v>
      </c>
      <c r="B1582" s="3" t="s">
        <v>1583</v>
      </c>
      <c r="C1582" s="3" t="str">
        <f>IFERROR(__xludf.DUMMYFUNCTION("GOOGLETRANSLATE(B1582,""id"",""en"")"),"['application', 'Telkomsel', 'enter', 'login', 'code', 'code', 'sent', 'sms',' connection ',' sorted ',' uninstall ',' access', ' Telkomsel ',' fast ',' application ',' only ',' reason ',' use ',' application ',' purpose ',' access', 'Telkomsel', 'fast', "&amp;"'slow', 'mending' , 'no hand', 'application', 'code', 'manual', 'menu', 'phone', 'complicated', 'waste', 'quota', 'open', 'application', ' ']")</f>
        <v>['application', 'Telkomsel', 'enter', 'login', 'code', 'code', 'sent', 'sms',' connection ',' sorted ',' uninstall ',' access', ' Telkomsel ',' fast ',' application ',' only ',' reason ',' use ',' application ',' purpose ',' access', 'Telkomsel', 'fast', 'slow', 'mending' , 'no hand', 'application', 'code', 'manual', 'menu', 'phone', 'complicated', 'waste', 'quota', 'open', 'application', ' ']</v>
      </c>
      <c r="D1582" s="3">
        <v>2.0</v>
      </c>
    </row>
    <row r="1583" ht="15.75" customHeight="1">
      <c r="A1583" s="1">
        <v>1581.0</v>
      </c>
      <c r="B1583" s="3" t="s">
        <v>1584</v>
      </c>
      <c r="C1583" s="3" t="str">
        <f>IFERROR(__xludf.DUMMYFUNCTION("GOOGLETRANSLATE(B1583,""id"",""en"")"),"['', 'Connect', 'knp', 'nelfon', 'minutes', 'die', 'kt', 'network', 'busy', 'expensive', 'ketulungan', 'ckckck']")</f>
        <v>['', 'Connect', 'knp', 'nelfon', 'minutes', 'die', 'kt', 'network', 'busy', 'expensive', 'ketulungan', 'ckckck']</v>
      </c>
      <c r="D1583" s="3">
        <v>1.0</v>
      </c>
    </row>
    <row r="1584" ht="15.75" customHeight="1">
      <c r="A1584" s="1">
        <v>1582.0</v>
      </c>
      <c r="B1584" s="3" t="s">
        <v>1585</v>
      </c>
      <c r="C1584" s="3" t="str">
        <f>IFERROR(__xludf.DUMMYFUNCTION("GOOGLETRANSLATE(B1584,""id"",""en"")"),"['Card', 'Telkomsel', 'Taii', 'Cook', 'Credit', 'Sumpot', 'Abis',' Subscribe ',' Open ',' Link ',' Kagak ',' Morning ',' no ',' then ',' appears', 'active', 'package', 'emergency', 'pulse', 'package', 'msh', 'please', 'card', 'telkomsel', 'balikan' , 'pul"&amp;"ses',' people ',' sumps', 'pity', 'people', 'tired', 'buy', 'pulse', 'sumps',' pulse ',' sumps', 'tollg', ' Blikn ',' plsa ',' ']")</f>
        <v>['Card', 'Telkomsel', 'Taii', 'Cook', 'Credit', 'Sumpot', 'Abis',' Subscribe ',' Open ',' Link ',' Kagak ',' Morning ',' no ',' then ',' appears', 'active', 'package', 'emergency', 'pulse', 'package', 'msh', 'please', 'card', 'telkomsel', 'balikan' , 'pulses',' people ',' sumps', 'pity', 'people', 'tired', 'buy', 'pulse', 'sumps',' pulse ',' sumps', 'tollg', ' Blikn ',' plsa ',' ']</v>
      </c>
      <c r="D1584" s="3">
        <v>1.0</v>
      </c>
    </row>
    <row r="1585" ht="15.75" customHeight="1">
      <c r="A1585" s="1">
        <v>1583.0</v>
      </c>
      <c r="B1585" s="3" t="s">
        <v>1586</v>
      </c>
      <c r="C1585" s="3" t="str">
        <f>IFERROR(__xludf.DUMMYFUNCTION("GOOGLETRANSLATE(B1585,""id"",""en"")"),"['Hay', 'Telkomsel', 'Shy', 'Prividee', 'Most expensive', 'Indonesia', 'Quality', 'Network', 'Palingan', 'Bales',' Review ',' Hay ',' Sis', 'Sorry', 'Comfortable', 'Mode', 'Plane', 'Woooy', 'Mode', 'Plane', 'Network', 'Fix', 'Delicious',' Maf ', ""]")</f>
        <v>['Hay', 'Telkomsel', 'Shy', 'Prividee', 'Most expensive', 'Indonesia', 'Quality', 'Network', 'Palingan', 'Bales',' Review ',' Hay ',' Sis', 'Sorry', 'Comfortable', 'Mode', 'Plane', 'Woooy', 'Mode', 'Plane', 'Network', 'Fix', 'Delicious',' Maf ', "]</v>
      </c>
      <c r="D1585" s="3">
        <v>1.0</v>
      </c>
    </row>
    <row r="1586" ht="15.75" customHeight="1">
      <c r="A1586" s="1">
        <v>1584.0</v>
      </c>
      <c r="B1586" s="3" t="s">
        <v>1587</v>
      </c>
      <c r="C1586" s="3" t="str">
        <f>IFERROR(__xludf.DUMMYFUNCTION("GOOGLETRANSLATE(B1586,""id"",""en"")"),"['What's',' Telkomsel ',' Nii ',' Bentar ',' Soon ',' Network ',' Rotten ',' Soon ',' Bentar ',' Network ',' Rotten ',' Kayak ',' Gini ',' customers', 'turn', 'operator', '']")</f>
        <v>['What's',' Telkomsel ',' Nii ',' Bentar ',' Soon ',' Network ',' Rotten ',' Soon ',' Bentar ',' Network ',' Rotten ',' Kayak ',' Gini ',' customers', 'turn', 'operator', '']</v>
      </c>
      <c r="D1586" s="3">
        <v>1.0</v>
      </c>
    </row>
    <row r="1587" ht="15.75" customHeight="1">
      <c r="A1587" s="1">
        <v>1585.0</v>
      </c>
      <c r="B1587" s="3" t="s">
        <v>1588</v>
      </c>
      <c r="C1587" s="3" t="str">
        <f>IFERROR(__xludf.DUMMYFUNCTION("GOOGLETRANSLATE(B1587,""id"",""en"")"),"['Bad', 'Telkomsel', 'unlimited', 'uda', 'limit', 'uda', 'price', 'expensive', 'connection', 'bad', 'satisfied', 'make', ' Telkomsel ',' Skarang ',' Good ',' Switch ',' Tri ', ""]")</f>
        <v>['Bad', 'Telkomsel', 'unlimited', 'uda', 'limit', 'uda', 'price', 'expensive', 'connection', 'bad', 'satisfied', 'make', ' Telkomsel ',' Skarang ',' Good ',' Switch ',' Tri ', "]</v>
      </c>
      <c r="D1587" s="3">
        <v>1.0</v>
      </c>
    </row>
    <row r="1588" ht="15.75" customHeight="1">
      <c r="A1588" s="1">
        <v>1586.0</v>
      </c>
      <c r="B1588" s="3" t="s">
        <v>1589</v>
      </c>
      <c r="C1588" s="3" t="str">
        <f>IFERROR(__xludf.DUMMYFUNCTION("GOOGLETRANSLATE(B1588,""id"",""en"")"),"['check', 'pulse', 'nelp', 'pay', 'system', 'computer', 'ngaco', 'contents',' pulse ',' run out ',' suck ',' Telkomsel ',' Severe ',' severe ']")</f>
        <v>['check', 'pulse', 'nelp', 'pay', 'system', 'computer', 'ngaco', 'contents',' pulse ',' run out ',' suck ',' Telkomsel ',' Severe ',' severe ']</v>
      </c>
      <c r="D1588" s="3">
        <v>1.0</v>
      </c>
    </row>
    <row r="1589" ht="15.75" customHeight="1">
      <c r="A1589" s="1">
        <v>1587.0</v>
      </c>
      <c r="B1589" s="3" t="s">
        <v>1590</v>
      </c>
      <c r="C1589" s="3" t="str">
        <f>IFERROR(__xludf.DUMMYFUNCTION("GOOGLETRANSLATE(B1589,""id"",""en"")"),"['The application', 'already', 'Bukak', 'signal', 'good', 'package', 'Ful', 'connection', 'failed', 'check', 'network', 'mendwonload', ' fast ',' Walfiay ',' right ',' open ',' application ',' ngak ',' package ',' ugly ',' ugly ',' original ',' unistal ',"&amp;"' pinda ',' bimatree ' ]")</f>
        <v>['The application', 'already', 'Bukak', 'signal', 'good', 'package', 'Ful', 'connection', 'failed', 'check', 'network', 'mendwonload', ' fast ',' Walfiay ',' right ',' open ',' application ',' ngak ',' package ',' ugly ',' ugly ',' original ',' unistal ',' pinda ',' bimatree ' ]</v>
      </c>
      <c r="D1589" s="3">
        <v>1.0</v>
      </c>
    </row>
    <row r="1590" ht="15.75" customHeight="1">
      <c r="A1590" s="1">
        <v>1588.0</v>
      </c>
      <c r="B1590" s="3" t="s">
        <v>1591</v>
      </c>
      <c r="C1590" s="3" t="str">
        <f>IFERROR(__xludf.DUMMYFUNCTION("GOOGLETRANSLATE(B1590,""id"",""en"")"),"['Telkomsel', 'already', 'slow', 'increased', 'severe', 'quality', 'severe', 'slow', 'name', 'Lina', ""]")</f>
        <v>['Telkomsel', 'already', 'slow', 'increased', 'severe', 'quality', 'severe', 'slow', 'name', 'Lina', "]</v>
      </c>
      <c r="D1590" s="3">
        <v>5.0</v>
      </c>
    </row>
    <row r="1591" ht="15.75" customHeight="1">
      <c r="A1591" s="1">
        <v>1589.0</v>
      </c>
      <c r="B1591" s="3" t="s">
        <v>1592</v>
      </c>
      <c r="C1591" s="3" t="str">
        <f>IFERROR(__xludf.DUMMYFUNCTION("GOOGLETRANSLATE(B1591,""id"",""en"")"),"['buy', 'pulse', 'use', 'transaction', 'payment', 'money', 'balance', 'application', 'payment', 'easy', 'contents',' pulses', ' Direct ',' Switch ',' Points', 'Issle', '']")</f>
        <v>['buy', 'pulse', 'use', 'transaction', 'payment', 'money', 'balance', 'application', 'payment', 'easy', 'contents',' pulses', ' Direct ',' Switch ',' Points', 'Issle', '']</v>
      </c>
      <c r="D1591" s="3">
        <v>4.0</v>
      </c>
    </row>
    <row r="1592" ht="15.75" customHeight="1">
      <c r="A1592" s="1">
        <v>1590.0</v>
      </c>
      <c r="B1592" s="3" t="s">
        <v>1593</v>
      </c>
      <c r="C1592" s="3" t="str">
        <f>IFERROR(__xludf.DUMMYFUNCTION("GOOGLETRANSLATE(B1592,""id"",""en"")"),"['Package', 'Phone', 'thousand', 'KNPA', 'Closed', 'Disappointed', 'Network', 'Please', 'Return', 'Package', 'thousand', 'Swadaya', ' Return ',' Telkomsel ']")</f>
        <v>['Package', 'Phone', 'thousand', 'KNPA', 'Closed', 'Disappointed', 'Network', 'Please', 'Return', 'Package', 'thousand', 'Swadaya', ' Return ',' Telkomsel ']</v>
      </c>
      <c r="D1592" s="3">
        <v>1.0</v>
      </c>
    </row>
    <row r="1593" ht="15.75" customHeight="1">
      <c r="A1593" s="1">
        <v>1591.0</v>
      </c>
      <c r="B1593" s="3" t="s">
        <v>1594</v>
      </c>
      <c r="C1593" s="3" t="str">
        <f>IFERROR(__xludf.DUMMYFUNCTION("GOOGLETRANSLATE(B1593,""id"",""en"")"),"['already', 'package', 'unlimted', 'sosmed', 'network', 'slow', 'the application', 'bug', 'udh', 'slow', 'play', 'game', ' lag ',' Mulu ',' please ',' lang ',' fix ',' min ',' ']")</f>
        <v>['already', 'package', 'unlimted', 'sosmed', 'network', 'slow', 'the application', 'bug', 'udh', 'slow', 'play', 'game', ' lag ',' Mulu ',' please ',' lang ',' fix ',' min ',' ']</v>
      </c>
      <c r="D1593" s="3">
        <v>1.0</v>
      </c>
    </row>
    <row r="1594" ht="15.75" customHeight="1">
      <c r="A1594" s="1">
        <v>1592.0</v>
      </c>
      <c r="B1594" s="3" t="s">
        <v>1595</v>
      </c>
      <c r="C1594" s="3" t="str">
        <f>IFERROR(__xludf.DUMMYFUNCTION("GOOGLETRANSLATE(B1594,""id"",""en"")"),"['Terah', 'network', 'tempek', 'it's good', 'card', 'bilanny', 'RbU', 'unlimited', 'tpi', 'slow', 'buy', 'package', ' Game ',' expensive ',' package ',' mainly ',' already ',' run out ',' just ',' muter ',' doang ',' dancok ', ""]")</f>
        <v>['Terah', 'network', 'tempek', 'it's good', 'card', 'bilanny', 'RbU', 'unlimited', 'tpi', 'slow', 'buy', 'package', ' Game ',' expensive ',' package ',' mainly ',' already ',' run out ',' just ',' muter ',' doang ',' dancok ', "]</v>
      </c>
      <c r="D1594" s="3">
        <v>1.0</v>
      </c>
    </row>
    <row r="1595" ht="15.75" customHeight="1">
      <c r="A1595" s="1">
        <v>1593.0</v>
      </c>
      <c r="B1595" s="3" t="s">
        <v>1596</v>
      </c>
      <c r="C1595" s="3" t="str">
        <f>IFERROR(__xludf.DUMMYFUNCTION("GOOGLETRANSLATE(B1595,""id"",""en"")"),"['already', 'Langanan', 'package', 'night', 'thousand', 'buy', 'download', 'film', 'film', 'price', 'in the future', 'rare', ' Buy ',' Buy ',' Operator ',' Cheap ']")</f>
        <v>['already', 'Langanan', 'package', 'night', 'thousand', 'buy', 'download', 'film', 'film', 'price', 'in the future', 'rare', ' Buy ',' Buy ',' Operator ',' Cheap ']</v>
      </c>
      <c r="D1595" s="3">
        <v>4.0</v>
      </c>
    </row>
    <row r="1596" ht="15.75" customHeight="1">
      <c r="A1596" s="1">
        <v>1594.0</v>
      </c>
      <c r="B1596" s="3" t="s">
        <v>1597</v>
      </c>
      <c r="C1596" s="3" t="str">
        <f>IFERROR(__xludf.DUMMYFUNCTION("GOOGLETRANSLATE(B1596,""id"",""en"")"),"['Please', 'Tsel', 'Package', 'Quota', 'Internet', 'Customer', 'Out', 'Direct', 'Play', 'Suck', 'Credit', 'Main', ' Internet ',' pulse ',' main ',' run out ',' package ',' internet ',' run out ',' customer ',' buy ',' package ',' pulse ',' directly ',' su"&amp;"cked ' , 'What', 'buy', 'usage', 'pulse', 'wasteful', 'comfortable', 'Telkomsel', 'Bangk', ""]")</f>
        <v>['Please', 'Tsel', 'Package', 'Quota', 'Internet', 'Customer', 'Out', 'Direct', 'Play', 'Suck', 'Credit', 'Main', ' Internet ',' pulse ',' main ',' run out ',' package ',' internet ',' run out ',' customer ',' buy ',' package ',' pulse ',' directly ',' sucked ' , 'What', 'buy', 'usage', 'pulse', 'wasteful', 'comfortable', 'Telkomsel', 'Bangk', "]</v>
      </c>
      <c r="D1596" s="3">
        <v>1.0</v>
      </c>
    </row>
    <row r="1597" ht="15.75" customHeight="1">
      <c r="A1597" s="1">
        <v>1595.0</v>
      </c>
      <c r="B1597" s="3" t="s">
        <v>1598</v>
      </c>
      <c r="C1597" s="3" t="str">
        <f>IFERROR(__xludf.DUMMYFUNCTION("GOOGLETRANSLATE(B1597,""id"",""en"")"),"['Bener', 'slow', 'play', 'game', 'losetreak', 'comfortable', 'already', 'belayin', 'buy', 'expensive', 'smooth', 'know "",' The signal ',' Region ',' Kedung ',' Jepara ',' Please ',' Fix ',' BTW ',' YouTube ',' Comfortable ']")</f>
        <v>['Bener', 'slow', 'play', 'game', 'losetreak', 'comfortable', 'already', 'belayin', 'buy', 'expensive', 'smooth', 'know ",' The signal ',' Region ',' Kedung ',' Jepara ',' Please ',' Fix ',' BTW ',' YouTube ',' Comfortable ']</v>
      </c>
      <c r="D1597" s="3">
        <v>1.0</v>
      </c>
    </row>
    <row r="1598" ht="15.75" customHeight="1">
      <c r="A1598" s="1">
        <v>1596.0</v>
      </c>
      <c r="B1598" s="3" t="s">
        <v>1599</v>
      </c>
      <c r="C1598" s="3" t="str">
        <f>IFERROR(__xludf.DUMMYFUNCTION("GOOGLETRANSLATE(B1598,""id"",""en"")"),"['Disappointed', 'Telkomsel', 'Message', 'Grace', 'Card', 'Direct', 'Dead', 'Addition', 'On', 'Card', 'Increases',' Fill ',' pulse', '']")</f>
        <v>['Disappointed', 'Telkomsel', 'Message', 'Grace', 'Card', 'Direct', 'Dead', 'Addition', 'On', 'Card', 'Increases',' Fill ',' pulse', '']</v>
      </c>
      <c r="D1598" s="3">
        <v>3.0</v>
      </c>
    </row>
    <row r="1599" ht="15.75" customHeight="1">
      <c r="A1599" s="1">
        <v>1597.0</v>
      </c>
      <c r="B1599" s="3" t="s">
        <v>1600</v>
      </c>
      <c r="C1599" s="3" t="str">
        <f>IFERROR(__xludf.DUMMYFUNCTION("GOOGLETRANSLATE(B1599,""id"",""en"")"),"['network', 'fast', 'slow', 'good', 'provider', 'Telkomsel', 'cave', 'play', 'game', 'online', 'login', 'ngk', ' Try ',' NGK ',' Please ',' Repaired ',' The Network ',' Olx ',' Cuman ',' City ',' Doang ']")</f>
        <v>['network', 'fast', 'slow', 'good', 'provider', 'Telkomsel', 'cave', 'play', 'game', 'online', 'login', 'ngk', ' Try ',' NGK ',' Please ',' Repaired ',' The Network ',' Olx ',' Cuman ',' City ',' Doang ']</v>
      </c>
      <c r="D1599" s="3">
        <v>1.0</v>
      </c>
    </row>
    <row r="1600" ht="15.75" customHeight="1">
      <c r="A1600" s="1">
        <v>1598.0</v>
      </c>
      <c r="B1600" s="3" t="s">
        <v>1601</v>
      </c>
      <c r="C1600" s="3" t="str">
        <f>IFERROR(__xludf.DUMMYFUNCTION("GOOGLETRANSLATE(B1600,""id"",""en"")"),"['Dounload', 'login', 'boss', 'how', 'solution', 'happy', 'really', 'use', 'application', ""]")</f>
        <v>['Dounload', 'login', 'boss', 'how', 'solution', 'happy', 'really', 'use', 'application', "]</v>
      </c>
      <c r="D1600" s="3">
        <v>5.0</v>
      </c>
    </row>
    <row r="1601" ht="15.75" customHeight="1">
      <c r="A1601" s="1">
        <v>1599.0</v>
      </c>
      <c r="B1601" s="3" t="s">
        <v>1602</v>
      </c>
      <c r="C1601" s="3" t="str">
        <f>IFERROR(__xludf.DUMMYFUNCTION("GOOGLETRANSLATE(B1601,""id"",""en"")"),"['Provides',' Provide ',' Network ',' Worst ',' Indonesia ',' Handling ',' Really ',' Loss', 'Card', 'Telkomsel', 'Package', 'Expensive', ' card ',' Sultan ',' network ',' worst ',' KB ',' sec ',' really ',' slow ',' worst ',' loss']")</f>
        <v>['Provides',' Provide ',' Network ',' Worst ',' Indonesia ',' Handling ',' Really ',' Loss', 'Card', 'Telkomsel', 'Package', 'Expensive', ' card ',' Sultan ',' network ',' worst ',' KB ',' sec ',' really ',' slow ',' worst ',' loss']</v>
      </c>
      <c r="D1601" s="3">
        <v>1.0</v>
      </c>
    </row>
    <row r="1602" ht="15.75" customHeight="1">
      <c r="A1602" s="1">
        <v>1600.0</v>
      </c>
      <c r="B1602" s="3" t="s">
        <v>1603</v>
      </c>
      <c r="C1602" s="3" t="str">
        <f>IFERROR(__xludf.DUMMYFUNCTION("GOOGLETRANSLATE(B1602,""id"",""en"")"),"['connection', 'difficult', 'Bangat', 'enter', 'my APK', 'hard', 'mercy', 'play', 'geme', 'lag', 'severe', 'broken', ' Annoyed ',' Ngeapain ',' Noving ',' Vilrtual ',' Assistant ',' Discard ',' Tired ',' Change ',' Card ',' Choice ',' Oberratator ',' Telk"&amp;"omsel ',' Forward ' , 'Wait', 'Castemer', 'complain', 'Dragus', 'connection', 'prodok', 'priority', 'convenience', 'castemer', 'priority', 'stupid', ""]")</f>
        <v>['connection', 'difficult', 'Bangat', 'enter', 'my APK', 'hard', 'mercy', 'play', 'geme', 'lag', 'severe', 'broken', ' Annoyed ',' Ngeapain ',' Noving ',' Vilrtual ',' Assistant ',' Discard ',' Tired ',' Change ',' Card ',' Choice ',' Oberratator ',' Telkomsel ',' Forward ' , 'Wait', 'Castemer', 'complain', 'Dragus', 'connection', 'prodok', 'priority', 'convenience', 'castemer', 'priority', 'stupid', "]</v>
      </c>
      <c r="D1602" s="3">
        <v>1.0</v>
      </c>
    </row>
    <row r="1603" ht="15.75" customHeight="1">
      <c r="A1603" s="1">
        <v>1601.0</v>
      </c>
      <c r="B1603" s="3" t="s">
        <v>1604</v>
      </c>
      <c r="C1603" s="3" t="str">
        <f>IFERROR(__xludf.DUMMYFUNCTION("GOOGLETRANSLATE(B1603,""id"",""en"")"),"['Points', 'exchanged', 'pulses', 'points', 'exchanged', 'pulses', 'that's', 'multiples', 'point', 'scorched', 'that's', 'trimz']")</f>
        <v>['Points', 'exchanged', 'pulses', 'points', 'exchanged', 'pulses', 'that's', 'multiples', 'point', 'scorched', 'that's', 'trimz']</v>
      </c>
      <c r="D1603" s="3">
        <v>4.0</v>
      </c>
    </row>
    <row r="1604" ht="15.75" customHeight="1">
      <c r="A1604" s="1">
        <v>1602.0</v>
      </c>
      <c r="B1604" s="3" t="s">
        <v>1605</v>
      </c>
      <c r="C1604" s="3" t="str">
        <f>IFERROR(__xludf.DUMMYFUNCTION("GOOGLETRANSLATE(B1604,""id"",""en"")"),"['Age', 'sophisticated', 'Telkomsel', 'slow', 'Hello', 'application', 'Telkomsel', 'please', 'complaints',' operator ',' Telkomsel ',' launched ',' the network ',' buy ',' package ',' smooth ',' internet ',' robbing ',' buy ',' package ',' internet ',' st"&amp;"able ',' serving ',' good ',' close ' , 'application', 'please', 'please', 'please']")</f>
        <v>['Age', 'sophisticated', 'Telkomsel', 'slow', 'Hello', 'application', 'Telkomsel', 'please', 'complaints',' operator ',' Telkomsel ',' launched ',' the network ',' buy ',' package ',' smooth ',' internet ',' robbing ',' buy ',' package ',' internet ',' stable ',' serving ',' good ',' close ' , 'application', 'please', 'please', 'please']</v>
      </c>
      <c r="D1604" s="3">
        <v>2.0</v>
      </c>
    </row>
    <row r="1605" ht="15.75" customHeight="1">
      <c r="A1605" s="1">
        <v>1603.0</v>
      </c>
      <c r="B1605" s="3" t="s">
        <v>1606</v>
      </c>
      <c r="C1605" s="3" t="str">
        <f>IFERROR(__xludf.DUMMYFUNCTION("GOOGLETRANSLATE(B1605,""id"",""en"")"),"['woy', 'Developer', 'Telkomsel', 'company', 'closed', 'CMA', 'Look', 'luck', 'loss',' org ',' user ',' Bli ',' cards', 'quota', 'expensive', 'love', 'signal', 'ugly', 'fair', 'play', 'game', 'difficult', 'troubled', 'pdhl', 'price' , 'million', 'Msih', '"&amp;"PKE', 'Telkomsel', 'signal', 'Tetep', 'ugly', 'UDH', 'restart', 'Msih', 'JLEK', 'his network', ' Gaje ',' ']")</f>
        <v>['woy', 'Developer', 'Telkomsel', 'company', 'closed', 'CMA', 'Look', 'luck', 'loss',' org ',' user ',' Bli ',' cards', 'quota', 'expensive', 'love', 'signal', 'ugly', 'fair', 'play', 'game', 'difficult', 'troubled', 'pdhl', 'price' , 'million', 'Msih', 'PKE', 'Telkomsel', 'signal', 'Tetep', 'ugly', 'UDH', 'restart', 'Msih', 'JLEK', 'his network', ' Gaje ',' ']</v>
      </c>
      <c r="D1605" s="3">
        <v>1.0</v>
      </c>
    </row>
    <row r="1606" ht="15.75" customHeight="1">
      <c r="A1606" s="1">
        <v>1604.0</v>
      </c>
      <c r="B1606" s="3" t="s">
        <v>1607</v>
      </c>
      <c r="C1606" s="3" t="str">
        <f>IFERROR(__xludf.DUMMYFUNCTION("GOOGLETRANSLATE(B1606,""id"",""en"")"),"['contents',' credit ',' check ',' pulse ',' truncated ',' sms', 'Telkomsel', 'trimakasih', 'pay', 'package', 'emergency', 'confused', ' active ',' name ',' package ',' emergency ',' haarus', 'pay', 'package', 'emergency', 'telkomsel', 'deliberate', 'fool"&amp;"ing', 'user', 'alms' , 'LIGHT', 'SKASK', '']")</f>
        <v>['contents',' credit ',' check ',' pulse ',' truncated ',' sms', 'Telkomsel', 'trimakasih', 'pay', 'package', 'emergency', 'confused', ' active ',' name ',' package ',' emergency ',' haarus', 'pay', 'package', 'emergency', 'telkomsel', 'deliberate', 'fooling', 'user', 'alms' , 'LIGHT', 'SKASK', '']</v>
      </c>
      <c r="D1606" s="3">
        <v>1.0</v>
      </c>
    </row>
    <row r="1607" ht="15.75" customHeight="1">
      <c r="A1607" s="1">
        <v>1605.0</v>
      </c>
      <c r="B1607" s="3" t="s">
        <v>1608</v>
      </c>
      <c r="C1607" s="3" t="str">
        <f>IFERROR(__xludf.DUMMYFUNCTION("GOOGLETRANSLATE(B1607,""id"",""en"")"),"['Lost', 'card', 'Sakti', 'Mlah', 'quota', 'OMG', 'What's', 'Mksd', 'Lma', 'GNI', 'Telkomsel', ""]")</f>
        <v>['Lost', 'card', 'Sakti', 'Mlah', 'quota', 'OMG', 'What's', 'Mksd', 'Lma', 'GNI', 'Telkomsel', "]</v>
      </c>
      <c r="D1607" s="3">
        <v>1.0</v>
      </c>
    </row>
    <row r="1608" ht="15.75" customHeight="1">
      <c r="A1608" s="1">
        <v>1606.0</v>
      </c>
      <c r="B1608" s="3" t="s">
        <v>1609</v>
      </c>
      <c r="C1608" s="3" t="str">
        <f>IFERROR(__xludf.DUMMYFUNCTION("GOOGLETRANSLATE(B1608,""id"",""en"")"),"['Disappointed', 'Unlimited', 'System', 'use', 'Naturally', 'Yesterday', 'Yesterday', 'That's',' Satisfied ',' Very ',' Telkomsel ',' Dahlah ',' Please, 'Telkomsel', 'Restore', 'Unlimited', 'Yesterday', 'Udh', 'Comfortable', 'Package', 'Internet', 'Love',"&amp;" 'Bintang', 'Thank you', ""]")</f>
        <v>['Disappointed', 'Unlimited', 'System', 'use', 'Naturally', 'Yesterday', 'Yesterday', 'That's',' Satisfied ',' Very ',' Telkomsel ',' Dahlah ',' Please, 'Telkomsel', 'Restore', 'Unlimited', 'Yesterday', 'Udh', 'Comfortable', 'Package', 'Internet', 'Love', 'Bintang', 'Thank you', "]</v>
      </c>
      <c r="D1608" s="3">
        <v>1.0</v>
      </c>
    </row>
    <row r="1609" ht="15.75" customHeight="1">
      <c r="A1609" s="1">
        <v>1607.0</v>
      </c>
      <c r="B1609" s="3" t="s">
        <v>1610</v>
      </c>
      <c r="C1609" s="3" t="str">
        <f>IFERROR(__xludf.DUMMYFUNCTION("GOOGLETRANSLATE(B1609,""id"",""en"")"),"['Please', 'Sorry', 'Signal', 'Taste', 'GPRS', 'Compared', 'Card', 'Morning', 'Monitor', 'Network', 'Available', 'Chip', ' cards', 'attached', 'situation', 'world', 'covid', 'covid', 'keep', 'distance', 'applied', 'network', 'follow', 'keep', 'distance' ,"&amp;" 'Sometimes', 'lost', 'signal', '']")</f>
        <v>['Please', 'Sorry', 'Signal', 'Taste', 'GPRS', 'Compared', 'Card', 'Morning', 'Monitor', 'Network', 'Available', 'Chip', ' cards', 'attached', 'situation', 'world', 'covid', 'covid', 'keep', 'distance', 'applied', 'network', 'follow', 'keep', 'distance' , 'Sometimes', 'lost', 'signal', '']</v>
      </c>
      <c r="D1609" s="3">
        <v>1.0</v>
      </c>
    </row>
    <row r="1610" ht="15.75" customHeight="1">
      <c r="A1610" s="1">
        <v>1608.0</v>
      </c>
      <c r="B1610" s="3" t="s">
        <v>1611</v>
      </c>
      <c r="C1610" s="3" t="str">
        <f>IFERROR(__xludf.DUMMYFUNCTION("GOOGLETRANSLATE(B1610,""id"",""en"")"),"['price', 'package', 'internet', 'expensive', 'expensive', 'really', 'entertainment', 'hadeuh', 'disappointed', 'nglikiran', 'neighbor', ' ']")</f>
        <v>['price', 'package', 'internet', 'expensive', 'expensive', 'really', 'entertainment', 'hadeuh', 'disappointed', 'nglikiran', 'neighbor', ' ']</v>
      </c>
      <c r="D1610" s="3">
        <v>1.0</v>
      </c>
    </row>
    <row r="1611" ht="15.75" customHeight="1">
      <c r="A1611" s="1">
        <v>1609.0</v>
      </c>
      <c r="B1611" s="3" t="s">
        <v>1612</v>
      </c>
      <c r="C1611" s="3" t="str">
        <f>IFERROR(__xludf.DUMMYFUNCTION("GOOGLETRANSLATE(B1611,""id"",""en"")"),"['Just', 'input', 'Efficient', 'APK', 'Try', 'Publish', 'Security', 'Related', 'Credit', 'Internet', 'Suggestion', 'User', ' Enter ',' APK ',' data ',' use ',' sucked ',' related ',' credit ',' user ',' activate ',' data ',' please ',' pulses', 'sucked' ,"&amp;" 'User', 'forget', 'turn off', 'data', 'break', 'abysin', 'money', 'for a while', 'for a while', 'buy', 'pulse', 'suuee']")</f>
        <v>['Just', 'input', 'Efficient', 'APK', 'Try', 'Publish', 'Security', 'Related', 'Credit', 'Internet', 'Suggestion', 'User', ' Enter ',' APK ',' data ',' use ',' sucked ',' related ',' credit ',' user ',' activate ',' data ',' please ',' pulses', 'sucked' , 'User', 'forget', 'turn off', 'data', 'break', 'abysin', 'money', 'for a while', 'for a while', 'buy', 'pulse', 'suuee']</v>
      </c>
      <c r="D1611" s="3">
        <v>2.0</v>
      </c>
    </row>
    <row r="1612" ht="15.75" customHeight="1">
      <c r="A1612" s="1">
        <v>1610.0</v>
      </c>
      <c r="B1612" s="3" t="s">
        <v>1613</v>
      </c>
      <c r="C1612" s="3" t="str">
        <f>IFERROR(__xludf.DUMMYFUNCTION("GOOGLETRANSLATE(B1612,""id"",""en"")"),"['Package', 'UnlimitedMax', 'Dibalesin', 'Try', 'weve', 'FUP', 'Minimal', 'Mbps',' mAh ',' kbps', 'unlimited', 'etc.', ' Ujung ',' NGK ',' open ',' please ',' package ',' considered ',' rules', 'detrimental', 'consumer', 'plate', 'red', 'lose', 'private' "&amp;"]")</f>
        <v>['Package', 'UnlimitedMax', 'Dibalesin', 'Try', 'weve', 'FUP', 'Minimal', 'Mbps',' mAh ',' kbps', 'unlimited', 'etc.', ' Ujung ',' NGK ',' open ',' please ',' package ',' considered ',' rules', 'detrimental', 'consumer', 'plate', 'red', 'lose', 'private' ]</v>
      </c>
      <c r="D1612" s="3">
        <v>1.0</v>
      </c>
    </row>
    <row r="1613" ht="15.75" customHeight="1">
      <c r="A1613" s="1">
        <v>1611.0</v>
      </c>
      <c r="B1613" s="3" t="s">
        <v>1614</v>
      </c>
      <c r="C1613" s="3" t="str">
        <f>IFERROR(__xludf.DUMMYFUNCTION("GOOGLETRANSLATE(B1613,""id"",""en"")"),"['Sya', 'buy', 'unlmtd', 'max', 'stlah', 'hbis',' bta ',' pemaking ',' unlmted ',' max ',' msih ',' brjalan ',' Normal ',' TPI ',' Unlmted ',' Max ',' BTA ',' PMAutan ',' Speed ​​',' Internet ',' Lemot ',' Different ', ""]")</f>
        <v>['Sya', 'buy', 'unlmtd', 'max', 'stlah', 'hbis',' bta ',' pemaking ',' unlmted ',' max ',' msih ',' brjalan ',' Normal ',' TPI ',' Unlmted ',' Max ',' BTA ',' PMAutan ',' Speed ​​',' Internet ',' Lemot ',' Different ', "]</v>
      </c>
      <c r="D1613" s="3">
        <v>1.0</v>
      </c>
    </row>
    <row r="1614" ht="15.75" customHeight="1">
      <c r="A1614" s="1">
        <v>1612.0</v>
      </c>
      <c r="B1614" s="3" t="s">
        <v>1615</v>
      </c>
      <c r="C1614" s="3" t="str">
        <f>IFERROR(__xludf.DUMMYFUNCTION("GOOGLETRANSLATE(B1614,""id"",""en"")"),"['oath', 'bad', 'entry', 'application', 'error', 'network', 'network', 'stable', 'price', 'quota', 'increases',' covenant ',' Weekly ',' discount ',' raised ',' price ',' emang ',' stingy ',' greedy ',' Telkomsel ']")</f>
        <v>['oath', 'bad', 'entry', 'application', 'error', 'network', 'network', 'stable', 'price', 'quota', 'increases',' covenant ',' Weekly ',' discount ',' raised ',' price ',' emang ',' stingy ',' greedy ',' Telkomsel ']</v>
      </c>
      <c r="D1614" s="3">
        <v>1.0</v>
      </c>
    </row>
    <row r="1615" ht="15.75" customHeight="1">
      <c r="A1615" s="1">
        <v>1613.0</v>
      </c>
      <c r="B1615" s="3" t="s">
        <v>1616</v>
      </c>
      <c r="C1615" s="3" t="str">
        <f>IFERROR(__xludf.DUMMYFUNCTION("GOOGLETRANSLATE(B1615,""id"",""en"")"),"['Telkomsel', 'County', 'Padang', 'Lawas',' Subdistrict ',' Hutaraja ',' Village ',' Ujung ',' Stone ',' Experience ',' Connection ',' Bad ',' Sunday ',' network ',' sepala ',' network ',' package ',' data ',' please ',' professionality ',' Telkomsel ',' "&amp;"fix ',' system ',' error ']")</f>
        <v>['Telkomsel', 'County', 'Padang', 'Lawas',' Subdistrict ',' Hutaraja ',' Village ',' Ujung ',' Stone ',' Experience ',' Connection ',' Bad ',' Sunday ',' network ',' sepala ',' network ',' package ',' data ',' please ',' professionality ',' Telkomsel ',' fix ',' system ',' error ']</v>
      </c>
      <c r="D1615" s="3">
        <v>1.0</v>
      </c>
    </row>
    <row r="1616" ht="15.75" customHeight="1">
      <c r="A1616" s="1">
        <v>1614.0</v>
      </c>
      <c r="B1616" s="3" t="s">
        <v>1617</v>
      </c>
      <c r="C1616" s="3" t="str">
        <f>IFERROR(__xludf.DUMMYFUNCTION("GOOGLETRANSLATE(B1616,""id"",""en"")"),"['noon', 'transaction', 'shoopee', 'pulse', 'tudes', 'enter', 'mine', 'payment', 'shoopee', 'then', '']")</f>
        <v>['noon', 'transaction', 'shoopee', 'pulse', 'tudes', 'enter', 'mine', 'payment', 'shoopee', 'then', '']</v>
      </c>
      <c r="D1616" s="3">
        <v>1.0</v>
      </c>
    </row>
    <row r="1617" ht="15.75" customHeight="1">
      <c r="A1617" s="1">
        <v>1615.0</v>
      </c>
      <c r="B1617" s="3" t="s">
        <v>1618</v>
      </c>
      <c r="C1617" s="3" t="str">
        <f>IFERROR(__xludf.DUMMYFUNCTION("GOOGLETRANSLATE(B1617,""id"",""en"")"),"['Lebaran', 'Disappointing', 'PEMAI', 'Package', 'Price', 'Bad', 'You', 'How', 'Difficult', 'Looking', 'Money', ""]")</f>
        <v>['Lebaran', 'Disappointing', 'PEMAI', 'Package', 'Price', 'Bad', 'You', 'How', 'Difficult', 'Looking', 'Money', "]</v>
      </c>
      <c r="D1617" s="3">
        <v>1.0</v>
      </c>
    </row>
    <row r="1618" ht="15.75" customHeight="1">
      <c r="A1618" s="1">
        <v>1616.0</v>
      </c>
      <c r="B1618" s="3" t="s">
        <v>1619</v>
      </c>
      <c r="C1618" s="3" t="str">
        <f>IFERROR(__xludf.DUMMYFUNCTION("GOOGLETRANSLATE(B1618,""id"",""en"")"),"['Telkomsel', 'spirit', 'development', 'network', 'Please', 'Prepare', 'Raya', 'Eid', 'Fitri', 'complaints',' Signal ',' Full ',' network ',' repeat ',' times', 'down', 'sudden', 'customer', 'loyal', 'loss',' boss', 'rank', 'declined', '']")</f>
        <v>['Telkomsel', 'spirit', 'development', 'network', 'Please', 'Prepare', 'Raya', 'Eid', 'Fitri', 'complaints',' Signal ',' Full ',' network ',' repeat ',' times', 'down', 'sudden', 'customer', 'loyal', 'loss',' boss', 'rank', 'declined', '']</v>
      </c>
      <c r="D1618" s="3">
        <v>3.0</v>
      </c>
    </row>
    <row r="1619" ht="15.75" customHeight="1">
      <c r="A1619" s="1">
        <v>1617.0</v>
      </c>
      <c r="B1619" s="3" t="s">
        <v>1620</v>
      </c>
      <c r="C1619" s="3" t="str">
        <f>IFERROR(__xludf.DUMMYFUNCTION("GOOGLETRANSLATE(B1619,""id"",""en"")"),"['proud', 'satisfied', 'service', 'Telkomsel', 'buy', 'package', 'data', 'internet', 'access',' application ',' Telkomsel ',' easy ',' Service ',' Clock ',' Nonstop ',' Save ',' Stay ',' Click ',' As', 'Need', 'Dlm', 'Count', 'Seconds',' Purchase ',' Dire"&amp;"ct ' , 'BERES', 'GPL', 'price', 'cheap', 'appeal', 'shop', '']")</f>
        <v>['proud', 'satisfied', 'service', 'Telkomsel', 'buy', 'package', 'data', 'internet', 'access',' application ',' Telkomsel ',' easy ',' Service ',' Clock ',' Nonstop ',' Save ',' Stay ',' Click ',' As', 'Need', 'Dlm', 'Count', 'Seconds',' Purchase ',' Direct ' , 'BERES', 'GPL', 'price', 'cheap', 'appeal', 'shop', '']</v>
      </c>
      <c r="D1619" s="3">
        <v>5.0</v>
      </c>
    </row>
    <row r="1620" ht="15.75" customHeight="1">
      <c r="A1620" s="1">
        <v>1618.0</v>
      </c>
      <c r="B1620" s="3" t="s">
        <v>1621</v>
      </c>
      <c r="C1620" s="3" t="str">
        <f>IFERROR(__xludf.DUMMYFUNCTION("GOOGLETRANSLATE(B1620,""id"",""en"")"),"['Telkomsel', 'Top', 'Thank you', 'Telkomsel', 'Satisfied', 'Network', 'Telkomsel', 'Forward', 'Success', 'Telkomsel']")</f>
        <v>['Telkomsel', 'Top', 'Thank you', 'Telkomsel', 'Satisfied', 'Network', 'Telkomsel', 'Forward', 'Success', 'Telkomsel']</v>
      </c>
      <c r="D1620" s="3">
        <v>5.0</v>
      </c>
    </row>
    <row r="1621" ht="15.75" customHeight="1">
      <c r="A1621" s="1">
        <v>1619.0</v>
      </c>
      <c r="B1621" s="3" t="s">
        <v>1622</v>
      </c>
      <c r="C1621" s="3" t="str">
        <f>IFERROR(__xludf.DUMMYFUNCTION("GOOGLETRANSLATE(B1621,""id"",""en"")"),"['disappointing', 'network', 'bad', 'play', 'game', 'lag', 'already', 'bored', 'call', 'repair', 'mutation', 'card', ' Hello ',' bad ',' network ',' Unreg ',' Males', 'use']")</f>
        <v>['disappointing', 'network', 'bad', 'play', 'game', 'lag', 'already', 'bored', 'call', 'repair', 'mutation', 'card', ' Hello ',' bad ',' network ',' Unreg ',' Males', 'use']</v>
      </c>
      <c r="D1621" s="3">
        <v>1.0</v>
      </c>
    </row>
    <row r="1622" ht="15.75" customHeight="1">
      <c r="A1622" s="1">
        <v>1620.0</v>
      </c>
      <c r="B1622" s="3" t="s">
        <v>1623</v>
      </c>
      <c r="C1622" s="3" t="str">
        <f>IFERROR(__xludf.DUMMYFUNCTION("GOOGLETRANSLATE(B1622,""id"",""en"")"),"['region', 'home', 'city', 'signal', 'threat', 'severe', 'ngk', 'shy', 'ama', 'provider', 'already', 'package', ' expensive ',' promise ',' sympathy ',' report ',' already ',' signal ',' change ',' Tutu ',' proof ',' appointment ',' rot ']")</f>
        <v>['region', 'home', 'city', 'signal', 'threat', 'severe', 'ngk', 'shy', 'ama', 'provider', 'already', 'package', ' expensive ',' promise ',' sympathy ',' report ',' already ',' signal ',' change ',' Tutu ',' proof ',' appointment ',' rot ']</v>
      </c>
      <c r="D1622" s="3">
        <v>1.0</v>
      </c>
    </row>
    <row r="1623" ht="15.75" customHeight="1">
      <c r="A1623" s="1">
        <v>1621.0</v>
      </c>
      <c r="B1623" s="3" t="s">
        <v>1624</v>
      </c>
      <c r="C1623" s="3" t="str">
        <f>IFERROR(__xludf.DUMMYFUNCTION("GOOGLETRANSLATE(B1623,""id"",""en"")"),"['kerena', 'connection', 'bad', 'application', 'bad', 'application', 'writing', 'load', 'reset', 'signal', 'full', '']")</f>
        <v>['kerena', 'connection', 'bad', 'application', 'bad', 'application', 'writing', 'load', 'reset', 'signal', 'full', '']</v>
      </c>
      <c r="D1623" s="3">
        <v>1.0</v>
      </c>
    </row>
    <row r="1624" ht="15.75" customHeight="1">
      <c r="A1624" s="1">
        <v>1622.0</v>
      </c>
      <c r="B1624" s="3" t="s">
        <v>1625</v>
      </c>
      <c r="C1624" s="3" t="str">
        <f>IFERROR(__xludf.DUMMYFUNCTION("GOOGLETRANSLATE(B1624,""id"",""en"")"),"['Yesterday', 'buy', 'credit', 'Telkomsell', 'pulses',' enter ',' tapii ',' funds', 'lost', 'want', 'fill', 'again', ' payment ',' Dishopepay ',' again ',' ada ',' that's', 'how', 'SIH', 'Min', 'please', 'his policy', 'play', 'Method', 'Method' , 'payment"&amp;"', 'disappointed', 'already', 'funds', 'bpulsa', 'enter', 'method', 'payment', 'missing', '']")</f>
        <v>['Yesterday', 'buy', 'credit', 'Telkomsell', 'pulses',' enter ',' tapii ',' funds', 'lost', 'want', 'fill', 'again', ' payment ',' Dishopepay ',' again ',' ada ',' that's', 'how', 'SIH', 'Min', 'please', 'his policy', 'play', 'Method', 'Method' , 'payment', 'disappointed', 'already', 'funds', 'bpulsa', 'enter', 'method', 'payment', 'missing', '']</v>
      </c>
      <c r="D1624" s="3">
        <v>1.0</v>
      </c>
    </row>
    <row r="1625" ht="15.75" customHeight="1">
      <c r="A1625" s="1">
        <v>1623.0</v>
      </c>
      <c r="B1625" s="3" t="s">
        <v>1626</v>
      </c>
      <c r="C1625" s="3" t="str">
        <f>IFERROR(__xludf.DUMMYFUNCTION("GOOGLETRANSLATE(B1625,""id"",""en"")"),"['MNTP', 'Really', 'BiasakknnBBVCCCCCCCCCCCCCCCCSCJHH', '']")</f>
        <v>['MNTP', 'Really', 'BiasakknnBBVCCCCCCCCCCCCCCCCSCJHH', '']</v>
      </c>
      <c r="D1625" s="3">
        <v>4.0</v>
      </c>
    </row>
    <row r="1626" ht="15.75" customHeight="1">
      <c r="A1626" s="1">
        <v>1624.0</v>
      </c>
      <c r="B1626" s="3" t="s">
        <v>1627</v>
      </c>
      <c r="C1626" s="3" t="str">
        <f>IFERROR(__xludf.DUMMYFUNCTION("GOOGLETRANSLATE(B1626,""id"",""en"")"),"['Canapa', 'signaly', 'slow', 'really', 'already', 'ksih', 'mode', 'plane', 'then', 'live', 'please', 'damage', ' What's', 'repair', 'Kasian', 'want', 'access',' interner ',' work ',' the network ',' ugly ']")</f>
        <v>['Canapa', 'signaly', 'slow', 'really', 'already', 'ksih', 'mode', 'plane', 'then', 'live', 'please', 'damage', ' What's', 'repair', 'Kasian', 'want', 'access',' interner ',' work ',' the network ',' ugly ']</v>
      </c>
      <c r="D1626" s="3">
        <v>1.0</v>
      </c>
    </row>
    <row r="1627" ht="15.75" customHeight="1">
      <c r="A1627" s="1">
        <v>1625.0</v>
      </c>
      <c r="B1627" s="3" t="s">
        <v>1628</v>
      </c>
      <c r="C1627" s="3" t="str">
        <f>IFERROR(__xludf.DUMMYFUNCTION("GOOGLETRANSLATE(B1627,""id"",""en"")"),"['Profitable', 'Select', 'Quota', 'Save', 'Stay', 'Check', 'Apps', 'Ribet', 'Login', 'Current', '']")</f>
        <v>['Profitable', 'Select', 'Quota', 'Save', 'Stay', 'Check', 'Apps', 'Ribet', 'Login', 'Current', '']</v>
      </c>
      <c r="D1627" s="3">
        <v>5.0</v>
      </c>
    </row>
    <row r="1628" ht="15.75" customHeight="1">
      <c r="A1628" s="1">
        <v>1626.0</v>
      </c>
      <c r="B1628" s="3" t="s">
        <v>1629</v>
      </c>
      <c r="C1628" s="3" t="str">
        <f>IFERROR(__xludf.DUMMYFUNCTION("GOOGLETRANSLATE(B1628,""id"",""en"")"),"['Good', 'Network', 'Telkomsel', 'gloomy', 'network', 'make', 'PRANUE', 'card', 'update', 'Telkom', 'down', ""]")</f>
        <v>['Good', 'Network', 'Telkomsel', 'gloomy', 'network', 'make', 'PRANUE', 'card', 'update', 'Telkom', 'down', "]</v>
      </c>
      <c r="D1628" s="3">
        <v>1.0</v>
      </c>
    </row>
    <row r="1629" ht="15.75" customHeight="1">
      <c r="A1629" s="1">
        <v>1627.0</v>
      </c>
      <c r="B1629" s="3" t="s">
        <v>1630</v>
      </c>
      <c r="C1629" s="3" t="str">
        <f>IFERROR(__xludf.DUMMYFUNCTION("GOOGLETRANSLATE(B1629,""id"",""en"")"),"['hooked', 'error', 'connection', 'safe', 'Jaya', 'application', 'Telkomsel', 'refresh', 'mulu', 'muter', 'for days',' check ',' pulses', 'leftover', 'quota', 'forced', 'mode', 'old', 'choice', 'sms',' effsyient ',' ']")</f>
        <v>['hooked', 'error', 'connection', 'safe', 'Jaya', 'application', 'Telkomsel', 'refresh', 'mulu', 'muter', 'for days',' check ',' pulses', 'leftover', 'quota', 'forced', 'mode', 'old', 'choice', 'sms',' effsyient ',' ']</v>
      </c>
      <c r="D1629" s="3">
        <v>1.0</v>
      </c>
    </row>
    <row r="1630" ht="15.75" customHeight="1">
      <c r="A1630" s="1">
        <v>1628.0</v>
      </c>
      <c r="B1630" s="3" t="s">
        <v>1631</v>
      </c>
      <c r="C1630" s="3" t="str">
        <f>IFERROR(__xludf.DUMMYFUNCTION("GOOGLETRANSLATE(B1630,""id"",""en"")"),"['Network', 'Telkomsel', 'mah', 'severe', 'really', 'like', 'payatiin', 'Eid', 'Fitri', 'Christmas',' the network ',' forgiveness', ' weak ',' slow ',' letoy ',' really ',' line ',' bar ',' full ',' right ',' send ',' via ',' access', 'tiktok', 'ampunnn' "&amp;", 'slow', 'severe', 'severe', 'emang', '']")</f>
        <v>['Network', 'Telkomsel', 'mah', 'severe', 'really', 'like', 'payatiin', 'Eid', 'Fitri', 'Christmas',' the network ',' forgiveness', ' weak ',' slow ',' letoy ',' really ',' line ',' bar ',' full ',' right ',' send ',' via ',' access', 'tiktok', 'ampunnn' , 'slow', 'severe', 'severe', 'emang', '']</v>
      </c>
      <c r="D1630" s="3">
        <v>1.0</v>
      </c>
    </row>
    <row r="1631" ht="15.75" customHeight="1">
      <c r="A1631" s="1">
        <v>1629.0</v>
      </c>
      <c r="B1631" s="3" t="s">
        <v>1632</v>
      </c>
      <c r="C1631" s="3" t="str">
        <f>IFERROR(__xludf.DUMMYFUNCTION("GOOGLETRANSLATE(B1631,""id"",""en"")"),"['buy', 'expensive', 'expensive', 'use', 'unlimited', 'love', 'GB', 'GB', 'Regular', 'Boongin', 'gave', 'Fup', ' TELKOMNYET ',' Kbps', 'Yutup', 'Road', 'Buy', 'WhatsApp', 'Doang', 'Fix', 'Read', 'Telkom', 'Ryesel', ""]")</f>
        <v>['buy', 'expensive', 'expensive', 'use', 'unlimited', 'love', 'GB', 'GB', 'Regular', 'Boongin', 'gave', 'Fup', ' TELKOMNYET ',' Kbps', 'Yutup', 'Road', 'Buy', 'WhatsApp', 'Doang', 'Fix', 'Read', 'Telkom', 'Ryesel', "]</v>
      </c>
      <c r="D1631" s="3">
        <v>1.0</v>
      </c>
    </row>
    <row r="1632" ht="15.75" customHeight="1">
      <c r="A1632" s="1">
        <v>1630.0</v>
      </c>
      <c r="B1632" s="3" t="s">
        <v>1633</v>
      </c>
      <c r="C1632" s="3" t="str">
        <f>IFERROR(__xludf.DUMMYFUNCTION("GOOGLETRANSLATE(B1632,""id"",""en"")"),"['Thank you', 'Telkomsel', 'Satisfied', 'Service', 'Available', 'Affordable', 'Suggest', 'Please', 'Donk', 'Fix', 'Signal', 'Accept', ' love']")</f>
        <v>['Thank you', 'Telkomsel', 'Satisfied', 'Service', 'Available', 'Affordable', 'Suggest', 'Please', 'Donk', 'Fix', 'Signal', 'Accept', ' love']</v>
      </c>
      <c r="D1632" s="3">
        <v>5.0</v>
      </c>
    </row>
    <row r="1633" ht="15.75" customHeight="1">
      <c r="A1633" s="1">
        <v>1631.0</v>
      </c>
      <c r="B1633" s="3" t="s">
        <v>1634</v>
      </c>
      <c r="C1633" s="3" t="str">
        <f>IFERROR(__xludf.DUMMYFUNCTION("GOOGLETRANSLATE(B1633,""id"",""en"")"),"['Return', 'pls',' emergency ',' hrus', 'rb', 'remaining', 'pls',' eaten ',' tsel ',' exact ',' pls', 'left', ' rupiah ',' bbrpa ',' times', 'pls',' cut ',' even ',' rb ',' pls', 'hrus',' returned ',' cut ',' tlg ',' noticed ' ]")</f>
        <v>['Return', 'pls',' emergency ',' hrus', 'rb', 'remaining', 'pls',' eaten ',' tsel ',' exact ',' pls', 'left', ' rupiah ',' bbrpa ',' times', 'pls',' cut ',' even ',' rb ',' pls', 'hrus',' returned ',' cut ',' tlg ',' noticed ' ]</v>
      </c>
      <c r="D1633" s="3">
        <v>1.0</v>
      </c>
    </row>
    <row r="1634" ht="15.75" customHeight="1">
      <c r="A1634" s="1">
        <v>1632.0</v>
      </c>
      <c r="B1634" s="3" t="s">
        <v>1635</v>
      </c>
      <c r="C1634" s="3" t="str">
        <f>IFERROR(__xludf.DUMMYFUNCTION("GOOGLETRANSLATE(B1634,""id"",""en"")"),"['Please', 'Developer', 'What's',' That's', 'Please', 'Telkomsel', 'Offline', 'Enter', 'Application', 'Network', 'Stable', 'Ribet', ' So ',' please ',' offline ',' already ',' active ',' data ',' mode ',' aircraft ',' off ',' stupid ',' gamau ', ""]")</f>
        <v>['Please', 'Developer', 'What's',' That's', 'Please', 'Telkomsel', 'Offline', 'Enter', 'Application', 'Network', 'Stable', 'Ribet', ' So ',' please ',' offline ',' already ',' active ',' data ',' mode ',' aircraft ',' off ',' stupid ',' gamau ', "]</v>
      </c>
      <c r="D1634" s="3">
        <v>1.0</v>
      </c>
    </row>
    <row r="1635" ht="15.75" customHeight="1">
      <c r="A1635" s="1">
        <v>1633.0</v>
      </c>
      <c r="B1635" s="3" t="s">
        <v>1636</v>
      </c>
      <c r="C1635" s="3" t="str">
        <f>IFERROR(__xludf.DUMMYFUNCTION("GOOGLETRANSLATE(B1635,""id"",""en"")"),"['min', 'how', 'village', 'silat', 'kalimantan', 'west', 'signal', 'likes',' lost ',' near ',' house ',' tower ',' network ',' Telkomsel ',' yes', 'disorder', 'network', 'lost', 'night', 'week', 'dead', ""]")</f>
        <v>['min', 'how', 'village', 'silat', 'kalimantan', 'west', 'signal', 'likes',' lost ',' near ',' house ',' tower ',' network ',' Telkomsel ',' yes', 'disorder', 'network', 'lost', 'night', 'week', 'dead', "]</v>
      </c>
      <c r="D1635" s="3">
        <v>1.0</v>
      </c>
    </row>
    <row r="1636" ht="15.75" customHeight="1">
      <c r="A1636" s="1">
        <v>1634.0</v>
      </c>
      <c r="B1636" s="3" t="s">
        <v>1637</v>
      </c>
      <c r="C1636" s="3" t="str">
        <f>IFERROR(__xludf.DUMMYFUNCTION("GOOGLETRANSLATE(B1636,""id"",""en"")"),"['Rain', 'signal', 'good', 'area', 'basement', 'building', 'good', 'expensive', 'doang', 'package', ""]")</f>
        <v>['Rain', 'signal', 'good', 'area', 'basement', 'building', 'good', 'expensive', 'doang', 'package', "]</v>
      </c>
      <c r="D1636" s="3">
        <v>5.0</v>
      </c>
    </row>
    <row r="1637" ht="15.75" customHeight="1">
      <c r="A1637" s="1">
        <v>1635.0</v>
      </c>
      <c r="B1637" s="3" t="s">
        <v>1638</v>
      </c>
      <c r="C1637" s="3" t="str">
        <f>IFERROR(__xludf.DUMMYFUNCTION("GOOGLETRANSLATE(B1637,""id"",""en"")"),"['Disappointed', 'Speed', 'Access',' Internet ',' Telkomsel ',' Leet ',' Severe ',' Left Behind ',' Provider ',' Offer ',' Price ',' Package ',' cheap ',' speed ',' access', 'cheap', 'please', 'repair']")</f>
        <v>['Disappointed', 'Speed', 'Access',' Internet ',' Telkomsel ',' Leet ',' Severe ',' Left Behind ',' Provider ',' Offer ',' Price ',' Package ',' cheap ',' speed ',' access', 'cheap', 'please', 'repair']</v>
      </c>
      <c r="D1637" s="3">
        <v>1.0</v>
      </c>
    </row>
    <row r="1638" ht="15.75" customHeight="1">
      <c r="A1638" s="1">
        <v>1636.0</v>
      </c>
      <c r="B1638" s="3" t="s">
        <v>1639</v>
      </c>
      <c r="C1638" s="3" t="str">
        <f>IFERROR(__xludf.DUMMYFUNCTION("GOOGLETRANSLATE(B1638,""id"",""en"")"),"['What', 'buy', 'Kouta', 'Unlimted', 'turn', 'Youtub', 'HBS', 'Kouta', 'Internet', 'HBS', 'Kouta', 'Internet', ' HBS ',' Koutaa ',' Unlimited ',' On ',' On ',' Package ',' Unlimited ',' Bener ',' Card ']")</f>
        <v>['What', 'buy', 'Kouta', 'Unlimted', 'turn', 'Youtub', 'HBS', 'Kouta', 'Internet', 'HBS', 'Kouta', 'Internet', ' HBS ',' Koutaa ',' Unlimited ',' On ',' On ',' Package ',' Unlimited ',' Bener ',' Card ']</v>
      </c>
      <c r="D1638" s="3">
        <v>1.0</v>
      </c>
    </row>
    <row r="1639" ht="15.75" customHeight="1">
      <c r="A1639" s="1">
        <v>1637.0</v>
      </c>
      <c r="B1639" s="3" t="s">
        <v>1640</v>
      </c>
      <c r="C1639" s="3" t="str">
        <f>IFERROR(__xludf.DUMMYFUNCTION("GOOGLETRANSLATE(B1639,""id"",""en"")"),"['', 'love', 'star', 'application', 'error', 'mulu', 'network', 'stable', 'said', 'network', 'quality', 'Telkomsel', 'increases ',' dilapidated ',' check ',' pulse ',' difficult ',' dial ',' application ',' bug ',' mulu ',' network ',' internet ',' threat"&amp;" ',' expensive ', 'Doang', 'quality', 'complement', 'application', 'solution', 'delete', 'cache', 'error']")</f>
        <v>['', 'love', 'star', 'application', 'error', 'mulu', 'network', 'stable', 'said', 'network', 'quality', 'Telkomsel', 'increases ',' dilapidated ',' check ',' pulse ',' difficult ',' dial ',' application ',' bug ',' mulu ',' network ',' internet ',' threat ',' expensive ', 'Doang', 'quality', 'complement', 'application', 'solution', 'delete', 'cache', 'error']</v>
      </c>
      <c r="D1639" s="3">
        <v>1.0</v>
      </c>
    </row>
    <row r="1640" ht="15.75" customHeight="1">
      <c r="A1640" s="1">
        <v>1638.0</v>
      </c>
      <c r="B1640" s="3" t="s">
        <v>1641</v>
      </c>
      <c r="C1640" s="3" t="str">
        <f>IFERROR(__xludf.DUMMYFUNCTION("GOOGLETRANSLATE(B1640,""id"",""en"")"),"['Good', 'pulse', 'quota', 'free', 'useful', 'Akang', 'share', 'application', 'person', 'like', 'use', 'application']")</f>
        <v>['Good', 'pulse', 'quota', 'free', 'useful', 'Akang', 'share', 'application', 'person', 'like', 'use', 'application']</v>
      </c>
      <c r="D1640" s="3">
        <v>5.0</v>
      </c>
    </row>
    <row r="1641" ht="15.75" customHeight="1">
      <c r="A1641" s="1">
        <v>1639.0</v>
      </c>
      <c r="B1641" s="3" t="s">
        <v>1642</v>
      </c>
      <c r="C1641" s="3" t="str">
        <f>IFERROR(__xludf.DUMMYFUNCTION("GOOGLETRANSLATE(B1641,""id"",""en"")"),"['Knp', 'Network', 'Good', 'Open', 'APK', 'MyTelkomsel', 'Try', 'Liat', 'YouTube', 'Main', 'Game', 'Online', ' good ',' the network ',' try ',' please ',' repaired ',' min ',' love ',' star ']")</f>
        <v>['Knp', 'Network', 'Good', 'Open', 'APK', 'MyTelkomsel', 'Try', 'Liat', 'YouTube', 'Main', 'Game', 'Online', ' good ',' the network ',' try ',' please ',' repaired ',' min ',' love ',' star ']</v>
      </c>
      <c r="D1641" s="3">
        <v>3.0</v>
      </c>
    </row>
    <row r="1642" ht="15.75" customHeight="1">
      <c r="A1642" s="1">
        <v>1640.0</v>
      </c>
      <c r="B1642" s="3" t="s">
        <v>1643</v>
      </c>
      <c r="C1642" s="3" t="str">
        <f>IFERROR(__xludf.DUMMYFUNCTION("GOOGLETRANSLATE(B1642,""id"",""en"")"),"['service', 'contact', 'via', 'apk', 'tsel', 'email', 'messenger', 'purchase', 'pay', 'payment', 'fail', 'shoppe', ' transaction ',' finished ',' how ',' the story ',' already ',' uterang ',' got ',' ']")</f>
        <v>['service', 'contact', 'via', 'apk', 'tsel', 'email', 'messenger', 'purchase', 'pay', 'payment', 'fail', 'shoppe', ' transaction ',' finished ',' how ',' the story ',' already ',' uterang ',' got ',' ']</v>
      </c>
      <c r="D1642" s="3">
        <v>1.0</v>
      </c>
    </row>
    <row r="1643" ht="15.75" customHeight="1">
      <c r="A1643" s="1">
        <v>1641.0</v>
      </c>
      <c r="B1643" s="3" t="s">
        <v>1644</v>
      </c>
      <c r="C1643" s="3" t="str">
        <f>IFERROR(__xludf.DUMMYFUNCTION("GOOGLETRANSLATE(B1643,""id"",""en"")"),"['application', 'good', 'steady', 'see', 'leaving', 'leftover', 'quota', 'pulse', 'number', 'call', 'forget', 'number', ' Phone ',' ']")</f>
        <v>['application', 'good', 'steady', 'see', 'leaving', 'leftover', 'quota', 'pulse', 'number', 'call', 'forget', 'number', ' Phone ',' ']</v>
      </c>
      <c r="D1643" s="3">
        <v>4.0</v>
      </c>
    </row>
    <row r="1644" ht="15.75" customHeight="1">
      <c r="A1644" s="1">
        <v>1642.0</v>
      </c>
      <c r="B1644" s="3" t="s">
        <v>1645</v>
      </c>
      <c r="C1644" s="3" t="str">
        <f>IFERROR(__xludf.DUMMYFUNCTION("GOOGLETRANSLATE(B1644,""id"",""en"")"),"['Thank you', 'Customer', 'GSM', 'GSM', 'Service', 'Limited', 'SMS', 'Release', 'Screen', 'Color', 'Monochrome', 'Service', ' MMS ',' offer ',' package ',' save ',' telephone ',' internet ',' package ',' unlimited ',' unlimited ',' call ',' times', 'feel'"&amp;", 'finish' , 'content', 'balance', 'family', 'use', 'Telkomsel', 'hope', 'reward', 'appears', 'Thanks']")</f>
        <v>['Thank you', 'Customer', 'GSM', 'GSM', 'Service', 'Limited', 'SMS', 'Release', 'Screen', 'Color', 'Monochrome', 'Service', ' MMS ',' offer ',' package ',' save ',' telephone ',' internet ',' package ',' unlimited ',' unlimited ',' call ',' times', 'feel', 'finish' , 'content', 'balance', 'family', 'use', 'Telkomsel', 'hope', 'reward', 'appears', 'Thanks']</v>
      </c>
      <c r="D1644" s="3">
        <v>3.0</v>
      </c>
    </row>
    <row r="1645" ht="15.75" customHeight="1">
      <c r="A1645" s="1">
        <v>1643.0</v>
      </c>
      <c r="B1645" s="3" t="s">
        <v>1646</v>
      </c>
      <c r="C1645" s="3" t="str">
        <f>IFERROR(__xludf.DUMMYFUNCTION("GOOGLETRANSLATE(B1645,""id"",""en"")"),"['Disappointed', 'really', 'network', 'Telkomsel', 'check', 'application', 'speed', 'test', 'network', 'just', 'maximum', 'Mbps',' Please, 'The' Network ',' Maximum ',' Main ',' Game ',' Comfortable ',' Kouta ',' Use ',' GB ',' Unlimited ',' Max ', ""]")</f>
        <v>['Disappointed', 'really', 'network', 'Telkomsel', 'check', 'application', 'speed', 'test', 'network', 'just', 'maximum', 'Mbps',' Please, 'The' Network ',' Maximum ',' Main ',' Game ',' Comfortable ',' Kouta ',' Use ',' GB ',' Unlimited ',' Max ', "]</v>
      </c>
      <c r="D1645" s="3">
        <v>1.0</v>
      </c>
    </row>
    <row r="1646" ht="15.75" customHeight="1">
      <c r="A1646" s="1">
        <v>1644.0</v>
      </c>
      <c r="B1646" s="3" t="s">
        <v>1647</v>
      </c>
      <c r="C1646" s="3" t="str">
        <f>IFERROR(__xludf.DUMMYFUNCTION("GOOGLETRANSLATE(B1646,""id"",""en"")"),"['a week', 'application', 'useful', 'checked', 'quota', 'pulse', 'kinta', 'refresh', 'refresh', 'already', 'update', 'that's',' ']")</f>
        <v>['a week', 'application', 'useful', 'checked', 'quota', 'pulse', 'kinta', 'refresh', 'refresh', 'already', 'update', 'that's',' ']</v>
      </c>
      <c r="D1646" s="3">
        <v>1.0</v>
      </c>
    </row>
    <row r="1647" ht="15.75" customHeight="1">
      <c r="A1647" s="1">
        <v>1645.0</v>
      </c>
      <c r="B1647" s="3" t="s">
        <v>1648</v>
      </c>
      <c r="C1647" s="3" t="str">
        <f>IFERROR(__xludf.DUMMYFUNCTION("GOOGLETRANSLATE(B1647,""id"",""en"")"),"['Severe', 'jingannya', 'Ramadhan', 'destroyed', 'drum', 'dlu', 'ndk', 'improvement', 'destroyed', 'kasian', 'telkomsek', 'backward']")</f>
        <v>['Severe', 'jingannya', 'Ramadhan', 'destroyed', 'drum', 'dlu', 'ndk', 'improvement', 'destroyed', 'kasian', 'telkomsek', 'backward']</v>
      </c>
      <c r="D1647" s="3">
        <v>1.0</v>
      </c>
    </row>
    <row r="1648" ht="15.75" customHeight="1">
      <c r="A1648" s="1">
        <v>1646.0</v>
      </c>
      <c r="B1648" s="3" t="s">
        <v>1649</v>
      </c>
      <c r="C1648" s="3" t="str">
        <f>IFERROR(__xludf.DUMMYFUNCTION("GOOGLETRANSLATE(B1648,""id"",""en"")"),"['prime', 'blas',' maen ',' game ',' card ',' hram ',' use ',' city ',' network ',' ugly ',' pink ',' red ',' card ',' wanted ',' Gunain ',' Benerin ',' Network ',' already ',' mah ',' buy ',' expensive ',' network ',' ugly ',' want ',' try ' , 'Kirain', "&amp;"'mah', 'card', 'network', 'good', 'BURIK']")</f>
        <v>['prime', 'blas',' maen ',' game ',' card ',' hram ',' use ',' city ',' network ',' ugly ',' pink ',' red ',' card ',' wanted ',' Gunain ',' Benerin ',' Network ',' already ',' mah ',' buy ',' expensive ',' network ',' ugly ',' want ',' try ' , 'Kirain', 'mah', 'card', 'network', 'good', 'BURIK']</v>
      </c>
      <c r="D1648" s="3">
        <v>1.0</v>
      </c>
    </row>
    <row r="1649" ht="15.75" customHeight="1">
      <c r="A1649" s="1">
        <v>1647.0</v>
      </c>
      <c r="B1649" s="3" t="s">
        <v>1650</v>
      </c>
      <c r="C1649" s="3" t="str">
        <f>IFERROR(__xludf.DUMMYFUNCTION("GOOGLETRANSLATE(B1649,""id"",""en"")"),"['', 'cave', 'buy', 'package', 'unlimited', 'KNP', 'MB', 'Abis',' loss', 'thousand', 'cave', 'suggest', 'Telkomsel ',' deh ',' ugly ',' card ']")</f>
        <v>['', 'cave', 'buy', 'package', 'unlimited', 'KNP', 'MB', 'Abis',' loss', 'thousand', 'cave', 'suggest', 'Telkomsel ',' deh ',' ugly ',' card ']</v>
      </c>
      <c r="D1649" s="3">
        <v>1.0</v>
      </c>
    </row>
    <row r="1650" ht="15.75" customHeight="1">
      <c r="A1650" s="1">
        <v>1648.0</v>
      </c>
      <c r="B1650" s="3" t="s">
        <v>1651</v>
      </c>
      <c r="C1650" s="3" t="str">
        <f>IFERROR(__xludf.DUMMYFUNCTION("GOOGLETRANSLATE(B1650,""id"",""en"")"),"['Difference', 'Price', 'Package', 'Data', 'Number', 'Telkomsel', 'RB', 'Unlimited', 'GB', 'RB', 'RB', 'Difference', ' made ',' strange ',' use ',' NMR ',' Sis', 'trs',' NMR ',' as easy ',' gontain ',' change ',' number ',' customers', 'Telkomsel' , 'off'"&amp;", 'use', 'package', 'tsel', 'number', 'contents', 'limited', 'active', ""]")</f>
        <v>['Difference', 'Price', 'Package', 'Data', 'Number', 'Telkomsel', 'RB', 'Unlimited', 'GB', 'RB', 'RB', 'Difference', ' made ',' strange ',' use ',' NMR ',' Sis', 'trs',' NMR ',' as easy ',' gontain ',' change ',' number ',' customers', 'Telkomsel' , 'off', 'use', 'package', 'tsel', 'number', 'contents', 'limited', 'active', "]</v>
      </c>
      <c r="D1650" s="3">
        <v>1.0</v>
      </c>
    </row>
    <row r="1651" ht="15.75" customHeight="1">
      <c r="A1651" s="1">
        <v>1649.0</v>
      </c>
      <c r="B1651" s="3" t="s">
        <v>1652</v>
      </c>
      <c r="C1651" s="3" t="str">
        <f>IFERROR(__xludf.DUMMYFUNCTION("GOOGLETRANSLATE(B1651,""id"",""en"")"),"['Sorry', 'how', 'admin', 'buy', 'package', 'internet', 'monthly', 'for', 'APK', 'MyTelkomsel', 'Byarny', 'PKE', ' Shoppepay ',' TPI ',' enter ',' balance ',' shopepay ',' already ',' reduced ',' ttp ',' entered ',' where ',' money ',' admin ', ""]")</f>
        <v>['Sorry', 'how', 'admin', 'buy', 'package', 'internet', 'monthly', 'for', 'APK', 'MyTelkomsel', 'Byarny', 'PKE', ' Shoppepay ',' TPI ',' enter ',' balance ',' shopepay ',' already ',' reduced ',' ttp ',' entered ',' where ',' money ',' admin ', "]</v>
      </c>
      <c r="D1651" s="3">
        <v>1.0</v>
      </c>
    </row>
    <row r="1652" ht="15.75" customHeight="1">
      <c r="A1652" s="1">
        <v>1650.0</v>
      </c>
      <c r="B1652" s="3" t="s">
        <v>1653</v>
      </c>
      <c r="C1652" s="3" t="str">
        <f>IFERROR(__xludf.DUMMYFUNCTION("GOOGLETRANSLATE(B1652,""id"",""en"")"),"['Sometimes', 'process', 'transactions', 'obstacles', 'rates', 'packages', 'promo', 'appear', ""]")</f>
        <v>['Sometimes', 'process', 'transactions', 'obstacles', 'rates', 'packages', 'promo', 'appear', "]</v>
      </c>
      <c r="D1652" s="3">
        <v>2.0</v>
      </c>
    </row>
    <row r="1653" ht="15.75" customHeight="1">
      <c r="A1653" s="1">
        <v>1651.0</v>
      </c>
      <c r="B1653" s="3" t="s">
        <v>1654</v>
      </c>
      <c r="C1653" s="3" t="str">
        <f>IFERROR(__xludf.DUMMYFUNCTION("GOOGLETRANSLATE(B1653,""id"",""en"")"),"['Please', 'Sorry', 'Furniture', 'Internet', 'Max', 'Buy', 'Internet', 'Max', 'LGI', 'KNP', 'Please', 'Telkomsel']")</f>
        <v>['Please', 'Sorry', 'Furniture', 'Internet', 'Max', 'Buy', 'Internet', 'Max', 'LGI', 'KNP', 'Please', 'Telkomsel']</v>
      </c>
      <c r="D1653" s="3">
        <v>1.0</v>
      </c>
    </row>
    <row r="1654" ht="15.75" customHeight="1">
      <c r="A1654" s="1">
        <v>1652.0</v>
      </c>
      <c r="B1654" s="3" t="s">
        <v>1655</v>
      </c>
      <c r="C1654" s="3" t="str">
        <f>IFERROR(__xludf.DUMMYFUNCTION("GOOGLETRANSLATE(B1654,""id"",""en"")"),"['contents',' pulse ',' data ',' application ',' payment ',' pulse ',' enter ',' balance ',' truncated ',' told ',' waiting ',' work ',' finishing ',' try ',' thinking ',' person ',' contents', 'pulse', 'need', 'pulse', 'told', 'waiting', 'work', 'certain"&amp;"ty', 'learning' , 'Read', 'comment', 'already', 'share', 'sosmed', 'learn', 'natural', 'happen', 'events', 'natural', ""]")</f>
        <v>['contents',' pulse ',' data ',' application ',' payment ',' pulse ',' enter ',' balance ',' truncated ',' told ',' waiting ',' work ',' finishing ',' try ',' thinking ',' person ',' contents', 'pulse', 'need', 'pulse', 'told', 'waiting', 'work', 'certainty', 'learning' , 'Read', 'comment', 'already', 'share', 'sosmed', 'learn', 'natural', 'happen', 'events', 'natural', "]</v>
      </c>
      <c r="D1654" s="3">
        <v>1.0</v>
      </c>
    </row>
    <row r="1655" ht="15.75" customHeight="1">
      <c r="A1655" s="1">
        <v>1653.0</v>
      </c>
      <c r="B1655" s="3" t="s">
        <v>1656</v>
      </c>
      <c r="C1655" s="3" t="str">
        <f>IFERROR(__xludf.DUMMYFUNCTION("GOOGLETRANSLATE(B1655,""id"",""en"")"),"['Application', 'Not bad', 'slow', 'buy', 'package', 'data', 'no', 'enter', 'enter', 'chat', 'veronika', 'sampek', ' times', 'feeback', 'good', 'asked']")</f>
        <v>['Application', 'Not bad', 'slow', 'buy', 'package', 'data', 'no', 'enter', 'enter', 'chat', 'veronika', 'sampek', ' times', 'feeback', 'good', 'asked']</v>
      </c>
      <c r="D1655" s="3">
        <v>1.0</v>
      </c>
    </row>
    <row r="1656" ht="15.75" customHeight="1">
      <c r="A1656" s="1">
        <v>1654.0</v>
      </c>
      <c r="B1656" s="3" t="s">
        <v>1657</v>
      </c>
      <c r="C1656" s="3" t="str">
        <f>IFERROR(__xludf.DUMMYFUNCTION("GOOGLETRANSLATE(B1656,""id"",""en"")"),"['apk', 'Telkomsel', 'help', 'purchase', 'credit', 'data', 'internet', 'happy', 'thank you', 'in the future', 'good','AA ']")</f>
        <v>['apk', 'Telkomsel', 'help', 'purchase', 'credit', 'data', 'internet', 'happy', 'thank you', 'in the future', 'good','AA ']</v>
      </c>
      <c r="D1656" s="3">
        <v>5.0</v>
      </c>
    </row>
    <row r="1657" ht="15.75" customHeight="1">
      <c r="A1657" s="1">
        <v>1655.0</v>
      </c>
      <c r="B1657" s="3" t="s">
        <v>1658</v>
      </c>
      <c r="C1657" s="3" t="str">
        <f>IFERROR(__xludf.DUMMYFUNCTION("GOOGLETRANSLATE(B1657,""id"",""en"")"),"['The application', 'nyedot', 'quota', 'worry', 'quota', 'lived', 'dying', 'open', 'application', 'select', 'buy', 'package', ' close ',' nyedot ',' quota ',' application ',' disabled ',' setting ',' application ',' essence ',' application ',' comfortable"&amp;" ', ""]")</f>
        <v>['The application', 'nyedot', 'quota', 'worry', 'quota', 'lived', 'dying', 'open', 'application', 'select', 'buy', 'package', ' close ',' nyedot ',' quota ',' application ',' disabled ',' setting ',' application ',' essence ',' application ',' comfortable ', "]</v>
      </c>
      <c r="D1657" s="3">
        <v>2.0</v>
      </c>
    </row>
    <row r="1658" ht="15.75" customHeight="1">
      <c r="A1658" s="1">
        <v>1656.0</v>
      </c>
      <c r="B1658" s="3" t="s">
        <v>1659</v>
      </c>
      <c r="C1658" s="3" t="str">
        <f>IFERROR(__xludf.DUMMYFUNCTION("GOOGLETRANSLATE(B1658,""id"",""en"")"),"['Krtu', 'Restore', 'Prepaid', 'Tawarin', 'Move', 'Card', 'Hallo', 'Prepaid', 'Cana', 'Skrng', ""]")</f>
        <v>['Krtu', 'Restore', 'Prepaid', 'Tawarin', 'Move', 'Card', 'Hallo', 'Prepaid', 'Cana', 'Skrng', "]</v>
      </c>
      <c r="D1658" s="3">
        <v>1.0</v>
      </c>
    </row>
    <row r="1659" ht="15.75" customHeight="1">
      <c r="A1659" s="1">
        <v>1657.0</v>
      </c>
      <c r="B1659" s="3" t="s">
        <v>1660</v>
      </c>
      <c r="C1659" s="3" t="str">
        <f>IFERROR(__xludf.DUMMYFUNCTION("GOOGLETRANSLATE(B1659,""id"",""en"")"),"['Internet', 'good', 'and then', 'card', 'Telkomsel', 'please', 'browsing', 'Google', 'annya', 'unlimited', 'then', 'package', ' Unlimited ',' limit ',' ampe ',' lie ',' unlimited ',' limited ',' funny ',' lahhhh ', ""]")</f>
        <v>['Internet', 'good', 'and then', 'card', 'Telkomsel', 'please', 'browsing', 'Google', 'annya', 'unlimited', 'then', 'package', ' Unlimited ',' limit ',' ampe ',' lie ',' unlimited ',' limited ',' funny ',' lahhhh ', "]</v>
      </c>
      <c r="D1659" s="3">
        <v>3.0</v>
      </c>
    </row>
    <row r="1660" ht="15.75" customHeight="1">
      <c r="A1660" s="1">
        <v>1658.0</v>
      </c>
      <c r="B1660" s="3" t="s">
        <v>1661</v>
      </c>
      <c r="C1660" s="3" t="str">
        <f>IFERROR(__xludf.DUMMYFUNCTION("GOOGLETRANSLATE(B1660,""id"",""en"")"),"['Application', 'Gunaya', 'offer', 'price', 'package', 'price', 'expensive', 'then', 'Sekarng', 'Telkomsel', 'Waras']")</f>
        <v>['Application', 'Gunaya', 'offer', 'price', 'package', 'price', 'expensive', 'then', 'Sekarng', 'Telkomsel', 'Waras']</v>
      </c>
      <c r="D1660" s="3">
        <v>1.0</v>
      </c>
    </row>
    <row r="1661" ht="15.75" customHeight="1">
      <c r="A1661" s="1">
        <v>1659.0</v>
      </c>
      <c r="B1661" s="3" t="s">
        <v>1662</v>
      </c>
      <c r="C1661" s="3" t="str">
        <f>IFERROR(__xludf.DUMMYFUNCTION("GOOGLETRANSLATE(B1661,""id"",""en"")"),"['Duku', 'Telkomsel', 'Network', 'tasty', 'truss', 'SekiGang', 'difficult', 'really', 'yaa', 'watch', 'Yutube']")</f>
        <v>['Duku', 'Telkomsel', 'Network', 'tasty', 'truss', 'SekiGang', 'difficult', 'really', 'yaa', 'watch', 'Yutube']</v>
      </c>
      <c r="D1661" s="3">
        <v>2.0</v>
      </c>
    </row>
    <row r="1662" ht="15.75" customHeight="1">
      <c r="A1662" s="1">
        <v>1660.0</v>
      </c>
      <c r="B1662" s="3" t="s">
        <v>1663</v>
      </c>
      <c r="C1662" s="3" t="str">
        <f>IFERROR(__xludf.DUMMYFUNCTION("GOOGLETRANSLATE(B1662,""id"",""en"")"),"['many years',' use ',' Telkomsel ',' quota ',' price ',' cheap ',' now ',' cheap ',' right ',' run out ',' buy ',' right ',' price', '']")</f>
        <v>['many years',' use ',' Telkomsel ',' quota ',' price ',' cheap ',' now ',' cheap ',' right ',' run out ',' buy ',' right ',' price', '']</v>
      </c>
      <c r="D1662" s="3">
        <v>1.0</v>
      </c>
    </row>
    <row r="1663" ht="15.75" customHeight="1">
      <c r="A1663" s="1">
        <v>1661.0</v>
      </c>
      <c r="B1663" s="3" t="s">
        <v>1664</v>
      </c>
      <c r="C1663" s="3" t="str">
        <f>IFERROR(__xludf.DUMMYFUNCTION("GOOGLETRANSLATE(B1663,""id"",""en"")"),"['Please', 'Sorry', 'Reduce', 'Star', 'Download', 'Application', 'Easy', 'Credit', 'Buy', 'Quota', 'Etc.', 'Opened', ' Loading ',' oldaaaaaa ',' signal ',' good ',' really ',' sucks', '']")</f>
        <v>['Please', 'Sorry', 'Reduce', 'Star', 'Download', 'Application', 'Easy', 'Credit', 'Buy', 'Quota', 'Etc.', 'Opened', ' Loading ',' oldaaaaaa ',' signal ',' good ',' really ',' sucks', '']</v>
      </c>
      <c r="D1663" s="3">
        <v>1.0</v>
      </c>
    </row>
    <row r="1664" ht="15.75" customHeight="1">
      <c r="A1664" s="1">
        <v>1662.0</v>
      </c>
      <c r="B1664" s="3" t="s">
        <v>1665</v>
      </c>
      <c r="C1664" s="3" t="str">
        <f>IFERROR(__xludf.DUMMYFUNCTION("GOOGLETRANSLATE(B1664,""id"",""en"")"),"['buy', 'package', 'cheerful', 'failed', 'sgt', 'upset', 'purchase', 'package', 'please', 'Telkomsel', 'fix', 'error', ' times', 'try', 'response', '']")</f>
        <v>['buy', 'package', 'cheerful', 'failed', 'sgt', 'upset', 'purchase', 'package', 'please', 'Telkomsel', 'fix', 'error', ' times', 'try', 'response', '']</v>
      </c>
      <c r="D1664" s="3">
        <v>1.0</v>
      </c>
    </row>
    <row r="1665" ht="15.75" customHeight="1">
      <c r="A1665" s="1">
        <v>1663.0</v>
      </c>
      <c r="B1665" s="3" t="s">
        <v>1666</v>
      </c>
      <c r="C1665" s="3" t="str">
        <f>IFERROR(__xludf.DUMMYFUNCTION("GOOGLETRANSLATE(B1665,""id"",""en"")"),"['loading', 'really', 'waiting', 'check', 'pulse', 'quota', 'download', 'app', 'telkomsel', 'check', 'pulse', 'quota', ' Please, 'Fix', 'Connection', 'Internet', 'Fast', 'Kayak']")</f>
        <v>['loading', 'really', 'waiting', 'check', 'pulse', 'quota', 'download', 'app', 'telkomsel', 'check', 'pulse', 'quota', ' Please, 'Fix', 'Connection', 'Internet', 'Fast', 'Kayak']</v>
      </c>
      <c r="D1665" s="3">
        <v>1.0</v>
      </c>
    </row>
    <row r="1666" ht="15.75" customHeight="1">
      <c r="A1666" s="1">
        <v>1664.0</v>
      </c>
      <c r="B1666" s="3" t="s">
        <v>1667</v>
      </c>
      <c r="C1666" s="3" t="str">
        <f>IFERROR(__xludf.DUMMYFUNCTION("GOOGLETRANSLATE(B1666,""id"",""en"")"),"['Maap', 'love', 'knapa', 'package', 'internet', 'road', 'package', 'multimedia', 'distop', 'package', 'internet', 'road', ' Maap ',' just ',' complaints']")</f>
        <v>['Maap', 'love', 'knapa', 'package', 'internet', 'road', 'package', 'multimedia', 'distop', 'package', 'internet', 'road', ' Maap ',' just ',' complaints']</v>
      </c>
      <c r="D1666" s="3">
        <v>1.0</v>
      </c>
    </row>
    <row r="1667" ht="15.75" customHeight="1">
      <c r="A1667" s="1">
        <v>1665.0</v>
      </c>
      <c r="B1667" s="3" t="s">
        <v>1668</v>
      </c>
      <c r="C1667" s="3" t="str">
        <f>IFERROR(__xludf.DUMMYFUNCTION("GOOGLETRANSLATE(B1667,""id"",""en"")"),"['application', 'garbage', 'already', 'slow', 'MOTHER', 'Advertising', 'Gajelas',' right ',' open ',' application ',' believe ',' promo ',' Cheerful ',' promo ',' special ',' already ',' contents', 'pulse', 'many', 'Register', 'package', 'number', 'Differ"&amp;"ent', 'result', 'zero' , 'Credit', 'Sumpot', 'Provider', 'Fraudster', 'Sergangd', 'Raya', ""]")</f>
        <v>['application', 'garbage', 'already', 'slow', 'MOTHER', 'Advertising', 'Gajelas',' right ',' open ',' application ',' believe ',' promo ',' Cheerful ',' promo ',' special ',' already ',' contents', 'pulse', 'many', 'Register', 'package', 'number', 'Different', 'result', 'zero' , 'Credit', 'Sumpot', 'Provider', 'Fraudster', 'Sergangd', 'Raya', "]</v>
      </c>
      <c r="D1667" s="3">
        <v>1.0</v>
      </c>
    </row>
    <row r="1668" ht="15.75" customHeight="1">
      <c r="A1668" s="1">
        <v>1666.0</v>
      </c>
      <c r="B1668" s="3" t="s">
        <v>1669</v>
      </c>
      <c r="C1668" s="3" t="str">
        <f>IFERROR(__xludf.DUMMYFUNCTION("GOOGLETRANSLATE(B1668,""id"",""en"")"),"['', 'Region', 'Setu', 'Bergangkeng', 'Housing', 'Bekasi', 'East', 'Regency', 'Sympathy', 'Signal', 'ugly', 'Error', 'TRS ',' Please ',' signal ',' region ',' repaired ',' signal ',' good ',' thank ',' love ']")</f>
        <v>['', 'Region', 'Setu', 'Bergangkeng', 'Housing', 'Bekasi', 'East', 'Regency', 'Sympathy', 'Signal', 'ugly', 'Error', 'TRS ',' Please ',' signal ',' region ',' repaired ',' signal ',' good ',' thank ',' love ']</v>
      </c>
      <c r="D1668" s="3">
        <v>1.0</v>
      </c>
    </row>
    <row r="1669" ht="15.75" customHeight="1">
      <c r="A1669" s="1">
        <v>1667.0</v>
      </c>
      <c r="B1669" s="3" t="s">
        <v>1670</v>
      </c>
      <c r="C1669" s="3" t="str">
        <f>IFERROR(__xludf.DUMMYFUNCTION("GOOGLETRANSLATE(B1669,""id"",""en"")"),"['user', 'loyal', 'Telkomsel', 'quality', 'downhill', 'price', 'pulse', 'package', 'internet', 'expensive', 'use', 'GB', ' Combo ',' Sakti ',' price ',' Rb ',' a month ',' forced ',' told ',' buy ',' package ',' GB ',' price ',' RB ',' Most ' , 'Doang', '"&amp;"']")</f>
        <v>['user', 'loyal', 'Telkomsel', 'quality', 'downhill', 'price', 'pulse', 'package', 'internet', 'expensive', 'use', 'GB', ' Combo ',' Sakti ',' price ',' Rb ',' a month ',' forced ',' told ',' buy ',' package ',' GB ',' price ',' RB ',' Most ' , 'Doang', '']</v>
      </c>
      <c r="D1669" s="3">
        <v>1.0</v>
      </c>
    </row>
    <row r="1670" ht="15.75" customHeight="1">
      <c r="A1670" s="1">
        <v>1668.0</v>
      </c>
      <c r="B1670" s="3" t="s">
        <v>1671</v>
      </c>
      <c r="C1670" s="3" t="str">
        <f>IFERROR(__xludf.DUMMYFUNCTION("GOOGLETRANSLATE(B1670,""id"",""en"")"),"['argues',' complaints', 'YHA', 'promo', 'interesting', 'Telkomsel', 'price', 'above', 'cheap', 'rb', 'survive', 'promo', ' Lost ',' family ',' friend ',' Makai ',' Telkomsel ',' Most ',' number ',' buy ',' prime ',' gini ',' already ',' make ',' card ' ]")</f>
        <v>['argues',' complaints', 'YHA', 'promo', 'interesting', 'Telkomsel', 'price', 'above', 'cheap', 'rb', 'survive', 'promo', ' Lost ',' family ',' friend ',' Makai ',' Telkomsel ',' Most ',' number ',' buy ',' prime ',' gini ',' already ',' make ',' card ' ]</v>
      </c>
      <c r="D1670" s="3">
        <v>3.0</v>
      </c>
    </row>
    <row r="1671" ht="15.75" customHeight="1">
      <c r="A1671" s="1">
        <v>1669.0</v>
      </c>
      <c r="B1671" s="3" t="s">
        <v>1672</v>
      </c>
      <c r="C1671" s="3" t="str">
        <f>IFERROR(__xludf.DUMMYFUNCTION("GOOGLETRANSLATE(B1671,""id"",""en"")"),"['application', 'help', 'in', 'choose', 'package', 'call', 'data', 'telkomsel', 'please', 'help', 'quality', 'network', ' The region ',' Shower ',' Silver ',' Hamlet ',' Subdistrict ',' Hamparan ',' Perak ',' Deli ',' Deli ',' Serdang ',' Network ',' Hard"&amp;" ',' Browsing ' , 'Dri', 'home', 'tower', 'network', 'attention', 'Say', 'Thank you', ""]")</f>
        <v>['application', 'help', 'in', 'choose', 'package', 'call', 'data', 'telkomsel', 'please', 'help', 'quality', 'network', ' The region ',' Shower ',' Silver ',' Hamlet ',' Subdistrict ',' Hamparan ',' Perak ',' Deli ',' Deli ',' Serdang ',' Network ',' Hard ',' Browsing ' , 'Dri', 'home', 'tower', 'network', 'attention', 'Say', 'Thank you', "]</v>
      </c>
      <c r="D1671" s="3">
        <v>5.0</v>
      </c>
    </row>
    <row r="1672" ht="15.75" customHeight="1">
      <c r="A1672" s="1">
        <v>1670.0</v>
      </c>
      <c r="B1672" s="3" t="s">
        <v>1673</v>
      </c>
      <c r="C1672" s="3" t="str">
        <f>IFERROR(__xludf.DUMMYFUNCTION("GOOGLETRANSLATE(B1672,""id"",""en"")"),"['Disappointed', 'Telkomsel', 'BBRAPA', 'Yesterday', 'Package', 'Unlimited', 'Limit', 'Quota', 'Signal', 'Direct', 'Melempem', 'Really' Open ',' App ',' ']")</f>
        <v>['Disappointed', 'Telkomsel', 'BBRAPA', 'Yesterday', 'Package', 'Unlimited', 'Limit', 'Quota', 'Signal', 'Direct', 'Melempem', 'Really' Open ',' App ',' ']</v>
      </c>
      <c r="D1672" s="3">
        <v>1.0</v>
      </c>
    </row>
    <row r="1673" ht="15.75" customHeight="1">
      <c r="A1673" s="1">
        <v>1671.0</v>
      </c>
      <c r="B1673" s="3" t="s">
        <v>1674</v>
      </c>
      <c r="C1673" s="3" t="str">
        <f>IFERROR(__xludf.DUMMYFUNCTION("GOOGLETRANSLATE(B1673,""id"",""en"")"),"['Disappointed', 'Error', 'Network', 'Open', 'APK', 'Telkomsel', 'Network', 'Good', 'Open', 'APK', 'Current', 'Current', ' Please ',' repaired ']")</f>
        <v>['Disappointed', 'Error', 'Network', 'Open', 'APK', 'Telkomsel', 'Network', 'Good', 'Open', 'APK', 'Current', 'Current', ' Please ',' repaired ']</v>
      </c>
      <c r="D1673" s="3">
        <v>1.0</v>
      </c>
    </row>
    <row r="1674" ht="15.75" customHeight="1">
      <c r="A1674" s="1">
        <v>1672.0</v>
      </c>
      <c r="B1674" s="3" t="s">
        <v>1675</v>
      </c>
      <c r="C1674" s="3" t="str">
        <f>IFERROR(__xludf.DUMMYFUNCTION("GOOGLETRANSLATE(B1674,""id"",""en"")"),"['Telkomsel', 'destroyed', 'already', 'expensive', 'customer', 'profit', 'pulse', 'used', 'lost', 'sumps',' worse ',' run out ',' fill in ',' pulse ',' rb ',' active ',' add ',' already ',' night ',' garbage ',' Telkomsel ',' auto ',' unreg ',' Telkomsel "&amp;"', ""]")</f>
        <v>['Telkomsel', 'destroyed', 'already', 'expensive', 'customer', 'profit', 'pulse', 'used', 'lost', 'sumps',' worse ',' run out ',' fill in ',' pulse ',' rb ',' active ',' add ',' already ',' night ',' garbage ',' Telkomsel ',' auto ',' unreg ',' Telkomsel ', "]</v>
      </c>
      <c r="D1674" s="3">
        <v>1.0</v>
      </c>
    </row>
    <row r="1675" ht="15.75" customHeight="1">
      <c r="A1675" s="1">
        <v>1673.0</v>
      </c>
      <c r="B1675" s="3" t="s">
        <v>1676</v>
      </c>
      <c r="C1675" s="3" t="str">
        <f>IFERROR(__xludf.DUMMYFUNCTION("GOOGLETRANSLATE(B1675,""id"",""en"")"),"['Package', 'unlimited', 'limit', 'error', 'how', 'yak', 'right', 'buy', 'package', 'rich', 'that's',' right ',' already ',' abis', 'package', 'main', 'access',' package ',' unlimited ',' please ',' clarity ',' rich ',' gini ',' loss', 'already' , 'buy', "&amp;"'got', 'Tipu', 'love', 'star', 'Telkomsel', 'already', 'mah', 'signal', 'slow']")</f>
        <v>['Package', 'unlimited', 'limit', 'error', 'how', 'yak', 'right', 'buy', 'package', 'rich', 'that's',' right ',' already ',' abis', 'package', 'main', 'access',' package ',' unlimited ',' please ',' clarity ',' rich ',' gini ',' loss', 'already' , 'buy', 'got', 'Tipu', 'love', 'star', 'Telkomsel', 'already', 'mah', 'signal', 'slow']</v>
      </c>
      <c r="D1675" s="3">
        <v>1.0</v>
      </c>
    </row>
    <row r="1676" ht="15.75" customHeight="1">
      <c r="A1676" s="1">
        <v>1674.0</v>
      </c>
      <c r="B1676" s="3" t="s">
        <v>1677</v>
      </c>
      <c r="C1676" s="3" t="str">
        <f>IFERROR(__xludf.DUMMYFUNCTION("GOOGLETRANSLATE(B1676,""id"",""en"")"),"['Telkomsel', 'Package', 'Unlimitedmax', 'limit', 'usage', 'Normal', 'UnlimitedMax', 'limit', 'usage', 'Normal', 'already', 'slow', ' open', '']")</f>
        <v>['Telkomsel', 'Package', 'Unlimitedmax', 'limit', 'usage', 'Normal', 'UnlimitedMax', 'limit', 'usage', 'Normal', 'already', 'slow', ' open', '']</v>
      </c>
      <c r="D1676" s="3">
        <v>1.0</v>
      </c>
    </row>
    <row r="1677" ht="15.75" customHeight="1">
      <c r="A1677" s="1">
        <v>1675.0</v>
      </c>
      <c r="B1677" s="3" t="s">
        <v>1678</v>
      </c>
      <c r="C1677" s="3" t="str">
        <f>IFERROR(__xludf.DUMMYFUNCTION("GOOGLETRANSLATE(B1677,""id"",""en"")"),"['please', 'package', 'unlimited', 'slow', 'smooth', 'open', 'sosmed', 'youtube', 'slow', 'network', 'good', 'please', ' Fix ',' already ',' package ',' smooth ',' ']")</f>
        <v>['please', 'package', 'unlimited', 'slow', 'smooth', 'open', 'sosmed', 'youtube', 'slow', 'network', 'good', 'please', ' Fix ',' already ',' package ',' smooth ',' ']</v>
      </c>
      <c r="D1677" s="3">
        <v>1.0</v>
      </c>
    </row>
    <row r="1678" ht="15.75" customHeight="1">
      <c r="A1678" s="1">
        <v>1676.0</v>
      </c>
      <c r="B1678" s="3" t="s">
        <v>1679</v>
      </c>
      <c r="C1678" s="3" t="str">
        <f>IFERROR(__xludf.DUMMYFUNCTION("GOOGLETRANSLATE(B1678,""id"",""en"")"),"['Good', 'easy', 'purchase', 'checks',' package ',' pulse ',' price ',' nny ',' customer ',' loyal ',' rich ',' udh ',' Years', 'use', 'Telkom', 'price', 'discount', 'BLI', 'SLUS', 'Price', 'Normal', ""]")</f>
        <v>['Good', 'easy', 'purchase', 'checks',' package ',' pulse ',' price ',' nny ',' customer ',' loyal ',' rich ',' udh ',' Years', 'use', 'Telkom', 'price', 'discount', 'BLI', 'SLUS', 'Price', 'Normal', "]</v>
      </c>
      <c r="D1678" s="3">
        <v>4.0</v>
      </c>
    </row>
    <row r="1679" ht="15.75" customHeight="1">
      <c r="A1679" s="1">
        <v>1677.0</v>
      </c>
      <c r="B1679" s="3" t="s">
        <v>1680</v>
      </c>
      <c r="C1679" s="3" t="str">
        <f>IFERROR(__xludf.DUMMYFUNCTION("GOOGLETRANSLATE(B1679,""id"",""en"")"),"['sorry', 'app', 'use', 'customer', 'loyal', 'tsel', 'look for', 'package', 'already', 'worth', 'buy', 'ot', ' burdened ',' luck ',' Buntun ',' bonus', 'daily', 'check', 'gapet', 'quota', 'survive', 'a week', 'fill', 'pulses' , 'Claim', 'bonus',' asked ',"&amp;"' Rupiah ',' fill in ',' pulse ',' nominal ',' direct ',' stuff ',' run out ',' pulse ',' turn on ',' data ',' cellular ',' home ',' already ',' home ']")</f>
        <v>['sorry', 'app', 'use', 'customer', 'loyal', 'tsel', 'look for', 'package', 'already', 'worth', 'buy', 'ot', ' burdened ',' luck ',' Buntun ',' bonus', 'daily', 'check', 'gapet', 'quota', 'survive', 'a week', 'fill', 'pulses' , 'Claim', 'bonus',' asked ',' Rupiah ',' fill in ',' pulse ',' nominal ',' direct ',' stuff ',' run out ',' pulse ',' turn on ',' data ',' cellular ',' home ',' already ',' home ']</v>
      </c>
      <c r="D1679" s="3">
        <v>1.0</v>
      </c>
    </row>
    <row r="1680" ht="15.75" customHeight="1">
      <c r="A1680" s="1">
        <v>1678.0</v>
      </c>
      <c r="B1680" s="3" t="s">
        <v>1681</v>
      </c>
      <c r="C1680" s="3" t="str">
        <f>IFERROR(__xludf.DUMMYFUNCTION("GOOGLETRANSLATE(B1680,""id"",""en"")"),"['application', 'help', 'transactions',' Telkomsel ',' makes it easy ',' purchase ',' package ',' Please ',' Increase ',' Lacking ',' Slow ',' Loading ',' Those ',' Thank you ',' Hopefully ',' Review ',' Helpful ',' User ',' ']")</f>
        <v>['application', 'help', 'transactions',' Telkomsel ',' makes it easy ',' purchase ',' package ',' Please ',' Increase ',' Lacking ',' Slow ',' Loading ',' Those ',' Thank you ',' Hopefully ',' Review ',' Helpful ',' User ',' ']</v>
      </c>
      <c r="D1680" s="3">
        <v>5.0</v>
      </c>
    </row>
    <row r="1681" ht="15.75" customHeight="1">
      <c r="A1681" s="1">
        <v>1679.0</v>
      </c>
      <c r="B1681" s="3" t="s">
        <v>1682</v>
      </c>
      <c r="C1681" s="3" t="str">
        <f>IFERROR(__xludf.DUMMYFUNCTION("GOOGLETRANSLATE(B1681,""id"",""en"")"),"['Disappointed', 'subscribe', 'Disney', 'Hotstar', 'Plus',' Delete ',' tired ',' tired ',' buy ',' number ',' registration ',' buy ',' pulses', 'disappointed', 'really']")</f>
        <v>['Disappointed', 'subscribe', 'Disney', 'Hotstar', 'Plus',' Delete ',' tired ',' tired ',' buy ',' number ',' registration ',' buy ',' pulses', 'disappointed', 'really']</v>
      </c>
      <c r="D1681" s="3">
        <v>1.0</v>
      </c>
    </row>
    <row r="1682" ht="15.75" customHeight="1">
      <c r="A1682" s="1">
        <v>1680.0</v>
      </c>
      <c r="B1682" s="3" t="s">
        <v>1683</v>
      </c>
      <c r="C1682" s="3" t="str">
        <f>IFERROR(__xludf.DUMMYFUNCTION("GOOGLETRANSLATE(B1682,""id"",""en"")"),"['Disappointed', 'Telkomsel', 'internet', 'Network', 'ugly', 'already', 'contents',' package ',' internet ',' times', 'ugly', 'Di Consed', ' SATUN ',' DIRECTION ',' April ',' Network ',' Already ',' Chat ',' Network ',' Good ',' Use ',' Kart ',' Manual ',"&amp;"' Square ',' already ' , 'Out', 'thousand', 'access', 'according to']")</f>
        <v>['Disappointed', 'Telkomsel', 'internet', 'Network', 'ugly', 'already', 'contents',' package ',' internet ',' times', 'ugly', 'Di Consed', ' SATUN ',' DIRECTION ',' April ',' Network ',' Already ',' Chat ',' Network ',' Good ',' Use ',' Kart ',' Manual ',' Square ',' already ' , 'Out', 'thousand', 'access', 'according to']</v>
      </c>
      <c r="D1682" s="3">
        <v>1.0</v>
      </c>
    </row>
    <row r="1683" ht="15.75" customHeight="1">
      <c r="A1683" s="1">
        <v>1681.0</v>
      </c>
      <c r="B1683" s="3" t="s">
        <v>1684</v>
      </c>
      <c r="C1683" s="3" t="str">
        <f>IFERROR(__xludf.DUMMYFUNCTION("GOOGLETRANSLATE(B1683,""id"",""en"")"),"['Lemot', 'paraaaaaaahhhh', 'center', 'city', 'Bandung', 'Please', 'repaired', 'if', 'no', 'connected', 'sms',' banking ',' Switch ',' Provider ',' Tuk ',' Internet ',' ']")</f>
        <v>['Lemot', 'paraaaaaaahhhh', 'center', 'city', 'Bandung', 'Please', 'repaired', 'if', 'no', 'connected', 'sms',' banking ',' Switch ',' Provider ',' Tuk ',' Internet ',' ']</v>
      </c>
      <c r="D1683" s="3">
        <v>1.0</v>
      </c>
    </row>
    <row r="1684" ht="15.75" customHeight="1">
      <c r="A1684" s="1">
        <v>1682.0</v>
      </c>
      <c r="B1684" s="3" t="s">
        <v>1685</v>
      </c>
      <c r="C1684" s="3" t="str">
        <f>IFERROR(__xludf.DUMMYFUNCTION("GOOGLETRANSLATE(B1684,""id"",""en"")"),"['NOT', 'EASY', 'Buy', 'Package', 'Data', 'Difficult', 'Open', 'Telkomsel', 'Warning', 'Signal', 'Setabil', 'Please', ' repair ']")</f>
        <v>['NOT', 'EASY', 'Buy', 'Package', 'Data', 'Difficult', 'Open', 'Telkomsel', 'Warning', 'Signal', 'Setabil', 'Please', ' repair ']</v>
      </c>
      <c r="D1684" s="3">
        <v>1.0</v>
      </c>
    </row>
    <row r="1685" ht="15.75" customHeight="1">
      <c r="A1685" s="1">
        <v>1683.0</v>
      </c>
      <c r="B1685" s="3" t="s">
        <v>1686</v>
      </c>
      <c r="C1685" s="3" t="str">
        <f>IFERROR(__xludf.DUMMYFUNCTION("GOOGLETRANSLATE(B1685,""id"",""en"")"),"['Bigsss',' The application ',' Min ',' Addin ',' Bonus', 'Quota', 'Weekly', 'That's',' Min ',' Betah ',' Use ',' Card ',' Telkomselnya ',' mooo ',' really ',' min ',' love ',' star ',' update ',' min ',' my apk ',' udh ',' good ', ""]")</f>
        <v>['Bigsss',' The application ',' Min ',' Addin ',' Bonus', 'Quota', 'Weekly', 'That's',' Min ',' Betah ',' Use ',' Card ',' Telkomselnya ',' mooo ',' really ',' min ',' love ',' star ',' update ',' min ',' my apk ',' udh ',' good ', "]</v>
      </c>
      <c r="D1685" s="3">
        <v>4.0</v>
      </c>
    </row>
    <row r="1686" ht="15.75" customHeight="1">
      <c r="A1686" s="1">
        <v>1684.0</v>
      </c>
      <c r="B1686" s="3" t="s">
        <v>1687</v>
      </c>
      <c r="C1686" s="3" t="str">
        <f>IFERROR(__xludf.DUMMYFUNCTION("GOOGLETRANSLATE(B1686,""id"",""en"")"),"['buy', 'package', 'buy', 'use', 'balance', 'shopee', 'Pay', 'package', 'error', 'keelempa', 'balance', 'shopee', ' Pay ',' missing ',' please ',' explanation ',' package ',' expensive ',' balanced ',' quality ',' service ', ""]")</f>
        <v>['buy', 'package', 'buy', 'use', 'balance', 'shopee', 'Pay', 'package', 'error', 'keelempa', 'balance', 'shopee', ' Pay ',' missing ',' please ',' explanation ',' package ',' expensive ',' balanced ',' quality ',' service ', "]</v>
      </c>
      <c r="D1686" s="3">
        <v>1.0</v>
      </c>
    </row>
    <row r="1687" ht="15.75" customHeight="1">
      <c r="A1687" s="1">
        <v>1685.0</v>
      </c>
      <c r="B1687" s="3" t="s">
        <v>1688</v>
      </c>
      <c r="C1687" s="3" t="str">
        <f>IFERROR(__xludf.DUMMYFUNCTION("GOOGLETRANSLATE(B1687,""id"",""en"")"),"['application', 'help', 'purchase', 'package', 'cheap', 'enthusiasts', 'destroyed', 'network', 'Telkomsel', 'user', 'comfortable', ""]")</f>
        <v>['application', 'help', 'purchase', 'package', 'cheap', 'enthusiasts', 'destroyed', 'network', 'Telkomsel', 'user', 'comfortable', "]</v>
      </c>
      <c r="D1687" s="3">
        <v>3.0</v>
      </c>
    </row>
    <row r="1688" ht="15.75" customHeight="1">
      <c r="A1688" s="1">
        <v>1686.0</v>
      </c>
      <c r="B1688" s="3" t="s">
        <v>1689</v>
      </c>
      <c r="C1688" s="3" t="str">
        <f>IFERROR(__xludf.DUMMYFUNCTION("GOOGLETRANSLATE(B1688,""id"",""en"")"),"['', 'application', 'slow', 'Bener', 'see', 'pulse', 'buy', 'package', 'loading', 'defecate', 'until', 'finished', 'Cebok ',' finished ',' signal ',' rural ',' speeding ',' please ',' updated ',' device ',' Samsung ',' galaxy ',' android ',' thank ',' lov"&amp;"e ', '']")</f>
        <v>['', 'application', 'slow', 'Bener', 'see', 'pulse', 'buy', 'package', 'loading', 'defecate', 'until', 'finished', 'Cebok ',' finished ',' signal ',' rural ',' speeding ',' please ',' updated ',' device ',' Samsung ',' galaxy ',' android ',' thank ',' love ', '']</v>
      </c>
      <c r="D1688" s="3">
        <v>2.0</v>
      </c>
    </row>
    <row r="1689" ht="15.75" customHeight="1">
      <c r="A1689" s="1">
        <v>1687.0</v>
      </c>
      <c r="B1689" s="3" t="s">
        <v>1690</v>
      </c>
      <c r="C1689" s="3" t="str">
        <f>IFERROR(__xludf.DUMMYFUNCTION("GOOGLETRANSLATE(B1689,""id"",""en"")"),"['Package', 'unlimited', 'unlimited', 'emang', 'unlimited', 'youtube', 'game', 'etc.', 'name', 'unlimited', 'kayak', 'quota', ' Abis', 'quota', 'just', 'open', 'mnding', 'unlimited', 'name']")</f>
        <v>['Package', 'unlimited', 'unlimited', 'emang', 'unlimited', 'youtube', 'game', 'etc.', 'name', 'unlimited', 'kayak', 'quota', ' Abis', 'quota', 'just', 'open', 'mnding', 'unlimited', 'name']</v>
      </c>
      <c r="D1689" s="3">
        <v>1.0</v>
      </c>
    </row>
    <row r="1690" ht="15.75" customHeight="1">
      <c r="A1690" s="1">
        <v>1688.0</v>
      </c>
      <c r="B1690" s="3" t="s">
        <v>1691</v>
      </c>
      <c r="C1690" s="3" t="str">
        <f>IFERROR(__xludf.DUMMYFUNCTION("GOOGLETRANSLATE(B1690,""id"",""en"")"),"['System', 'Error', 'Lost', 'Card', 'Sakti', 'Package', 'Package', 'Card', 'Sakti', 'Lost', 'Life', 'Life']")</f>
        <v>['System', 'Error', 'Lost', 'Card', 'Sakti', 'Package', 'Package', 'Card', 'Sakti', 'Lost', 'Life', 'Life']</v>
      </c>
      <c r="D1690" s="3">
        <v>3.0</v>
      </c>
    </row>
    <row r="1691" ht="15.75" customHeight="1">
      <c r="A1691" s="1">
        <v>1689.0</v>
      </c>
      <c r="B1691" s="3" t="s">
        <v>1692</v>
      </c>
      <c r="C1691" s="3" t="str">
        <f>IFERROR(__xludf.DUMMYFUNCTION("GOOGLETRANSLATE(B1691,""id"",""en"")"),"['guys',' serious', 'cave', 'location', 'citayam', 'bogor', 'signal', 'telkom', 'emang', 'good', 'rich', 'pulp', ' cave ',' udh ',' nnya ',' n ',' emang ',' pulp ',' cave ',' doang ',' cave ',' suggest ',' think ',' think ',' card ' , 'UDH', 'expensive', "&amp;"'signal', 'pulp', 'Different', 'rich', 'kenceng', 'cave', 'udh', 'call', 'times',' answer ',' improvement ',' network ',' until ',' a month ',' BERES ',' OK ',' ']")</f>
        <v>['guys',' serious', 'cave', 'location', 'citayam', 'bogor', 'signal', 'telkom', 'emang', 'good', 'rich', 'pulp', ' cave ',' udh ',' nnya ',' n ',' emang ',' pulp ',' cave ',' doang ',' cave ',' suggest ',' think ',' think ',' card ' , 'UDH', 'expensive', 'signal', 'pulp', 'Different', 'rich', 'kenceng', 'cave', 'udh', 'call', 'times',' answer ',' improvement ',' network ',' until ',' a month ',' BERES ',' OK ',' ']</v>
      </c>
      <c r="D1691" s="3">
        <v>1.0</v>
      </c>
    </row>
    <row r="1692" ht="15.75" customHeight="1">
      <c r="A1692" s="1">
        <v>1690.0</v>
      </c>
      <c r="B1692" s="3" t="s">
        <v>1693</v>
      </c>
      <c r="C1692" s="3" t="str">
        <f>IFERROR(__xludf.DUMMYFUNCTION("GOOGLETRANSLATE(B1692,""id"",""en"")"),"['The application', 'good', 'really', 'darling', 'open', 'application', 'in my place', 'signal', 'Telkomsel', 'speed', 'kb', 'second', ' Congratulations', 'Live', 'Card', 'Telkomselku', 'Beloved', 'Males',' Figure ',' Pulses', 'Dipake', 'Internet', 'Locat"&amp;"ion', 'Geding', 'Jatipuro' , 'Trucuk', 'Kab', 'Klaten', 'Java']")</f>
        <v>['The application', 'good', 'really', 'darling', 'open', 'application', 'in my place', 'signal', 'Telkomsel', 'speed', 'kb', 'second', ' Congratulations', 'Live', 'Card', 'Telkomselku', 'Beloved', 'Males',' Figure ',' Pulses', 'Dipake', 'Internet', 'Location', 'Geding', 'Jatipuro' , 'Trucuk', 'Kab', 'Klaten', 'Java']</v>
      </c>
      <c r="D1692" s="3">
        <v>1.0</v>
      </c>
    </row>
    <row r="1693" ht="15.75" customHeight="1">
      <c r="A1693" s="1">
        <v>1691.0</v>
      </c>
      <c r="B1693" s="3" t="s">
        <v>1694</v>
      </c>
      <c r="C1693" s="3" t="str">
        <f>IFERROR(__xludf.DUMMYFUNCTION("GOOGLETRANSLATE(B1693,""id"",""en"")"),"['born', 'cave', 'subscription', 'Telkomsel', 'please', 'maximum', 'network', 'ilang', 'special', 'area', 'urban', 'already', ' Price ',' Quality ',' ']")</f>
        <v>['born', 'cave', 'subscription', 'Telkomsel', 'please', 'maximum', 'network', 'ilang', 'special', 'area', 'urban', 'already', ' Price ',' Quality ',' ']</v>
      </c>
      <c r="D1693" s="3">
        <v>1.0</v>
      </c>
    </row>
    <row r="1694" ht="15.75" customHeight="1">
      <c r="A1694" s="1">
        <v>1692.0</v>
      </c>
      <c r="B1694" s="3" t="s">
        <v>1695</v>
      </c>
      <c r="C1694" s="3" t="str">
        <f>IFERROR(__xludf.DUMMYFUNCTION("GOOGLETRANSLATE(B1694,""id"",""en"")"),"['Please', 'Telkomsel', 'Region', 'Java', 'border', 'Javanese', 'West', 'Fix', 'oath', 'slow', 'really', 'already', ' Pesen ',' Unlimited ',' Kekeke ',' Gara ',' Gara ',' slow ',' really ',' card ',' sultan ',' gyma ',' please ',' fix ']")</f>
        <v>['Please', 'Telkomsel', 'Region', 'Java', 'border', 'Javanese', 'West', 'Fix', 'oath', 'slow', 'really', 'already', ' Pesen ',' Unlimited ',' Kekeke ',' Gara ',' Gara ',' slow ',' really ',' card ',' sultan ',' gyma ',' please ',' fix ']</v>
      </c>
      <c r="D1694" s="3">
        <v>1.0</v>
      </c>
    </row>
    <row r="1695" ht="15.75" customHeight="1">
      <c r="A1695" s="1">
        <v>1693.0</v>
      </c>
      <c r="B1695" s="3" t="s">
        <v>1696</v>
      </c>
      <c r="C1695" s="3" t="str">
        <f>IFERROR(__xludf.DUMMYFUNCTION("GOOGLETRANSLATE(B1695,""id"",""en"")"),"['cuman', 'doang', 'village', 'felt', 'network', 'Telkomsel', 'ugly', 'bangett', 'please', 'Telkomsel', 'please', 'Benerin', ' the network ',' Kasian ',' org ',' already ',' tired ',' save ',' buy ',' card ',' telkom ',' right ',' already ',' pairs', 'the"&amp;" network' , 'Hopefully', 'Review', 'Read', 'Telkom', '']")</f>
        <v>['cuman', 'doang', 'village', 'felt', 'network', 'Telkomsel', 'ugly', 'bangett', 'please', 'Telkomsel', 'please', 'Benerin', ' the network ',' Kasian ',' org ',' already ',' tired ',' save ',' buy ',' card ',' telkom ',' right ',' already ',' pairs', 'the network' , 'Hopefully', 'Review', 'Read', 'Telkom', '']</v>
      </c>
      <c r="D1695" s="3">
        <v>1.0</v>
      </c>
    </row>
    <row r="1696" ht="15.75" customHeight="1">
      <c r="A1696" s="1">
        <v>1694.0</v>
      </c>
      <c r="B1696" s="3" t="s">
        <v>1697</v>
      </c>
      <c r="C1696" s="3" t="str">
        <f>IFERROR(__xludf.DUMMYFUNCTION("GOOGLETRANSLATE(B1696,""id"",""en"")"),"['Unlimited', 'Max', 'No', 'Limitation', 'Quota', 'Application', 'Taunya', 'FUP', 'Dahlah', 'Change', 'Provider', 'Telkomsel', ' Asik', '']")</f>
        <v>['Unlimited', 'Max', 'No', 'Limitation', 'Quota', 'Application', 'Taunya', 'FUP', 'Dahlah', 'Change', 'Provider', 'Telkomsel', ' Asik', '']</v>
      </c>
      <c r="D1696" s="3">
        <v>1.0</v>
      </c>
    </row>
    <row r="1697" ht="15.75" customHeight="1">
      <c r="A1697" s="1">
        <v>1695.0</v>
      </c>
      <c r="B1697" s="3" t="s">
        <v>1698</v>
      </c>
      <c r="C1697" s="3" t="str">
        <f>IFERROR(__xludf.DUMMYFUNCTION("GOOGLETRANSLATE(B1697,""id"",""en"")"),"['Please', 'Fix', 'System', 'Loss',' Content ',' Credit ',' Telkomsel ',' Use ',' Method ',' Payment ',' Shopeepay ',' Disappointed ',' Telkomsel ']")</f>
        <v>['Please', 'Fix', 'System', 'Loss',' Content ',' Credit ',' Telkomsel ',' Use ',' Method ',' Payment ',' Shopeepay ',' Disappointed ',' Telkomsel ']</v>
      </c>
      <c r="D1697" s="3">
        <v>1.0</v>
      </c>
    </row>
    <row r="1698" ht="15.75" customHeight="1">
      <c r="A1698" s="1">
        <v>1696.0</v>
      </c>
      <c r="B1698" s="3" t="s">
        <v>1699</v>
      </c>
      <c r="C1698" s="3" t="str">
        <f>IFERROR(__xludf.DUMMYFUNCTION("GOOGLETRANSLATE(B1698,""id"",""en"")"),"['Unlimited', 'Chat', 'YouTube', 'Music', 'Game', 'YouTube', 'Buffering', 'Buffering', 'Chat', 'Ngeeleg', 'Game']")</f>
        <v>['Unlimited', 'Chat', 'YouTube', 'Music', 'Game', 'YouTube', 'Buffering', 'Buffering', 'Chat', 'Ngeeleg', 'Game']</v>
      </c>
      <c r="D1698" s="3">
        <v>1.0</v>
      </c>
    </row>
    <row r="1699" ht="15.75" customHeight="1">
      <c r="A1699" s="1">
        <v>1697.0</v>
      </c>
      <c r="B1699" s="3" t="s">
        <v>1700</v>
      </c>
      <c r="C1699" s="3" t="str">
        <f>IFERROR(__xludf.DUMMYFUNCTION("GOOGLETRANSLATE(B1699,""id"",""en"")"),"['Performance', 'Telkomsel', 'Decreases',' Lights', 'Dead', 'Signal', 'Direct', 'Lost', 'Package', 'Expensive', 'Lost', 'Provider', ' critical', '']")</f>
        <v>['Performance', 'Telkomsel', 'Decreases',' Lights', 'Dead', 'Signal', 'Direct', 'Lost', 'Package', 'Expensive', 'Lost', 'Provider', ' critical', '']</v>
      </c>
      <c r="D1699" s="3">
        <v>1.0</v>
      </c>
    </row>
    <row r="1700" ht="15.75" customHeight="1">
      <c r="A1700" s="1">
        <v>1698.0</v>
      </c>
      <c r="B1700" s="3" t="s">
        <v>1701</v>
      </c>
      <c r="C1700" s="3" t="str">
        <f>IFERROR(__xludf.DUMMYFUNCTION("GOOGLETRANSLATE(B1700,""id"",""en"")"),"['Honest', 'disappointed', 'network', 'error', 'error', 'expensive', 'expensive', 'quality', 'kek', 'that's',' rare ',' feel ',' Telkomsel ',' smooth ',' survive ',' lag ',' error ',' Conection ',' please ',' less', 'error', 'right', 'rain', 'rain', 'lag'"&amp;" , 'Nambah', 'Severe', '']")</f>
        <v>['Honest', 'disappointed', 'network', 'error', 'error', 'expensive', 'expensive', 'quality', 'kek', 'that's',' rare ',' feel ',' Telkomsel ',' smooth ',' survive ',' lag ',' error ',' Conection ',' please ',' less', 'error', 'right', 'rain', 'rain', 'lag' , 'Nambah', 'Severe', '']</v>
      </c>
      <c r="D1700" s="3">
        <v>1.0</v>
      </c>
    </row>
    <row r="1701" ht="15.75" customHeight="1">
      <c r="A1701" s="1">
        <v>1699.0</v>
      </c>
      <c r="B1701" s="3" t="s">
        <v>1702</v>
      </c>
      <c r="C1701" s="3" t="str">
        <f>IFERROR(__xludf.DUMMYFUNCTION("GOOGLETRANSLATE(B1701,""id"",""en"")"),"['Telkomsel', 'Sinyal', 'Severe', 'Dgedrop', 'Internet', 'Disconnect', 'Loading', 'Telkomsel', 'artisan', 'Rampok', 'pulse', 'quota', ' The internet ',' run out ',' credit ',' take ',' internet ',' stop ',' quota ',' run out ', ""]")</f>
        <v>['Telkomsel', 'Sinyal', 'Severe', 'Dgedrop', 'Internet', 'Disconnect', 'Loading', 'Telkomsel', 'artisan', 'Rampok', 'pulse', 'quota', ' The internet ',' run out ',' credit ',' take ',' internet ',' stop ',' quota ',' run out ', "]</v>
      </c>
      <c r="D1701" s="3">
        <v>1.0</v>
      </c>
    </row>
    <row r="1702" ht="15.75" customHeight="1">
      <c r="A1702" s="1">
        <v>1700.0</v>
      </c>
      <c r="B1702" s="3" t="s">
        <v>1703</v>
      </c>
      <c r="C1702" s="3" t="str">
        <f>IFERROR(__xludf.DUMMYFUNCTION("GOOGLETRANSLATE(B1702,""id"",""en"")"),"['ASIIK', 'Asiknya', 'SMS', 'Posting', 'Image', 'Appeal', 'Invite', 'Kritisan', 'Credit', 'Yawns',' Monggo ',' Manager ',' nguezaken ',' bid ',' pulse ',' price ',' interesting ',' duwit ',' no ',' already ',' dies', 'karenandak', 'buy', 'package', 'pulse"&amp;"' , 'give up', 'greetings']")</f>
        <v>['ASIIK', 'Asiknya', 'SMS', 'Posting', 'Image', 'Appeal', 'Invite', 'Kritisan', 'Credit', 'Yawns',' Monggo ',' Manager ',' nguezaken ',' bid ',' pulse ',' price ',' interesting ',' duwit ',' no ',' already ',' dies', 'karenandak', 'buy', 'package', 'pulse' , 'give up', 'greetings']</v>
      </c>
      <c r="D1702" s="3">
        <v>1.0</v>
      </c>
    </row>
    <row r="1703" ht="15.75" customHeight="1">
      <c r="A1703" s="1">
        <v>1701.0</v>
      </c>
      <c r="B1703" s="3" t="s">
        <v>1704</v>
      </c>
      <c r="C1703" s="3" t="str">
        <f>IFERROR(__xludf.DUMMYFUNCTION("GOOGLETRANSLATE(B1703,""id"",""en"")"),"['Network', 'Telkomsel', 'ugly', 'City', 'Padang', 'Region', 'Polresta', 'Padang', 'Please', 'Telkomsel', 'Connection', 'Network', ' Increase ',' Region ',' Polresta ',' Padang ',' Karna ',' Network ',' Ungk ',' Customer ',' Comfortable ',' Comfortable ',"&amp;"' Customer ',' Exider ',' Provider ' , 'Please', 'Increase', 'Connect', 'Very', 'Network', 'Polresta', 'Padang', 'Speed', 'Internet', 'Please', 'Increase', 'Accept', ' love']")</f>
        <v>['Network', 'Telkomsel', 'ugly', 'City', 'Padang', 'Region', 'Polresta', 'Padang', 'Please', 'Telkomsel', 'Connection', 'Network', ' Increase ',' Region ',' Polresta ',' Padang ',' Karna ',' Network ',' Ungk ',' Customer ',' Comfortable ',' Comfortable ',' Customer ',' Exider ',' Provider ' , 'Please', 'Increase', 'Connect', 'Very', 'Network', 'Polresta', 'Padang', 'Speed', 'Internet', 'Please', 'Increase', 'Accept', ' love']</v>
      </c>
      <c r="D1703" s="3">
        <v>5.0</v>
      </c>
    </row>
    <row r="1704" ht="15.75" customHeight="1">
      <c r="A1704" s="1">
        <v>1702.0</v>
      </c>
      <c r="B1704" s="3" t="s">
        <v>1705</v>
      </c>
      <c r="C1704" s="3" t="str">
        <f>IFERROR(__xludf.DUMMYFUNCTION("GOOGLETRANSLATE(B1704,""id"",""en"")"),"['UDH', 'contents',' package ',' GB ',' network ',' connection ',' bad ',' disappointing ',' like ',' network ',' sympathy ',' stable ',' ']")</f>
        <v>['UDH', 'contents',' package ',' GB ',' network ',' connection ',' bad ',' disappointing ',' like ',' network ',' sympathy ',' stable ',' ']</v>
      </c>
      <c r="D1704" s="3">
        <v>5.0</v>
      </c>
    </row>
    <row r="1705" ht="15.75" customHeight="1">
      <c r="A1705" s="1">
        <v>1703.0</v>
      </c>
      <c r="B1705" s="3" t="s">
        <v>1706</v>
      </c>
      <c r="C1705" s="3" t="str">
        <f>IFERROR(__xludf.DUMMYFUNCTION("GOOGLETRANSLATE(B1705,""id"",""en"")"),"['best-selling', 'Customer', 'crying', 'package', 'unlimited', 'restricted', 'sosmed', 'slow', 'game', 'stable', 'expensive', 'quality', ' Help ',' stingy ', ""]")</f>
        <v>['best-selling', 'Customer', 'crying', 'package', 'unlimited', 'restricted', 'sosmed', 'slow', 'game', 'stable', 'expensive', 'quality', ' Help ',' stingy ', "]</v>
      </c>
      <c r="D1705" s="3">
        <v>1.0</v>
      </c>
    </row>
    <row r="1706" ht="15.75" customHeight="1">
      <c r="A1706" s="1">
        <v>1704.0</v>
      </c>
      <c r="B1706" s="3" t="s">
        <v>1707</v>
      </c>
      <c r="C1706" s="3" t="str">
        <f>IFERROR(__xludf.DUMMYFUNCTION("GOOGLETRANSLATE(B1706,""id"",""en"")"),"['Please', 'Package', 'Unlimited', 'Gabisa', 'Dipake', 'PDHL', 'A Week', 'Buy', 'Data', 'Local', 'Out', 'Unlimited', ' pdhl ',' signal ',' delicious']")</f>
        <v>['Please', 'Package', 'Unlimited', 'Gabisa', 'Dipake', 'PDHL', 'A Week', 'Buy', 'Data', 'Local', 'Out', 'Unlimited', ' pdhl ',' signal ',' delicious']</v>
      </c>
      <c r="D1706" s="3">
        <v>1.0</v>
      </c>
    </row>
    <row r="1707" ht="15.75" customHeight="1">
      <c r="A1707" s="1">
        <v>1705.0</v>
      </c>
      <c r="B1707" s="3" t="s">
        <v>1708</v>
      </c>
      <c r="C1707" s="3" t="str">
        <f>IFERROR(__xludf.DUMMYFUNCTION("GOOGLETRANSLATE(B1707,""id"",""en"")"),"['Telkomsel', 'Network', 'bitch', 'I', 'quota', 'network', 'KEK', 'Benerin', 'network', 'price', 'expensive', 'network', ' Kintil ',' I ',' Telkomsel ',' Want ',' Current ',' Internet ',' Mending ',' GTU ',' Cheap ',' Telkomsel ',' already ',' expensive '"&amp;",' network ' , 'Kek', '']")</f>
        <v>['Telkomsel', 'Network', 'bitch', 'I', 'quota', 'network', 'KEK', 'Benerin', 'network', 'price', 'expensive', 'network', ' Kintil ',' I ',' Telkomsel ',' Want ',' Current ',' Internet ',' Mending ',' GTU ',' Cheap ',' Telkomsel ',' already ',' expensive ',' network ' , 'Kek', '']</v>
      </c>
      <c r="D1707" s="3">
        <v>1.0</v>
      </c>
    </row>
    <row r="1708" ht="15.75" customHeight="1">
      <c r="A1708" s="1">
        <v>1706.0</v>
      </c>
      <c r="B1708" s="3" t="s">
        <v>1709</v>
      </c>
      <c r="C1708" s="3" t="str">
        <f>IFERROR(__xludf.DUMMYFUNCTION("GOOGLETRANSLATE(B1708,""id"",""en"")"),"['oath', 'signal', 'internet', 'slow', 'severe', 'until', 'Sampe', 'chat', 'WhatsApp', 'open', 'Telkomsel', 'kaga', ' times', 'complaints',' Change ',' ']")</f>
        <v>['oath', 'signal', 'internet', 'slow', 'severe', 'until', 'Sampe', 'chat', 'WhatsApp', 'open', 'Telkomsel', 'kaga', ' times', 'complaints',' Change ',' ']</v>
      </c>
      <c r="D1708" s="3">
        <v>1.0</v>
      </c>
    </row>
    <row r="1709" ht="15.75" customHeight="1">
      <c r="A1709" s="1">
        <v>1707.0</v>
      </c>
      <c r="B1709" s="3" t="s">
        <v>1710</v>
      </c>
      <c r="C1709" s="3" t="str">
        <f>IFERROR(__xludf.DUMMYFUNCTION("GOOGLETRANSLATE(B1709,""id"",""en"")"),"['signal', 'full', 'open', 'application', 'slow', 'wait', 'already', 'repeat', 'time', 'uninstall', 'install', 'reset', ' Tetep ',' Gabisa ',' Increases', 'Shy', 'Shame', 'Provider', 'Expensive', 'Application', 'Cheap', '']")</f>
        <v>['signal', 'full', 'open', 'application', 'slow', 'wait', 'already', 'repeat', 'time', 'uninstall', 'install', 'reset', ' Tetep ',' Gabisa ',' Increases', 'Shy', 'Shame', 'Provider', 'Expensive', 'Application', 'Cheap', '']</v>
      </c>
      <c r="D1709" s="3">
        <v>1.0</v>
      </c>
    </row>
    <row r="1710" ht="15.75" customHeight="1">
      <c r="A1710" s="1">
        <v>1708.0</v>
      </c>
      <c r="B1710" s="3" t="s">
        <v>1711</v>
      </c>
      <c r="C1710" s="3" t="str">
        <f>IFERROR(__xludf.DUMMYFUNCTION("GOOGLETRANSLATE(B1710,""id"",""en"")"),"['comment', 'response', 'complaints',' Customer ',' signal ',' good ',' ad ',' veranda ',' according to ',' ad ',' ad ',' click ',' right ',' entry ',' recommendation ',' ad ',' please ',' response ',' try ',' curse ',' comment ',' complaint ',' respond '"&amp;", ""]")</f>
        <v>['comment', 'response', 'complaints',' Customer ',' signal ',' good ',' ad ',' veranda ',' according to ',' ad ',' ad ',' click ',' right ',' entry ',' recommendation ',' ad ',' please ',' response ',' try ',' curse ',' comment ',' complaint ',' respond ', "]</v>
      </c>
      <c r="D1710" s="3">
        <v>1.0</v>
      </c>
    </row>
    <row r="1711" ht="15.75" customHeight="1">
      <c r="A1711" s="1">
        <v>1709.0</v>
      </c>
      <c r="B1711" s="3" t="s">
        <v>1712</v>
      </c>
      <c r="C1711" s="3" t="str">
        <f>IFERROR(__xludf.DUMMYFUNCTION("GOOGLETRANSLATE(B1711,""id"",""en"")"),"['Please', 'pulse', 'Sumpot', 'Open', 'Application', 'MyTelkomsel', 'Kayak', 'Provider', 'Nyedot', 'Credit', 'Quota', 'Open', ' Application ',' Provider ',' Please ',' Telkomsel ',' Buy ',' Package ',' Kaga ',' Gara ',' Credit ',' Sumpot ']")</f>
        <v>['Please', 'pulse', 'Sumpot', 'Open', 'Application', 'MyTelkomsel', 'Kayak', 'Provider', 'Nyedot', 'Credit', 'Quota', 'Open', ' Application ',' Provider ',' Please ',' Telkomsel ',' Buy ',' Package ',' Kaga ',' Gara ',' Credit ',' Sumpot ']</v>
      </c>
      <c r="D1711" s="3">
        <v>1.0</v>
      </c>
    </row>
    <row r="1712" ht="15.75" customHeight="1">
      <c r="A1712" s="1">
        <v>1710.0</v>
      </c>
      <c r="B1712" s="3" t="s">
        <v>1713</v>
      </c>
      <c r="C1712" s="3" t="str">
        <f>IFERROR(__xludf.DUMMYFUNCTION("GOOGLETRANSLATE(B1712,""id"",""en"")"),"['buy', 'package', 'MyTelkomsel', 'for', 'RB', 'payment', 'shopeepay', 'balance', 'shopeepay', 'reduced', 'package', 'enter', ' Posts', 'payment', 'failed', 'please', 'try', 'my money', 'Rb', 'Where', ""]")</f>
        <v>['buy', 'package', 'MyTelkomsel', 'for', 'RB', 'payment', 'shopeepay', 'balance', 'shopeepay', 'reduced', 'package', 'enter', ' Posts', 'payment', 'failed', 'please', 'try', 'my money', 'Rb', 'Where', "]</v>
      </c>
      <c r="D1712" s="3">
        <v>1.0</v>
      </c>
    </row>
    <row r="1713" ht="15.75" customHeight="1">
      <c r="A1713" s="1">
        <v>1711.0</v>
      </c>
      <c r="B1713" s="3" t="s">
        <v>1714</v>
      </c>
      <c r="C1713" s="3" t="str">
        <f>IFERROR(__xludf.DUMMYFUNCTION("GOOGLETRANSLATE(B1713,""id"",""en"")"),"['please', 'Telkomsel', 'skrg', 'package', 'combo', 'unlimited', 'restricted', 'speed', 'kbps',' see ',' video ',' clock ',' Users', 'Tsel', 'Habits',' Telkomsel ',' PHPIN ',' Customers', 'at the same time', 'Customers',' UDH ',' Comfortable ',' Package '"&amp;",' Internet ',' Offered ' , 'Policy', 'Ngerugiin', 'consumers', 'consistent', 'really', 'fix', 'service', 'bad', ""]")</f>
        <v>['please', 'Telkomsel', 'skrg', 'package', 'combo', 'unlimited', 'restricted', 'speed', 'kbps',' see ',' video ',' clock ',' Users', 'Tsel', 'Habits',' Telkomsel ',' PHPIN ',' Customers', 'at the same time', 'Customers',' UDH ',' Comfortable ',' Package ',' Internet ',' Offered ' , 'Policy', 'Ngerugiin', 'consumers', 'consistent', 'really', 'fix', 'service', 'bad', "]</v>
      </c>
      <c r="D1713" s="3">
        <v>2.0</v>
      </c>
    </row>
    <row r="1714" ht="15.75" customHeight="1">
      <c r="A1714" s="1">
        <v>1712.0</v>
      </c>
      <c r="B1714" s="3" t="s">
        <v>1715</v>
      </c>
      <c r="C1714" s="3" t="str">
        <f>IFERROR(__xludf.DUMMYFUNCTION("GOOGLETRANSLATE(B1714,""id"",""en"")"),"['', 'automatic', 'hi', 'congratulations',' name ',' mita ',' ramadani ',' kak ',' sorry ',' delay ',' reply ',' chat ',' owner ',' account ',' lazy ',' typing ']")</f>
        <v>['', 'automatic', 'hi', 'congratulations',' name ',' mita ',' ramadani ',' kak ',' sorry ',' delay ',' reply ',' chat ',' owner ',' account ',' lazy ',' typing ']</v>
      </c>
      <c r="D1714" s="3">
        <v>5.0</v>
      </c>
    </row>
    <row r="1715" ht="15.75" customHeight="1">
      <c r="A1715" s="1">
        <v>1713.0</v>
      </c>
      <c r="B1715" s="3" t="s">
        <v>1716</v>
      </c>
      <c r="C1715" s="3" t="str">
        <f>IFERROR(__xludf.DUMMYFUNCTION("GOOGLETRANSLATE(B1715,""id"",""en"")"),"['halah', 'unlimited', 'tahiiiii', 'already', 'buy', 'expensive', 'boundary', 'usage', 'unlimited', 'feeling', 'mah', 'good', ' signal ',' smooth ',' package ',' unlimited ',' youtube ',' quota ',' main ',' abis', 'limit', 'use', 'bales',' woi ',' user ' "&amp;", 'Telkomsel', 'get "",' Kek ',' Gini ',' business ',' Develop ',' here ',' troublesome ',' consumers ',' direct ',' suggest ',' Telkomsel ',' Friends', 'Maap', 'njingg']")</f>
        <v>['halah', 'unlimited', 'tahiiiii', 'already', 'buy', 'expensive', 'boundary', 'usage', 'unlimited', 'feeling', 'mah', 'good', ' signal ',' smooth ',' package ',' unlimited ',' youtube ',' quota ',' main ',' abis', 'limit', 'use', 'bales',' woi ',' user ' , 'Telkomsel', 'get ",' Kek ',' Gini ',' business ',' Develop ',' here ',' troublesome ',' consumers ',' direct ',' suggest ',' Telkomsel ',' Friends', 'Maap', 'njingg']</v>
      </c>
      <c r="D1715" s="3">
        <v>1.0</v>
      </c>
    </row>
    <row r="1716" ht="15.75" customHeight="1">
      <c r="A1716" s="1">
        <v>1714.0</v>
      </c>
      <c r="B1716" s="3" t="s">
        <v>1717</v>
      </c>
      <c r="C1716" s="3" t="str">
        <f>IFERROR(__xludf.DUMMYFUNCTION("GOOGLETRANSLATE(B1716,""id"",""en"")"),"['Satisfied', 'really', 'Telkomsel', 'quota', 'sya', 'ehh', 'right', 'open', 'whatsapp', 'no', 'send', 'send', ' The message ',' then ',' Try ',' Open ',' Tiktok ',' Connection ',' Internet ',' Stable ',' Sampe ',' Until ',' Sya ',' buy ',' quota ' , 'ehh"&amp;"', 'severe', 'yaudah', 'sya', 'replace', 'card']")</f>
        <v>['Satisfied', 'really', 'Telkomsel', 'quota', 'sya', 'ehh', 'right', 'open', 'whatsapp', 'no', 'send', 'send', ' The message ',' then ',' Try ',' Open ',' Tiktok ',' Connection ',' Internet ',' Stable ',' Sampe ',' Until ',' Sya ',' buy ',' quota ' , 'ehh', 'severe', 'yaudah', 'sya', 'replace', 'card']</v>
      </c>
      <c r="D1716" s="3">
        <v>1.0</v>
      </c>
    </row>
    <row r="1717" ht="15.75" customHeight="1">
      <c r="A1717" s="1">
        <v>1715.0</v>
      </c>
      <c r="B1717" s="3" t="s">
        <v>1718</v>
      </c>
      <c r="C1717" s="3" t="str">
        <f>IFERROR(__xludf.DUMMYFUNCTION("GOOGLETRANSLATE(B1717,""id"",""en"")"),"['connection', 'quality', 'use', 'good', 'poor', 'play', 'game', 'online', 'signal', 'brought', 'where', 'connection', ' Quality ',' closed ',' operator ',' country ',' enter ',' Indonesia ', ""]")</f>
        <v>['connection', 'quality', 'use', 'good', 'poor', 'play', 'game', 'online', 'signal', 'brought', 'where', 'connection', ' Quality ',' closed ',' operator ',' country ',' enter ',' Indonesia ', "]</v>
      </c>
      <c r="D1717" s="3">
        <v>1.0</v>
      </c>
    </row>
    <row r="1718" ht="15.75" customHeight="1">
      <c r="A1718" s="1">
        <v>1716.0</v>
      </c>
      <c r="B1718" s="3" t="s">
        <v>1719</v>
      </c>
      <c r="C1718" s="3" t="str">
        <f>IFERROR(__xludf.DUMMYFUNCTION("GOOGLETRANSLATE(B1718,""id"",""en"")"),"['Please', 'admin', 'fix', 'the application', 'loss',' pulse ',' stobs', 'pulses',' pulse ',' buy ',' package ',' learn ',' LIKE ',' pulse ',' missing ',' pohon ',' with ',' danger ',' Motheru ',' fix ',' the application ',' corruption ']")</f>
        <v>['Please', 'admin', 'fix', 'the application', 'loss',' pulse ',' stobs', 'pulses',' pulse ',' buy ',' package ',' learn ',' LIKE ',' pulse ',' missing ',' pohon ',' with ',' danger ',' Motheru ',' fix ',' the application ',' corruption ']</v>
      </c>
      <c r="D1718" s="3">
        <v>1.0</v>
      </c>
    </row>
    <row r="1719" ht="15.75" customHeight="1">
      <c r="A1719" s="1">
        <v>1717.0</v>
      </c>
      <c r="B1719" s="3" t="s">
        <v>1720</v>
      </c>
      <c r="C1719" s="3" t="str">
        <f>IFERROR(__xludf.DUMMYFUNCTION("GOOGLETRANSLATE(B1719,""id"",""en"")"),"['Please', 'noticed', 'the application', 'error', 'as soon as possible,' repaired ',' Kasian ',' user ',' cook ',' right ',' open ',' error ',' internet ',' network ',' good ',' many ',' times', 'loaded', 'reset', 'appears',' display ',' menu ',' kek ',' "&amp;"please ',' wise ' , 'little', 'developer', 'eat', 'money', 'results', 'download', '']")</f>
        <v>['Please', 'noticed', 'the application', 'error', 'as soon as possible,' repaired ',' Kasian ',' user ',' cook ',' right ',' open ',' error ',' internet ',' network ',' good ',' many ',' times', 'loaded', 'reset', 'appears',' display ',' menu ',' kek ',' please ',' wise ' , 'little', 'developer', 'eat', 'money', 'results', 'download', '']</v>
      </c>
      <c r="D1719" s="3">
        <v>1.0</v>
      </c>
    </row>
    <row r="1720" ht="15.75" customHeight="1">
      <c r="A1720" s="1">
        <v>1718.0</v>
      </c>
      <c r="B1720" s="3" t="s">
        <v>1721</v>
      </c>
      <c r="C1720" s="3" t="str">
        <f>IFERROR(__xludf.DUMMYFUNCTION("GOOGLETRANSLATE(B1720,""id"",""en"")"),"['Enter', 'Application', 'Sometimes',' Like ',' Login ',' Reset ',' Bug ',' Process', 'What's',' Development ',' Simple ',' Fast ',' Following ',' Era ',' Customer ']")</f>
        <v>['Enter', 'Application', 'Sometimes',' Like ',' Login ',' Reset ',' Bug ',' Process', 'What's',' Development ',' Simple ',' Fast ',' Following ',' Era ',' Customer ']</v>
      </c>
      <c r="D1720" s="3">
        <v>4.0</v>
      </c>
    </row>
    <row r="1721" ht="15.75" customHeight="1">
      <c r="A1721" s="1">
        <v>1719.0</v>
      </c>
      <c r="B1721" s="3" t="s">
        <v>1722</v>
      </c>
      <c r="C1721" s="3" t="str">
        <f>IFERROR(__xludf.DUMMYFUNCTION("GOOGLETRANSLATE(B1721,""id"",""en"")"),"['disappointed', 'Telkomsel', 'package', 'expensive', 'comparable', 'network', 'feel', 'times',' kecera ',' location ',' city ',' network ',' Bad ',' Sosmed ',' Game ',' YouTube ',' Etc. ',' ']")</f>
        <v>['disappointed', 'Telkomsel', 'package', 'expensive', 'comparable', 'network', 'feel', 'times',' kecera ',' location ',' city ',' network ',' Bad ',' Sosmed ',' Game ',' YouTube ',' Etc. ',' ']</v>
      </c>
      <c r="D1721" s="3">
        <v>1.0</v>
      </c>
    </row>
    <row r="1722" ht="15.75" customHeight="1">
      <c r="A1722" s="1">
        <v>1720.0</v>
      </c>
      <c r="B1722" s="3" t="s">
        <v>1723</v>
      </c>
      <c r="C1722" s="3" t="str">
        <f>IFERROR(__xludf.DUMMYFUNCTION("GOOGLETRANSLATE(B1722,""id"",""en"")"),"['network', 'slow', 'difficult', 'access',' application ',' return ',' package ',' unlimited ',' Telkomsel ',' FUP ',' unlimited ',' Fup ',' Liar ',' name ',' ']")</f>
        <v>['network', 'slow', 'difficult', 'access',' application ',' return ',' package ',' unlimited ',' Telkomsel ',' FUP ',' unlimited ',' Fup ',' Liar ',' name ',' ']</v>
      </c>
      <c r="D1722" s="3">
        <v>1.0</v>
      </c>
    </row>
    <row r="1723" ht="15.75" customHeight="1">
      <c r="A1723" s="1">
        <v>1721.0</v>
      </c>
      <c r="B1723" s="3" t="s">
        <v>1724</v>
      </c>
      <c r="C1723" s="3" t="str">
        <f>IFERROR(__xludf.DUMMYFUNCTION("GOOGLETRANSLATE(B1723,""id"",""en"")"),"['Defend', 'Increase', 'Quality', 'Signal', 'Provide', 'Price', 'Credit', 'Quota', 'Cheap', 'Retired', 'Elderly', 'Accept', ' love']")</f>
        <v>['Defend', 'Increase', 'Quality', 'Signal', 'Provide', 'Price', 'Credit', 'Quota', 'Cheap', 'Retired', 'Elderly', 'Accept', ' love']</v>
      </c>
      <c r="D1723" s="3">
        <v>4.0</v>
      </c>
    </row>
    <row r="1724" ht="15.75" customHeight="1">
      <c r="A1724" s="1">
        <v>1722.0</v>
      </c>
      <c r="B1724" s="3" t="s">
        <v>1725</v>
      </c>
      <c r="C1724" s="3" t="str">
        <f>IFERROR(__xludf.DUMMYFUNCTION("GOOGLETRANSLATE(B1724,""id"",""en"")"),"['The applications',' slow ',' Features', 'Browse', 'Package', 'Show', 'Package', 'Internet', 'User', 'Telkomsel', 'Mandatory', 'Install', ' It's good, 'people', 'Telkomsel', 'salary', 'Gede', 'TPI', 'service', 'product', 'garbage', 'plus', 'the network',"&amp;" 'in the city', 'slow' , 'Telkomsel', 'advantages', ""]")</f>
        <v>['The applications',' slow ',' Features', 'Browse', 'Package', 'Show', 'Package', 'Internet', 'User', 'Telkomsel', 'Mandatory', 'Install', ' It's good, 'people', 'Telkomsel', 'salary', 'Gede', 'TPI', 'service', 'product', 'garbage', 'plus', 'the network', 'in the city', 'slow' , 'Telkomsel', 'advantages', "]</v>
      </c>
      <c r="D1724" s="3">
        <v>1.0</v>
      </c>
    </row>
    <row r="1725" ht="15.75" customHeight="1">
      <c r="A1725" s="1">
        <v>1723.0</v>
      </c>
      <c r="B1725" s="3" t="s">
        <v>1726</v>
      </c>
      <c r="C1725" s="3" t="str">
        <f>IFERROR(__xludf.DUMMYFUNCTION("GOOGLETRANSLATE(B1725,""id"",""en"")"),"['Telkomsel', 'Network', 'Leet', 'Bener', 'Famous',' Network ',' Best ',' Price ',' Expensive ',' Sepandan ',' Network ',' Disappointed ',' network']")</f>
        <v>['Telkomsel', 'Network', 'Leet', 'Bener', 'Famous',' Network ',' Best ',' Price ',' Expensive ',' Sepandan ',' Network ',' Disappointed ',' network']</v>
      </c>
      <c r="D1725" s="3">
        <v>1.0</v>
      </c>
    </row>
    <row r="1726" ht="15.75" customHeight="1">
      <c r="A1726" s="1">
        <v>1724.0</v>
      </c>
      <c r="B1726" s="3" t="s">
        <v>1727</v>
      </c>
      <c r="C1726" s="3" t="str">
        <f>IFERROR(__xludf.DUMMYFUNCTION("GOOGLETRANSLATE(B1726,""id"",""en"")"),"['Yesterday', 'Date', 'Clock', 'Buy', 'Package', 'Combo', 'Sakti', 'Unlimited', 'GB', 'Price', 'Payment', 'Shopeepay', ' balance ',' Shopeepay ',' reduced ',' according to ',' price ',' notification ',' shopee ',' managed ',' package ',' combo ',' Sakti '"&amp;",' unlimited ',' buy ' , 'Belom', 'entered', 'shopee', 'shopee', 'Telkomsel', 'Belom', 'action', 'Telkomsel', 'Veronika', 'improvement', 'system', 'service', ' Try ',' as soon as possible ',' ']")</f>
        <v>['Yesterday', 'Date', 'Clock', 'Buy', 'Package', 'Combo', 'Sakti', 'Unlimited', 'GB', 'Price', 'Payment', 'Shopeepay', ' balance ',' Shopeepay ',' reduced ',' according to ',' price ',' notification ',' shopee ',' managed ',' package ',' combo ',' Sakti ',' unlimited ',' buy ' , 'Belom', 'entered', 'shopee', 'shopee', 'Telkomsel', 'Belom', 'action', 'Telkomsel', 'Veronika', 'improvement', 'system', 'service', ' Try ',' as soon as possible ',' ']</v>
      </c>
      <c r="D1726" s="3">
        <v>1.0</v>
      </c>
    </row>
    <row r="1727" ht="15.75" customHeight="1">
      <c r="A1727" s="1">
        <v>1725.0</v>
      </c>
      <c r="B1727" s="3" t="s">
        <v>1728</v>
      </c>
      <c r="C1727" s="3" t="str">
        <f>IFERROR(__xludf.DUMMYFUNCTION("GOOGLETRANSLATE(B1727,""id"",""en"")"),"['Gajelas',' COK ',' Telkomsel ',' already ',' buy ',' pulse ',' turn ',' package ',' gabisa ',' taunya ',' check ',' pulse ',' Already ',' Cut ',' Please ',' Benerin ',' Operator ',' Ngecewain ',' User ',' Telkomsel ',' Bosen ',' Gini ',' Mulu ']")</f>
        <v>['Gajelas',' COK ',' Telkomsel ',' already ',' buy ',' pulse ',' turn ',' package ',' gabisa ',' taunya ',' check ',' pulse ',' Already ',' Cut ',' Please ',' Benerin ',' Operator ',' Ngecewain ',' User ',' Telkomsel ',' Bosen ',' Gini ',' Mulu ']</v>
      </c>
      <c r="D1727" s="3">
        <v>1.0</v>
      </c>
    </row>
    <row r="1728" ht="15.75" customHeight="1">
      <c r="A1728" s="1">
        <v>1726.0</v>
      </c>
      <c r="B1728" s="3" t="s">
        <v>1729</v>
      </c>
      <c r="C1728" s="3" t="str">
        <f>IFERROR(__xludf.DUMMYFUNCTION("GOOGLETRANSLATE(B1728,""id"",""en"")"),"['connection', 'internet', 'slow', 'really', 'please', 'body', 'signal', 'service', 'please', 'fix', 'fast', 'already', ' rooftile']")</f>
        <v>['connection', 'internet', 'slow', 'really', 'please', 'body', 'signal', 'service', 'please', 'fix', 'fast', 'already', ' rooftile']</v>
      </c>
      <c r="D1728" s="3">
        <v>1.0</v>
      </c>
    </row>
    <row r="1729" ht="15.75" customHeight="1">
      <c r="A1729" s="1">
        <v>1727.0</v>
      </c>
      <c r="B1729" s="3" t="s">
        <v>1730</v>
      </c>
      <c r="C1729" s="3" t="str">
        <f>IFERROR(__xludf.DUMMYFUNCTION("GOOGLETRANSLATE(B1729,""id"",""en"")"),"['Signal', 'Telkomsel', 'Difficult', 'Getted', 'Video', 'Call', 'Disconnect', 'Open', 'Mensos',' Play ',' Weve ',' Delicious', ' Direct ',' log ',' TPI ',' dizziness', 'purposes',' sudden ',' disappointing ',' hopefully ',' fast ',' dizziness', ""]")</f>
        <v>['Signal', 'Telkomsel', 'Difficult', 'Getted', 'Video', 'Call', 'Disconnect', 'Open', 'Mensos',' Play ',' Weve ',' Delicious', ' Direct ',' log ',' TPI ',' dizziness', 'purposes',' sudden ',' disappointing ',' hopefully ',' fast ',' dizziness', "]</v>
      </c>
      <c r="D1729" s="3">
        <v>4.0</v>
      </c>
    </row>
    <row r="1730" ht="15.75" customHeight="1">
      <c r="A1730" s="1">
        <v>1728.0</v>
      </c>
      <c r="B1730" s="3" t="s">
        <v>1731</v>
      </c>
      <c r="C1730" s="3" t="str">
        <f>IFERROR(__xludf.DUMMYFUNCTION("GOOGLETRANSLATE(B1730,""id"",""en"")"),"['Telkomsel', 'only', 'Profaidi', 'Best', 'Sarana', 'Infrastructure', 'Internet', 'Communication', 'Community', 'Indonesia', 'Personal', 'Hopefully', ' Telkomsel ',' Success', 'in the future']")</f>
        <v>['Telkomsel', 'only', 'Profaidi', 'Best', 'Sarana', 'Infrastructure', 'Internet', 'Communication', 'Community', 'Indonesia', 'Personal', 'Hopefully', ' Telkomsel ',' Success', 'in the future']</v>
      </c>
      <c r="D1730" s="3">
        <v>5.0</v>
      </c>
    </row>
    <row r="1731" ht="15.75" customHeight="1">
      <c r="A1731" s="1">
        <v>1729.0</v>
      </c>
      <c r="B1731" s="3" t="s">
        <v>1732</v>
      </c>
      <c r="C1731" s="3" t="str">
        <f>IFERROR(__xludf.DUMMYFUNCTION("GOOGLETRANSLATE(B1731,""id"",""en"")"),"['please', 'statue', 'price', 'thousand', 'rupiah', 'buy', 'package', 'data', 'low', 'end', 'person', 'person', ' difficulties', 'fill in', 'pulses',' just ',' thousand ',' ']")</f>
        <v>['please', 'statue', 'price', 'thousand', 'rupiah', 'buy', 'package', 'data', 'low', 'end', 'person', 'person', ' difficulties', 'fill in', 'pulses',' just ',' thousand ',' ']</v>
      </c>
      <c r="D1731" s="3">
        <v>1.0</v>
      </c>
    </row>
    <row r="1732" ht="15.75" customHeight="1">
      <c r="A1732" s="1">
        <v>1730.0</v>
      </c>
      <c r="B1732" s="3" t="s">
        <v>1733</v>
      </c>
      <c r="C1732" s="3" t="str">
        <f>IFERROR(__xludf.DUMMYFUNCTION("GOOGLETRANSLATE(B1732,""id"",""en"")"),"['confused', 'fill', 'pulse', 'fill out', 'quota', 'package', 'data', 'package', 'internet', 'GB', 'clock', 'WIB', ' Presidential ',' via ',' SMS ',' Promo ',' What's', '']")</f>
        <v>['confused', 'fill', 'pulse', 'fill out', 'quota', 'package', 'data', 'package', 'internet', 'GB', 'clock', 'WIB', ' Presidential ',' via ',' SMS ',' Promo ',' What's', '']</v>
      </c>
      <c r="D1732" s="3">
        <v>5.0</v>
      </c>
    </row>
    <row r="1733" ht="15.75" customHeight="1">
      <c r="A1733" s="1">
        <v>1731.0</v>
      </c>
      <c r="B1733" s="3" t="s">
        <v>1734</v>
      </c>
      <c r="C1733" s="3" t="str">
        <f>IFERROR(__xludf.DUMMYFUNCTION("GOOGLETRANSLATE(B1733,""id"",""en"")"),"['buy', 'package', 'unlimited', 'speed', 'stable', 'feature', 'unlimited', 'slow', 'severe', 'please', 'repair', ""]")</f>
        <v>['buy', 'package', 'unlimited', 'speed', 'stable', 'feature', 'unlimited', 'slow', 'severe', 'please', 'repair', "]</v>
      </c>
      <c r="D1733" s="3">
        <v>1.0</v>
      </c>
    </row>
    <row r="1734" ht="15.75" customHeight="1">
      <c r="A1734" s="1">
        <v>1732.0</v>
      </c>
      <c r="B1734" s="3" t="s">
        <v>1735</v>
      </c>
      <c r="C1734" s="3" t="str">
        <f>IFERROR(__xludf.DUMMYFUNCTION("GOOGLETRANSLATE(B1734,""id"",""en"")"),"['Package', 'unlimited', 'sekrang', 'already', 'batsel', 'regret', 'sekrang', 'already', 'slow', 'really', 'please', 'driven', ' replace ',' want ',' move ',' card ']")</f>
        <v>['Package', 'unlimited', 'sekrang', 'already', 'batsel', 'regret', 'sekrang', 'already', 'slow', 'really', 'please', 'driven', ' replace ',' want ',' move ',' card ']</v>
      </c>
      <c r="D1734" s="3">
        <v>1.0</v>
      </c>
    </row>
    <row r="1735" ht="15.75" customHeight="1">
      <c r="A1735" s="1">
        <v>1733.0</v>
      </c>
      <c r="B1735" s="3" t="s">
        <v>1736</v>
      </c>
      <c r="C1735" s="3" t="str">
        <f>IFERROR(__xludf.DUMMYFUNCTION("GOOGLETRANSLATE(B1735,""id"",""en"")"),"['price', 'package', 'night', 'a week', 'pulse', 'raised', 'price', 'users',' Telkomsel ',' comfortable ',' price ',' package ',' night ',' a week ',' price ',' please ',' Telkomsel ',' user ',' card ',' telkomsel ',' squeeze ',' sorry ',' smooth ',' comf"&amp;"ortable ',' comment ' , '']")</f>
        <v>['price', 'package', 'night', 'a week', 'pulse', 'raised', 'price', 'users',' Telkomsel ',' comfortable ',' price ',' package ',' night ',' a week ',' price ',' please ',' Telkomsel ',' user ',' card ',' telkomsel ',' squeeze ',' sorry ',' smooth ',' comfortable ',' comment ' , '']</v>
      </c>
      <c r="D1735" s="3">
        <v>3.0</v>
      </c>
    </row>
    <row r="1736" ht="15.75" customHeight="1">
      <c r="A1736" s="1">
        <v>1734.0</v>
      </c>
      <c r="B1736" s="3" t="s">
        <v>1737</v>
      </c>
      <c r="C1736" s="3" t="str">
        <f>IFERROR(__xludf.DUMMYFUNCTION("GOOGLETRANSLATE(B1736,""id"",""en"")"),"['Contents',' pulses', 'Kededot', 'intentionally', 'live', 'data', 'seconds',' credit ',' direct ',' reduced ',' contents', 'pulses',' The next day ',' reduced ',' no ',' life ',' data ',' operator ',' number ',' garbage ',' really ',' Telkomnyet ', ""]")</f>
        <v>['Contents',' pulses', 'Kededot', 'intentionally', 'live', 'data', 'seconds',' credit ',' direct ',' reduced ',' contents', 'pulses',' The next day ',' reduced ',' no ',' life ',' data ',' operator ',' number ',' garbage ',' really ',' Telkomnyet ', "]</v>
      </c>
      <c r="D1736" s="3">
        <v>3.0</v>
      </c>
    </row>
    <row r="1737" ht="15.75" customHeight="1">
      <c r="A1737" s="1">
        <v>1735.0</v>
      </c>
      <c r="B1737" s="3" t="s">
        <v>1738</v>
      </c>
      <c r="C1737" s="3" t="str">
        <f>IFERROR(__xludf.DUMMYFUNCTION("GOOGLETRANSLATE(B1737,""id"",""en"")"),"['already', 'buy', 'quota', 'night', 'used', 'right', 'clock', 'sucked', 'pulse', 'how', 'Telkomsel', 'severe', ' ']")</f>
        <v>['already', 'buy', 'quota', 'night', 'used', 'right', 'clock', 'sucked', 'pulse', 'how', 'Telkomsel', 'severe', ' ']</v>
      </c>
      <c r="D1737" s="3">
        <v>1.0</v>
      </c>
    </row>
    <row r="1738" ht="15.75" customHeight="1">
      <c r="A1738" s="1">
        <v>1736.0</v>
      </c>
      <c r="B1738" s="3" t="s">
        <v>1739</v>
      </c>
      <c r="C1738" s="3" t="str">
        <f>IFERROR(__xludf.DUMMYFUNCTION("GOOGLETRANSLATE(B1738,""id"",""en"")"),"['Hopefully', 'sympathy', 'price', 'friendly', 'bags', 'service', 'downhill', 'maintained', 'quality', 'service', 'network', '']")</f>
        <v>['Hopefully', 'sympathy', 'price', 'friendly', 'bags', 'service', 'downhill', 'maintained', 'quality', 'service', 'network', '']</v>
      </c>
      <c r="D1738" s="3">
        <v>5.0</v>
      </c>
    </row>
    <row r="1739" ht="15.75" customHeight="1">
      <c r="A1739" s="1">
        <v>1737.0</v>
      </c>
      <c r="B1739" s="3" t="s">
        <v>1740</v>
      </c>
      <c r="C1739" s="3" t="str">
        <f>IFERROR(__xludf.DUMMYFUNCTION("GOOGLETRANSLATE(B1739,""id"",""en"")"),"['Please', 'Open', 'Application', 'Yesterday', 'Internet', 'Stable', 'Network', 'Safe', ""]")</f>
        <v>['Please', 'Open', 'Application', 'Yesterday', 'Internet', 'Stable', 'Network', 'Safe', "]</v>
      </c>
      <c r="D1739" s="3">
        <v>2.0</v>
      </c>
    </row>
    <row r="1740" ht="15.75" customHeight="1">
      <c r="A1740" s="1">
        <v>1738.0</v>
      </c>
      <c r="B1740" s="3" t="s">
        <v>1741</v>
      </c>
      <c r="C1740" s="3" t="str">
        <f>IFERROR(__xludf.DUMMYFUNCTION("GOOGLETRANSLATE(B1740,""id"",""en"")"),"['Package', 'Combo', 'Sakti', 'Different', 'Combo', 'Sakti', 'Child', 'Package', 'Rp', 'Says',' Says', 'Combo', ' The sact ',' member ',' GOLD ',' ']")</f>
        <v>['Package', 'Combo', 'Sakti', 'Different', 'Combo', 'Sakti', 'Child', 'Package', 'Rp', 'Says',' Says', 'Combo', ' The sact ',' member ',' GOLD ',' ']</v>
      </c>
      <c r="D1740" s="3">
        <v>4.0</v>
      </c>
    </row>
    <row r="1741" ht="15.75" customHeight="1">
      <c r="A1741" s="1">
        <v>1739.0</v>
      </c>
      <c r="B1741" s="3" t="s">
        <v>1742</v>
      </c>
      <c r="C1741" s="3" t="str">
        <f>IFERROR(__xludf.DUMMYFUNCTION("GOOGLETRANSLATE(B1741,""id"",""en"")"),"['application', 'good', 'package', 'cheap', 'sseperti', 'customer', 'use', 'nomer', 'cheap', 'package', 'already', 'expensive', ' Ride in ',' Price ',' Salut ', ""]")</f>
        <v>['application', 'good', 'package', 'cheap', 'sseperti', 'customer', 'use', 'nomer', 'cheap', 'package', 'already', 'expensive', ' Ride in ',' Price ',' Salut ', "]</v>
      </c>
      <c r="D1741" s="3">
        <v>1.0</v>
      </c>
    </row>
    <row r="1742" ht="15.75" customHeight="1">
      <c r="A1742" s="1">
        <v>1740.0</v>
      </c>
      <c r="B1742" s="3" t="s">
        <v>1743</v>
      </c>
      <c r="C1742" s="3" t="str">
        <f>IFERROR(__xludf.DUMMYFUNCTION("GOOGLETRANSLATE(B1742,""id"",""en"")"),"['', 'star', 'enter', 'application', 'verification', 'number', 'verification', 'koplak', ""]")</f>
        <v>['', 'star', 'enter', 'application', 'verification', 'number', 'verification', 'koplak', "]</v>
      </c>
      <c r="D1742" s="3">
        <v>1.0</v>
      </c>
    </row>
    <row r="1743" ht="15.75" customHeight="1">
      <c r="A1743" s="1">
        <v>1741.0</v>
      </c>
      <c r="B1743" s="3" t="s">
        <v>1744</v>
      </c>
      <c r="C1743" s="3" t="str">
        <f>IFERROR(__xludf.DUMMYFUNCTION("GOOGLETRANSLATE(B1743,""id"",""en"")"),"['Package', 'unlimited', 'GB', 'friend', 'make', 'GB', 'already', 'run out', 'times',' buy ',' package ',' unlimited ',' Telkomsel ',' ']")</f>
        <v>['Package', 'unlimited', 'GB', 'friend', 'make', 'GB', 'already', 'run out', 'times',' buy ',' package ',' unlimited ',' Telkomsel ',' ']</v>
      </c>
      <c r="D1743" s="3">
        <v>1.0</v>
      </c>
    </row>
    <row r="1744" ht="15.75" customHeight="1">
      <c r="A1744" s="1">
        <v>1742.0</v>
      </c>
      <c r="B1744" s="3" t="s">
        <v>1745</v>
      </c>
      <c r="C1744" s="3" t="str">
        <f>IFERROR(__xludf.DUMMYFUNCTION("GOOGLETRANSLATE(B1744,""id"",""en"")"),"['Hopefully', 'gifts',' exchange ',' Points', 'Telkomsel', 'anything', 'gift', 'thank you', 'Telkomsel', 'card', 'great', ' ']")</f>
        <v>['Hopefully', 'gifts',' exchange ',' Points', 'Telkomsel', 'anything', 'gift', 'thank you', 'Telkomsel', 'card', 'great', ' ']</v>
      </c>
      <c r="D1744" s="3">
        <v>5.0</v>
      </c>
    </row>
    <row r="1745" ht="15.75" customHeight="1">
      <c r="A1745" s="1">
        <v>1743.0</v>
      </c>
      <c r="B1745" s="3" t="s">
        <v>1746</v>
      </c>
      <c r="C1745" s="3" t="str">
        <f>IFERROR(__xludf.DUMMYFUNCTION("GOOGLETRANSLATE(B1745,""id"",""en"")"),"['', 'Telkomsel', 'gave', 'Promo', 'Bener', 'promo', 'GB', 'SMS', 'Etc.', 'code', 'already', 'contents',' pulses ',' according to ',' nominal ',' right ',' bought ',' credit ',' sufficient ',' additional ',' description ',' PPN ',' right ',' check ',' mni"&amp;"t ', 'Kmudian', 'Diapps',' pulse ',' ilang ',' bgsd ',' history ',' description ',' package ',' enter ',' pulse ',' reduced ',' right ',' a little ',' work ',' Customer ',' Disappointed ',' ']")</f>
        <v>['', 'Telkomsel', 'gave', 'Promo', 'Bener', 'promo', 'GB', 'SMS', 'Etc.', 'code', 'already', 'contents',' pulses ',' according to ',' nominal ',' right ',' bought ',' credit ',' sufficient ',' additional ',' description ',' PPN ',' right ',' check ',' mnit ', 'Kmudian', 'Diapps',' pulse ',' ilang ',' bgsd ',' history ',' description ',' package ',' enter ',' pulse ',' reduced ',' right ',' a little ',' work ',' Customer ',' Disappointed ',' ']</v>
      </c>
      <c r="D1745" s="3">
        <v>1.0</v>
      </c>
    </row>
    <row r="1746" ht="15.75" customHeight="1">
      <c r="A1746" s="1">
        <v>1744.0</v>
      </c>
      <c r="B1746" s="3" t="s">
        <v>1747</v>
      </c>
      <c r="C1746" s="3" t="str">
        <f>IFERROR(__xludf.DUMMYFUNCTION("GOOGLETRANSLATE(B1746,""id"",""en"")"),"['Application', 'FAIL', 'Loading', 'Error', 'Network', 'Network', 'Good', 'Credit', 'Very', 'Cut', 'Very', 'Fill', ' Credit ',' thousand ',' right ',' check ',' thousands', 'doang', 'pulse', 'severe', 'emang', 'Telkomsel', ""]")</f>
        <v>['Application', 'FAIL', 'Loading', 'Error', 'Network', 'Network', 'Good', 'Credit', 'Very', 'Cut', 'Very', 'Fill', ' Credit ',' thousand ',' right ',' check ',' thousands', 'doang', 'pulse', 'severe', 'emang', 'Telkomsel', "]</v>
      </c>
      <c r="D1746" s="3">
        <v>1.0</v>
      </c>
    </row>
    <row r="1747" ht="15.75" customHeight="1">
      <c r="A1747" s="1">
        <v>1745.0</v>
      </c>
      <c r="B1747" s="3" t="s">
        <v>1748</v>
      </c>
      <c r="C1747" s="3" t="str">
        <f>IFERROR(__xludf.DUMMYFUNCTION("GOOGLETRANSLATE(B1747,""id"",""en"")"),"['Disappointed', 'promo', 'unlimited', 'Telkomsel', 'Kirain', 'useful', 'writing', 'unlimited', 'past', 'FUP', 'speed', 'past', ' FUP ',' Speed ​​',' work ',' intention ',' sell ',' unlimited ',' pretentious', 'unlimited', 'sell', 'volume', 'based', ""]")</f>
        <v>['Disappointed', 'promo', 'unlimited', 'Telkomsel', 'Kirain', 'useful', 'writing', 'unlimited', 'past', 'FUP', 'speed', 'past', ' FUP ',' Speed ​​',' work ',' intention ',' sell ',' unlimited ',' pretentious', 'unlimited', 'sell', 'volume', 'based', "]</v>
      </c>
      <c r="D1747" s="3">
        <v>1.0</v>
      </c>
    </row>
    <row r="1748" ht="15.75" customHeight="1">
      <c r="A1748" s="1">
        <v>1746.0</v>
      </c>
      <c r="B1748" s="3" t="s">
        <v>1749</v>
      </c>
      <c r="C1748" s="3" t="str">
        <f>IFERROR(__xludf.DUMMYFUNCTION("GOOGLETRANSLATE(B1748,""id"",""en"")"),"['yeah', 'uda', 'try', 'times',' buy ',' package ',' GB ',' kagak ',' entry ',' package ',' sampek ',' times', ' Buy ',' Credit ',' Reduced ',' What ',' Please ',' Wait ',' Wait ',' Promo ',' Gini ',' Uda ',' Kali ',' Kagak ',' kagak ' , 'enter', 'package"&amp;"']")</f>
        <v>['yeah', 'uda', 'try', 'times',' buy ',' package ',' GB ',' kagak ',' entry ',' package ',' sampek ',' times', ' Buy ',' Credit ',' Reduced ',' What ',' Please ',' Wait ',' Wait ',' Promo ',' Gini ',' Uda ',' Kali ',' Kagak ',' kagak ' , 'enter', 'package']</v>
      </c>
      <c r="D1748" s="3">
        <v>2.0</v>
      </c>
    </row>
    <row r="1749" ht="15.75" customHeight="1">
      <c r="A1749" s="1">
        <v>1747.0</v>
      </c>
      <c r="B1749" s="3" t="s">
        <v>1750</v>
      </c>
      <c r="C1749" s="3" t="str">
        <f>IFERROR(__xludf.DUMMYFUNCTION("GOOGLETRANSLATE(B1749,""id"",""en"")"),"['bad', 'network', 'problematic', 'quality', 'downhill', 'change', 'direction', 'good', 'quality', 'service', 'provider', 'expensive', ' Users', 'customers',' loyal ',' disappointed ',' network ',' connections', 'provide', 'Tsel', 'Please', 'sorry', 'entr"&amp;"ust', 'comfort', 'use' , 'Provider', '']")</f>
        <v>['bad', 'network', 'problematic', 'quality', 'downhill', 'change', 'direction', 'good', 'quality', 'service', 'provider', 'expensive', ' Users', 'customers',' loyal ',' disappointed ',' network ',' connections', 'provide', 'Tsel', 'Please', 'sorry', 'entrust', 'comfort', 'use' , 'Provider', '']</v>
      </c>
      <c r="D1749" s="3">
        <v>1.0</v>
      </c>
    </row>
    <row r="1750" ht="15.75" customHeight="1">
      <c r="A1750" s="1">
        <v>1748.0</v>
      </c>
      <c r="B1750" s="3" t="s">
        <v>1751</v>
      </c>
      <c r="C1750" s="3" t="str">
        <f>IFERROR(__xludf.DUMMYFUNCTION("GOOGLETRANSLATE(B1750,""id"",""en"")"),"['Since', 'connection', 'stressed', 'dizziness',' disease ',' suggested ',' buy it ',' play ',' game ',' comfortable ',' signal ',' traffic ',' Light ',' brain ',' aka ',' conclet ',' connection ',' Telkomsel ',' carry ',' Damn ',' Thank you ',' Telkomsel"&amp;" ',' accompany ',' ku ',' bad luck ' ]")</f>
        <v>['Since', 'connection', 'stressed', 'dizziness',' disease ',' suggested ',' buy it ',' play ',' game ',' comfortable ',' signal ',' traffic ',' Light ',' brain ',' aka ',' conclet ',' connection ',' Telkomsel ',' carry ',' Damn ',' Thank you ',' Telkomsel ',' accompany ',' ku ',' bad luck ' ]</v>
      </c>
      <c r="D1750" s="3">
        <v>1.0</v>
      </c>
    </row>
    <row r="1751" ht="15.75" customHeight="1">
      <c r="A1751" s="1">
        <v>1749.0</v>
      </c>
      <c r="B1751" s="3" t="s">
        <v>1752</v>
      </c>
      <c r="C1751" s="3" t="str">
        <f>IFERROR(__xludf.DUMMYFUNCTION("GOOGLETRANSLATE(B1751,""id"",""en"")"),"['boss',' package ',' GB ',' price ',' Kenpa ',' package ',' free ',' sosmed ',' as long as', 'etc.', 'replaced', 'GB', ' Please, 'Restore', 'Vestibuted', 'Karna', 'Survive', 'Use', 'Telkomsel', 'Friend', 'Switch', ""]")</f>
        <v>['boss',' package ',' GB ',' price ',' Kenpa ',' package ',' free ',' sosmed ',' as long as', 'etc.', 'replaced', 'GB', ' Please, 'Restore', 'Vestibuted', 'Karna', 'Survive', 'Use', 'Telkomsel', 'Friend', 'Switch', "]</v>
      </c>
      <c r="D1751" s="3">
        <v>1.0</v>
      </c>
    </row>
    <row r="1752" ht="15.75" customHeight="1">
      <c r="A1752" s="1">
        <v>1750.0</v>
      </c>
      <c r="B1752" s="3" t="s">
        <v>1753</v>
      </c>
      <c r="C1752" s="3" t="str">
        <f>IFERROR(__xludf.DUMMYFUNCTION("GOOGLETRANSLATE(B1752,""id"",""en"")"),"['Please', 'fix', 'signal', 'lecture', 'online', 'signal', 'disconnected', 'price', 'quota', 'internet', 'signal', 'deteriorate', ' annoying']")</f>
        <v>['Please', 'fix', 'signal', 'lecture', 'online', 'signal', 'disconnected', 'price', 'quota', 'internet', 'signal', 'deteriorate', ' annoying']</v>
      </c>
      <c r="D1752" s="3">
        <v>1.0</v>
      </c>
    </row>
    <row r="1753" ht="15.75" customHeight="1">
      <c r="A1753" s="1">
        <v>1751.0</v>
      </c>
      <c r="B1753" s="3" t="s">
        <v>1754</v>
      </c>
      <c r="C1753" s="3" t="str">
        <f>IFERROR(__xludf.DUMMYFUNCTION("GOOGLETRANSLATE(B1753,""id"",""en"")"),"['activate', 'Kouta', 'loan', 'night', 'transaction', 'failure', 'active', 'tomorrow', 'fill', 'pulse', 'right', 'right', ' Disappointing ',' Telkomsel ',' Gangerti ',' Naturally ',' Perdana ',' Involved ']")</f>
        <v>['activate', 'Kouta', 'loan', 'night', 'transaction', 'failure', 'active', 'tomorrow', 'fill', 'pulse', 'right', 'right', ' Disappointing ',' Telkomsel ',' Gangerti ',' Naturally ',' Perdana ',' Involved ']</v>
      </c>
      <c r="D1753" s="3">
        <v>1.0</v>
      </c>
    </row>
    <row r="1754" ht="15.75" customHeight="1">
      <c r="A1754" s="1">
        <v>1752.0</v>
      </c>
      <c r="B1754" s="3" t="s">
        <v>1755</v>
      </c>
      <c r="C1754" s="3" t="str">
        <f>IFERROR(__xludf.DUMMYFUNCTION("GOOGLETRANSLATE(B1754,""id"",""en"")"),"['Please', 'yes',' buy ',' package ',' combo ',' rb ',' uda ',' click ',' pay ',' waited ',' error ',' teroosss', ' Gada ',' enter ',' package ',' balance ',' ilang ',' what ']")</f>
        <v>['Please', 'yes',' buy ',' package ',' combo ',' rb ',' uda ',' click ',' pay ',' waited ',' error ',' teroosss', ' Gada ',' enter ',' package ',' balance ',' ilang ',' what ']</v>
      </c>
      <c r="D1754" s="3">
        <v>1.0</v>
      </c>
    </row>
    <row r="1755" ht="15.75" customHeight="1">
      <c r="A1755" s="1">
        <v>1753.0</v>
      </c>
      <c r="B1755" s="3" t="s">
        <v>1756</v>
      </c>
      <c r="C1755" s="3" t="str">
        <f>IFERROR(__xludf.DUMMYFUNCTION("GOOGLETRANSLATE(B1755,""id"",""en"")"),"['', 'open', 'application', 'signal', 'stable', 'pdhl', 'signal', 'smooth', 'then', 'buy', 'package', 'cheerful', 'HR ',' Msuk ',' Veronika ',' Bot ',' Basic ',' Disappointed ',' Severe ',' Anyway ', ""]")</f>
        <v>['', 'open', 'application', 'signal', 'stable', 'pdhl', 'signal', 'smooth', 'then', 'buy', 'package', 'cheerful', 'HR ',' Msuk ',' Veronika ',' Bot ',' Basic ',' Disappointed ',' Severe ',' Anyway ', "]</v>
      </c>
      <c r="D1755" s="3">
        <v>1.0</v>
      </c>
    </row>
    <row r="1756" ht="15.75" customHeight="1">
      <c r="A1756" s="1">
        <v>1754.0</v>
      </c>
      <c r="B1756" s="3" t="s">
        <v>1757</v>
      </c>
      <c r="C1756" s="3" t="str">
        <f>IFERROR(__xludf.DUMMYFUNCTION("GOOGLETRANSLATE(B1756,""id"",""en"")"),"['connection', 'stable', 'opened', 'speed', 'Mbps', 'problem', 'load', 'reset', 'user', 'gini']")</f>
        <v>['connection', 'stable', 'opened', 'speed', 'Mbps', 'problem', 'load', 'reset', 'user', 'gini']</v>
      </c>
      <c r="D1756" s="3">
        <v>1.0</v>
      </c>
    </row>
    <row r="1757" ht="15.75" customHeight="1">
      <c r="A1757" s="1">
        <v>1755.0</v>
      </c>
      <c r="B1757" s="3" t="s">
        <v>1758</v>
      </c>
      <c r="C1757" s="3" t="str">
        <f>IFERROR(__xludf.DUMMYFUNCTION("GOOGLETRANSLATE(B1757,""id"",""en"")"),"['Developer', 'Please', 'Eliminated', 'Package', 'Emergency', 'Hargnya', 'Register', 'Package', 'Active', 'as a result', 'contents',' pulses', ' Direct ',' Cut ',' ']")</f>
        <v>['Developer', 'Please', 'Eliminated', 'Package', 'Emergency', 'Hargnya', 'Register', 'Package', 'Active', 'as a result', 'contents',' pulses', ' Direct ',' Cut ',' ']</v>
      </c>
      <c r="D1757" s="3">
        <v>1.0</v>
      </c>
    </row>
    <row r="1758" ht="15.75" customHeight="1">
      <c r="A1758" s="1">
        <v>1756.0</v>
      </c>
      <c r="B1758" s="3" t="s">
        <v>1759</v>
      </c>
      <c r="C1758" s="3" t="str">
        <f>IFERROR(__xludf.DUMMYFUNCTION("GOOGLETRANSLATE(B1758,""id"",""en"")"),"['Suggestion', 'advice', 'accelerated', 'improvement', 'package', 'buy', 'active', 'disorder', 'system', 'ngeecewain', 'consumer', ""]")</f>
        <v>['Suggestion', 'advice', 'accelerated', 'improvement', 'package', 'buy', 'active', 'disorder', 'system', 'ngeecewain', 'consumer', "]</v>
      </c>
      <c r="D1758" s="3">
        <v>5.0</v>
      </c>
    </row>
    <row r="1759" ht="15.75" customHeight="1">
      <c r="A1759" s="1">
        <v>1757.0</v>
      </c>
      <c r="B1759" s="3" t="s">
        <v>1760</v>
      </c>
      <c r="C1759" s="3" t="str">
        <f>IFERROR(__xludf.DUMMYFUNCTION("GOOGLETRANSLATE(B1759,""id"",""en"")"),"['Telkomsel', 'Sinyal', 'Bad', 'Main', 'Game', 'Open', 'Application', 'Whatever', 'Region', 'Tanjung', 'Sakti', 'Pimi', ' City ',' Fence ',' Nature ',' County ',' Lahat ',' Province ',' Sumatra ',' South ',' Telkomsel ',' please ',' repaired ',' as soon a"&amp;"s' , 'Thank you']")</f>
        <v>['Telkomsel', 'Sinyal', 'Bad', 'Main', 'Game', 'Open', 'Application', 'Whatever', 'Region', 'Tanjung', 'Sakti', 'Pimi', ' City ',' Fence ',' Nature ',' County ',' Lahat ',' Province ',' Sumatra ',' South ',' Telkomsel ',' please ',' repaired ',' as soon as' , 'Thank you']</v>
      </c>
      <c r="D1759" s="3">
        <v>1.0</v>
      </c>
    </row>
    <row r="1760" ht="15.75" customHeight="1">
      <c r="A1760" s="1">
        <v>1758.0</v>
      </c>
      <c r="B1760" s="3" t="s">
        <v>1761</v>
      </c>
      <c r="C1760" s="3" t="str">
        <f>IFERROR(__xludf.DUMMYFUNCTION("GOOGLETRANSLATE(B1760,""id"",""en"")"),"['My signal', 'Bad', 'Doing', 'PDAVY', 'CURREN', 'TPI', 'PUTY', 'Signal', 'Kya', 'LGI', 'Dalem', 'Land', ' difficult ',' bnget ']")</f>
        <v>['My signal', 'Bad', 'Doing', 'PDAVY', 'CURREN', 'TPI', 'PUTY', 'Signal', 'Kya', 'LGI', 'Dalem', 'Land', ' difficult ',' bnget ']</v>
      </c>
      <c r="D1760" s="3">
        <v>2.0</v>
      </c>
    </row>
    <row r="1761" ht="15.75" customHeight="1">
      <c r="A1761" s="1">
        <v>1759.0</v>
      </c>
      <c r="B1761" s="3" t="s">
        <v>1762</v>
      </c>
      <c r="C1761" s="3" t="str">
        <f>IFERROR(__xludf.DUMMYFUNCTION("GOOGLETRANSLATE(B1761,""id"",""en"")"),"['oath', 'comfortable', 'application', 'heavy', 'broken', 'broken', 'lag', 'prolonged', 'APL', 'nyakebolan', 'wei', 'APL', ' Thinking ',' GMNA ',' Spaya ',' feels yet ']")</f>
        <v>['oath', 'comfortable', 'application', 'heavy', 'broken', 'broken', 'lag', 'prolonged', 'APL', 'nyakebolan', 'wei', 'APL', ' Thinking ',' GMNA ',' Spaya ',' feels yet ']</v>
      </c>
      <c r="D1761" s="3">
        <v>1.0</v>
      </c>
    </row>
    <row r="1762" ht="15.75" customHeight="1">
      <c r="A1762" s="1">
        <v>1760.0</v>
      </c>
      <c r="B1762" s="3" t="s">
        <v>1763</v>
      </c>
      <c r="C1762" s="3" t="str">
        <f>IFERROR(__xludf.DUMMYFUNCTION("GOOGLETRANSLATE(B1762,""id"",""en"")"),"['star', 'because', 'pulse', 'suction', 'buy', 'package', 'writing', 'sorry', 'pulse', 'pulse', 'where', 'please', ' repair']")</f>
        <v>['star', 'because', 'pulse', 'suction', 'buy', 'package', 'writing', 'sorry', 'pulse', 'pulse', 'where', 'please', ' repair']</v>
      </c>
      <c r="D1762" s="3">
        <v>1.0</v>
      </c>
    </row>
    <row r="1763" ht="15.75" customHeight="1">
      <c r="A1763" s="1">
        <v>1761.0</v>
      </c>
      <c r="B1763" s="3" t="s">
        <v>1764</v>
      </c>
      <c r="C1763" s="3" t="str">
        <f>IFERROR(__xludf.DUMMYFUNCTION("GOOGLETRANSLATE(B1763,""id"",""en"")"),"['Insha', 'Allah', 'Herbs',' Toothpaste ',' Suitable ',' Complaints', 'Kaka', 'Mention', 'Just', 'Benefits',' Main ',' Herbs', ' Toothpaste ',' pasta ',' gear ',' percent ',' herbs', 'natural', 'made', 'extract', 'tea', 'tree', 'Oil', 'extract', 'Melaleuv"&amp;"a' , 'Altemifolia', 'antiseptic', 'anti', 'infection', 'anti', 'inflammation', 'prevent', 'infection', 'teeth', 'inflammation', 'gum', 'gum', ' Bloody, 'extract', 'plant', 'Chrysanthemum', 'morifolium', 'material', 'natural', 'bleach', 'teeth', 'material'"&amp;", 'main', 'red', 'algae' , 'function', 'breath', 'fresh', ""]")</f>
        <v>['Insha', 'Allah', 'Herbs',' Toothpaste ',' Suitable ',' Complaints', 'Kaka', 'Mention', 'Just', 'Benefits',' Main ',' Herbs', ' Toothpaste ',' pasta ',' gear ',' percent ',' herbs', 'natural', 'made', 'extract', 'tea', 'tree', 'Oil', 'extract', 'Melaleuva' , 'Altemifolia', 'antiseptic', 'anti', 'infection', 'anti', 'inflammation', 'prevent', 'infection', 'teeth', 'inflammation', 'gum', 'gum', ' Bloody, 'extract', 'plant', 'Chrysanthemum', 'morifolium', 'material', 'natural', 'bleach', 'teeth', 'material', 'main', 'red', 'algae' , 'function', 'breath', 'fresh', "]</v>
      </c>
      <c r="D1763" s="3">
        <v>1.0</v>
      </c>
    </row>
    <row r="1764" ht="15.75" customHeight="1">
      <c r="A1764" s="1">
        <v>1762.0</v>
      </c>
      <c r="B1764" s="3" t="s">
        <v>1765</v>
      </c>
      <c r="C1764" s="3" t="str">
        <f>IFERROR(__xludf.DUMMYFUNCTION("GOOGLETRANSLATE(B1764,""id"",""en"")"),"['buy', 'package', 'pulse', 'pulse', 'according to', 'price', 'package', 'specify', 'reset', 'times',' the reason ',' connection ',' Stable ',' Service ',' Troubled ',' PHP ',' Min ',' Doi ',' PHP ',' ']")</f>
        <v>['buy', 'package', 'pulse', 'pulse', 'according to', 'price', 'package', 'specify', 'reset', 'times',' the reason ',' connection ',' Stable ',' Service ',' Troubled ',' PHP ',' Min ',' Doi ',' PHP ',' ']</v>
      </c>
      <c r="D1764" s="3">
        <v>2.0</v>
      </c>
    </row>
    <row r="1765" ht="15.75" customHeight="1">
      <c r="A1765" s="1">
        <v>1763.0</v>
      </c>
      <c r="B1765" s="3" t="s">
        <v>1766</v>
      </c>
      <c r="C1765" s="3" t="str">
        <f>IFERROR(__xludf.DUMMYFUNCTION("GOOGLETRANSLATE(B1765,""id"",""en"")"),"['Season', 'squeeze', 'price', 'price', 'provide', 'Telkom', 'appeal', 'card', 'please', 'telkom', 'org', 'indo', ' "", 'org', 'org', 'rich', 'please', 'perman', 'price', 'please',""]")</f>
        <v>['Season', 'squeeze', 'price', 'price', 'provide', 'Telkom', 'appeal', 'card', 'please', 'telkom', 'org', 'indo', ' ", 'org', 'org', 'rich', 'please', 'perman', 'price', 'please',"]</v>
      </c>
      <c r="D1765" s="3">
        <v>1.0</v>
      </c>
    </row>
    <row r="1766" ht="15.75" customHeight="1">
      <c r="A1766" s="1">
        <v>1764.0</v>
      </c>
      <c r="B1766" s="3" t="s">
        <v>1767</v>
      </c>
      <c r="C1766" s="3" t="str">
        <f>IFERROR(__xludf.DUMMYFUNCTION("GOOGLETRANSLATE(B1766,""id"",""en"")"),"['Service', 'Telkomsel', 'Paketan', 'Bins',' Customer ',' Service ',' Satisfying ',' Paketan ',' Combo ',' Sakti ',' Accessible ',' Rare ',' Weekend ',' Deal ',' KUPA- ',' Judealah ',' Good ',' ']")</f>
        <v>['Service', 'Telkomsel', 'Paketan', 'Bins',' Customer ',' Service ',' Satisfying ',' Paketan ',' Combo ',' Sakti ',' Accessible ',' Rare ',' Weekend ',' Deal ',' KUPA- ',' Judealah ',' Good ',' ']</v>
      </c>
      <c r="D1766" s="3">
        <v>5.0</v>
      </c>
    </row>
    <row r="1767" ht="15.75" customHeight="1">
      <c r="A1767" s="1">
        <v>1765.0</v>
      </c>
      <c r="B1767" s="3" t="s">
        <v>1768</v>
      </c>
      <c r="C1767" s="3" t="str">
        <f>IFERROR(__xludf.DUMMYFUNCTION("GOOGLETRANSLATE(B1767,""id"",""en"")"),"['times',' buy ',' UnlimitedMax ',' YouTubean ',' Unlimited ',' Buy ',' Times', 'Speed', 'throttle', 'BATIES', 'Kbps',' Thank ',' Kbps', 'Please', 'Sorry', 'Move', 'Provider', '']")</f>
        <v>['times',' buy ',' UnlimitedMax ',' YouTubean ',' Unlimited ',' Buy ',' Times', 'Speed', 'throttle', 'BATIES', 'Kbps',' Thank ',' Kbps', 'Please', 'Sorry', 'Move', 'Provider', '']</v>
      </c>
      <c r="D1767" s="3">
        <v>1.0</v>
      </c>
    </row>
    <row r="1768" ht="15.75" customHeight="1">
      <c r="A1768" s="1">
        <v>1766.0</v>
      </c>
      <c r="B1768" s="3" t="s">
        <v>1769</v>
      </c>
      <c r="C1768" s="3" t="str">
        <f>IFERROR(__xludf.DUMMYFUNCTION("GOOGLETRANSLATE(B1768,""id"",""en"")"),"['Please', 'repaired', 'purchase', 'package', 'promo', 'cheap', 'automatic', 'direct', 'happy', 'direct', 'contents',' pulses', ' right ',' bought ',' bought ',' promo ',' loss', 'repaired', 'open', 'briefly', 'quota', 'direct', 'finished', 'sometimes',' "&amp;"error ' , 'etc', '']")</f>
        <v>['Please', 'repaired', 'purchase', 'package', 'promo', 'cheap', 'automatic', 'direct', 'happy', 'direct', 'contents',' pulses', ' right ',' bought ',' bought ',' promo ',' loss', 'repaired', 'open', 'briefly', 'quota', 'direct', 'finished', 'sometimes',' error ' , 'etc', '']</v>
      </c>
      <c r="D1768" s="3">
        <v>2.0</v>
      </c>
    </row>
    <row r="1769" ht="15.75" customHeight="1">
      <c r="A1769" s="1">
        <v>1767.0</v>
      </c>
      <c r="B1769" s="3" t="s">
        <v>1770</v>
      </c>
      <c r="C1769" s="3" t="str">
        <f>IFERROR(__xludf.DUMMYFUNCTION("GOOGLETRANSLATE(B1769,""id"",""en"")"),"['disappointed', 'customers',' loyal ',' Telkomsel ',' already ',' Telkomsel ',' tapiii ',' network ',' Telkomsel ',' destroyed ',' slow ',' severe ',' The network is', 'Blood', 'Disappointed', 'Telkomsel', 'Star', 'Try', 'Test', 'Indosat', 'Ehhh', 'Netwo"&amp;"rk', 'Good', ""]")</f>
        <v>['disappointed', 'customers',' loyal ',' Telkomsel ',' already ',' Telkomsel ',' tapiii ',' network ',' Telkomsel ',' destroyed ',' slow ',' severe ',' The network is', 'Blood', 'Disappointed', 'Telkomsel', 'Star', 'Try', 'Test', 'Indosat', 'Ehhh', 'Network', 'Good', "]</v>
      </c>
      <c r="D1769" s="3">
        <v>1.0</v>
      </c>
    </row>
    <row r="1770" ht="15.75" customHeight="1">
      <c r="A1770" s="1">
        <v>1768.0</v>
      </c>
      <c r="B1770" s="3" t="s">
        <v>1771</v>
      </c>
      <c r="C1770" s="3" t="str">
        <f>IFERROR(__xludf.DUMMYFUNCTION("GOOGLETRANSLATE(B1770,""id"",""en"")"),"['Perdana', 'Telkomsel', 'Recomended', 'Karna', 'Weak', 'Power', 'Internet', 'NYA', 'Disruption', 'Signal', 'Lost', 'Program', ' Unlimited ',' Slow ',' Switch ',' Regular ',' Slow ',' wasteful ',' MOTH ',' Credit ',' GSM ',' Hoping ',' Telkomsel ',' Have "&amp;"',' Quality ' , '']")</f>
        <v>['Perdana', 'Telkomsel', 'Recomended', 'Karna', 'Weak', 'Power', 'Internet', 'NYA', 'Disruption', 'Signal', 'Lost', 'Program', ' Unlimited ',' Slow ',' Switch ',' Regular ',' Slow ',' wasteful ',' MOTH ',' Credit ',' GSM ',' Hoping ',' Telkomsel ',' Have ',' Quality ' , '']</v>
      </c>
      <c r="D1770" s="3">
        <v>1.0</v>
      </c>
    </row>
    <row r="1771" ht="15.75" customHeight="1">
      <c r="A1771" s="1">
        <v>1769.0</v>
      </c>
      <c r="B1771" s="3" t="s">
        <v>1772</v>
      </c>
      <c r="C1771" s="3" t="str">
        <f>IFERROR(__xludf.DUMMYFUNCTION("GOOGLETRANSLATE(B1771,""id"",""en"")"),"['service', 'Telkomsel', 'steady', 'loyal', 'use it', 'smp', 'skrg', 'difficult', 'move', 'heart']")</f>
        <v>['service', 'Telkomsel', 'steady', 'loyal', 'use it', 'smp', 'skrg', 'difficult', 'move', 'heart']</v>
      </c>
      <c r="D1771" s="3">
        <v>5.0</v>
      </c>
    </row>
    <row r="1772" ht="15.75" customHeight="1">
      <c r="A1772" s="1">
        <v>1770.0</v>
      </c>
      <c r="B1772" s="3" t="s">
        <v>1773</v>
      </c>
      <c r="C1772" s="3" t="str">
        <f>IFERROR(__xludf.DUMMYFUNCTION("GOOGLETRANSLATE(B1772,""id"",""en"")"),"['Telkomsel', 'quota', 'run out', 'sucked', 'pulse', 'until', 'pulses',' run out ',' pulses', 'run out', 'change', 'quota', ' Really ',' Sage ',' Telkomsel ',' Rich ',' Gini ',' Bankrupt ',' Mending ',' Telkomsel ',' Niru ',' Trade ',' Messenger Allah ','"&amp;" Saw ',' Rich ' , 'card', 'next door', 'signal', 'Jos',' cheap ',' sucked ',' pulse ',' garbage ',' really ',' already ',' expensive ',' signal ',' difficult ',' wants', 'crash', 'profit', 'magnitude', 'rich', 'that's',' more ',' decline ',' customer ',' "&amp;"']")</f>
        <v>['Telkomsel', 'quota', 'run out', 'sucked', 'pulse', 'until', 'pulses',' run out ',' pulses', 'run out', 'change', 'quota', ' Really ',' Sage ',' Telkomsel ',' Rich ',' Gini ',' Bankrupt ',' Mending ',' Telkomsel ',' Niru ',' Trade ',' Messenger Allah ',' Saw ',' Rich ' , 'card', 'next door', 'signal', 'Jos',' cheap ',' sucked ',' pulse ',' garbage ',' really ',' already ',' expensive ',' signal ',' difficult ',' wants', 'crash', 'profit', 'magnitude', 'rich', 'that's',' more ',' decline ',' customer ',' ']</v>
      </c>
      <c r="D1772" s="3">
        <v>1.0</v>
      </c>
    </row>
    <row r="1773" ht="15.75" customHeight="1">
      <c r="A1773" s="1">
        <v>1771.0</v>
      </c>
      <c r="B1773" s="3" t="s">
        <v>1774</v>
      </c>
      <c r="C1773" s="3" t="str">
        <f>IFERROR(__xludf.DUMMYFUNCTION("GOOGLETRANSLATE(B1773,""id"",""en"")"),"['many years', 'Telkomsel', 'expensive', 'comparable', 'quality', 'longing', 'Telkomsel', 'ten', 'until', '']")</f>
        <v>['many years', 'Telkomsel', 'expensive', 'comparable', 'quality', 'longing', 'Telkomsel', 'ten', 'until', '']</v>
      </c>
      <c r="D1773" s="3">
        <v>1.0</v>
      </c>
    </row>
    <row r="1774" ht="15.75" customHeight="1">
      <c r="A1774" s="1">
        <v>1772.0</v>
      </c>
      <c r="B1774" s="3" t="s">
        <v>1775</v>
      </c>
      <c r="C1774" s="3" t="str">
        <f>IFERROR(__xludf.DUMMYFUNCTION("GOOGLETRANSLATE(B1774,""id"",""en"")"),"['sorry', 'love', 'suggestion', 'promo', 'offered', 'community', 'confused', 'disappointed', 'customer', 'thank', 'love']")</f>
        <v>['sorry', 'love', 'suggestion', 'promo', 'offered', 'community', 'confused', 'disappointed', 'customer', 'thank', 'love']</v>
      </c>
      <c r="D1774" s="3">
        <v>1.0</v>
      </c>
    </row>
    <row r="1775" ht="15.75" customHeight="1">
      <c r="A1775" s="1">
        <v>1773.0</v>
      </c>
      <c r="B1775" s="3" t="s">
        <v>1776</v>
      </c>
      <c r="C1775" s="3" t="str">
        <f>IFERROR(__xludf.DUMMYFUNCTION("GOOGLETRANSLATE(B1775,""id"",""en"")"),"['Information', 'sync', 'description', 'GB', 'title', 'GB', 'price', 'package', 'expensive', 'network', 'ugly', 'service', ' Such is', 'improvement', 'service', 'slow', '']")</f>
        <v>['Information', 'sync', 'description', 'GB', 'title', 'GB', 'price', 'package', 'expensive', 'network', 'ugly', 'service', ' Such is', 'improvement', 'service', 'slow', '']</v>
      </c>
      <c r="D1775" s="3">
        <v>2.0</v>
      </c>
    </row>
    <row r="1776" ht="15.75" customHeight="1">
      <c r="A1776" s="1">
        <v>1774.0</v>
      </c>
      <c r="B1776" s="3" t="s">
        <v>1777</v>
      </c>
      <c r="C1776" s="3" t="str">
        <f>IFERROR(__xludf.DUMMYFUNCTION("GOOGLETRANSLATE(B1776,""id"",""en"")"),"['buy', 'promo', 'cheerful', 'payment', 'processed', 'promo', 'kantel', 'please', 'gave', 'promo', 'serious',' intention ',' Give ',' promo ',' love ',' promo ',' anjeng ',' ']")</f>
        <v>['buy', 'promo', 'cheerful', 'payment', 'processed', 'promo', 'kantel', 'please', 'gave', 'promo', 'serious',' intention ',' Give ',' promo ',' love ',' promo ',' anjeng ',' ']</v>
      </c>
      <c r="D1776" s="3">
        <v>1.0</v>
      </c>
    </row>
    <row r="1777" ht="15.75" customHeight="1">
      <c r="A1777" s="1">
        <v>1775.0</v>
      </c>
      <c r="B1777" s="3" t="s">
        <v>1778</v>
      </c>
      <c r="C1777" s="3" t="str">
        <f>IFERROR(__xludf.DUMMYFUNCTION("GOOGLETRANSLATE(B1777,""id"",""en"")"),"['Sorry', 'night', 'clock', 'leftover', 'pulse', 'wake up', 'sleep', 'morning', 'stay', 'strange', 'reduced', 'use', ' mode ',' aircraft ',' connected ',' wifi ',' clock ',' morning ',' package ',' internet ',' rb ',' balance ',' teenyata ',' purchase ','"&amp;" package ' , 'failed', 'pulse', 'left', 'reduced', 'usage', 'provider', 'thief', '']")</f>
        <v>['Sorry', 'night', 'clock', 'leftover', 'pulse', 'wake up', 'sleep', 'morning', 'stay', 'strange', 'reduced', 'use', ' mode ',' aircraft ',' connected ',' wifi ',' clock ',' morning ',' package ',' internet ',' rb ',' balance ',' teenyata ',' purchase ',' package ' , 'failed', 'pulse', 'left', 'reduced', 'usage', 'provider', 'thief', '']</v>
      </c>
      <c r="D1777" s="3">
        <v>1.0</v>
      </c>
    </row>
    <row r="1778" ht="15.75" customHeight="1">
      <c r="A1778" s="1">
        <v>1776.0</v>
      </c>
      <c r="B1778" s="3" t="s">
        <v>1779</v>
      </c>
      <c r="C1778" s="3" t="str">
        <f>IFERROR(__xludf.DUMMYFUNCTION("GOOGLETRANSLATE(B1778,""id"",""en"")"),"['emng', 'right', 'bnyak', 'user', 'disappointed', 'very &lt;br&gt;', 'bad', 'network', 'as beautiful', 'reliable', 'troublesome']")</f>
        <v>['emng', 'right', 'bnyak', 'user', 'disappointed', 'very &lt;br&gt;', 'bad', 'network', 'as beautiful', 'reliable', 'troublesome']</v>
      </c>
      <c r="D1778" s="3">
        <v>1.0</v>
      </c>
    </row>
    <row r="1779" ht="15.75" customHeight="1">
      <c r="A1779" s="1">
        <v>1777.0</v>
      </c>
      <c r="B1779" s="3" t="s">
        <v>1780</v>
      </c>
      <c r="C1779" s="3" t="str">
        <f>IFERROR(__xludf.DUMMYFUNCTION("GOOGLETRANSLATE(B1779,""id"",""en"")"),"['Network', 'Telkomsel', 'user', 'Restahh', 'please', 'answer', 'solution', 'thank', 'love', ""]")</f>
        <v>['Network', 'Telkomsel', 'user', 'Restahh', 'please', 'answer', 'solution', 'thank', 'love', "]</v>
      </c>
      <c r="D1779" s="3">
        <v>1.0</v>
      </c>
    </row>
    <row r="1780" ht="15.75" customHeight="1">
      <c r="A1780" s="1">
        <v>1778.0</v>
      </c>
      <c r="B1780" s="3" t="s">
        <v>1781</v>
      </c>
      <c r="C1780" s="3" t="str">
        <f>IFERROR(__xludf.DUMMYFUNCTION("GOOGLETRANSLATE(B1780,""id"",""en"")"),"['bad', 'gave', 'promo', 'package', 'activate', 'already', 'application', 'even', 'dial', 'sometimes',' buy ',' notif ',' pulse ',' pulse ',' signal ',' bad ',' customer ',' service ',' bad ',' application ',' bad ',' management ',' bad ']")</f>
        <v>['bad', 'gave', 'promo', 'package', 'activate', 'already', 'application', 'even', 'dial', 'sometimes',' buy ',' notif ',' pulse ',' pulse ',' signal ',' bad ',' customer ',' service ',' bad ',' application ',' bad ',' management ',' bad ']</v>
      </c>
      <c r="D1780" s="3">
        <v>1.0</v>
      </c>
    </row>
    <row r="1781" ht="15.75" customHeight="1">
      <c r="A1781" s="1">
        <v>1779.0</v>
      </c>
      <c r="B1781" s="3" t="s">
        <v>1782</v>
      </c>
      <c r="C1781" s="3" t="str">
        <f>IFERROR(__xludf.DUMMYFUNCTION("GOOGLETRANSLATE(B1781,""id"",""en"")"),"['Help', 'purchase', 'package', 'details',' features', 'info', 'interesting', 'check', 'exchange', 'point', 'gift', 'interesting', ' Thank you ',' Telkomsel ']")</f>
        <v>['Help', 'purchase', 'package', 'details',' features', 'info', 'interesting', 'check', 'exchange', 'point', 'gift', 'interesting', ' Thank you ',' Telkomsel ']</v>
      </c>
      <c r="D1781" s="3">
        <v>5.0</v>
      </c>
    </row>
    <row r="1782" ht="15.75" customHeight="1">
      <c r="A1782" s="1">
        <v>1780.0</v>
      </c>
      <c r="B1782" s="3" t="s">
        <v>1783</v>
      </c>
      <c r="C1782" s="3" t="str">
        <f>IFERROR(__xludf.DUMMYFUNCTION("GOOGLETRANSLATE(B1782,""id"",""en"")"),"['', 'Telkomsel', 'wear', 'card', 'sympathy', 'mandatory', 'times', 'download', 'Telkomsel', 'win', 'lucky', ""]")</f>
        <v>['', 'Telkomsel', 'wear', 'card', 'sympathy', 'mandatory', 'times', 'download', 'Telkomsel', 'win', 'lucky', "]</v>
      </c>
      <c r="D1782" s="3">
        <v>5.0</v>
      </c>
    </row>
    <row r="1783" ht="15.75" customHeight="1">
      <c r="A1783" s="1">
        <v>1781.0</v>
      </c>
      <c r="B1783" s="3" t="s">
        <v>1784</v>
      </c>
      <c r="C1783" s="3" t="str">
        <f>IFERROR(__xludf.DUMMYFUNCTION("GOOGLETRANSLATE(B1783,""id"",""en"")"),"['Network', 'good', 'enter', 'the application', 'connection', 'stable', 'click', 'try', 'load', 'reinstall', 'Please', 'repair', ' developer ',' thank ',' love ']")</f>
        <v>['Network', 'good', 'enter', 'the application', 'connection', 'stable', 'click', 'try', 'load', 'reinstall', 'Please', 'repair', ' developer ',' thank ',' love ']</v>
      </c>
      <c r="D1783" s="3">
        <v>1.0</v>
      </c>
    </row>
    <row r="1784" ht="15.75" customHeight="1">
      <c r="A1784" s="1">
        <v>1782.0</v>
      </c>
      <c r="B1784" s="3" t="s">
        <v>1785</v>
      </c>
      <c r="C1784" s="3" t="str">
        <f>IFERROR(__xludf.DUMMYFUNCTION("GOOGLETRANSLATE(B1784,""id"",""en"")"),"['Telkomsel', 'times',' ilang ',' Tetep ',' Telkomsel ',' Sometimes', 'Package', 'Internet', 'Like', 'Bablas',' Info ',' Extension ',' no ',' as a result ',' pulse ',' regular ',' abis', 'please', 'fix', 'customers',' telkomsel ',' signal ',' okay ',' ban"&amp;"geet ',' where ' , '']")</f>
        <v>['Telkomsel', 'times',' ilang ',' Tetep ',' Telkomsel ',' Sometimes', 'Package', 'Internet', 'Like', 'Bablas',' Info ',' Extension ',' no ',' as a result ',' pulse ',' regular ',' abis', 'please', 'fix', 'customers',' telkomsel ',' signal ',' okay ',' bangeet ',' where ' , '']</v>
      </c>
      <c r="D1784" s="3">
        <v>5.0</v>
      </c>
    </row>
    <row r="1785" ht="15.75" customHeight="1">
      <c r="A1785" s="1">
        <v>1783.0</v>
      </c>
      <c r="B1785" s="3" t="s">
        <v>1786</v>
      </c>
      <c r="C1785" s="3" t="str">
        <f>IFERROR(__xludf.DUMMYFUNCTION("GOOGLETRANSLATE(B1785,""id"",""en"")"),"['skrg', 'skrg', 'telkomsel', 'trims', 'sayah', 'disappointed', 'customer', 'good', 'luck', 'telkomsel']")</f>
        <v>['skrg', 'skrg', 'telkomsel', 'trims', 'sayah', 'disappointed', 'customer', 'good', 'luck', 'telkomsel']</v>
      </c>
      <c r="D1785" s="3">
        <v>4.0</v>
      </c>
    </row>
    <row r="1786" ht="15.75" customHeight="1">
      <c r="A1786" s="1">
        <v>1784.0</v>
      </c>
      <c r="B1786" s="3" t="s">
        <v>1787</v>
      </c>
      <c r="C1786" s="3" t="str">
        <f>IFERROR(__xludf.DUMMYFUNCTION("GOOGLETRANSLATE(B1786,""id"",""en"")"),"['Hello', 'Telkomsel', 'Please', 'Sorry', 'Hope', 'Understood', 'Satisfied', 'Access',' Internet ',' Signal ',' Network ',' Disappointed ',' angry ',' access', 'internet', 'provide', 'area', 'people', 'village', 'enjoy', 'network', 'internet', 'maximum', "&amp;"'buy', 'package' , 'money', 'willing', 'buy', 'package', 'thousand', 'enjoy', 'Mbps', 'satisfying', '']")</f>
        <v>['Hello', 'Telkomsel', 'Please', 'Sorry', 'Hope', 'Understood', 'Satisfied', 'Access',' Internet ',' Signal ',' Network ',' Disappointed ',' angry ',' access', 'internet', 'provide', 'area', 'people', 'village', 'enjoy', 'network', 'internet', 'maximum', 'buy', 'package' , 'money', 'willing', 'buy', 'package', 'thousand', 'enjoy', 'Mbps', 'satisfying', '']</v>
      </c>
      <c r="D1786" s="3">
        <v>1.0</v>
      </c>
    </row>
    <row r="1787" ht="15.75" customHeight="1">
      <c r="A1787" s="1">
        <v>1785.0</v>
      </c>
      <c r="B1787" s="3" t="s">
        <v>1788</v>
      </c>
      <c r="C1787" s="3" t="str">
        <f>IFERROR(__xludf.DUMMYFUNCTION("GOOGLETRANSLATE(B1787,""id"",""en"")"),"['application', 'like', 'nge', 'bug', 'severe', 'application', 'open', 'display', 'speed', 'network', 'download', 'file', ' Data ',' checked ',' use ',' data ',' downloaded ',' application ',' closed ',' then ',' display ',' speed ',' network ',' normal '"&amp;",' linger ' , 'application', 'MyTelkomsel', 'data', 'cellular', 'error', 'internet', 'internet', 'smartphone', 'restart', 'please', 'repair', 'bug']")</f>
        <v>['application', 'like', 'nge', 'bug', 'severe', 'application', 'open', 'display', 'speed', 'network', 'download', 'file', ' Data ',' checked ',' use ',' data ',' downloaded ',' application ',' closed ',' then ',' display ',' speed ',' network ',' normal ',' linger ' , 'application', 'MyTelkomsel', 'data', 'cellular', 'error', 'internet', 'internet', 'smartphone', 'restart', 'please', 'repair', 'bug']</v>
      </c>
      <c r="D1787" s="3">
        <v>1.0</v>
      </c>
    </row>
    <row r="1788" ht="15.75" customHeight="1">
      <c r="A1788" s="1">
        <v>1786.0</v>
      </c>
      <c r="B1788" s="3" t="s">
        <v>1789</v>
      </c>
      <c r="C1788" s="3" t="str">
        <f>IFERROR(__xludf.DUMMYFUNCTION("GOOGLETRANSLATE(B1788,""id"",""en"")"),"['signal', 'ugly', 'dilapidated', 'disappointed', 'Telkomsel', 'already', 'annual', 'already', 'buy', 'quota', 'expensive', 'eehhh', ' Sometimes', 'network', 'error', 'bobroookkk', 'bobroooookkkk', 'emang', 'bobrooookkkkk', '']")</f>
        <v>['signal', 'ugly', 'dilapidated', 'disappointed', 'Telkomsel', 'already', 'annual', 'already', 'buy', 'quota', 'expensive', 'eehhh', ' Sometimes', 'network', 'error', 'bobroookkk', 'bobroooookkkk', 'emang', 'bobrooookkkkk', '']</v>
      </c>
      <c r="D1788" s="3">
        <v>1.0</v>
      </c>
    </row>
    <row r="1789" ht="15.75" customHeight="1">
      <c r="A1789" s="1">
        <v>1787.0</v>
      </c>
      <c r="B1789" s="3" t="s">
        <v>1790</v>
      </c>
      <c r="C1789" s="3" t="str">
        <f>IFERROR(__xludf.DUMMYFUNCTION("GOOGLETRANSLATE(B1789,""id"",""en"")"),"['Package', 'expensive', 'service', 'Becus',' Service ',' Costomer ',' Service ',' Useful ',' Response ',' Buy ',' Package ',' Swadaya ',' Driver ',' ']")</f>
        <v>['Package', 'expensive', 'service', 'Becus',' Service ',' Costomer ',' Service ',' Useful ',' Response ',' Buy ',' Package ',' Swadaya ',' Driver ',' ']</v>
      </c>
      <c r="D1789" s="3">
        <v>1.0</v>
      </c>
    </row>
    <row r="1790" ht="15.75" customHeight="1">
      <c r="A1790" s="1">
        <v>1788.0</v>
      </c>
      <c r="B1790" s="3" t="s">
        <v>1791</v>
      </c>
      <c r="C1790" s="3" t="str">
        <f>IFERROR(__xludf.DUMMYFUNCTION("GOOGLETRANSLATE(B1790,""id"",""en"")"),"['Disappointed', 'Telkomsel', 'Network', 'Bad', 'Enter', 'Application', 'Ajah', 'Maen', 'Game', 'Network', 'Bad', 'Satisfied', ' Services', 'Network', 'Telkomsel', 'Please', 'Repaired', 'Network', 'User', 'Disappointed', 'Karna', 'Network', 'Stable', 'Bad"&amp;"']")</f>
        <v>['Disappointed', 'Telkomsel', 'Network', 'Bad', 'Enter', 'Application', 'Ajah', 'Maen', 'Game', 'Network', 'Bad', 'Satisfied', ' Services', 'Network', 'Telkomsel', 'Please', 'Repaired', 'Network', 'User', 'Disappointed', 'Karna', 'Network', 'Stable', 'Bad']</v>
      </c>
      <c r="D1790" s="3">
        <v>1.0</v>
      </c>
    </row>
    <row r="1791" ht="15.75" customHeight="1">
      <c r="A1791" s="1">
        <v>1789.0</v>
      </c>
      <c r="B1791" s="3" t="s">
        <v>1792</v>
      </c>
      <c r="C1791" s="3" t="str">
        <f>IFERROR(__xludf.DUMMYFUNCTION("GOOGLETRANSLATE(B1791,""id"",""en"")"),"['Package', 'Internet', 'expensive', 'provider', 'connection', 'internet', 'slow', 'If', 'Indosat', 'Get', 'Project', 'Indonesia', ' Already ',' Tam ',' You ',' Telkomsel ',' BI ',' Child ',' Business', 'BUMN', 'Rich', 'BI', 'You', 'bangs', ""]")</f>
        <v>['Package', 'Internet', 'expensive', 'provider', 'connection', 'internet', 'slow', 'If', 'Indosat', 'Get', 'Project', 'Indonesia', ' Already ',' Tam ',' You ',' Telkomsel ',' BI ',' Child ',' Business', 'BUMN', 'Rich', 'BI', 'You', 'bangs', "]</v>
      </c>
      <c r="D1791" s="3">
        <v>1.0</v>
      </c>
    </row>
    <row r="1792" ht="15.75" customHeight="1">
      <c r="A1792" s="1">
        <v>1790.0</v>
      </c>
      <c r="B1792" s="3" t="s">
        <v>1793</v>
      </c>
      <c r="C1792" s="3" t="str">
        <f>IFERROR(__xludf.DUMMYFUNCTION("GOOGLETRANSLATE(B1792,""id"",""en"")"),"['The application', 'Muantep', 'klok', 'buy', 'package', 'buy', 'Telkomsel', 'price', 'affordable', 'check', 'get', 'Kouta', ' Grtis', 'Ayok', 'Download', 'Application', 'Skrg', 'Telkomsel', 'Okeeeee', 'Muantep', 'Guard', ""]")</f>
        <v>['The application', 'Muantep', 'klok', 'buy', 'package', 'buy', 'Telkomsel', 'price', 'affordable', 'check', 'get', 'Kouta', ' Grtis', 'Ayok', 'Download', 'Application', 'Skrg', 'Telkomsel', 'Okeeeee', 'Muantep', 'Guard', "]</v>
      </c>
      <c r="D1792" s="3">
        <v>5.0</v>
      </c>
    </row>
    <row r="1793" ht="15.75" customHeight="1">
      <c r="A1793" s="1">
        <v>1791.0</v>
      </c>
      <c r="B1793" s="3" t="s">
        <v>1794</v>
      </c>
      <c r="C1793" s="3" t="str">
        <f>IFERROR(__xludf.DUMMYFUNCTION("GOOGLETRANSLATE(B1793,""id"",""en"")"),"['Slalu', 'loyal', 'Telkomsel', 'loss',' card ',' Tetep ',' Slalu ',' Telkomsel ',' The network ',' strong ',' thank ',' love ',' Telkomsel ',' Friends', 'Communication', 'Setiaku', ""]")</f>
        <v>['Slalu', 'loyal', 'Telkomsel', 'loss',' card ',' Tetep ',' Slalu ',' Telkomsel ',' The network ',' strong ',' thank ',' love ',' Telkomsel ',' Friends', 'Communication', 'Setiaku', "]</v>
      </c>
      <c r="D1793" s="3">
        <v>5.0</v>
      </c>
    </row>
    <row r="1794" ht="15.75" customHeight="1">
      <c r="A1794" s="1">
        <v>1792.0</v>
      </c>
      <c r="B1794" s="3" t="s">
        <v>1795</v>
      </c>
      <c r="C1794" s="3" t="str">
        <f>IFERROR(__xludf.DUMMYFUNCTION("GOOGLETRANSLATE(B1794,""id"",""en"")"),"['Honest', 'Disappointed', 'Dangan', 'Telkomsel', 'Package', 'Unlimited', 'Max', 'Limit', 'Package', 'name', 'Package', 'Unlimited', ' The limit ',' times', 'see', 'package', 'unlimited', 'limit', 'buy', 'expensive', 'limit', 'hold', 'unlimited', 'restric"&amp;"ted' , 'ping', 'signal', 'bad', 'annoying', 'play', 'game', 'online', '']")</f>
        <v>['Honest', 'Disappointed', 'Dangan', 'Telkomsel', 'Package', 'Unlimited', 'Max', 'Limit', 'Package', 'name', 'Package', 'Unlimited', ' The limit ',' times', 'see', 'package', 'unlimited', 'limit', 'buy', 'expensive', 'limit', 'hold', 'unlimited', 'restricted' , 'ping', 'signal', 'bad', 'annoying', 'play', 'game', 'online', '']</v>
      </c>
      <c r="D1794" s="3">
        <v>1.0</v>
      </c>
    </row>
    <row r="1795" ht="15.75" customHeight="1">
      <c r="A1795" s="1">
        <v>1793.0</v>
      </c>
      <c r="B1795" s="3" t="s">
        <v>1796</v>
      </c>
      <c r="C1795" s="3" t="str">
        <f>IFERROR(__xludf.DUMMYFUNCTION("GOOGLETRANSLATE(B1795,""id"",""en"")"),"['happy', 'application', 'petrified', 'buy', 'package', 'sisah', 'quota', 'pulse', 'package', 'promo', 'confused', 'emergency', ' Sometimes', 'active', 'list', 'package', 'hope', 'fix', 'hope', 'repeat', 'smangat', 'telkomsel', 'hope', 'useful', 'people' "&amp;"]")</f>
        <v>['happy', 'application', 'petrified', 'buy', 'package', 'sisah', 'quota', 'pulse', 'package', 'promo', 'confused', 'emergency', ' Sometimes', 'active', 'list', 'package', 'hope', 'fix', 'hope', 'repeat', 'smangat', 'telkomsel', 'hope', 'useful', 'people' ]</v>
      </c>
      <c r="D1795" s="3">
        <v>5.0</v>
      </c>
    </row>
    <row r="1796" ht="15.75" customHeight="1">
      <c r="A1796" s="1">
        <v>1794.0</v>
      </c>
      <c r="B1796" s="3" t="s">
        <v>1797</v>
      </c>
      <c r="C1796" s="3" t="str">
        <f>IFERROR(__xludf.DUMMYFUNCTION("GOOGLETRANSLATE(B1796,""id"",""en"")"),"['play', 'game', 'online', 'signal', 'missing', 'obstacle', 'signal', 'bad', 'original', 'already', 'buy', 'packetan', ' expensive ',' gada ',' response ',' card ',' domicile ',' sleman ',' Yogyakarta ']")</f>
        <v>['play', 'game', 'online', 'signal', 'missing', 'obstacle', 'signal', 'bad', 'original', 'already', 'buy', 'packetan', ' expensive ',' gada ',' response ',' card ',' domicile ',' sleman ',' Yogyakarta ']</v>
      </c>
      <c r="D1796" s="3">
        <v>1.0</v>
      </c>
    </row>
    <row r="1797" ht="15.75" customHeight="1">
      <c r="A1797" s="1">
        <v>1795.0</v>
      </c>
      <c r="B1797" s="3" t="s">
        <v>1798</v>
      </c>
      <c r="C1797" s="3" t="str">
        <f>IFERROR(__xludf.DUMMYFUNCTION("GOOGLETRANSLATE(B1797,""id"",""en"")"),"['times',' buy ',' package ',' data ',' entry ',' operator ',' now ',' gierch ',' buy ',' need ',' minutes', 'MyTelkomsel', ' His wait ',' Bener ',' APK ',' Nge ',' Leg ',' Males', 'user', 'loyal', 'Telkomsel']")</f>
        <v>['times',' buy ',' package ',' data ',' entry ',' operator ',' now ',' gierch ',' buy ',' need ',' minutes', 'MyTelkomsel', ' His wait ',' Bener ',' APK ',' Nge ',' Leg ',' Males', 'user', 'loyal', 'Telkomsel']</v>
      </c>
      <c r="D1797" s="3">
        <v>2.0</v>
      </c>
    </row>
    <row r="1798" ht="15.75" customHeight="1">
      <c r="A1798" s="1">
        <v>1796.0</v>
      </c>
      <c r="B1798" s="3" t="s">
        <v>1799</v>
      </c>
      <c r="C1798" s="3" t="str">
        <f>IFERROR(__xludf.DUMMYFUNCTION("GOOGLETRANSLATE(B1798,""id"",""en"")"),"['Severe', 'tsel', 'skrng', 'kek', 'gini', 'turning back', 'package', 'package', 'combo', 'skrng', 'ceept', 'bet', ' run out ',' haduhh ',' bought ',' pulse ',' cheek ',' tasty ',' cheek ',' until ',' haduhh ', ""]")</f>
        <v>['Severe', 'tsel', 'skrng', 'kek', 'gini', 'turning back', 'package', 'package', 'combo', 'skrng', 'ceept', 'bet', ' run out ',' haduhh ',' bought ',' pulse ',' cheek ',' tasty ',' cheek ',' until ',' haduhh ', "]</v>
      </c>
      <c r="D1798" s="3">
        <v>1.0</v>
      </c>
    </row>
    <row r="1799" ht="15.75" customHeight="1">
      <c r="A1799" s="1">
        <v>1797.0</v>
      </c>
      <c r="B1799" s="3" t="s">
        <v>1800</v>
      </c>
      <c r="C1799" s="3" t="str">
        <f>IFERROR(__xludf.DUMMYFUNCTION("GOOGLETRANSLATE(B1799,""id"",""en"")"),"['Telkomnyet', 'Call', 'Telkomsel', 'Credit', 'Out', 'Package', 'Call', 'Report', 'News',' Search ',' Application ',' Report ',' Closed ',' notification ',' NJING ',' emang ', ""]")</f>
        <v>['Telkomnyet', 'Call', 'Telkomsel', 'Credit', 'Out', 'Package', 'Call', 'Report', 'News',' Search ',' Application ',' Report ',' Closed ',' notification ',' NJING ',' emang ', "]</v>
      </c>
      <c r="D1799" s="3">
        <v>1.0</v>
      </c>
    </row>
    <row r="1800" ht="15.75" customHeight="1">
      <c r="A1800" s="1">
        <v>1798.0</v>
      </c>
      <c r="B1800" s="3" t="s">
        <v>1801</v>
      </c>
      <c r="C1800" s="3" t="str">
        <f>IFERROR(__xludf.DUMMYFUNCTION("GOOGLETRANSLATE(B1800,""id"",""en"")"),"['Payment', 'Application', 'Paid', 'Use', 'Credit', 'Telkomsel', 'Please', 'If', 'Paying', 'Application', 'Dsb', 'Love', ' Notifications', 'Donk', 'Application', 'Paid', 'Off', 'Credit', 'Prepare', 'Payment', '']")</f>
        <v>['Payment', 'Application', 'Paid', 'Use', 'Credit', 'Telkomsel', 'Please', 'If', 'Paying', 'Application', 'Dsb', 'Love', ' Notifications', 'Donk', 'Application', 'Paid', 'Off', 'Credit', 'Prepare', 'Payment', '']</v>
      </c>
      <c r="D1800" s="3">
        <v>1.0</v>
      </c>
    </row>
    <row r="1801" ht="15.75" customHeight="1">
      <c r="A1801" s="1">
        <v>1799.0</v>
      </c>
      <c r="B1801" s="3" t="s">
        <v>1802</v>
      </c>
      <c r="C1801" s="3" t="str">
        <f>IFERROR(__xludf.DUMMYFUNCTION("GOOGLETRANSLATE(B1801,""id"",""en"")"),"['Severe', 'subscribe', 'prime', 'Hello', 'Direct', 'Application', 'Bad', 'Please', 'Improvement', 'Android', 'Samsung', ""]")</f>
        <v>['Severe', 'subscribe', 'prime', 'Hello', 'Direct', 'Application', 'Bad', 'Please', 'Improvement', 'Android', 'Samsung', "]</v>
      </c>
      <c r="D1801" s="3">
        <v>1.0</v>
      </c>
    </row>
    <row r="1802" ht="15.75" customHeight="1">
      <c r="A1802" s="1">
        <v>1800.0</v>
      </c>
      <c r="B1802" s="3" t="s">
        <v>1803</v>
      </c>
      <c r="C1802" s="3" t="str">
        <f>IFERROR(__xludf.DUMMYFUNCTION("GOOGLETRANSLATE(B1802,""id"",""en"")"),"['Price', 'Unlimited', 'Package', 'Unlimited', 'Different', 'GB', 'Allnet', 'GB', 'Local', 'Free', 'Access',' Limit ',' skarang ',' limit ',' GB ',' unlimited ',' disappointed ',' Telkomsel ',' hope ',' sprti ',' mksh ']")</f>
        <v>['Price', 'Unlimited', 'Package', 'Unlimited', 'Different', 'GB', 'Allnet', 'GB', 'Local', 'Free', 'Access',' Limit ',' skarang ',' limit ',' GB ',' unlimited ',' disappointed ',' Telkomsel ',' hope ',' sprti ',' mksh ']</v>
      </c>
      <c r="D1802" s="3">
        <v>1.0</v>
      </c>
    </row>
    <row r="1803" ht="15.75" customHeight="1">
      <c r="A1803" s="1">
        <v>1801.0</v>
      </c>
      <c r="B1803" s="3" t="s">
        <v>1804</v>
      </c>
      <c r="C1803" s="3" t="str">
        <f>IFERROR(__xludf.DUMMYFUNCTION("GOOGLETRANSLATE(B1803,""id"",""en"")"),"['Please', 'Package', 'Buy', 'Package', 'GB', 'Declared', 'FAILURE', 'Payment', 'Application', 'Linkaja', 'SUCCESS', 'Email', ' Please, 'Process', 'Email', '']")</f>
        <v>['Please', 'Package', 'Buy', 'Package', 'GB', 'Declared', 'FAILURE', 'Payment', 'Application', 'Linkaja', 'SUCCESS', 'Email', ' Please, 'Process', 'Email', '']</v>
      </c>
      <c r="D1803" s="3">
        <v>1.0</v>
      </c>
    </row>
    <row r="1804" ht="15.75" customHeight="1">
      <c r="A1804" s="1">
        <v>1802.0</v>
      </c>
      <c r="B1804" s="3" t="s">
        <v>1805</v>
      </c>
      <c r="C1804" s="3" t="str">
        <f>IFERROR(__xludf.DUMMYFUNCTION("GOOGLETRANSLATE(B1804,""id"",""en"")"),"['Telkomsel', 'Thieves',' Credit ',' Data ',' Internet ',' Credit ',' Cut ',' EMG ',' UDH ',' Suspigion ',' Prove ',' Write ',' riview ',' pulse ',' steal ',' thousand ',' jerk ',' package ',' data ',' nlp ',' msh ',' minute ',' sms', 'msh', 'pulse' , 'st"&amp;"eal', '']")</f>
        <v>['Telkomsel', 'Thieves',' Credit ',' Data ',' Internet ',' Credit ',' Cut ',' EMG ',' UDH ',' Suspigion ',' Prove ',' Write ',' riview ',' pulse ',' steal ',' thousand ',' jerk ',' package ',' data ',' nlp ',' msh ',' minute ',' sms', 'msh', 'pulse' , 'steal', '']</v>
      </c>
      <c r="D1804" s="3">
        <v>2.0</v>
      </c>
    </row>
    <row r="1805" ht="15.75" customHeight="1">
      <c r="A1805" s="1">
        <v>1803.0</v>
      </c>
      <c r="B1805" s="3" t="s">
        <v>1806</v>
      </c>
      <c r="C1805" s="3" t="str">
        <f>IFERROR(__xludf.DUMMYFUNCTION("GOOGLETRANSLATE(B1805,""id"",""en"")"),"['Sorry', 'application', 'ugly', 'really', 'unfortunately', 'love', 'star', 'mah', 'already', 'love', 'star', ' Stars', 'disappointed', 'really', 'the application', 'pulse', 'sumps',' buy ',' package ',' wifi ',' error ',' as soon as', 'data', 'internet' "&amp;", 'pulses',' sumps', 'please', 'fix', 'service', 'gini', 'change', 'card', 'card', 'Telkomsel', 'Sake', 'really', ' oath ',' please ',' yaa ',' just ',' read ',' thank you ']")</f>
        <v>['Sorry', 'application', 'ugly', 'really', 'unfortunately', 'love', 'star', 'mah', 'already', 'love', 'star', ' Stars', 'disappointed', 'really', 'the application', 'pulse', 'sumps',' buy ',' package ',' wifi ',' error ',' as soon as', 'data', 'internet' , 'pulses',' sumps', 'please', 'fix', 'service', 'gini', 'change', 'card', 'card', 'Telkomsel', 'Sake', 'really', ' oath ',' please ',' yaa ',' just ',' read ',' thank you ']</v>
      </c>
      <c r="D1805" s="3">
        <v>1.0</v>
      </c>
    </row>
    <row r="1806" ht="15.75" customHeight="1">
      <c r="A1806" s="1">
        <v>1804.0</v>
      </c>
      <c r="B1806" s="3" t="s">
        <v>1807</v>
      </c>
      <c r="C1806" s="3" t="str">
        <f>IFERROR(__xludf.DUMMYFUNCTION("GOOGLETRANSLATE(B1806,""id"",""en"")"),"['Please', 'Help', 'Credit', 'Sumpot', 'No', 'Call', 'Credit', 'Abis',' Loss', 'Telkomsel', 'fortuneness',' Customer ',' Lunt ',' Search ',' Untung ',' skrg ',' signal ',' good ',' inside ',' room ', ""]")</f>
        <v>['Please', 'Help', 'Credit', 'Sumpot', 'No', 'Call', 'Credit', 'Abis',' Loss', 'Telkomsel', 'fortuneness',' Customer ',' Lunt ',' Search ',' Untung ',' skrg ',' signal ',' good ',' inside ',' room ', "]</v>
      </c>
      <c r="D1806" s="3">
        <v>1.0</v>
      </c>
    </row>
    <row r="1807" ht="15.75" customHeight="1">
      <c r="A1807" s="1">
        <v>1805.0</v>
      </c>
      <c r="B1807" s="3" t="s">
        <v>1808</v>
      </c>
      <c r="C1807" s="3" t="str">
        <f>IFERROR(__xludf.DUMMYFUNCTION("GOOGLETRANSLATE(B1807,""id"",""en"")"),"['Please', 'Telkomsel', 'Giliari', 'Cengaliin', 'Credit', 'Gercep', 'Already', 'Content', 'Credit', 'Then', 'Buy', 'Package', ' Really ',' process', 'please', 'person', 'busy', '']")</f>
        <v>['Please', 'Telkomsel', 'Giliari', 'Cengaliin', 'Credit', 'Gercep', 'Already', 'Content', 'Credit', 'Then', 'Buy', 'Package', ' Really ',' process', 'please', 'person', 'busy', '']</v>
      </c>
      <c r="D1807" s="3">
        <v>2.0</v>
      </c>
    </row>
    <row r="1808" ht="15.75" customHeight="1">
      <c r="A1808" s="1">
        <v>1806.0</v>
      </c>
      <c r="B1808" s="3" t="s">
        <v>1809</v>
      </c>
      <c r="C1808" s="3" t="str">
        <f>IFERROR(__xludf.DUMMYFUNCTION("GOOGLETRANSLATE(B1808,""id"",""en"")"),"['Severe', 'Operator', 'Buy', 'Package', 'YouTube', 'Package', 'Maxtream', 'Credit', 'Sumpot', 'Out', 'Remnant', 'Fraud', ' Cheating ',' profit ',' Raup ',' Telkomsel ',' customer ',' please ',' disappointing ',' ']")</f>
        <v>['Severe', 'Operator', 'Buy', 'Package', 'YouTube', 'Package', 'Maxtream', 'Credit', 'Sumpot', 'Out', 'Remnant', 'Fraud', ' Cheating ',' profit ',' Raup ',' Telkomsel ',' customer ',' please ',' disappointing ',' ']</v>
      </c>
      <c r="D1808" s="3">
        <v>1.0</v>
      </c>
    </row>
    <row r="1809" ht="15.75" customHeight="1">
      <c r="A1809" s="1">
        <v>1807.0</v>
      </c>
      <c r="B1809" s="3" t="s">
        <v>1810</v>
      </c>
      <c r="C1809" s="3" t="str">
        <f>IFERROR(__xludf.DUMMYFUNCTION("GOOGLETRANSLATE(B1809,""id"",""en"")"),"['Telkomsel', 'Ngeleg', 'Bener', 'The network', 'already', 'expensive', 'network', 'threat', 'gini', 'users', 'Telkomsel', 'comfortable']")</f>
        <v>['Telkomsel', 'Ngeleg', 'Bener', 'The network', 'already', 'expensive', 'network', 'threat', 'gini', 'users', 'Telkomsel', 'comfortable']</v>
      </c>
      <c r="D1809" s="3">
        <v>1.0</v>
      </c>
    </row>
    <row r="1810" ht="15.75" customHeight="1">
      <c r="A1810" s="1">
        <v>1808.0</v>
      </c>
      <c r="B1810" s="3" t="s">
        <v>1811</v>
      </c>
      <c r="C1810" s="3" t="str">
        <f>IFERROR(__xludf.DUMMYFUNCTION("GOOGLETRANSLATE(B1810,""id"",""en"")"),"['Please', 'Price', 'Package', 'Customize', 'Untung', 'according to', 'teachings',' religion ',' anything ',' elements', 'burden', 'official', ' corruption', '']")</f>
        <v>['Please', 'Price', 'Package', 'Customize', 'Untung', 'according to', 'teachings',' religion ',' anything ',' elements', 'burden', 'official', ' corruption', '']</v>
      </c>
      <c r="D1810" s="3">
        <v>1.0</v>
      </c>
    </row>
    <row r="1811" ht="15.75" customHeight="1">
      <c r="A1811" s="1">
        <v>1809.0</v>
      </c>
      <c r="B1811" s="3" t="s">
        <v>1812</v>
      </c>
      <c r="C1811" s="3" t="str">
        <f>IFERROR(__xludf.DUMMYFUNCTION("GOOGLETRANSLATE(B1811,""id"",""en"")"),"['Telkomsel', 'Severe', 'The network', 'stable', 'slow', 'already', 'hurry', 'well', 'disruption', 'customer', 'moved', 'provider', ' ']")</f>
        <v>['Telkomsel', 'Severe', 'The network', 'stable', 'slow', 'already', 'hurry', 'well', 'disruption', 'customer', 'moved', 'provider', ' ']</v>
      </c>
      <c r="D1811" s="3">
        <v>1.0</v>
      </c>
    </row>
    <row r="1812" ht="15.75" customHeight="1">
      <c r="A1812" s="1">
        <v>1810.0</v>
      </c>
      <c r="B1812" s="3" t="s">
        <v>1813</v>
      </c>
      <c r="C1812" s="3" t="str">
        <f>IFERROR(__xludf.DUMMYFUNCTION("GOOGLETRANSLATE(B1812,""id"",""en"")"),"['MAAP', 'Min', 'package', 'unlimited', 'used', 'already', 'unlimited', 'chat', 'vidio', 'socialmedia', 'Tiktok', 'YouTube', ' Shame ',' quota ',' main ',' beg ',' fast ',' repaired ', ""]")</f>
        <v>['MAAP', 'Min', 'package', 'unlimited', 'used', 'already', 'unlimited', 'chat', 'vidio', 'socialmedia', 'Tiktok', 'YouTube', ' Shame ',' quota ',' main ',' beg ',' fast ',' repaired ', "]</v>
      </c>
      <c r="D1812" s="3">
        <v>3.0</v>
      </c>
    </row>
    <row r="1813" ht="15.75" customHeight="1">
      <c r="A1813" s="1">
        <v>1811.0</v>
      </c>
      <c r="B1813" s="3" t="s">
        <v>1814</v>
      </c>
      <c r="C1813" s="3" t="str">
        <f>IFERROR(__xludf.DUMMYFUNCTION("GOOGLETRANSLATE(B1813,""id"",""en"")"),"['user', 'loop', 'package', 'expensive', 'Sakti', 'buy', 'network', 'bad', 'suppose', 'option', 'dizziness',' work ',' Constrained ',' Network ',' ']")</f>
        <v>['user', 'loop', 'package', 'expensive', 'Sakti', 'buy', 'network', 'bad', 'suppose', 'option', 'dizziness',' work ',' Constrained ',' Network ',' ']</v>
      </c>
      <c r="D1813" s="3">
        <v>1.0</v>
      </c>
    </row>
    <row r="1814" ht="15.75" customHeight="1">
      <c r="A1814" s="1">
        <v>1812.0</v>
      </c>
      <c r="B1814" s="3" t="s">
        <v>1815</v>
      </c>
      <c r="C1814" s="3" t="str">
        <f>IFERROR(__xludf.DUMMYFUNCTION("GOOGLETRANSLATE(B1814,""id"",""en"")"),"['Provider', 'Telkomsel', 'Please', 'repaired', 'Jringanny', 'Special', 'Sulawesi', 'North', 'area', 'Minahasa', 'buy', 'pulses',' Expensive ',' Jringanny ',' No "", 'comparable', 'Severe', 'Abis', 'Telkomsel', 'Advertising', 'JRINGAN', 'NMR', 'Ngga', 'ac"&amp;"cording to', 'Ohia' , 'area', 'fast', 'dri', 'no', 'stable', 'please', 'read', 'response', 'customer', 'adlh', 'nmr', '']")</f>
        <v>['Provider', 'Telkomsel', 'Please', 'repaired', 'Jringanny', 'Special', 'Sulawesi', 'North', 'area', 'Minahasa', 'buy', 'pulses',' Expensive ',' Jringanny ',' No ", 'comparable', 'Severe', 'Abis', 'Telkomsel', 'Advertising', 'JRINGAN', 'NMR', 'Ngga', 'according to', 'Ohia' , 'area', 'fast', 'dri', 'no', 'stable', 'please', 'read', 'response', 'customer', 'adlh', 'nmr', '']</v>
      </c>
      <c r="D1814" s="3">
        <v>1.0</v>
      </c>
    </row>
    <row r="1815" ht="15.75" customHeight="1">
      <c r="A1815" s="1">
        <v>1813.0</v>
      </c>
      <c r="B1815" s="3" t="s">
        <v>1816</v>
      </c>
      <c r="C1815" s="3" t="str">
        <f>IFERROR(__xludf.DUMMYFUNCTION("GOOGLETRANSLATE(B1815,""id"",""en"")"),"['Wear', 'Telkomsel', 'Satisfied', 'Change', 'Telkomsel', 'Signal', 'Smooth', 'Slow', 'Fun', 'Play', 'Game', 'Reasons',' Signal ',' Changed ',' Best ',' Telkomsel ',' Come ',' Hurry ',' Move ',' Provider ']")</f>
        <v>['Wear', 'Telkomsel', 'Satisfied', 'Change', 'Telkomsel', 'Signal', 'Smooth', 'Slow', 'Fun', 'Play', 'Game', 'Reasons',' Signal ',' Changed ',' Best ',' Telkomsel ',' Come ',' Hurry ',' Move ',' Provider ']</v>
      </c>
      <c r="D1815" s="3">
        <v>1.0</v>
      </c>
    </row>
    <row r="1816" ht="15.75" customHeight="1">
      <c r="A1816" s="1">
        <v>1814.0</v>
      </c>
      <c r="B1816" s="3" t="s">
        <v>1817</v>
      </c>
      <c r="C1816" s="3" t="str">
        <f>IFERROR(__xludf.DUMMYFUNCTION("GOOGLETRANSLATE(B1816,""id"",""en"")"),"['It seems',' network ',' difficult ',' times', 'use', 'network', 'Telkomsel', 'difficult', 'Sya', 'Telkomsel', 'because', 'network', ' "", 'Severe', 'Network', 'Telkomsel', 'UDH', 'expensive', 'Sush', 'according to', 'Hargay', 'Males', 'Jga', 'Telkomsel'"&amp;", 'Network' , 'bad', '']")</f>
        <v>['It seems',' network ',' difficult ',' times', 'use', 'network', 'Telkomsel', 'difficult', 'Sya', 'Telkomsel', 'because', 'network', ' ", 'Severe', 'Network', 'Telkomsel', 'UDH', 'expensive', 'Sush', 'according to', 'Hargay', 'Males', 'Jga', 'Telkomsel', 'Network' , 'bad', '']</v>
      </c>
      <c r="D1816" s="3">
        <v>1.0</v>
      </c>
    </row>
    <row r="1817" ht="15.75" customHeight="1">
      <c r="A1817" s="1">
        <v>1815.0</v>
      </c>
      <c r="B1817" s="3" t="s">
        <v>1818</v>
      </c>
      <c r="C1817" s="3" t="str">
        <f>IFERROR(__xludf.DUMMYFUNCTION("GOOGLETRANSLATE(B1817,""id"",""en"")"),"['Severe', 'Telkomsel', 'Package', 'Combo', 'Sakti', 'GB', 'Price', 'Yesterday', 'Rb', 'Rb', 'Rising', 'Ramadhan', ' Pulak ',' price ',' Uda ',' expensive ',' tip ',' moved ',' provider ',' Telkomsel ',' Telkomsel ',' contents', 'person', 'Jewish', 'expen"&amp;"sive' , 'critical', '']")</f>
        <v>['Severe', 'Telkomsel', 'Package', 'Combo', 'Sakti', 'GB', 'Price', 'Yesterday', 'Rb', 'Rb', 'Rising', 'Ramadhan', ' Pulak ',' price ',' Uda ',' expensive ',' tip ',' moved ',' provider ',' Telkomsel ',' Telkomsel ',' contents', 'person', 'Jewish', 'expensive' , 'critical', '']</v>
      </c>
      <c r="D1817" s="3">
        <v>1.0</v>
      </c>
    </row>
    <row r="1818" ht="15.75" customHeight="1">
      <c r="A1818" s="1">
        <v>1816.0</v>
      </c>
      <c r="B1818" s="3" t="s">
        <v>1819</v>
      </c>
      <c r="C1818" s="3" t="str">
        <f>IFERROR(__xludf.DUMMYFUNCTION("GOOGLETRANSLATE(B1818,""id"",""en"")"),"['buy', 'package', 'internet', 'signal', 'good', 'youtube', 'smooth', 'right', 'buy', 'package', 'error', 'connection', ' Please '""Fix']")</f>
        <v>['buy', 'package', 'internet', 'signal', 'good', 'youtube', 'smooth', 'right', 'buy', 'package', 'error', 'connection', ' Please '"Fix']</v>
      </c>
      <c r="D1818" s="3">
        <v>1.0</v>
      </c>
    </row>
    <row r="1819" ht="15.75" customHeight="1">
      <c r="A1819" s="1">
        <v>1817.0</v>
      </c>
      <c r="B1819" s="3" t="s">
        <v>1820</v>
      </c>
      <c r="C1819" s="3" t="str">
        <f>IFERROR(__xludf.DUMMYFUNCTION("GOOGLETRANSLATE(B1819,""id"",""en"")"),"['apk', 'knpa', 'bgsd', 'error', 'mulu', 'network', 'play', 'high', 'domino', 'good', 'right', 'open', ' APK ',' Blang ',' Network ',' Stable ',' Please ',' Try ',' ASOH ',' ASOH ',' Gini ',' Change ',' Propaidider ']")</f>
        <v>['apk', 'knpa', 'bgsd', 'error', 'mulu', 'network', 'play', 'high', 'domino', 'good', 'right', 'open', ' APK ',' Blang ',' Network ',' Stable ',' Please ',' Try ',' ASOH ',' ASOH ',' Gini ',' Change ',' Propaidider ']</v>
      </c>
      <c r="D1819" s="3">
        <v>1.0</v>
      </c>
    </row>
    <row r="1820" ht="15.75" customHeight="1">
      <c r="A1820" s="1">
        <v>1818.0</v>
      </c>
      <c r="B1820" s="3" t="s">
        <v>1821</v>
      </c>
      <c r="C1820" s="3" t="str">
        <f>IFERROR(__xludf.DUMMYFUNCTION("GOOGLETRANSLATE(B1820,""id"",""en"")"),"['expensive', 'cheap', 'Rb', 'moved', 'proveder', 'pulse', 'sumps',' Telkomsel ',' mangins', 'be', 'okk', 'ayok', ' Love ',' star ',' Telkomsel ',' Thinking ',' Material ',' Evaluation ', ""]")</f>
        <v>['expensive', 'cheap', 'Rb', 'moved', 'proveder', 'pulse', 'sumps',' Telkomsel ',' mangins', 'be', 'okk', 'ayok', ' Love ',' star ',' Telkomsel ',' Thinking ',' Material ',' Evaluation ', "]</v>
      </c>
      <c r="D1820" s="3">
        <v>1.0</v>
      </c>
    </row>
    <row r="1821" ht="15.75" customHeight="1">
      <c r="A1821" s="1">
        <v>1819.0</v>
      </c>
      <c r="B1821" s="3" t="s">
        <v>1822</v>
      </c>
      <c r="C1821" s="3" t="str">
        <f>IFERROR(__xludf.DUMMYFUNCTION("GOOGLETRANSLATE(B1821,""id"",""en"")"),"['Network', 'good', 'policy', 'detrimental', 'list', 'package', 'internet', 'most', 'choice', 'type', 'card', 'count it', ' ugly ',' quota ',' internet ',' run out ',' forget ',' list ',' pulse ',' sucked ',' notification ',' right ',' pulse ',' cut "", '"&amp;"half' , 'example', 'pulse', 'thousand', 'forget', 'list', 'package', 'internet', 'biarin', 'open', 'internet', 'anything', 'right', ' Cut ',' thousand ',' sms', 'notification']")</f>
        <v>['Network', 'good', 'policy', 'detrimental', 'list', 'package', 'internet', 'most', 'choice', 'type', 'card', 'count it', ' ugly ',' quota ',' internet ',' run out ',' forget ',' list ',' pulse ',' sucked ',' notification ',' right ',' pulse ',' cut ", 'half' , 'example', 'pulse', 'thousand', 'forget', 'list', 'package', 'internet', 'biarin', 'open', 'internet', 'anything', 'right', ' Cut ',' thousand ',' sms', 'notification']</v>
      </c>
      <c r="D1821" s="3">
        <v>1.0</v>
      </c>
    </row>
    <row r="1822" ht="15.75" customHeight="1">
      <c r="A1822" s="1">
        <v>1820.0</v>
      </c>
      <c r="B1822" s="3" t="s">
        <v>1823</v>
      </c>
      <c r="C1822" s="3" t="str">
        <f>IFERROR(__xludf.DUMMYFUNCTION("GOOGLETRANSLATE(B1822,""id"",""en"")"),"['Satisfied', 'internet', 'Kenceng', 'already', 'package', 'internet', 'data', 'cellular', 'already', 'live', 'please', 'fix', ' ']")</f>
        <v>['Satisfied', 'internet', 'Kenceng', 'already', 'package', 'internet', 'data', 'cellular', 'already', 'live', 'please', 'fix', ' ']</v>
      </c>
      <c r="D1822" s="3">
        <v>3.0</v>
      </c>
    </row>
    <row r="1823" ht="15.75" customHeight="1">
      <c r="A1823" s="1">
        <v>1821.0</v>
      </c>
      <c r="B1823" s="3" t="s">
        <v>1824</v>
      </c>
      <c r="C1823" s="3" t="str">
        <f>IFERROR(__xludf.DUMMYFUNCTION("GOOGLETRANSLATE(B1823,""id"",""en"")"),"['application', 'open', 'complete', 'practical', 'description', 'package', 'detailed', 'make it easy', 'choose', 'increase', 'package', 'package', ' The prize ',' promo ',' help ',' community ',' thank ',' love ',' Telkomsel ']")</f>
        <v>['application', 'open', 'complete', 'practical', 'description', 'package', 'detailed', 'make it easy', 'choose', 'increase', 'package', 'package', ' The prize ',' promo ',' help ',' community ',' thank ',' love ',' Telkomsel ']</v>
      </c>
      <c r="D1823" s="3">
        <v>5.0</v>
      </c>
    </row>
    <row r="1824" ht="15.75" customHeight="1">
      <c r="A1824" s="1">
        <v>1822.0</v>
      </c>
      <c r="B1824" s="3" t="s">
        <v>1825</v>
      </c>
      <c r="C1824" s="3" t="str">
        <f>IFERROR(__xludf.DUMMYFUNCTION("GOOGLETRANSLATE(B1824,""id"",""en"")"),"['signal', 'TanjungRasa', 'Kab', 'Bogor', 'SDN', 'Cibungur', 'ugly', 'How', 'Learning', 'Online', 'Lemot', 'Please', ' repaired ',' advanced ',' signal ',' region ',' slow ',' kek ',' gini ',' quota ',' already ',' yes', 'pairs',' wifi ']")</f>
        <v>['signal', 'TanjungRasa', 'Kab', 'Bogor', 'SDN', 'Cibungur', 'ugly', 'How', 'Learning', 'Online', 'Lemot', 'Please', ' repaired ',' advanced ',' signal ',' region ',' slow ',' kek ',' gini ',' quota ',' already ',' yes', 'pairs',' wifi ']</v>
      </c>
      <c r="D1824" s="3">
        <v>1.0</v>
      </c>
    </row>
    <row r="1825" ht="15.75" customHeight="1">
      <c r="A1825" s="1">
        <v>1823.0</v>
      </c>
      <c r="B1825" s="3" t="s">
        <v>1826</v>
      </c>
      <c r="C1825" s="3" t="str">
        <f>IFERROR(__xludf.DUMMYFUNCTION("GOOGLETRANSLATE(B1825,""id"",""en"")"),"['consumer', 'loyal', 'Telkomsel', 'ordinary', 'disappointed', 'pulse', 'sucked', 'fees',' anything ',' tlsel ',' expensive ',' already ',' Cheating ',' Package ',' Bust ',' Syaa ',' Cana ',' Writing ',' Disadvantages', 'Natural', 'Telkomsel', 'Godbye', '"&amp;"Telkomsel', 'Call', 'Utuk' , 'Telkomsel', '']")</f>
        <v>['consumer', 'loyal', 'Telkomsel', 'ordinary', 'disappointed', 'pulse', 'sucked', 'fees',' anything ',' tlsel ',' expensive ',' already ',' Cheating ',' Package ',' Bust ',' Syaa ',' Cana ',' Writing ',' Disadvantages', 'Natural', 'Telkomsel', 'Godbye', 'Telkomsel', 'Call', 'Utuk' , 'Telkomsel', '']</v>
      </c>
      <c r="D1825" s="3">
        <v>1.0</v>
      </c>
    </row>
    <row r="1826" ht="15.75" customHeight="1">
      <c r="A1826" s="1">
        <v>1824.0</v>
      </c>
      <c r="B1826" s="3" t="s">
        <v>1827</v>
      </c>
      <c r="C1826" s="3" t="str">
        <f>IFERROR(__xludf.DUMMYFUNCTION("GOOGLETRANSLATE(B1826,""id"",""en"")"),"['connection', 'good', 'network', 'data', 'good', 'network', 'wifi', 'good', 'open', 'application', 'refres',' look ',' Gek ',' Bener ',' Sometimes']")</f>
        <v>['connection', 'good', 'network', 'data', 'good', 'network', 'wifi', 'good', 'open', 'application', 'refres',' look ',' Gek ',' Bener ',' Sometimes']</v>
      </c>
      <c r="D1826" s="3">
        <v>2.0</v>
      </c>
    </row>
    <row r="1827" ht="15.75" customHeight="1">
      <c r="A1827" s="1">
        <v>1825.0</v>
      </c>
      <c r="B1827" s="3" t="s">
        <v>1828</v>
      </c>
      <c r="C1827" s="3" t="str">
        <f>IFERROR(__xludf.DUMMYFUNCTION("GOOGLETRANSLATE(B1827,""id"",""en"")"),"['Sixai', 'Customer', 'Telkomsel', 'times',' SNGAT ',' Disappointed ',' Package ',' UnlimitedMax ',' LEG ',' Abis', 'Package', 'Local', ' Kayak ',' Skrang ',' Abis', 'limit', 'already', 'slow', 'access',' YouTube ',' etc. ',' ']")</f>
        <v>['Sixai', 'Customer', 'Telkomsel', 'times',' SNGAT ',' Disappointed ',' Package ',' UnlimitedMax ',' LEG ',' Abis', 'Package', 'Local', ' Kayak ',' Skrang ',' Abis', 'limit', 'already', 'slow', 'access',' YouTube ',' etc. ',' ']</v>
      </c>
      <c r="D1827" s="3">
        <v>1.0</v>
      </c>
    </row>
    <row r="1828" ht="15.75" customHeight="1">
      <c r="A1828" s="1">
        <v>1826.0</v>
      </c>
      <c r="B1828" s="3" t="s">
        <v>1829</v>
      </c>
      <c r="C1828" s="3" t="str">
        <f>IFERROR(__xludf.DUMMYFUNCTION("GOOGLETRANSLATE(B1828,""id"",""en"")"),"['Telkomsel', 'practical', 'easy', 'gift', 'weekly', 'Telkomsel', 'point', 'okay', 'really', 'hope', 'lucky', 'gift', ' Utilizing ',' Application ',' Telkomsel ',' ']")</f>
        <v>['Telkomsel', 'practical', 'easy', 'gift', 'weekly', 'Telkomsel', 'point', 'okay', 'really', 'hope', 'lucky', 'gift', ' Utilizing ',' Application ',' Telkomsel ',' ']</v>
      </c>
      <c r="D1828" s="3">
        <v>5.0</v>
      </c>
    </row>
    <row r="1829" ht="15.75" customHeight="1">
      <c r="A1829" s="1">
        <v>1827.0</v>
      </c>
      <c r="B1829" s="3" t="s">
        <v>1830</v>
      </c>
      <c r="C1829" s="3" t="str">
        <f>IFERROR(__xludf.DUMMYFUNCTION("GOOGLETRANSLATE(B1829,""id"",""en"")"),"['Get', 'promo', 'package', 'cheerful', 'GB', 'Try', 'buy', 'pulse', 'buy', 'pulses',' right ',' try ',' Check ',' pulse ',' intact ',' tsel ',' stingy ',' stingy ',' sek ',' that's', 'gave', 'promo']")</f>
        <v>['Get', 'promo', 'package', 'cheerful', 'GB', 'Try', 'buy', 'pulse', 'buy', 'pulses',' right ',' try ',' Check ',' pulse ',' intact ',' tsel ',' stingy ',' stingy ',' sek ',' that's', 'gave', 'promo']</v>
      </c>
      <c r="D1829" s="3">
        <v>1.0</v>
      </c>
    </row>
    <row r="1830" ht="15.75" customHeight="1">
      <c r="A1830" s="1">
        <v>1828.0</v>
      </c>
      <c r="B1830" s="3" t="s">
        <v>1831</v>
      </c>
      <c r="C1830" s="3" t="str">
        <f>IFERROR(__xludf.DUMMYFUNCTION("GOOGLETRANSLATE(B1830,""id"",""en"")"),"['like', 'tsel', 'reach', 'signal', 'tasty', 'until', 'remote', 'remote', 'price', 'decent', 'operator', 'emang', ' Make ',' Tsel ',' smooth ',' meek ',' disorder ',' buffering ',' task ',' ']")</f>
        <v>['like', 'tsel', 'reach', 'signal', 'tasty', 'until', 'remote', 'remote', 'price', 'decent', 'operator', 'emang', ' Make ',' Tsel ',' smooth ',' meek ',' disorder ',' buffering ',' task ',' ']</v>
      </c>
      <c r="D1830" s="3">
        <v>5.0</v>
      </c>
    </row>
    <row r="1831" ht="15.75" customHeight="1">
      <c r="A1831" s="1">
        <v>1829.0</v>
      </c>
      <c r="B1831" s="3" t="s">
        <v>1832</v>
      </c>
      <c r="C1831" s="3" t="str">
        <f>IFERROR(__xludf.DUMMYFUNCTION("GOOGLETRANSLATE(B1831,""id"",""en"")"),"['buy', 'package', 'quota', 'internet', 'active', 'package', 'masi', 'package', 'internet', 'use', 'package', 'internet', ' purchased ',' pulse ',' eaten ',' run out ']")</f>
        <v>['buy', 'package', 'quota', 'internet', 'active', 'package', 'masi', 'package', 'internet', 'use', 'package', 'internet', ' purchased ',' pulse ',' eaten ',' run out ']</v>
      </c>
      <c r="D1831" s="3">
        <v>1.0</v>
      </c>
    </row>
    <row r="1832" ht="15.75" customHeight="1">
      <c r="A1832" s="1">
        <v>1830.0</v>
      </c>
      <c r="B1832" s="3" t="s">
        <v>1833</v>
      </c>
      <c r="C1832" s="3" t="str">
        <f>IFERROR(__xludf.DUMMYFUNCTION("GOOGLETRANSLATE(B1832,""id"",""en"")"),"['Combo', 'Sakti', 'Unlimited', 'Unlimited', 'limit', 'quota', 'app', 'Costumer', 'Service', 'Twitter', 'Slow', 'response', ' Send ',' responded ']")</f>
        <v>['Combo', 'Sakti', 'Unlimited', 'Unlimited', 'limit', 'quota', 'app', 'Costumer', 'Service', 'Twitter', 'Slow', 'response', ' Send ',' responded ']</v>
      </c>
      <c r="D1832" s="3">
        <v>3.0</v>
      </c>
    </row>
    <row r="1833" ht="15.75" customHeight="1">
      <c r="A1833" s="1">
        <v>1831.0</v>
      </c>
      <c r="B1833" s="3" t="s">
        <v>1834</v>
      </c>
      <c r="C1833" s="3" t="str">
        <f>IFERROR(__xludf.DUMMYFUNCTION("GOOGLETRANSLATE(B1833,""id"",""en"")"),"['complaints',' all ',' pulses', 'sucked', 'reported', 'internet', 'GPRS', 'active', 'net', 'data', 'Telkomsel', 'turn it off', ' Inet ',' Provider ',' Discard ',' Card ',' Subscriptions', 'Telkomsel', 'Disappointed', 'Customer', 'Donk', ""]")</f>
        <v>['complaints',' all ',' pulses', 'sucked', 'reported', 'internet', 'GPRS', 'active', 'net', 'data', 'Telkomsel', 'turn it off', ' Inet ',' Provider ',' Discard ',' Card ',' Subscriptions', 'Telkomsel', 'Disappointed', 'Customer', 'Donk', "]</v>
      </c>
      <c r="D1833" s="3">
        <v>1.0</v>
      </c>
    </row>
    <row r="1834" ht="15.75" customHeight="1">
      <c r="A1834" s="1">
        <v>1832.0</v>
      </c>
      <c r="B1834" s="3" t="s">
        <v>1835</v>
      </c>
      <c r="C1834" s="3" t="str">
        <f>IFERROR(__xludf.DUMMYFUNCTION("GOOGLETRANSLATE(B1834,""id"",""en"")"),"['application', 'Telkomsel', 'friend', 'compare', 'application', 'Telkomsel', 'Different', 'bid', 'sales',' quota ',' expensive ',' application ',' System ',' Telkomsel ',' Treat ',' Customer ',' Customer ',' ']")</f>
        <v>['application', 'Telkomsel', 'friend', 'compare', 'application', 'Telkomsel', 'Different', 'bid', 'sales',' quota ',' expensive ',' application ',' System ',' Telkomsel ',' Treat ',' Customer ',' Customer ',' ']</v>
      </c>
      <c r="D1834" s="3">
        <v>1.0</v>
      </c>
    </row>
    <row r="1835" ht="15.75" customHeight="1">
      <c r="A1835" s="1">
        <v>1833.0</v>
      </c>
      <c r="B1835" s="3" t="s">
        <v>1836</v>
      </c>
      <c r="C1835" s="3" t="str">
        <f>IFERROR(__xludf.DUMMYFUNCTION("GOOGLETRANSLATE(B1835,""id"",""en"")"),"['thank', 'love', 'mytelkomsel', 'sahabatan', 'user', 'loyal', 'already', 'complaints', 'input', 'please', 'consider', '']")</f>
        <v>['thank', 'love', 'mytelkomsel', 'sahabatan', 'user', 'loyal', 'already', 'complaints', 'input', 'please', 'consider', '']</v>
      </c>
      <c r="D1835" s="3">
        <v>5.0</v>
      </c>
    </row>
    <row r="1836" ht="15.75" customHeight="1">
      <c r="A1836" s="1">
        <v>1834.0</v>
      </c>
      <c r="B1836" s="3" t="s">
        <v>1837</v>
      </c>
      <c r="C1836" s="3" t="str">
        <f>IFERROR(__xludf.DUMMYFUNCTION("GOOGLETRANSLATE(B1836,""id"",""en"")"),"['Damn', 'Telkomsel', 'Matangan', 'already', 'TPI', 'Slow', 'Disruption', 'Weather', 'Weather', 'Complaints',' Fix ',' Distance ',' Transmitter ',' TELKOM ',' Wrong ',' Sya ',' user ',' dri ',' telkom ',' dri ',' yrs', 'in the area', 'sya', 'soak', 'annoy"&amp;"ed' , 'Network', 'slow', 'already', 'please', 'fix', '']")</f>
        <v>['Damn', 'Telkomsel', 'Matangan', 'already', 'TPI', 'Slow', 'Disruption', 'Weather', 'Weather', 'Complaints',' Fix ',' Distance ',' Transmitter ',' TELKOM ',' Wrong ',' Sya ',' user ',' dri ',' telkom ',' dri ',' yrs', 'in the area', 'sya', 'soak', 'annoyed' , 'Network', 'slow', 'already', 'please', 'fix', '']</v>
      </c>
      <c r="D1836" s="3">
        <v>1.0</v>
      </c>
    </row>
    <row r="1837" ht="15.75" customHeight="1">
      <c r="A1837" s="1">
        <v>1835.0</v>
      </c>
      <c r="B1837" s="3" t="s">
        <v>1838</v>
      </c>
      <c r="C1837" s="3" t="str">
        <f>IFERROR(__xludf.DUMMYFUNCTION("GOOGLETRANSLATE(B1837,""id"",""en"")"),"['Please', 'Fix', 'Network', 'Paketan', 'Banyk', 'TPI', 'Network', 'lag', 'Sudh', 'Yesterday', 'network', 'lag', ' Send ',' Message ',' SJA ',' TNDA ',' Clock ',' Open ',' High School ',' lag ',' Please ',' Fix ',' PDAH ',' Buy ',' Package ' , 'LGI', 'pac"&amp;"kage', 'enter', 'for', 'there', 'write', 'subscribe', 'pdhal', 'sya', 'perhow', 'subscribe', 'please', ' repair', '']")</f>
        <v>['Please', 'Fix', 'Network', 'Paketan', 'Banyk', 'TPI', 'Network', 'lag', 'Sudh', 'Yesterday', 'network', 'lag', ' Send ',' Message ',' SJA ',' TNDA ',' Clock ',' Open ',' High School ',' lag ',' Please ',' Fix ',' PDAH ',' Buy ',' Package ' , 'LGI', 'package', 'enter', 'for', 'there', 'write', 'subscribe', 'pdhal', 'sya', 'perhow', 'subscribe', 'please', ' repair', '']</v>
      </c>
      <c r="D1837" s="3">
        <v>5.0</v>
      </c>
    </row>
    <row r="1838" ht="15.75" customHeight="1">
      <c r="A1838" s="1">
        <v>1836.0</v>
      </c>
      <c r="B1838" s="3" t="s">
        <v>1839</v>
      </c>
      <c r="C1838" s="3" t="str">
        <f>IFERROR(__xludf.DUMMYFUNCTION("GOOGLETRANSLATE(B1838,""id"",""en"")"),"['', 'love', 'star', 'apps',' love ',' star ',' deh ',' hope ',' material ',' improvement ',' his programer ',' contents', 'buy ',' quota ',' weighs', 'forgiveness',' deh ',' ngemberin ',' application ',' marketplace ',' application ',' medsos']")</f>
        <v>['', 'love', 'star', 'apps',' love ',' star ',' deh ',' hope ',' material ',' improvement ',' his programer ',' contents', 'buy ',' quota ',' weighs', 'forgiveness',' deh ',' ngemberin ',' application ',' marketplace ',' application ',' medsos']</v>
      </c>
      <c r="D1838" s="3">
        <v>3.0</v>
      </c>
    </row>
    <row r="1839" ht="15.75" customHeight="1">
      <c r="A1839" s="1">
        <v>1837.0</v>
      </c>
      <c r="B1839" s="3" t="s">
        <v>1840</v>
      </c>
      <c r="C1839" s="3" t="str">
        <f>IFERROR(__xludf.DUMMYFUNCTION("GOOGLETRANSLATE(B1839,""id"",""en"")"),"['Service', 'MyTelkomsel', 'makes it easy', 'choose', 'package', 'Available', 'Points',' collected ',' exchange ',' Points', 'Easy', 'Congratulations',' try']")</f>
        <v>['Service', 'MyTelkomsel', 'makes it easy', 'choose', 'package', 'Available', 'Points',' collected ',' exchange ',' Points', 'Easy', 'Congratulations',' try']</v>
      </c>
      <c r="D1839" s="3">
        <v>5.0</v>
      </c>
    </row>
    <row r="1840" ht="15.75" customHeight="1">
      <c r="A1840" s="1">
        <v>1838.0</v>
      </c>
      <c r="B1840" s="3" t="s">
        <v>1841</v>
      </c>
      <c r="C1840" s="3" t="str">
        <f>IFERROR(__xludf.DUMMYFUNCTION("GOOGLETRANSLATE(B1840,""id"",""en"")"),"['Telkomsel', 'destroyed', 'fix it', 'network', 'damaged', 'customer', 'loyal', 'Mari', 'replace', 'Severe', 'oath', 'jarongan', ' Telkomsel ']")</f>
        <v>['Telkomsel', 'destroyed', 'fix it', 'network', 'damaged', 'customer', 'loyal', 'Mari', 'replace', 'Severe', 'oath', 'jarongan', ' Telkomsel ']</v>
      </c>
      <c r="D1840" s="3">
        <v>1.0</v>
      </c>
    </row>
    <row r="1841" ht="15.75" customHeight="1">
      <c r="A1841" s="1">
        <v>1839.0</v>
      </c>
      <c r="B1841" s="3" t="s">
        <v>1842</v>
      </c>
      <c r="C1841" s="3" t="str">
        <f>IFERROR(__xludf.DUMMYFUNCTION("GOOGLETRANSLATE(B1841,""id"",""en"")"),"['pulse', 'buy', 'buy', 'package', 'UDH', 'pull', 'try', 'learn', 'APP', 'AXIS', 'pulse', 'key', ' no ',' suck ',' no ',' in the future ',' consumer ',' povider ',' no ',' loss', ""]")</f>
        <v>['pulse', 'buy', 'buy', 'package', 'UDH', 'pull', 'try', 'learn', 'APP', 'AXIS', 'pulse', 'key', ' no ',' suck ',' no ',' in the future ',' consumer ',' povider ',' no ',' loss', "]</v>
      </c>
      <c r="D1841" s="3">
        <v>1.0</v>
      </c>
    </row>
    <row r="1842" ht="15.75" customHeight="1">
      <c r="A1842" s="1">
        <v>1840.0</v>
      </c>
      <c r="B1842" s="3" t="s">
        <v>1843</v>
      </c>
      <c r="C1842" s="3" t="str">
        <f>IFERROR(__xludf.DUMMYFUNCTION("GOOGLETRANSLATE(B1842,""id"",""en"")"),"['Package', 'Kouta', 'Daptar', 'Package', 'Open', 'Package', 'Kouta', 'Out', 'Alias',' Sumpot ',' Operator ',' Siall ',' Telkomsel ',' Koutaa ',' Suck ',' Gini ',' Auto ',' Change ',' Card ',' Thank you ',' Telkomsel ', ""]")</f>
        <v>['Package', 'Kouta', 'Daptar', 'Package', 'Open', 'Package', 'Kouta', 'Out', 'Alias',' Sumpot ',' Operator ',' Siall ',' Telkomsel ',' Koutaa ',' Suck ',' Gini ',' Auto ',' Change ',' Card ',' Thank you ',' Telkomsel ', "]</v>
      </c>
      <c r="D1842" s="3">
        <v>1.0</v>
      </c>
    </row>
    <row r="1843" ht="15.75" customHeight="1">
      <c r="A1843" s="1">
        <v>1841.0</v>
      </c>
      <c r="B1843" s="3" t="s">
        <v>1844</v>
      </c>
      <c r="C1843" s="3" t="str">
        <f>IFERROR(__xludf.DUMMYFUNCTION("GOOGLETRANSLATE(B1843,""id"",""en"")"),"['Package', 'Unlimited', 'Dri', 'Collapin', 'Please', 'Return', 'Package', 'Network', 'Like', 'Leg', 'Reducin', 'Please', ' Telkomsel ',' ']")</f>
        <v>['Package', 'Unlimited', 'Dri', 'Collapin', 'Please', 'Return', 'Package', 'Network', 'Like', 'Leg', 'Reducin', 'Please', ' Telkomsel ',' ']</v>
      </c>
      <c r="D1843" s="3">
        <v>1.0</v>
      </c>
    </row>
    <row r="1844" ht="15.75" customHeight="1">
      <c r="A1844" s="1">
        <v>1842.0</v>
      </c>
      <c r="B1844" s="3" t="s">
        <v>1845</v>
      </c>
      <c r="C1844" s="3" t="str">
        <f>IFERROR(__xludf.DUMMYFUNCTION("GOOGLETRANSLATE(B1844,""id"",""en"")"),"['Severe', 'Telkomsel', 'Package', 'Thinking', 'Overload', 'Customer', 'Pulses',' Pas', 'Pasan', 'Consistent', 'Luinganan', 'Customer', ' Operators', 'cheap', 'hope', 'reference', 'customers',' disappointing ',' ']")</f>
        <v>['Severe', 'Telkomsel', 'Package', 'Thinking', 'Overload', 'Customer', 'Pulses',' Pas', 'Pasan', 'Consistent', 'Luinganan', 'Customer', ' Operators', 'cheap', 'hope', 'reference', 'customers',' disappointing ',' ']</v>
      </c>
      <c r="D1844" s="3">
        <v>1.0</v>
      </c>
    </row>
    <row r="1845" ht="15.75" customHeight="1">
      <c r="A1845" s="1">
        <v>1843.0</v>
      </c>
      <c r="B1845" s="3" t="s">
        <v>1846</v>
      </c>
      <c r="C1845" s="3" t="str">
        <f>IFERROR(__xludf.DUMMYFUNCTION("GOOGLETRANSLATE(B1845,""id"",""en"")"),"['Ngeta', 'Reiness',' Key ',' Pulse ',' Bececeran ',' Where ',' Please ',' Settings', 'Key', 'Key', 'Credit', 'Axis',' settings', 'key', 'pulse', 'ehhh', 'telkom', 'disappointed', 'contents',' pulses', 'abis',' truss', 'kemeranoolangg', 'toelllkkkkkooommm"&amp;"mmmmssseeelll' , 'setting', 'key', 'pulse', 'kayak', 'axiss',' telkom ',' benerin ',' or ',' voceryah ',' kolo ',' contents', 'read', ' Cak ',' Network ',' Busy ',' Wait ',' Sedi ',' ']")</f>
        <v>['Ngeta', 'Reiness',' Key ',' Pulse ',' Bececeran ',' Where ',' Please ',' Settings', 'Key', 'Key', 'Credit', 'Axis',' settings', 'key', 'pulse', 'ehhh', 'telkom', 'disappointed', 'contents',' pulses', 'abis',' truss', 'kemeranoolangg', 'toelllkkkkkooommmmmmmssseeelll' , 'setting', 'key', 'pulse', 'kayak', 'axiss',' telkom ',' benerin ',' or ',' voceryah ',' kolo ',' contents', 'read', ' Cak ',' Network ',' Busy ',' Wait ',' Sedi ',' ']</v>
      </c>
      <c r="D1845" s="3">
        <v>1.0</v>
      </c>
    </row>
    <row r="1846" ht="15.75" customHeight="1">
      <c r="A1846" s="1">
        <v>1844.0</v>
      </c>
      <c r="B1846" s="3" t="s">
        <v>1847</v>
      </c>
      <c r="C1846" s="3" t="str">
        <f>IFERROR(__xludf.DUMMYFUNCTION("GOOGLETRANSLATE(B1846,""id"",""en"")"),"['', 'his writing', 'mAh', 'quota', 'main', 'GB', 'GB', 'sosmed', 'chat', 'reality', 'quota', 'main', 'quota ',' main ',' run out ',' quota ',' sosmed ',' star ',' good ',' Telkomsel ',' disappointed ',' ']")</f>
        <v>['', 'his writing', 'mAh', 'quota', 'main', 'GB', 'GB', 'sosmed', 'chat', 'reality', 'quota', 'main', 'quota ',' main ',' run out ',' quota ',' sosmed ',' star ',' good ',' Telkomsel ',' disappointed ',' ']</v>
      </c>
      <c r="D1846" s="3">
        <v>1.0</v>
      </c>
    </row>
    <row r="1847" ht="15.75" customHeight="1">
      <c r="A1847" s="1">
        <v>1845.0</v>
      </c>
      <c r="B1847" s="3" t="s">
        <v>1848</v>
      </c>
      <c r="C1847" s="3" t="str">
        <f>IFERROR(__xludf.DUMMYFUNCTION("GOOGLETRANSLATE(B1847,""id"",""en"")"),"['Telkomsel', 'Network', 'Indonesia', 'Application', 'Easy to', 'Purchase', 'Package', 'Internet', 'Exchange', 'Point', 'Thanks', 'Telkomsel']")</f>
        <v>['Telkomsel', 'Network', 'Indonesia', 'Application', 'Easy to', 'Purchase', 'Package', 'Internet', 'Exchange', 'Point', 'Thanks', 'Telkomsel']</v>
      </c>
      <c r="D1847" s="3">
        <v>5.0</v>
      </c>
    </row>
    <row r="1848" ht="15.75" customHeight="1">
      <c r="A1848" s="1">
        <v>1846.0</v>
      </c>
      <c r="B1848" s="3" t="s">
        <v>1849</v>
      </c>
      <c r="C1848" s="3" t="str">
        <f>IFERROR(__xludf.DUMMYFUNCTION("GOOGLETRANSLATE(B1848,""id"",""en"")"),"['Telkomsel', 'loyal', 'wear', 'card', 'sympathy', 'wear', 'number', 'number', 'use', 'request', 'user', 'loyal', ' card ',' equalized ',' like ',' gontain ',' change ',' card ',' quota ',' internet ',' cheap ',' compared to ',' respect ',' user ',' card "&amp;"' , 'thank you', '']")</f>
        <v>['Telkomsel', 'loyal', 'wear', 'card', 'sympathy', 'wear', 'number', 'number', 'use', 'request', 'user', 'loyal', ' card ',' equalized ',' like ',' gontain ',' change ',' card ',' quota ',' internet ',' cheap ',' compared to ',' respect ',' user ',' card ' , 'thank you', '']</v>
      </c>
      <c r="D1848" s="3">
        <v>3.0</v>
      </c>
    </row>
    <row r="1849" ht="15.75" customHeight="1">
      <c r="A1849" s="1">
        <v>1847.0</v>
      </c>
      <c r="B1849" s="3" t="s">
        <v>1850</v>
      </c>
      <c r="C1849" s="3" t="str">
        <f>IFERROR(__xludf.DUMMYFUNCTION("GOOGLETRANSLATE(B1849,""id"",""en"")"),"['strange', 'really', 'fill', 'pulse', 'thousand', 'notification', 'link', 'enter', 'kaga', 'enter', 'recommendation', 'application', ' Mending ',' Rework ']")</f>
        <v>['strange', 'really', 'fill', 'pulse', 'thousand', 'notification', 'link', 'enter', 'kaga', 'enter', 'recommendation', 'application', ' Mending ',' Rework ']</v>
      </c>
      <c r="D1849" s="3">
        <v>1.0</v>
      </c>
    </row>
    <row r="1850" ht="15.75" customHeight="1">
      <c r="A1850" s="1">
        <v>1848.0</v>
      </c>
      <c r="B1850" s="3" t="s">
        <v>1851</v>
      </c>
      <c r="C1850" s="3" t="str">
        <f>IFERROR(__xludf.DUMMYFUNCTION("GOOGLETRANSLATE(B1850,""id"",""en"")"),"['application', 'slow', 'connection', 'open', 'application', 'can be', 'download', 'fast', 'application', 'Telkomsel', 'slow', 'forgiveness',' ']")</f>
        <v>['application', 'slow', 'connection', 'open', 'application', 'can be', 'download', 'fast', 'application', 'Telkomsel', 'slow', 'forgiveness',' ']</v>
      </c>
      <c r="D1850" s="3">
        <v>3.0</v>
      </c>
    </row>
    <row r="1851" ht="15.75" customHeight="1">
      <c r="A1851" s="1">
        <v>1849.0</v>
      </c>
      <c r="B1851" s="3" t="s">
        <v>1852</v>
      </c>
      <c r="C1851" s="3" t="str">
        <f>IFERROR(__xludf.DUMMYFUNCTION("GOOGLETRANSLATE(B1851,""id"",""en"")"),"['Tetep', 'njir', 'tasty', 'wrong', 'cave', 'njir', 'signal', 'tasty', 'sleep', 'njir', 'right', 'nge', ' Game ',' Season ',' Smarting ',' City ',' Village ',' Basic ']")</f>
        <v>['Tetep', 'njir', 'tasty', 'wrong', 'cave', 'njir', 'signal', 'tasty', 'sleep', 'njir', 'right', 'nge', ' Game ',' Season ',' Smarting ',' City ',' Village ',' Basic ']</v>
      </c>
      <c r="D1851" s="3">
        <v>1.0</v>
      </c>
    </row>
    <row r="1852" ht="15.75" customHeight="1">
      <c r="A1852" s="1">
        <v>1850.0</v>
      </c>
      <c r="B1852" s="3" t="s">
        <v>1853</v>
      </c>
      <c r="C1852" s="3" t="str">
        <f>IFERROR(__xludf.DUMMYFUNCTION("GOOGLETRANSLATE(B1852,""id"",""en"")"),"['Yukk', 'Rame', 'Uninstall', 'Application', 'Tell', 'KPD', 'TMN', 'Dipake', 'Application', 'Siknyal', 'Msh', 'Bgs',' now ',' Maen ',' slow ',' annoyed ',' bwt ',' tmn ',' install ',' application ',' nnt ',' sorry ',' already ',' gtu ',' left ' , 'credit'"&amp;", 'taken', 'regret', 'bget', 'install', 'application']")</f>
        <v>['Yukk', 'Rame', 'Uninstall', 'Application', 'Tell', 'KPD', 'TMN', 'Dipake', 'Application', 'Siknyal', 'Msh', 'Bgs',' now ',' Maen ',' slow ',' annoyed ',' bwt ',' tmn ',' install ',' application ',' nnt ',' sorry ',' already ',' gtu ',' left ' , 'credit', 'taken', 'regret', 'bget', 'install', 'application']</v>
      </c>
      <c r="D1852" s="3">
        <v>1.0</v>
      </c>
    </row>
    <row r="1853" ht="15.75" customHeight="1">
      <c r="A1853" s="1">
        <v>1851.0</v>
      </c>
      <c r="B1853" s="3" t="s">
        <v>1854</v>
      </c>
      <c r="C1853" s="3" t="str">
        <f>IFERROR(__xludf.DUMMYFUNCTION("GOOGLETRANSLATE(B1853,""id"",""en"")"),"['Telkomsel', 'signal', 'missing', 'TLP', 'like', 'tasty', 'opponent', 'talk', 'events',' please ',' telk ',' comfort ',' Users', 'Notice']")</f>
        <v>['Telkomsel', 'signal', 'missing', 'TLP', 'like', 'tasty', 'opponent', 'talk', 'events',' please ',' telk ',' comfort ',' Users', 'Notice']</v>
      </c>
      <c r="D1853" s="3">
        <v>2.0</v>
      </c>
    </row>
    <row r="1854" ht="15.75" customHeight="1">
      <c r="A1854" s="1">
        <v>1852.0</v>
      </c>
      <c r="B1854" s="3" t="s">
        <v>1855</v>
      </c>
      <c r="C1854" s="3" t="str">
        <f>IFERROR(__xludf.DUMMYFUNCTION("GOOGLETRANSLATE(B1854,""id"",""en"")"),"['like', 'tsel', 'like', 'sucked', 'pulse', 'plis',' buy ',' pulse ',' buy ',' package ',' loud ',' pulses', ' rich ',' operator ',' next door ',' quota ',' abis', 'sucked', 'pulse']")</f>
        <v>['like', 'tsel', 'like', 'sucked', 'pulse', 'plis',' buy ',' pulse ',' buy ',' package ',' loud ',' pulses', ' rich ',' operator ',' next door ',' quota ',' abis', 'sucked', 'pulse']</v>
      </c>
      <c r="D1854" s="3">
        <v>1.0</v>
      </c>
    </row>
    <row r="1855" ht="15.75" customHeight="1">
      <c r="A1855" s="1">
        <v>1853.0</v>
      </c>
      <c r="B1855" s="3" t="s">
        <v>1856</v>
      </c>
      <c r="C1855" s="3" t="str">
        <f>IFERROR(__xludf.DUMMYFUNCTION("GOOGLETRANSLATE(B1855,""id"",""en"")"),"['Network', 'Good', 'Main', 'Game', 'Mobile', 'Legend', 'Leg', 'Mulu', 'quality', 'like', 'Gini', 'Disappointed', ' Mending ',' Change ',' Card ',' Game ',' Network ',' People ',' Hanting ',' Mulu ',' The card ',' already ']")</f>
        <v>['Network', 'Good', 'Main', 'Game', 'Mobile', 'Legend', 'Leg', 'Mulu', 'quality', 'like', 'Gini', 'Disappointed', ' Mending ',' Change ',' Card ',' Game ',' Network ',' People ',' Hanting ',' Mulu ',' The card ',' already ']</v>
      </c>
      <c r="D1855" s="3">
        <v>1.0</v>
      </c>
    </row>
    <row r="1856" ht="15.75" customHeight="1">
      <c r="A1856" s="1">
        <v>1854.0</v>
      </c>
      <c r="B1856" s="3" t="s">
        <v>1857</v>
      </c>
      <c r="C1856" s="3" t="str">
        <f>IFERROR(__xludf.DUMMYFUNCTION("GOOGLETRANSLATE(B1856,""id"",""en"")"),"['Change', 'Tetep', 'expensive', 'package', 'plus',' maximum ',' use ',' quota ',' network ',' down ',' send ',' email ',' Tetep ',' Changed ',' Disappointed ',' Disappointed ',' Ajig ',' Ahh ',' Cape ',' Hate ',' Move ',' Haluan ',' Tuman ']")</f>
        <v>['Change', 'Tetep', 'expensive', 'package', 'plus',' maximum ',' use ',' quota ',' network ',' down ',' send ',' email ',' Tetep ',' Changed ',' Disappointed ',' Disappointed ',' Ajig ',' Ahh ',' Cape ',' Hate ',' Move ',' Haluan ',' Tuman ']</v>
      </c>
      <c r="D1856" s="3">
        <v>1.0</v>
      </c>
    </row>
    <row r="1857" ht="15.75" customHeight="1">
      <c r="A1857" s="1">
        <v>1855.0</v>
      </c>
      <c r="B1857" s="3" t="s">
        <v>1858</v>
      </c>
      <c r="C1857" s="3" t="str">
        <f>IFERROR(__xludf.DUMMYFUNCTION("GOOGLETRANSLATE(B1857,""id"",""en"")"),"['Telkomsel', 'mind', 'cook', 'hard', 'open', 'the application', 'the network', 'sometimes',' missing ',' price ',' package ',' please ',' Love ',' best ',' users', 'Telkomsel', 'loyal', ""]")</f>
        <v>['Telkomsel', 'mind', 'cook', 'hard', 'open', 'the application', 'the network', 'sometimes',' missing ',' price ',' package ',' please ',' Love ',' best ',' users', 'Telkomsel', 'loyal', "]</v>
      </c>
      <c r="D1857" s="3">
        <v>1.0</v>
      </c>
    </row>
    <row r="1858" ht="15.75" customHeight="1">
      <c r="A1858" s="1">
        <v>1856.0</v>
      </c>
      <c r="B1858" s="3" t="s">
        <v>1859</v>
      </c>
      <c r="C1858" s="3" t="str">
        <f>IFERROR(__xludf.DUMMYFUNCTION("GOOGLETRANSLATE(B1858,""id"",""en"")"),"['Payment', 'Package', 'Data', 'Remnant', 'Credit', 'Lost', 'Dlm', 'Clock', 'Hopefully', 'Success',' Telkomsel ',' Pandemi ',' Moga ',' blessing ',' Barokah ',' Amin ', ""]")</f>
        <v>['Payment', 'Package', 'Data', 'Remnant', 'Credit', 'Lost', 'Dlm', 'Clock', 'Hopefully', 'Success',' Telkomsel ',' Pandemi ',' Moga ',' blessing ',' Barokah ',' Amin ', "]</v>
      </c>
      <c r="D1858" s="3">
        <v>1.0</v>
      </c>
    </row>
    <row r="1859" ht="15.75" customHeight="1">
      <c r="A1859" s="1">
        <v>1857.0</v>
      </c>
      <c r="B1859" s="3" t="s">
        <v>1860</v>
      </c>
      <c r="C1859" s="3" t="str">
        <f>IFERROR(__xludf.DUMMYFUNCTION("GOOGLETRANSLATE(B1859,""id"",""en"")"),"['buy', 'package', 'unlimited', 'max', 'right', 'buy', 'his writing', 'free', 'access',' right ',' limited ',' GB ',' Well ',' buy ',' package ',' yesterday ',' right ',' buy ',' limit ',' GB ',' right ',' buy ',' writing ',' free ',' access' , 'Chance', "&amp;"'Please', 'Mistake', 'Please', 'Change', 'Package', 'Pas', 'Udh', 'Buy', 'Rugiin', 'Dilugin']")</f>
        <v>['buy', 'package', 'unlimited', 'max', 'right', 'buy', 'his writing', 'free', 'access',' right ',' limited ',' GB ',' Well ',' buy ',' package ',' yesterday ',' right ',' buy ',' limit ',' GB ',' right ',' buy ',' writing ',' free ',' access' , 'Chance', 'Please', 'Mistake', 'Please', 'Change', 'Package', 'Pas', 'Udh', 'Buy', 'Rugiin', 'Dilugin']</v>
      </c>
      <c r="D1859" s="3">
        <v>1.0</v>
      </c>
    </row>
    <row r="1860" ht="15.75" customHeight="1">
      <c r="A1860" s="1">
        <v>1858.0</v>
      </c>
      <c r="B1860" s="3" t="s">
        <v>1861</v>
      </c>
      <c r="C1860" s="3" t="str">
        <f>IFERROR(__xludf.DUMMYFUNCTION("GOOGLETRANSLATE(B1860,""id"",""en"")"),"['Love', 'Bintang', 'Skapan', 'Dislike', 'Skapan', 'Lebaran', 'Range', 'Folding', 'Gaada', 'Notification', 'Msih', ' mnding ',' network ',' stable ',' UDH ',' ugly ',' expensive ',' regret ',' cave ',' try ',' telkomsel ',' tdinya ',' pngen ',' muji ' , '"&amp;"TPI', 'Gajadi', ""]")</f>
        <v>['Love', 'Bintang', 'Skapan', 'Dislike', 'Skapan', 'Lebaran', 'Range', 'Folding', 'Gaada', 'Notification', 'Msih', ' mnding ',' network ',' stable ',' UDH ',' ugly ',' expensive ',' regret ',' cave ',' try ',' telkomsel ',' tdinya ',' pngen ',' muji ' , 'TPI', 'Gajadi', "]</v>
      </c>
      <c r="D1860" s="3">
        <v>1.0</v>
      </c>
    </row>
    <row r="1861" ht="15.75" customHeight="1">
      <c r="A1861" s="1">
        <v>1859.0</v>
      </c>
      <c r="B1861" s="3" t="s">
        <v>1862</v>
      </c>
      <c r="C1861" s="3" t="str">
        <f>IFERROR(__xludf.DUMMYFUNCTION("GOOGLETRANSLATE(B1861,""id"",""en"")"),"['signal', 'ugly', 'since', 'class', 'online', 'please', 'noticed', 'user', 'product', ""]")</f>
        <v>['signal', 'ugly', 'since', 'class', 'online', 'please', 'noticed', 'user', 'product', "]</v>
      </c>
      <c r="D1861" s="3">
        <v>1.0</v>
      </c>
    </row>
    <row r="1862" ht="15.75" customHeight="1">
      <c r="A1862" s="1">
        <v>1860.0</v>
      </c>
      <c r="B1862" s="3" t="s">
        <v>1863</v>
      </c>
      <c r="C1862" s="3" t="str">
        <f>IFERROR(__xludf.DUMMYFUNCTION("GOOGLETRANSLATE(B1862,""id"",""en"")"),"['Pulp', 'apk', 'Telkomsel', 'clock', 'night', 'and above', 'opened', 'hedehhhhh', 'package', 'dinaikkin', 'quality', 'down', ' Operators', 'Bad', 'Indonesia']")</f>
        <v>['Pulp', 'apk', 'Telkomsel', 'clock', 'night', 'and above', 'opened', 'hedehhhhh', 'package', 'dinaikkin', 'quality', 'down', ' Operators', 'Bad', 'Indonesia']</v>
      </c>
      <c r="D1862" s="3">
        <v>1.0</v>
      </c>
    </row>
    <row r="1863" ht="15.75" customHeight="1">
      <c r="A1863" s="1">
        <v>1861.0</v>
      </c>
      <c r="B1863" s="3" t="s">
        <v>1864</v>
      </c>
      <c r="C1863" s="3" t="str">
        <f>IFERROR(__xludf.DUMMYFUNCTION("GOOGLETRANSLATE(B1863,""id"",""en"")"),"['Telkomsel', 'replace', 'operator', 'sick', 'heart', 'promo', 'package', 'class', 'pulse', 'lost', ""]")</f>
        <v>['Telkomsel', 'replace', 'operator', 'sick', 'heart', 'promo', 'package', 'class', 'pulse', 'lost', "]</v>
      </c>
      <c r="D1863" s="3">
        <v>1.0</v>
      </c>
    </row>
    <row r="1864" ht="15.75" customHeight="1">
      <c r="A1864" s="1">
        <v>1862.0</v>
      </c>
      <c r="B1864" s="3" t="s">
        <v>1865</v>
      </c>
      <c r="C1864" s="3" t="str">
        <f>IFERROR(__xludf.DUMMYFUNCTION("GOOGLETRANSLATE(B1864,""id"",""en"")"),"['Sad', 'really', 'customers',' loyal ',' Telkomsel ',' because ',' unlimitedmax ',' skrg ',' udh ',' unlimited ',' bates', ' Until ',' GB ',' Disappointed ',' Very ',' Telkomsel ',' PDHL ',' already ',' Cool ',' really ',' policy ',' unlimited ',' a mont"&amp;"h ',' Dibardingin ' , 'People', 'People', 'Switch', 'Telkomsel', 'Darling', 'Very', 'Telkomsel', 'Gabisa', 'Consistent', ""]")</f>
        <v>['Sad', 'really', 'customers',' loyal ',' Telkomsel ',' because ',' unlimitedmax ',' skrg ',' udh ',' unlimited ',' bates', ' Until ',' GB ',' Disappointed ',' Very ',' Telkomsel ',' PDHL ',' already ',' Cool ',' really ',' policy ',' unlimited ',' a month ',' Dibardingin ' , 'People', 'People', 'Switch', 'Telkomsel', 'Darling', 'Very', 'Telkomsel', 'Gabisa', 'Consistent', "]</v>
      </c>
      <c r="D1864" s="3">
        <v>1.0</v>
      </c>
    </row>
    <row r="1865" ht="15.75" customHeight="1">
      <c r="A1865" s="1">
        <v>1863.0</v>
      </c>
      <c r="B1865" s="3" t="s">
        <v>1866</v>
      </c>
      <c r="C1865" s="3" t="str">
        <f>IFERROR(__xludf.DUMMYFUNCTION("GOOGLETRANSLATE(B1865,""id"",""en"")"),"['ugly', 'open', 'the application', 'slow', 'use', 'network', 'telkomsel', 'mending', 'gaj', 'update', 'ugly', 'example', ' Application ',' Exis', 'Good', '']")</f>
        <v>['ugly', 'open', 'the application', 'slow', 'use', 'network', 'telkomsel', 'mending', 'gaj', 'update', 'ugly', 'example', ' Application ',' Exis', 'Good', '']</v>
      </c>
      <c r="D1865" s="3">
        <v>1.0</v>
      </c>
    </row>
    <row r="1866" ht="15.75" customHeight="1">
      <c r="A1866" s="1">
        <v>1864.0</v>
      </c>
      <c r="B1866" s="3" t="s">
        <v>1867</v>
      </c>
      <c r="C1866" s="3" t="str">
        <f>IFERROR(__xludf.DUMMYFUNCTION("GOOGLETRANSLATE(B1866,""id"",""en"")"),"['Please', 'repaired', 'transaction', 'checks',' leftover ',' kouta ',' the reason ',' signal ',' ugly ',' sosmed ',' sosmed ',' Current ',' Hadeh ',' Severe ',' Permbaruan ',' Selawain ',' Consumers']")</f>
        <v>['Please', 'repaired', 'transaction', 'checks',' leftover ',' kouta ',' the reason ',' signal ',' ugly ',' sosmed ',' sosmed ',' Current ',' Hadeh ',' Severe ',' Permbaruan ',' Selawain ',' Consumers']</v>
      </c>
      <c r="D1866" s="3">
        <v>1.0</v>
      </c>
    </row>
    <row r="1867" ht="15.75" customHeight="1">
      <c r="A1867" s="1">
        <v>1865.0</v>
      </c>
      <c r="B1867" s="3" t="s">
        <v>1868</v>
      </c>
      <c r="C1867" s="3" t="str">
        <f>IFERROR(__xludf.DUMMYFUNCTION("GOOGLETRANSLATE(B1867,""id"",""en"")"),"['Disappointed', 'heavy', 'package', 'package', 'changed', 'expensive', 'unlimited', 'ilang', 'fooling', 'language', 'unlimited', 'because', ' The number ',' already ',' scattered ',' be patient ',' ']")</f>
        <v>['Disappointed', 'heavy', 'package', 'package', 'changed', 'expensive', 'unlimited', 'ilang', 'fooling', 'language', 'unlimited', 'because', ' The number ',' already ',' scattered ',' be patient ',' ']</v>
      </c>
      <c r="D1867" s="3">
        <v>1.0</v>
      </c>
    </row>
    <row r="1868" ht="15.75" customHeight="1">
      <c r="A1868" s="1">
        <v>1866.0</v>
      </c>
      <c r="B1868" s="3" t="s">
        <v>1869</v>
      </c>
      <c r="C1868" s="3" t="str">
        <f>IFERROR(__xludf.DUMMYFUNCTION("GOOGLETRANSLATE(B1868,""id"",""en"")"),"['buy', 'quota', 'unlimited', 'quota', 'doang', 'package', 'unlimited', 'Telkomsel', 'already', 'what', 'bought', 'apk', ' Telkomsel ',' Ngecewain ',' really ']")</f>
        <v>['buy', 'quota', 'unlimited', 'quota', 'doang', 'package', 'unlimited', 'Telkomsel', 'already', 'what', 'bought', 'apk', ' Telkomsel ',' Ngecewain ',' really ']</v>
      </c>
      <c r="D1868" s="3">
        <v>1.0</v>
      </c>
    </row>
    <row r="1869" ht="15.75" customHeight="1">
      <c r="A1869" s="1">
        <v>1867.0</v>
      </c>
      <c r="B1869" s="3" t="s">
        <v>1870</v>
      </c>
      <c r="C1869" s="3" t="str">
        <f>IFERROR(__xludf.DUMMYFUNCTION("GOOGLETRANSLATE(B1869,""id"",""en"")"),"['Damn', 'really', 'wanted', 'buy', 'package', 'data', 'rb', 'persulit', 'chaotic', 'telkomsel', 'mending', 'replace', ' Provider ',' ']")</f>
        <v>['Damn', 'really', 'wanted', 'buy', 'package', 'data', 'rb', 'persulit', 'chaotic', 'telkomsel', 'mending', 'replace', ' Provider ',' ']</v>
      </c>
      <c r="D1869" s="3">
        <v>1.0</v>
      </c>
    </row>
    <row r="1870" ht="15.75" customHeight="1">
      <c r="A1870" s="1">
        <v>1868.0</v>
      </c>
      <c r="B1870" s="3" t="s">
        <v>1871</v>
      </c>
      <c r="C1870" s="3" t="str">
        <f>IFERROR(__xludf.DUMMYFUNCTION("GOOGLETRANSLATE(B1870,""id"",""en"")"),"['Telkomsel', 'Maumu', 'already', 'list', 'package', 'lap', 'unlimitied', 'according to', 'Telkomsel', 'minutes',' already ',' leftover ',' pulse ',' Embat ',' quota ',' leftover ',' base ',' fraudsters', 'really', 'kayak', 'gini']")</f>
        <v>['Telkomsel', 'Maumu', 'already', 'list', 'package', 'lap', 'unlimitied', 'according to', 'Telkomsel', 'minutes',' already ',' leftover ',' pulse ',' Embat ',' quota ',' leftover ',' base ',' fraudsters', 'really', 'kayak', 'gini']</v>
      </c>
      <c r="D1870" s="3">
        <v>1.0</v>
      </c>
    </row>
    <row r="1871" ht="15.75" customHeight="1">
      <c r="A1871" s="1">
        <v>1869.0</v>
      </c>
      <c r="B1871" s="3" t="s">
        <v>1872</v>
      </c>
      <c r="C1871" s="3" t="str">
        <f>IFERROR(__xludf.DUMMYFUNCTION("GOOGLETRANSLATE(B1871,""id"",""en"")"),"['crazy', 'paketan', 'watch', 'youtube', 'vidio', 'already', 'run out', 'Telkomsel', 'drain', 'package', 'data', 'comparable', ' quality ',' signal ',' produce ',' ']")</f>
        <v>['crazy', 'paketan', 'watch', 'youtube', 'vidio', 'already', 'run out', 'Telkomsel', 'drain', 'package', 'data', 'comparable', ' quality ',' signal ',' produce ',' ']</v>
      </c>
      <c r="D1871" s="3">
        <v>5.0</v>
      </c>
    </row>
    <row r="1872" ht="15.75" customHeight="1">
      <c r="A1872" s="1">
        <v>1870.0</v>
      </c>
      <c r="B1872" s="3" t="s">
        <v>1873</v>
      </c>
      <c r="C1872" s="3" t="str">
        <f>IFERROR(__xludf.DUMMYFUNCTION("GOOGLETRANSLATE(B1872,""id"",""en"")"),"['network', 'ugly', 'ugly', 'customer', 'annoyed', 'use', 'tell', 'life', 'dead', 'data', 'mode', 'plane', ' Have ',' already ',' Do ',' Try ',' Think ',' Bagain ',' throw ',' Karna ',' Network ',' ugly ',' kah ',' replace ']")</f>
        <v>['network', 'ugly', 'ugly', 'customer', 'annoyed', 'use', 'tell', 'life', 'dead', 'data', 'mode', 'plane', ' Have ',' already ',' Do ',' Try ',' Think ',' Bagain ',' throw ',' Karna ',' Network ',' ugly ',' kah ',' replace ']</v>
      </c>
      <c r="D1872" s="3">
        <v>1.0</v>
      </c>
    </row>
    <row r="1873" ht="15.75" customHeight="1">
      <c r="A1873" s="1">
        <v>1871.0</v>
      </c>
      <c r="B1873" s="3" t="s">
        <v>1874</v>
      </c>
      <c r="C1873" s="3" t="str">
        <f>IFERROR(__xludf.DUMMYFUNCTION("GOOGLETRANSLATE(B1873,""id"",""en"")"),"['connection', 'rotten', 'area', 'City', 'Yogyakarta', 'City', 'rotten', 'ping', 'stable', 'translucent', 'trash', 'connection', ' announcement', '']")</f>
        <v>['connection', 'rotten', 'area', 'City', 'Yogyakarta', 'City', 'rotten', 'ping', 'stable', 'translucent', 'trash', 'connection', ' announcement', '']</v>
      </c>
      <c r="D1873" s="3">
        <v>1.0</v>
      </c>
    </row>
    <row r="1874" ht="15.75" customHeight="1">
      <c r="A1874" s="1">
        <v>1872.0</v>
      </c>
      <c r="B1874" s="3" t="s">
        <v>1875</v>
      </c>
      <c r="C1874" s="3" t="str">
        <f>IFERROR(__xludf.DUMMYFUNCTION("GOOGLETRANSLATE(B1874,""id"",""en"")"),"['package', 'Internat', 'expensive', 'Different', 'number', 'Different', 'price', 'no', 'then', 'application', 'uda', 'newspaper', ' Application ',' Telkomsel ',' Metro ',' ']")</f>
        <v>['package', 'Internat', 'expensive', 'Different', 'number', 'Different', 'price', 'no', 'then', 'application', 'uda', 'newspaper', ' Application ',' Telkomsel ',' Metro ',' ']</v>
      </c>
      <c r="D1874" s="3">
        <v>1.0</v>
      </c>
    </row>
    <row r="1875" ht="15.75" customHeight="1">
      <c r="A1875" s="1">
        <v>1873.0</v>
      </c>
      <c r="B1875" s="3" t="s">
        <v>1876</v>
      </c>
      <c r="C1875" s="3" t="str">
        <f>IFERROR(__xludf.DUMMYFUNCTION("GOOGLETRANSLATE(B1875,""id"",""en"")"),"['Sorry', 'Telkomsel', 'star', 'complaints',' enter ',' Loading ',' reset ',' network ',' good ',' udh ',' try ',' open ',' youtube ',' good ',' uninstall ',' delete ',' data ',' restart ',' please ',' as soon as possible ',' repair ']")</f>
        <v>['Sorry', 'Telkomsel', 'star', 'complaints',' enter ',' Loading ',' reset ',' network ',' good ',' udh ',' try ',' open ',' youtube ',' good ',' uninstall ',' delete ',' data ',' restart ',' please ',' as soon as possible ',' repair ']</v>
      </c>
      <c r="D1875" s="3">
        <v>1.0</v>
      </c>
    </row>
    <row r="1876" ht="15.75" customHeight="1">
      <c r="A1876" s="1">
        <v>1874.0</v>
      </c>
      <c r="B1876" s="3" t="s">
        <v>1877</v>
      </c>
      <c r="C1876" s="3" t="str">
        <f>IFERROR(__xludf.DUMMYFUNCTION("GOOGLETRANSLATE(B1876,""id"",""en"")"),"['Memyampaam', 'complaints',' Natural ',' About ',' On ',' Card ',' Increases', 'Abekor', 'Report', 'Grapari', 'Telkomsel', 'Tlp', ' Telkomsel ',' REPORT ',' report ',' smpe ',' skrng ',' belom ',' hub ',' telkomsel ',' contents', 'pulse', 'contents',' qu"&amp;"ota ',' phone ' , 'SMS', 'results', 'active', 'card', 'intact', 'increase', 'procedure', 'report', ""]")</f>
        <v>['Memyampaam', 'complaints',' Natural ',' About ',' On ',' Card ',' Increases', 'Abekor', 'Report', 'Grapari', 'Telkomsel', 'Tlp', ' Telkomsel ',' REPORT ',' report ',' smpe ',' skrng ',' belom ',' hub ',' telkomsel ',' contents', 'pulse', 'contents',' quota ',' phone ' , 'SMS', 'results', 'active', 'card', 'intact', 'increase', 'procedure', 'report', "]</v>
      </c>
      <c r="D1876" s="3">
        <v>1.0</v>
      </c>
    </row>
    <row r="1877" ht="15.75" customHeight="1">
      <c r="A1877" s="1">
        <v>1875.0</v>
      </c>
      <c r="B1877" s="3" t="s">
        <v>1878</v>
      </c>
      <c r="C1877" s="3" t="str">
        <f>IFERROR(__xludf.DUMMYFUNCTION("GOOGLETRANSLATE(B1877,""id"",""en"")"),"['buy', 'package', 'omg', 'price', 'thousand', 'use', 'balance', 'shopee', 'uda', 'cheek', 'baldo', 'package', ' Trouble ',' Notification ',' Kirain ',' Sebentr ',' Doank ',' Now ',' Info ',' Uda ',' Send ',' Email ',' Forced ',' Deh ',' Buy ' , 'Emank', "&amp;"'Need', 'Very', 'Original', 'Disappointed', 'Very', 'Telkomsel', 'Email', 'Ngak', 'DBLS', ""]")</f>
        <v>['buy', 'package', 'omg', 'price', 'thousand', 'use', 'balance', 'shopee', 'uda', 'cheek', 'baldo', 'package', ' Trouble ',' Notification ',' Kirain ',' Sebentr ',' Doank ',' Now ',' Info ',' Uda ',' Send ',' Email ',' Forced ',' Deh ',' Buy ' , 'Emank', 'Need', 'Very', 'Original', 'Disappointed', 'Very', 'Telkomsel', 'Email', 'Ngak', 'DBLS', "]</v>
      </c>
      <c r="D1877" s="3">
        <v>1.0</v>
      </c>
    </row>
    <row r="1878" ht="15.75" customHeight="1">
      <c r="A1878" s="1">
        <v>1876.0</v>
      </c>
      <c r="B1878" s="3" t="s">
        <v>1879</v>
      </c>
      <c r="C1878" s="3" t="str">
        <f>IFERROR(__xludf.DUMMYFUNCTION("GOOGLETRANSLATE(B1878,""id"",""en"")"),"['quota', 'expensive', 'signal', 'kek', 'pig', 'aware', 'pig']")</f>
        <v>['quota', 'expensive', 'signal', 'kek', 'pig', 'aware', 'pig']</v>
      </c>
      <c r="D1878" s="3">
        <v>1.0</v>
      </c>
    </row>
    <row r="1879" ht="15.75" customHeight="1">
      <c r="A1879" s="1">
        <v>1877.0</v>
      </c>
      <c r="B1879" s="3" t="s">
        <v>1880</v>
      </c>
      <c r="C1879" s="3" t="str">
        <f>IFERROR(__xludf.DUMMYFUNCTION("GOOGLETRANSLATE(B1879,""id"",""en"")"),"['Telkomsel', 'know', 'always',' loss', 'pulse', 'contents',' reset ',' pulse ',' missing ',' kmna ',' hbis', 'tda', ' Trsisa ',' buy ',' Package ',' Internet ',' SDAH ',' IMLS ',' PACKAGE ',' TTP ',' Credit ',' Eat ',' then ',' Kmna ',' Tick ' , 'powerfu"&amp;"l', 'kmi', 'bli', 'kcwa', 'dngn', 'telkomsel', 'bisj', 'pnuda', 'jlaaass',' theft ',' pulse ',' TBA ',' TBA ',' missing ',' please ',' fix ',' Telkomsel ',' mngecakawakan ',' plnggan ']")</f>
        <v>['Telkomsel', 'know', 'always',' loss', 'pulse', 'contents',' reset ',' pulse ',' missing ',' kmna ',' hbis', 'tda', ' Trsisa ',' buy ',' Package ',' Internet ',' SDAH ',' IMLS ',' PACKAGE ',' TTP ',' Credit ',' Eat ',' then ',' Kmna ',' Tick ' , 'powerful', 'kmi', 'bli', 'kcwa', 'dngn', 'telkomsel', 'bisj', 'pnuda', 'jlaaass',' theft ',' pulse ',' TBA ',' TBA ',' missing ',' please ',' fix ',' Telkomsel ',' mngecakawakan ',' plnggan ']</v>
      </c>
      <c r="D1879" s="3">
        <v>1.0</v>
      </c>
    </row>
    <row r="1880" ht="15.75" customHeight="1">
      <c r="A1880" s="1">
        <v>1878.0</v>
      </c>
      <c r="B1880" s="3" t="s">
        <v>1881</v>
      </c>
      <c r="C1880" s="3" t="str">
        <f>IFERROR(__xludf.DUMMYFUNCTION("GOOGLETRANSLATE(B1880,""id"",""en"")"),"['Package', 'self-help', 'gourjek', 'already', 'no', 'sampe', 'services',' worth ',' as', 'services',' situ ',' Contact ',' brothers', 'Leave', 'Uninstall', 'The application', 'Move', 'Provider', ""]")</f>
        <v>['Package', 'self-help', 'gourjek', 'already', 'no', 'sampe', 'services',' worth ',' as', 'services',' situ ',' Contact ',' brothers', 'Leave', 'Uninstall', 'The application', 'Move', 'Provider', "]</v>
      </c>
      <c r="D1880" s="3">
        <v>1.0</v>
      </c>
    </row>
    <row r="1881" ht="15.75" customHeight="1">
      <c r="A1881" s="1">
        <v>1879.0</v>
      </c>
      <c r="B1881" s="3" t="s">
        <v>1882</v>
      </c>
      <c r="C1881" s="3" t="str">
        <f>IFERROR(__xludf.DUMMYFUNCTION("GOOGLETRANSLATE(B1881,""id"",""en"")"),"['Please', 'min', 'here', 'network', 'ugly', 'network', 'full', 'ping', 'yellow', 'ping', 'red', 'good', ' ping ',' green ',' package ',' expensive ',' quality ',' disappointing ',' losing ',' ama ',' yellow ',' network ',' bar ',' green ',' Please ' , 'I"&amp;"ncrease', 'Customers', 'Postpaid', 'Disappointed', 'Quality', 'Network', 'Thank you', '']")</f>
        <v>['Please', 'min', 'here', 'network', 'ugly', 'network', 'full', 'ping', 'yellow', 'ping', 'red', 'good', ' ping ',' green ',' package ',' expensive ',' quality ',' disappointing ',' losing ',' ama ',' yellow ',' network ',' bar ',' green ',' Please ' , 'Increase', 'Customers', 'Postpaid', 'Disappointed', 'Quality', 'Network', 'Thank you', '']</v>
      </c>
      <c r="D1881" s="3">
        <v>1.0</v>
      </c>
    </row>
    <row r="1882" ht="15.75" customHeight="1">
      <c r="A1882" s="1">
        <v>1880.0</v>
      </c>
      <c r="B1882" s="3" t="s">
        <v>1883</v>
      </c>
      <c r="C1882" s="3" t="str">
        <f>IFERROR(__xludf.DUMMYFUNCTION("GOOGLETRANSLATE(B1882,""id"",""en"")"),"['Sell', 'Commitment', 'Unlimited', 'Unlimited', 'Iming', 'Quota', 'Plusin', 'Unlimited', 'Rijassin', 'Reduced', 'Package', 'Combo', ' unlimited ',' that's', 'search', 'money', 'according to', 'customer', 'already', 'pay', 'expensive']")</f>
        <v>['Sell', 'Commitment', 'Unlimited', 'Unlimited', 'Iming', 'Quota', 'Plusin', 'Unlimited', 'Rijassin', 'Reduced', 'Package', 'Combo', ' unlimited ',' that's', 'search', 'money', 'according to', 'customer', 'already', 'pay', 'expensive']</v>
      </c>
      <c r="D1882" s="3">
        <v>2.0</v>
      </c>
    </row>
    <row r="1883" ht="15.75" customHeight="1">
      <c r="A1883" s="1">
        <v>1881.0</v>
      </c>
      <c r="B1883" s="3" t="s">
        <v>1884</v>
      </c>
      <c r="C1883" s="3" t="str">
        <f>IFERROR(__xludf.DUMMYFUNCTION("GOOGLETRANSLATE(B1883,""id"",""en"")"),"['user', 'loyal', 'Tesel', 'purchase', 'quota', 'elements',' cheating ',' use ',' App ',' overnight ',' take ',' quota ',' 'Youtube', 'yeah', 'see', 'missing', 'credit', 'missing', 'quota', 'enter', 'buy', 'run out', 'unlimitite', 'term' ]")</f>
        <v>['user', 'loyal', 'Tesel', 'purchase', 'quota', 'elements',' cheating ',' use ',' App ',' overnight ',' take ',' quota ',' 'Youtube', 'yeah', 'see', 'missing', 'credit', 'missing', 'quota', 'enter', 'buy', 'run out', 'unlimitite', 'term' ]</v>
      </c>
      <c r="D1883" s="3">
        <v>1.0</v>
      </c>
    </row>
    <row r="1884" ht="15.75" customHeight="1">
      <c r="A1884" s="1">
        <v>1882.0</v>
      </c>
      <c r="B1884" s="3" t="s">
        <v>1885</v>
      </c>
      <c r="C1884" s="3" t="str">
        <f>IFERROR(__xludf.DUMMYFUNCTION("GOOGLETRANSLATE(B1884,""id"",""en"")"),"['sacrificing', 'pulse', 'wooyyyy', 'gatel', 'loss',' nihhh ',' please ',' review ',' noticed ',' take ',' eat ',' Credit ',' Customer ',' Woy ', ""]")</f>
        <v>['sacrificing', 'pulse', 'wooyyyy', 'gatel', 'loss',' nihhh ',' please ',' review ',' noticed ',' take ',' eat ',' Credit ',' Customer ',' Woy ', "]</v>
      </c>
      <c r="D1884" s="3">
        <v>3.0</v>
      </c>
    </row>
    <row r="1885" ht="15.75" customHeight="1">
      <c r="A1885" s="1">
        <v>1883.0</v>
      </c>
      <c r="B1885" s="3" t="s">
        <v>1886</v>
      </c>
      <c r="C1885" s="3" t="str">
        <f>IFERROR(__xludf.DUMMYFUNCTION("GOOGLETRANSLATE(B1885,""id"",""en"")"),"['hope', 'list', 'transaction', 'enter', 'balance', 'pulse', 'link', 'hope', 'cancel', 'process',' charging ',' pulse ',' Bank ',' number ',' filled ',' complete ',' ']")</f>
        <v>['hope', 'list', 'transaction', 'enter', 'balance', 'pulse', 'link', 'hope', 'cancel', 'process',' charging ',' pulse ',' Bank ',' number ',' filled ',' complete ',' ']</v>
      </c>
      <c r="D1885" s="3">
        <v>4.0</v>
      </c>
    </row>
    <row r="1886" ht="15.75" customHeight="1">
      <c r="A1886" s="1">
        <v>1884.0</v>
      </c>
      <c r="B1886" s="3" t="s">
        <v>1887</v>
      </c>
      <c r="C1886" s="3" t="str">
        <f>IFERROR(__xludf.DUMMYFUNCTION("GOOGLETRANSLATE(B1886,""id"",""en"")"),"['Dibales',' turning back ',' signal ',' rich ',' gini ',' loss', 'already', 'signal', 'lag', 'hit', 'hp', 'slammed', ' Please, 'Benerin', 'Signal', 'Dibales', 'Have', 'Contact', 'Already', 'Out', 'Network', ""]")</f>
        <v>['Dibales',' turning back ',' signal ',' rich ',' gini ',' loss', 'already', 'signal', 'lag', 'hit', 'hp', 'slammed', ' Please, 'Benerin', 'Signal', 'Dibales', 'Have', 'Contact', 'Already', 'Out', 'Network', "]</v>
      </c>
      <c r="D1886" s="3">
        <v>1.0</v>
      </c>
    </row>
    <row r="1887" ht="15.75" customHeight="1">
      <c r="A1887" s="1">
        <v>1885.0</v>
      </c>
      <c r="B1887" s="3" t="s">
        <v>1888</v>
      </c>
      <c r="C1887" s="3" t="str">
        <f>IFERROR(__xludf.DUMMYFUNCTION("GOOGLETRANSLATE(B1887,""id"",""en"")"),"['already', 'download', 'friend', 'sya', 'delete', 'mending', 'move', 'network', 'kwan', 'take', 'pulse', 'already', ' Sya ',' Package ',' Sya ',' Wait ',' Notivikasi ',' UDH ',' KNPA ',' Credit ',' Sya ',' Taken ',' Please ',' Turn Out ',' Credit ' , 'Ta"&amp;"ke', 'brmanpaat', 'Sya', '']")</f>
        <v>['already', 'download', 'friend', 'sya', 'delete', 'mending', 'move', 'network', 'kwan', 'take', 'pulse', 'already', ' Sya ',' Package ',' Sya ',' Wait ',' Notivikasi ',' UDH ',' KNPA ',' Credit ',' Sya ',' Taken ',' Please ',' Turn Out ',' Credit ' , 'Take', 'brmanpaat', 'Sya', '']</v>
      </c>
      <c r="D1887" s="3">
        <v>1.0</v>
      </c>
    </row>
    <row r="1888" ht="15.75" customHeight="1">
      <c r="A1888" s="1">
        <v>1886.0</v>
      </c>
      <c r="B1888" s="3" t="s">
        <v>1889</v>
      </c>
      <c r="C1888" s="3" t="str">
        <f>IFERROR(__xludf.DUMMYFUNCTION("GOOGLETRANSLATE(B1888,""id"",""en"")"),"['mean', 'Try', 'Telkomsel', 'buy', 'quota', 'obstacle', 'surprised', 'gapernah', 'seamless',' pity ',' already ',' buy ',' expensive ',' expensive ',' service ',' maximum ',' voucher ',' trick ',' marketing ',' eluu ',' hope ',' business', 'blessed']")</f>
        <v>['mean', 'Try', 'Telkomsel', 'buy', 'quota', 'obstacle', 'surprised', 'gapernah', 'seamless',' pity ',' already ',' buy ',' expensive ',' expensive ',' service ',' maximum ',' voucher ',' trick ',' marketing ',' eluu ',' hope ',' business', 'blessed']</v>
      </c>
      <c r="D1888" s="3">
        <v>1.0</v>
      </c>
    </row>
    <row r="1889" ht="15.75" customHeight="1">
      <c r="A1889" s="1">
        <v>1887.0</v>
      </c>
      <c r="B1889" s="3" t="s">
        <v>1890</v>
      </c>
      <c r="C1889" s="3" t="str">
        <f>IFERROR(__xludf.DUMMYFUNCTION("GOOGLETRANSLATE(B1889,""id"",""en"")"),"['Severe', 'buy', 'package', 'used', 'quota', 'locally', 'in the area', 'activation', 'package', 'contact', 'admin', 'Telkomsel', ' activation ',' according to ',' original ',' quota ',' base ',' Telkomsel ',' fraud ',' pray for ',' hopefully ',' bankrupt"&amp;" ',' Telkomsel ',' cheating ',' customer ' ]")</f>
        <v>['Severe', 'buy', 'package', 'used', 'quota', 'locally', 'in the area', 'activation', 'package', 'contact', 'admin', 'Telkomsel', ' activation ',' according to ',' original ',' quota ',' base ',' Telkomsel ',' fraud ',' pray for ',' hopefully ',' bankrupt ',' Telkomsel ',' cheating ',' customer ' ]</v>
      </c>
      <c r="D1889" s="3">
        <v>1.0</v>
      </c>
    </row>
    <row r="1890" ht="15.75" customHeight="1">
      <c r="A1890" s="1">
        <v>1888.0</v>
      </c>
      <c r="B1890" s="3" t="s">
        <v>1891</v>
      </c>
      <c r="C1890" s="3" t="str">
        <f>IFERROR(__xludf.DUMMYFUNCTION("GOOGLETRANSLATE(B1890,""id"",""en"")"),"['Please', 'Sorry', 'knapa', 'network', 'Telkomsel', 'NGK', 'stable', 'so', 'then', 'watch', 'or', 'play', ' Game ',' RMH ',' smooth ',' skarang ',' ngk ',' stable ',' that's', 'ping']")</f>
        <v>['Please', 'Sorry', 'knapa', 'network', 'Telkomsel', 'NGK', 'stable', 'so', 'then', 'watch', 'or', 'play', ' Game ',' RMH ',' smooth ',' skarang ',' ngk ',' stable ',' that's', 'ping']</v>
      </c>
      <c r="D1890" s="3">
        <v>3.0</v>
      </c>
    </row>
    <row r="1891" ht="15.75" customHeight="1">
      <c r="A1891" s="1">
        <v>1889.0</v>
      </c>
      <c r="B1891" s="3" t="s">
        <v>1892</v>
      </c>
      <c r="C1891" s="3" t="str">
        <f>IFERROR(__xludf.DUMMYFUNCTION("GOOGLETRANSLATE(B1891,""id"",""en"")"),"['Unlimited', 'Telkomsel', 'Sousiny', 'slow', 'rich', 'contents',' limit ',' use ',' unlimited ',' Telkomsel ',' signal ',' slow ',' Really ',' Please ',' Returned ',' ']")</f>
        <v>['Unlimited', 'Telkomsel', 'Sousiny', 'slow', 'rich', 'contents',' limit ',' use ',' unlimited ',' Telkomsel ',' signal ',' slow ',' Really ',' Please ',' Returned ',' ']</v>
      </c>
      <c r="D1891" s="3">
        <v>1.0</v>
      </c>
    </row>
    <row r="1892" ht="15.75" customHeight="1">
      <c r="A1892" s="1">
        <v>1890.0</v>
      </c>
      <c r="B1892" s="3" t="s">
        <v>1893</v>
      </c>
      <c r="C1892" s="3" t="str">
        <f>IFERROR(__xludf.DUMMYFUNCTION("GOOGLETRANSLATE(B1892,""id"",""en"")"),"['Hemm', 'Telkomsel', 'Network', 'Lohh', 'Reversed', 'Package', 'Out', 'Nyedot', 'Credit', 'System', 'Credit', 'Safe', ' yeah ',' take ',' profit ',' reversed ',' eagle ',' person ',' smart ']")</f>
        <v>['Hemm', 'Telkomsel', 'Network', 'Lohh', 'Reversed', 'Package', 'Out', 'Nyedot', 'Credit', 'System', 'Credit', 'Safe', ' yeah ',' take ',' profit ',' reversed ',' eagle ',' person ',' smart ']</v>
      </c>
      <c r="D1892" s="3">
        <v>5.0</v>
      </c>
    </row>
    <row r="1893" ht="15.75" customHeight="1">
      <c r="A1893" s="1">
        <v>1891.0</v>
      </c>
      <c r="B1893" s="3" t="s">
        <v>1894</v>
      </c>
      <c r="C1893" s="3" t="str">
        <f>IFERROR(__xludf.DUMMYFUNCTION("GOOGLETRANSLATE(B1893,""id"",""en"")"),"['Star', 'Addin', 'Please', 'Network', 'Maximize', 'Fix', 'LGI', 'SPRTI', 'DLU', 'User', 'loyal', 'Telkomsel', ' Hmpir ',' Wear ',' Telkomsel ',' Times', 'Disappointed', 'Network', 'Leet', 'Lemot', 'Those', 'Trimksih']")</f>
        <v>['Star', 'Addin', 'Please', 'Network', 'Maximize', 'Fix', 'LGI', 'SPRTI', 'DLU', 'User', 'loyal', 'Telkomsel', ' Hmpir ',' Wear ',' Telkomsel ',' Times', 'Disappointed', 'Network', 'Leet', 'Lemot', 'Those', 'Trimksih']</v>
      </c>
      <c r="D1893" s="3">
        <v>3.0</v>
      </c>
    </row>
    <row r="1894" ht="15.75" customHeight="1">
      <c r="A1894" s="1">
        <v>1892.0</v>
      </c>
      <c r="B1894" s="3" t="s">
        <v>1895</v>
      </c>
      <c r="C1894" s="3" t="str">
        <f>IFERROR(__xludf.DUMMYFUNCTION("GOOGLETRANSLATE(B1894,""id"",""en"")"),"['application', 'useful', 'promo', 'bought', 'expensive', 'daily', 'quota', 'increased', 'thank', 'love', 'telkomsel']")</f>
        <v>['application', 'useful', 'promo', 'bought', 'expensive', 'daily', 'quota', 'increased', 'thank', 'love', 'telkomsel']</v>
      </c>
      <c r="D1894" s="3">
        <v>5.0</v>
      </c>
    </row>
    <row r="1895" ht="15.75" customHeight="1">
      <c r="A1895" s="1">
        <v>1893.0</v>
      </c>
      <c r="B1895" s="3" t="s">
        <v>1896</v>
      </c>
      <c r="C1895" s="3" t="str">
        <f>IFERROR(__xludf.DUMMYFUNCTION("GOOGLETRANSLATE(B1895,""id"",""en"")"),"['Telkomsel', 'bankrupt', 'unlimited', 'yes',' name ',' unlimited ',' fup ',' fup ',' speed ',' kb ',' kb ',' yng ',' Road ',' Bener ',' ']")</f>
        <v>['Telkomsel', 'bankrupt', 'unlimited', 'yes',' name ',' unlimited ',' fup ',' fup ',' speed ',' kb ',' kb ',' yng ',' Road ',' Bener ',' ']</v>
      </c>
      <c r="D1895" s="3">
        <v>1.0</v>
      </c>
    </row>
    <row r="1896" ht="15.75" customHeight="1">
      <c r="A1896" s="1">
        <v>1894.0</v>
      </c>
      <c r="B1896" s="3" t="s">
        <v>1897</v>
      </c>
      <c r="C1896" s="3" t="str">
        <f>IFERROR(__xludf.DUMMYFUNCTION("GOOGLETRANSLATE(B1896,""id"",""en"")"),"['Severe', 'card', 'use', 'credit', 'emergency', 'right', 'contents',' pulse ',' cut ',' credit ',' emergency ',' slow ',' Forgiveness', 'Damn', 'card']")</f>
        <v>['Severe', 'card', 'use', 'credit', 'emergency', 'right', 'contents',' pulse ',' cut ',' credit ',' emergency ',' slow ',' Forgiveness', 'Damn', 'card']</v>
      </c>
      <c r="D1896" s="3">
        <v>1.0</v>
      </c>
    </row>
    <row r="1897" ht="15.75" customHeight="1">
      <c r="A1897" s="1">
        <v>1895.0</v>
      </c>
      <c r="B1897" s="3" t="s">
        <v>1898</v>
      </c>
      <c r="C1897" s="3" t="str">
        <f>IFERROR(__xludf.DUMMYFUNCTION("GOOGLETRANSLATE(B1897,""id"",""en"")"),"['Severe', 'Login', 'via', 'email', 'complicated', 'account', 'number', 'Telkomsel', 'Please', 'repay', 'expensive', 'Quality', ' Low ',' pulses', 'abis']")</f>
        <v>['Severe', 'Login', 'via', 'email', 'complicated', 'account', 'number', 'Telkomsel', 'Please', 'repay', 'expensive', 'Quality', ' Low ',' pulses', 'abis']</v>
      </c>
      <c r="D1897" s="3">
        <v>1.0</v>
      </c>
    </row>
    <row r="1898" ht="15.75" customHeight="1">
      <c r="A1898" s="1">
        <v>1896.0</v>
      </c>
      <c r="B1898" s="3" t="s">
        <v>1899</v>
      </c>
      <c r="C1898" s="3" t="str">
        <f>IFERROR(__xludf.DUMMYFUNCTION("GOOGLETRANSLATE(B1898,""id"",""en"")"),"['Satisfied', 'Quality', 'Network', 'Internet', 'Telkomsel', 'Agree', 'Migration', 'Products',' Pre ',' Post ',' Pay ',' Offline ',' GraPARI ',' accompanied ',' proof ',' KTP ',' in relation to ',' anticipates', 'action', 'hacker', 'take', 'over', 'data',"&amp;" 'user', 'account' , 'Bank', 'related', 'number', 'HAPENYA', 'DPT', 'multiptenizes',' quota ',' cheap ',' peancan ',' loyal ',' shingga ',' customers', ' Can ""'loyal', 'Provider', 'Telkomsel', '']")</f>
        <v>['Satisfied', 'Quality', 'Network', 'Internet', 'Telkomsel', 'Agree', 'Migration', 'Products',' Pre ',' Post ',' Pay ',' Offline ',' GraPARI ',' accompanied ',' proof ',' KTP ',' in relation to ',' anticipates', 'action', 'hacker', 'take', 'over', 'data', 'user', 'account' , 'Bank', 'related', 'number', 'HAPENYA', 'DPT', 'multiptenizes',' quota ',' cheap ',' peancan ',' loyal ',' shingga ',' customers', ' Can "'loyal', 'Provider', 'Telkomsel', '']</v>
      </c>
      <c r="D1898" s="3">
        <v>5.0</v>
      </c>
    </row>
    <row r="1899" ht="15.75" customHeight="1">
      <c r="A1899" s="1">
        <v>1897.0</v>
      </c>
      <c r="B1899" s="3" t="s">
        <v>1900</v>
      </c>
      <c r="C1899" s="3" t="str">
        <f>IFERROR(__xludf.DUMMYFUNCTION("GOOGLETRANSLATE(B1899,""id"",""en"")"),"['WOI', 'Telkomsel', 'Package', 'Data', 'MAYAL', 'Ampunnn', 'already', 'expensive', 'get', 'a little', 'please', 'Restore', ' Code ',' dial ',' price ',' Limesty ',' Soon ',' Pandemi ',' Search ',' Money ',' Difficult ']")</f>
        <v>['WOI', 'Telkomsel', 'Package', 'Data', 'MAYAL', 'Ampunnn', 'already', 'expensive', 'get', 'a little', 'please', 'Restore', ' Code ',' dial ',' price ',' Limesty ',' Soon ',' Pandemi ',' Search ',' Money ',' Difficult ']</v>
      </c>
      <c r="D1899" s="3">
        <v>1.0</v>
      </c>
    </row>
    <row r="1900" ht="15.75" customHeight="1">
      <c r="A1900" s="1">
        <v>1898.0</v>
      </c>
      <c r="B1900" s="3" t="s">
        <v>1901</v>
      </c>
      <c r="C1900" s="3" t="str">
        <f>IFERROR(__xludf.DUMMYFUNCTION("GOOGLETRANSLATE(B1900,""id"",""en"")"),"['era', 'Baheula', 'sllu', 'use', 'Telkomsel', 'number', 'replace', 'hope', 'signal', 'disruption', 'Lebaran', 'signal', ' Dead ',' Suri ',' Please ',' Increase ',' Success', 'Telkomsel']")</f>
        <v>['era', 'Baheula', 'sllu', 'use', 'Telkomsel', 'number', 'replace', 'hope', 'signal', 'disruption', 'Lebaran', 'signal', ' Dead ',' Suri ',' Please ',' Increase ',' Success', 'Telkomsel']</v>
      </c>
      <c r="D1900" s="3">
        <v>5.0</v>
      </c>
    </row>
    <row r="1901" ht="15.75" customHeight="1">
      <c r="A1901" s="1">
        <v>1899.0</v>
      </c>
      <c r="B1901" s="3" t="s">
        <v>1902</v>
      </c>
      <c r="C1901" s="3" t="str">
        <f>IFERROR(__xludf.DUMMYFUNCTION("GOOGLETRANSLATE(B1901,""id"",""en"")"),"['oath', 'Severe', 'Bet', 'Bukak', 'APK', 'said', 'connection', 'stable', 'padahl', 'connection', 'stable', 'please', ' Repaired ',' Severe ',' Bat ',' APK ',' Asked ',' Gabisa ',' Already ',' Delete ',' APK ',' Loss', 'Install', ""]")</f>
        <v>['oath', 'Severe', 'Bet', 'Bukak', 'APK', 'said', 'connection', 'stable', 'padahl', 'connection', 'stable', 'please', ' Repaired ',' Severe ',' Bat ',' APK ',' Asked ',' Gabisa ',' Already ',' Delete ',' APK ',' Loss', 'Install', "]</v>
      </c>
      <c r="D1901" s="3">
        <v>1.0</v>
      </c>
    </row>
    <row r="1902" ht="15.75" customHeight="1">
      <c r="A1902" s="1">
        <v>1900.0</v>
      </c>
      <c r="B1902" s="3" t="s">
        <v>1903</v>
      </c>
      <c r="C1902" s="3" t="str">
        <f>IFERROR(__xludf.DUMMYFUNCTION("GOOGLETRANSLATE(B1902,""id"",""en"")"),"['Price', 'Changed', 'Change', 'Kouta', 'Masi', 'BNYK', 'Price', 'Cheap', 'Turn', 'Transaction', 'Price', 'Different', ' Wife ',' Use ',' Telkomsel ',' Choice ',' Package ',' Inverted ',' Telkomsel ',' wife ',' Different ', ""]")</f>
        <v>['Price', 'Changed', 'Change', 'Kouta', 'Masi', 'BNYK', 'Price', 'Cheap', 'Turn', 'Transaction', 'Price', 'Different', ' Wife ',' Use ',' Telkomsel ',' Choice ',' Package ',' Inverted ',' Telkomsel ',' wife ',' Different ', "]</v>
      </c>
      <c r="D1902" s="3">
        <v>1.0</v>
      </c>
    </row>
    <row r="1903" ht="15.75" customHeight="1">
      <c r="A1903" s="1">
        <v>1901.0</v>
      </c>
      <c r="B1903" s="3" t="s">
        <v>1904</v>
      </c>
      <c r="C1903" s="3" t="str">
        <f>IFERROR(__xludf.DUMMYFUNCTION("GOOGLETRANSLATE(B1903,""id"",""en"")"),"['Please', 'repaired', 'Sunday', 'Open', 'APK', 'Enter', 'The reason', 'connection', 'Error', 'Network', 'Good', 'Please', ' Repaired ']")</f>
        <v>['Please', 'repaired', 'Sunday', 'Open', 'APK', 'Enter', 'The reason', 'connection', 'Error', 'Network', 'Good', 'Please', ' Repaired ']</v>
      </c>
      <c r="D1903" s="3">
        <v>1.0</v>
      </c>
    </row>
    <row r="1904" ht="15.75" customHeight="1">
      <c r="A1904" s="1">
        <v>1902.0</v>
      </c>
      <c r="B1904" s="3" t="s">
        <v>1905</v>
      </c>
      <c r="C1904" s="3" t="str">
        <f>IFERROR(__xludf.DUMMYFUNCTION("GOOGLETRANSLATE(B1904,""id"",""en"")"),"['Telkomsel', 'Gini', 'Package', 'Internet', 'Masi', 'Iyak', 'Credit', 'Reduced', 'Strange', 'Klw', 'Gini', 'Lazy', ' ',' contents', 'pulse', 'mending', 'buy', 'package', 'direct', 'please', 'Telkomsel', 'Telkomsel', 'deliberate', 'take', 'package' , 'exp"&amp;"erience', 'bnyak']")</f>
        <v>['Telkomsel', 'Gini', 'Package', 'Internet', 'Masi', 'Iyak', 'Credit', 'Reduced', 'Strange', 'Klw', 'Gini', 'Lazy', ' ',' contents', 'pulse', 'mending', 'buy', 'package', 'direct', 'please', 'Telkomsel', 'Telkomsel', 'deliberate', 'take', 'package' , 'experience', 'bnyak']</v>
      </c>
      <c r="D1904" s="3">
        <v>1.0</v>
      </c>
    </row>
    <row r="1905" ht="15.75" customHeight="1">
      <c r="A1905" s="1">
        <v>1903.0</v>
      </c>
      <c r="B1905" s="3" t="s">
        <v>1906</v>
      </c>
      <c r="C1905" s="3" t="str">
        <f>IFERROR(__xludf.DUMMYFUNCTION("GOOGLETRANSLATE(B1905,""id"",""en"")"),"['Help', 'customers',' loyal ',' Telkomsel ',' smga ',' forward ',' smga ',' wrong ',' brntung ',' get ',' gift ',' Telkomsel ',' Point ',' Aamiin ',' YRA ',' Thank you ']")</f>
        <v>['Help', 'customers',' loyal ',' Telkomsel ',' smga ',' forward ',' smga ',' wrong ',' brntung ',' get ',' gift ',' Telkomsel ',' Point ',' Aamiin ',' YRA ',' Thank you ']</v>
      </c>
      <c r="D1905" s="3">
        <v>5.0</v>
      </c>
    </row>
    <row r="1906" ht="15.75" customHeight="1">
      <c r="A1906" s="1">
        <v>1904.0</v>
      </c>
      <c r="B1906" s="3" t="s">
        <v>1907</v>
      </c>
      <c r="C1906" s="3" t="str">
        <f>IFERROR(__xludf.DUMMYFUNCTION("GOOGLETRANSLATE(B1906,""id"",""en"")"),"['Good', 'bnyak', 'promo', 'bnyak', 'package', 'cheap', 'star', 'love', 'customer', 'telkomsel', 'young', 'hopefully', ' satisfying']")</f>
        <v>['Good', 'bnyak', 'promo', 'bnyak', 'package', 'cheap', 'star', 'love', 'customer', 'telkomsel', 'young', 'hopefully', ' satisfying']</v>
      </c>
      <c r="D1906" s="3">
        <v>5.0</v>
      </c>
    </row>
    <row r="1907" ht="15.75" customHeight="1">
      <c r="A1907" s="1">
        <v>1905.0</v>
      </c>
      <c r="B1907" s="3" t="s">
        <v>1908</v>
      </c>
      <c r="C1907" s="3" t="str">
        <f>IFERROR(__xludf.DUMMYFUNCTION("GOOGLETRANSLATE(B1907,""id"",""en"")"),"['Telkomsel', 'enter', 'application', 'connection', 'stable', 'uda', 'that's',' fit ',' belik ',' package ',' data ',' application ',' Cutting ',' Deluan ',' pulse ',' buy ',' credit ',' pulses', 'absorbed', 'Kamana', 'call', 'sms',' person ',' please ','"&amp;" Telkomsel ' , 'Disappointed', 'Service']")</f>
        <v>['Telkomsel', 'enter', 'application', 'connection', 'stable', 'uda', 'that's',' fit ',' belik ',' package ',' data ',' application ',' Cutting ',' Deluan ',' pulse ',' buy ',' credit ',' pulses', 'absorbed', 'Kamana', 'call', 'sms',' person ',' please ',' Telkomsel ' , 'Disappointed', 'Service']</v>
      </c>
      <c r="D1907" s="3">
        <v>1.0</v>
      </c>
    </row>
    <row r="1908" ht="15.75" customHeight="1">
      <c r="A1908" s="1">
        <v>1906.0</v>
      </c>
      <c r="B1908" s="3" t="s">
        <v>1909</v>
      </c>
      <c r="C1908" s="3" t="str">
        <f>IFERROR(__xludf.DUMMYFUNCTION("GOOGLETRANSLATE(B1908,""id"",""en"")"),"['Application', 'perfect', 'buy', 'package', 'check', 'pulse', 'in the' quota ',' detail ',' try ',' quota ',' run out ',' Direct ',' disappear ',' table ',' notification ',' appears', 'noisy', ""]")</f>
        <v>['Application', 'perfect', 'buy', 'package', 'check', 'pulse', 'in the' quota ',' detail ',' try ',' quota ',' run out ',' Direct ',' disappear ',' table ',' notification ',' appears', 'noisy', "]</v>
      </c>
      <c r="D1908" s="3">
        <v>2.0</v>
      </c>
    </row>
    <row r="1909" ht="15.75" customHeight="1">
      <c r="A1909" s="1">
        <v>1907.0</v>
      </c>
      <c r="B1909" s="3" t="s">
        <v>1910</v>
      </c>
      <c r="C1909" s="3" t="str">
        <f>IFERROR(__xludf.DUMMYFUNCTION("GOOGLETRANSLATE(B1909,""id"",""en"")"),"['Sorry', 'Sorry', 'Gini', 'Beett', 'Actually', 'Msalah', 'cell', 'Telkomsel', 'Pengapa', 'Difficult', 'Bet', 'Sinyal', ' Luamayan ',' package ',' quota ',' card ',' Telkomsel ',' yes', 'expensive', 'get', 'kyak', 'gini', 'difficult', 'conect']")</f>
        <v>['Sorry', 'Sorry', 'Gini', 'Beett', 'Actually', 'Msalah', 'cell', 'Telkomsel', 'Pengapa', 'Difficult', 'Bet', 'Sinyal', ' Luamayan ',' package ',' quota ',' card ',' Telkomsel ',' yes', 'expensive', 'get', 'kyak', 'gini', 'difficult', 'conect']</v>
      </c>
      <c r="D1909" s="3">
        <v>1.0</v>
      </c>
    </row>
    <row r="1910" ht="15.75" customHeight="1">
      <c r="A1910" s="1">
        <v>1908.0</v>
      </c>
      <c r="B1910" s="3" t="s">
        <v>1911</v>
      </c>
      <c r="C1910" s="3" t="str">
        <f>IFERROR(__xludf.DUMMYFUNCTION("GOOGLETRANSLATE(B1910,""id"",""en"")"),"['base', 'cheats', 'pulses', 'use', 'Please', 'download', 'AFK', 'Fraudster', 'SMS', 'aware']")</f>
        <v>['base', 'cheats', 'pulses', 'use', 'Please', 'download', 'AFK', 'Fraudster', 'SMS', 'aware']</v>
      </c>
      <c r="D1910" s="3">
        <v>1.0</v>
      </c>
    </row>
    <row r="1911" ht="15.75" customHeight="1">
      <c r="A1911" s="1">
        <v>1909.0</v>
      </c>
      <c r="B1911" s="3" t="s">
        <v>1912</v>
      </c>
      <c r="C1911" s="3" t="str">
        <f>IFERROR(__xludf.DUMMYFUNCTION("GOOGLETRANSLATE(B1911,""id"",""en"")"),"['', 'Telkomsel', 'help', 'extend', 'package', 'confused', 'determine', 'choice', 'package', 'combo', 'maxtrim', 'etc.', 'people ', 'understand', '']")</f>
        <v>['', 'Telkomsel', 'help', 'extend', 'package', 'confused', 'determine', 'choice', 'package', 'combo', 'maxtrim', 'etc.', 'people ', 'understand', '']</v>
      </c>
      <c r="D1911" s="3">
        <v>5.0</v>
      </c>
    </row>
    <row r="1912" ht="15.75" customHeight="1">
      <c r="A1912" s="1">
        <v>1910.0</v>
      </c>
      <c r="B1912" s="3" t="s">
        <v>1913</v>
      </c>
      <c r="C1912" s="3" t="str">
        <f>IFERROR(__xludf.DUMMYFUNCTION("GOOGLETRANSLATE(B1912,""id"",""en"")"),"['min', 'balance', 'pulse', 'regular', 'reduced', 'call', 'sms',' reduced ',' leftover ',' pulses', 'package', 'data', ' cards', 'min', 'events',' pulses', 'regular', 'reduced', 'night', 'pulse', 'morning', 'nelp', 'sms',' internet ',' notification ' , 'g"&amp;"iver', 'know', 'anything', 'Telkomsel', 'disappointed', 'application', 'Telkomsel', '']")</f>
        <v>['min', 'balance', 'pulse', 'regular', 'reduced', 'call', 'sms',' reduced ',' leftover ',' pulses', 'package', 'data', ' cards', 'min', 'events',' pulses', 'regular', 'reduced', 'night', 'pulse', 'morning', 'nelp', 'sms',' internet ',' notification ' , 'giver', 'know', 'anything', 'Telkomsel', 'disappointed', 'application', 'Telkomsel', '']</v>
      </c>
      <c r="D1912" s="3">
        <v>1.0</v>
      </c>
    </row>
    <row r="1913" ht="15.75" customHeight="1">
      <c r="A1913" s="1">
        <v>1911.0</v>
      </c>
      <c r="B1913" s="3" t="s">
        <v>1914</v>
      </c>
      <c r="C1913" s="3" t="str">
        <f>IFERROR(__xludf.DUMMYFUNCTION("GOOGLETRANSLATE(B1913,""id"",""en"")"),"['', 'Cave', 'Love', 'Bintang', 'Benerin', 'Signal', 'Tower', 'Village', 'Purwarahayu', 'Javanese', 'West', 'Begin', 'Tapu ',' Tetep ',' ugly ',' cave ',' move ',' ngapain ',' netep ',' card ',' hell ',' ']")</f>
        <v>['', 'Cave', 'Love', 'Bintang', 'Benerin', 'Signal', 'Tower', 'Village', 'Purwarahayu', 'Javanese', 'West', 'Begin', 'Tapu ',' Tetep ',' ugly ',' cave ',' move ',' ngapain ',' netep ',' card ',' hell ',' ']</v>
      </c>
      <c r="D1913" s="3">
        <v>1.0</v>
      </c>
    </row>
    <row r="1914" ht="15.75" customHeight="1">
      <c r="A1914" s="1">
        <v>1912.0</v>
      </c>
      <c r="B1914" s="3" t="s">
        <v>1915</v>
      </c>
      <c r="C1914" s="3" t="str">
        <f>IFERROR(__xludf.DUMMYFUNCTION("GOOGLETRANSLATE(B1914,""id"",""en"")"),"['makes it easy', 'purchase', 'pulse', 'check', 'pulse', 'features',' unfortunately ',' application ',' dependent ',' quota ',' quota ',' check ',' Credit ',' buy ',' pulse ',' application ',' ']")</f>
        <v>['makes it easy', 'purchase', 'pulse', 'check', 'pulse', 'features',' unfortunately ',' application ',' dependent ',' quota ',' quota ',' check ',' Credit ',' buy ',' pulse ',' application ',' ']</v>
      </c>
      <c r="D1914" s="3">
        <v>5.0</v>
      </c>
    </row>
    <row r="1915" ht="15.75" customHeight="1">
      <c r="A1915" s="1">
        <v>1913.0</v>
      </c>
      <c r="B1915" s="3" t="s">
        <v>1916</v>
      </c>
      <c r="C1915" s="3" t="str">
        <f>IFERROR(__xludf.DUMMYFUNCTION("GOOGLETRANSLATE(B1915,""id"",""en"")"),"['quota', 'buy', 'package', 'quota', 'package', 'dipake', 'surprised', 'strange', 'the difference', 'ask', 'applied', 'diliated', ' Telkomsel ',' repair ',' Telkomsel ',' already ',' third ',' time ',' have ',' complaints', 'Telkomsel', 'Please', 'repair'"&amp;", ""]")</f>
        <v>['quota', 'buy', 'package', 'quota', 'package', 'dipake', 'surprised', 'strange', 'the difference', 'ask', 'applied', 'diliated', ' Telkomsel ',' repair ',' Telkomsel ',' already ',' third ',' time ',' have ',' complaints', 'Telkomsel', 'Please', 'repair', "]</v>
      </c>
      <c r="D1915" s="3">
        <v>1.0</v>
      </c>
    </row>
    <row r="1916" ht="15.75" customHeight="1">
      <c r="A1916" s="1">
        <v>1914.0</v>
      </c>
      <c r="B1916" s="3" t="s">
        <v>1917</v>
      </c>
      <c r="C1916" s="3" t="str">
        <f>IFERROR(__xludf.DUMMYFUNCTION("GOOGLETRANSLATE(B1916,""id"",""en"")"),"['network', 'combo', 'Sakti', 'promo', 'slow', 'forgiveness',' how ',' story ',' mending ',' move ',' smartfren ',' Telkomsel ',' slow ',' slow ',' slow ',' really ']")</f>
        <v>['network', 'combo', 'Sakti', 'promo', 'slow', 'forgiveness',' how ',' story ',' mending ',' move ',' smartfren ',' Telkomsel ',' slow ',' slow ',' slow ',' really ']</v>
      </c>
      <c r="D1916" s="3">
        <v>1.0</v>
      </c>
    </row>
    <row r="1917" ht="15.75" customHeight="1">
      <c r="A1917" s="1">
        <v>1915.0</v>
      </c>
      <c r="B1917" s="3" t="s">
        <v>1918</v>
      </c>
      <c r="C1917" s="3" t="str">
        <f>IFERROR(__xludf.DUMMYFUNCTION("GOOGLETRANSLATE(B1917,""id"",""en"")"),"['Telkomsel', 'name', 'magnitude', 'Indonesia', 'signal', 'good', 'TPI', 'broken', 'signal', 'price', 'quota', 'expensive', ' network ',' stable ',' move ',' network ',' ']")</f>
        <v>['Telkomsel', 'name', 'magnitude', 'Indonesia', 'signal', 'good', 'TPI', 'broken', 'signal', 'price', 'quota', 'expensive', ' network ',' stable ',' move ',' network ',' ']</v>
      </c>
      <c r="D1917" s="3">
        <v>1.0</v>
      </c>
    </row>
    <row r="1918" ht="15.75" customHeight="1">
      <c r="A1918" s="1">
        <v>1916.0</v>
      </c>
      <c r="B1918" s="3" t="s">
        <v>1919</v>
      </c>
      <c r="C1918" s="3" t="str">
        <f>IFERROR(__xludf.DUMMYFUNCTION("GOOGLETRANSLATE(B1918,""id"",""en"")"),"['Telkomsel', 'Ngeprank', 'Mulu', 'Males',' buy ',' kouta ',' unlimited ',' apps', 'emang', 'really', 'unlimited', 'apps',' The limit ',' GB ',' Kouta ',' Main ',' GB ',' Kouta ',' Unlimited ',' GB ',' Rich ',' Litu ',' Unlimited ',' Kouta ',' Main ' , 'H"&amp;"ow', 'Comfortable', 'Customer', 'Please', 'Bener', 'Sedia', 'Package', 'Data', '']")</f>
        <v>['Telkomsel', 'Ngeprank', 'Mulu', 'Males',' buy ',' kouta ',' unlimited ',' apps', 'emang', 'really', 'unlimited', 'apps',' The limit ',' GB ',' Kouta ',' Main ',' GB ',' Kouta ',' Unlimited ',' GB ',' Rich ',' Litu ',' Unlimited ',' Kouta ',' Main ' , 'How', 'Comfortable', 'Customer', 'Please', 'Bener', 'Sedia', 'Package', 'Data', '']</v>
      </c>
      <c r="D1918" s="3">
        <v>1.0</v>
      </c>
    </row>
    <row r="1919" ht="15.75" customHeight="1">
      <c r="A1919" s="1">
        <v>1917.0</v>
      </c>
      <c r="B1919" s="3" t="s">
        <v>1920</v>
      </c>
      <c r="C1919" s="3" t="str">
        <f>IFERROR(__xludf.DUMMYFUNCTION("GOOGLETRANSLATE(B1919,""id"",""en"")"),"['buy', 'unlimited', 'unlimited', 'since' RB ',' limit ',' speech ',' unlimited ',' work ',' depam ',' cave ',' Ogah ',' Buy ',' Package ',' Telkomsel ',' Mna ',' already ',' expensive ',' wasteful ',' Different ',' really ',' ama ',' bukain ',' yuotube '"&amp;",' kgk ' , 'wasteful', '']")</f>
        <v>['buy', 'unlimited', 'unlimited', 'since' RB ',' limit ',' speech ',' unlimited ',' work ',' depam ',' cave ',' Ogah ',' Buy ',' Package ',' Telkomsel ',' Mna ',' already ',' expensive ',' wasteful ',' Different ',' really ',' ama ',' bukain ',' yuotube ',' kgk ' , 'wasteful', '']</v>
      </c>
      <c r="D1919" s="3">
        <v>1.0</v>
      </c>
    </row>
    <row r="1920" ht="15.75" customHeight="1">
      <c r="A1920" s="1">
        <v>1918.0</v>
      </c>
      <c r="B1920" s="3" t="s">
        <v>1921</v>
      </c>
      <c r="C1920" s="3" t="str">
        <f>IFERROR(__xludf.DUMMYFUNCTION("GOOGLETRANSLATE(B1920,""id"",""en"")"),"['Ngeselin', 'Untung', 'Ramadhan', 'Buy', 'Package', 'Data', 'Cheerful', 'then', 'Settings',' Arrangement ',' Credit ',' Eaten ',' network ',' Telkomsel ',' range ',' the widest ',' customer ',' Indonesia ',' eat ',' fortunate ',' service ',' please ',' e"&amp;"xplanation ', ""]")</f>
        <v>['Ngeselin', 'Untung', 'Ramadhan', 'Buy', 'Package', 'Data', 'Cheerful', 'then', 'Settings',' Arrangement ',' Credit ',' Eaten ',' network ',' Telkomsel ',' range ',' the widest ',' customer ',' Indonesia ',' eat ',' fortunate ',' service ',' please ',' explanation ', "]</v>
      </c>
      <c r="D1920" s="3">
        <v>1.0</v>
      </c>
    </row>
    <row r="1921" ht="15.75" customHeight="1">
      <c r="A1921" s="1">
        <v>1919.0</v>
      </c>
      <c r="B1921" s="3" t="s">
        <v>1922</v>
      </c>
      <c r="C1921" s="3" t="str">
        <f>IFERROR(__xludf.DUMMYFUNCTION("GOOGLETRANSLATE(B1921,""id"",""en"")"),"['Telkomasel', 'populat', 'expensive', 'I also', 'moved', 'card', 'package', 'ternet', 'kmarin', 'tasty', 'ehh', 'mah', ' The rates', 'kapok', 'cards',' expensive ',' loop ',' expensive ',' thank you ',' Telkomsel ',' customers', 'kapok', 'please', 'intro"&amp;"pect', 'your customer' , 'blur', 'thank you', '']")</f>
        <v>['Telkomasel', 'populat', 'expensive', 'I also', 'moved', 'card', 'package', 'ternet', 'kmarin', 'tasty', 'ehh', 'mah', ' The rates', 'kapok', 'cards',' expensive ',' loop ',' expensive ',' thank you ',' Telkomsel ',' customers', 'kapok', 'please', 'intropect', 'your customer' , 'blur', 'thank you', '']</v>
      </c>
      <c r="D1921" s="3">
        <v>1.0</v>
      </c>
    </row>
    <row r="1922" ht="15.75" customHeight="1">
      <c r="A1922" s="1">
        <v>1920.0</v>
      </c>
      <c r="B1922" s="3" t="s">
        <v>1923</v>
      </c>
      <c r="C1922" s="3" t="str">
        <f>IFERROR(__xludf.DUMMYFUNCTION("GOOGLETRANSLATE(B1922,""id"",""en"")"),"['Download', 'streaming', 'signal', 'ugly', 'really', 'bet', 'Telkomsel', 'play', 'game', 'mobile', 'Legend', 'YouTube', ' his signal ',' Taik ',' please ',' Telkomsel ',' network ',' stable ',' signal ',' slow ',' repaired ',' thank you ']")</f>
        <v>['Download', 'streaming', 'signal', 'ugly', 'really', 'bet', 'Telkomsel', 'play', 'game', 'mobile', 'Legend', 'YouTube', ' his signal ',' Taik ',' please ',' Telkomsel ',' network ',' stable ',' signal ',' slow ',' repaired ',' thank you ']</v>
      </c>
      <c r="D1922" s="3">
        <v>1.0</v>
      </c>
    </row>
    <row r="1923" ht="15.75" customHeight="1">
      <c r="A1923" s="1">
        <v>1921.0</v>
      </c>
      <c r="B1923" s="3" t="s">
        <v>1924</v>
      </c>
      <c r="C1923" s="3" t="str">
        <f>IFERROR(__xludf.DUMMYFUNCTION("GOOGLETRANSLATE(B1923,""id"",""en"")"),"['signal', 'good', 'ugly', 'quota', 'expensive', 'stretched', 'disappointing', 'network', 'signal', 'bar', 'locked', 'mlaah', ' Cross', 'bangse', 'provider', 'next door', 'signal', 'nebeng', 'tsel', 'ugly', 'ugly', 'ugly', 'signal']")</f>
        <v>['signal', 'good', 'ugly', 'quota', 'expensive', 'stretched', 'disappointing', 'network', 'signal', 'bar', 'locked', 'mlaah', ' Cross', 'bangse', 'provider', 'next door', 'signal', 'nebeng', 'tsel', 'ugly', 'ugly', 'ugly', 'signal']</v>
      </c>
      <c r="D1923" s="3">
        <v>1.0</v>
      </c>
    </row>
    <row r="1924" ht="15.75" customHeight="1">
      <c r="A1924" s="1">
        <v>1922.0</v>
      </c>
      <c r="B1924" s="3" t="s">
        <v>1925</v>
      </c>
      <c r="C1924" s="3" t="str">
        <f>IFERROR(__xludf.DUMMYFUNCTION("GOOGLETRANSLATE(B1924,""id"",""en"")"),"['improvement', 'promo', 'surprise', 'Deal', 'expensive', 'refers',' customer ',' contents', 'pulse', 'signal', 'play', 'game', ' Folded ',' Promo ',' Bener ',' Useful ',' Quota ',' Confusing ']")</f>
        <v>['improvement', 'promo', 'surprise', 'Deal', 'expensive', 'refers',' customer ',' contents', 'pulse', 'signal', 'play', 'game', ' Folded ',' Promo ',' Bener ',' Useful ',' Quota ',' Confusing ']</v>
      </c>
      <c r="D1924" s="3">
        <v>3.0</v>
      </c>
    </row>
    <row r="1925" ht="15.75" customHeight="1">
      <c r="A1925" s="1">
        <v>1923.0</v>
      </c>
      <c r="B1925" s="3" t="s">
        <v>1926</v>
      </c>
      <c r="C1925" s="3" t="str">
        <f>IFERROR(__xludf.DUMMYFUNCTION("GOOGLETRANSLATE(B1925,""id"",""en"")"),"['Signal', 'Telkomsel', 'Bad', 'Main', 'Game', 'Mobile', 'Legend', 'Signal', 'Change', 'AXIS', 'Telkomsel', 'Bad', ' Buy ',' card ',' price ',' expensive ',' results', 'signal', 'bad', '']")</f>
        <v>['Signal', 'Telkomsel', 'Bad', 'Main', 'Game', 'Mobile', 'Legend', 'Signal', 'Change', 'AXIS', 'Telkomsel', 'Bad', ' Buy ',' card ',' price ',' expensive ',' results', 'signal', 'bad', '']</v>
      </c>
      <c r="D1925" s="3">
        <v>1.0</v>
      </c>
    </row>
    <row r="1926" ht="15.75" customHeight="1">
      <c r="A1926" s="1">
        <v>1924.0</v>
      </c>
      <c r="B1926" s="3" t="s">
        <v>1927</v>
      </c>
      <c r="C1926" s="3" t="str">
        <f>IFERROR(__xludf.DUMMYFUNCTION("GOOGLETRANSLATE(B1926,""id"",""en"")"),"['Excuse', 'Min', 'Region', 'Riau', 'Network', 'Internet', 'Telkomsel', 'Lemot', 'Karna', 'Incident', 'Fire', 'Spressed', ' Cause ',' speed ',' internet ',' comparable ',' price ',' loss', ""]")</f>
        <v>['Excuse', 'Min', 'Region', 'Riau', 'Network', 'Internet', 'Telkomsel', 'Lemot', 'Karna', 'Incident', 'Fire', 'Spressed', ' Cause ',' speed ',' internet ',' comparable ',' price ',' loss', "]</v>
      </c>
      <c r="D1926" s="3">
        <v>3.0</v>
      </c>
    </row>
    <row r="1927" ht="15.75" customHeight="1">
      <c r="A1927" s="1">
        <v>1925.0</v>
      </c>
      <c r="B1927" s="3" t="s">
        <v>1928</v>
      </c>
      <c r="C1927" s="3" t="str">
        <f>IFERROR(__xludf.DUMMYFUNCTION("GOOGLETRANSLATE(B1927,""id"",""en"")"),"['suggestion', 'gift', 'daily', 'check', 'given', 'choice', 'thank', 'love', 'claim', 'gift', 'daily', 'check', ' plus', 'choice', 'pulse', 'quota', 'internet', 'sorry', 'claim', 'gift', 'daily', 'check', 'claim', 'gift', 'quota' , 'internet', 'thank', 'l"&amp;"ove', ""]")</f>
        <v>['suggestion', 'gift', 'daily', 'check', 'given', 'choice', 'thank', 'love', 'claim', 'gift', 'daily', 'check', ' plus', 'choice', 'pulse', 'quota', 'internet', 'sorry', 'claim', 'gift', 'daily', 'check', 'claim', 'gift', 'quota' , 'internet', 'thank', 'love', "]</v>
      </c>
      <c r="D1927" s="3">
        <v>4.0</v>
      </c>
    </row>
    <row r="1928" ht="15.75" customHeight="1">
      <c r="A1928" s="1">
        <v>1926.0</v>
      </c>
      <c r="B1928" s="3" t="s">
        <v>1929</v>
      </c>
      <c r="C1928" s="3" t="str">
        <f>IFERROR(__xludf.DUMMYFUNCTION("GOOGLETRANSLATE(B1928,""id"",""en"")"),"['price', 'package', 'data', 'expensive', 'open', 'Telkomsel', 'signal', 'full', 'stable', 'fix', 'qualix', 'ride', ' price', '']")</f>
        <v>['price', 'package', 'data', 'expensive', 'open', 'Telkomsel', 'signal', 'full', 'stable', 'fix', 'qualix', 'ride', ' price', '']</v>
      </c>
      <c r="D1928" s="3">
        <v>1.0</v>
      </c>
    </row>
    <row r="1929" ht="15.75" customHeight="1">
      <c r="A1929" s="1">
        <v>1927.0</v>
      </c>
      <c r="B1929" s="3" t="s">
        <v>1930</v>
      </c>
      <c r="C1929" s="3" t="str">
        <f>IFERROR(__xludf.DUMMYFUNCTION("GOOGLETRANSLATE(B1929,""id"",""en"")"),"['Quality', 'Network', 'ugly', 'ugly', 'promo', 'style', 'blank', 'empty', 'quality', 'network', 'lucky', 'Telkomsel', ' Reaching ',' Indonesia ',' Suppose ',' Network ',' Communication ',' Telkomsel ',' Telkomsel ']")</f>
        <v>['Quality', 'Network', 'ugly', 'ugly', 'promo', 'style', 'blank', 'empty', 'quality', 'network', 'lucky', 'Telkomsel', ' Reaching ',' Indonesia ',' Suppose ',' Network ',' Communication ',' Telkomsel ',' Telkomsel ']</v>
      </c>
      <c r="D1929" s="3">
        <v>1.0</v>
      </c>
    </row>
    <row r="1930" ht="15.75" customHeight="1">
      <c r="A1930" s="1">
        <v>1928.0</v>
      </c>
      <c r="B1930" s="3" t="s">
        <v>1931</v>
      </c>
      <c r="C1930" s="3" t="str">
        <f>IFERROR(__xludf.DUMMYFUNCTION("GOOGLETRANSLATE(B1930,""id"",""en"")"),"['happy', 'application', 'MyTelkomsel', 'makes it easier', 'transaction', 'pulse', 'buy', 'package', 'quota', 'internet', 'promo', 'promo', ' interesting']")</f>
        <v>['happy', 'application', 'MyTelkomsel', 'makes it easier', 'transaction', 'pulse', 'buy', 'package', 'quota', 'internet', 'promo', 'promo', ' interesting']</v>
      </c>
      <c r="D1930" s="3">
        <v>4.0</v>
      </c>
    </row>
    <row r="1931" ht="15.75" customHeight="1">
      <c r="A1931" s="1">
        <v>1929.0</v>
      </c>
      <c r="B1931" s="3" t="s">
        <v>1932</v>
      </c>
      <c r="C1931" s="3" t="str">
        <f>IFERROR(__xludf.DUMMYFUNCTION("GOOGLETRANSLATE(B1931,""id"",""en"")"),"['Please', 'fix', 'network', 'area', 'users',' Telkomsel ',' tissue ',' satisfying ',' severe ',' lag ',' please ',' fix ',' ']")</f>
        <v>['Please', 'fix', 'network', 'area', 'users',' Telkomsel ',' tissue ',' satisfying ',' severe ',' lag ',' please ',' fix ',' ']</v>
      </c>
      <c r="D1931" s="3">
        <v>1.0</v>
      </c>
    </row>
    <row r="1932" ht="15.75" customHeight="1">
      <c r="A1932" s="1">
        <v>1930.0</v>
      </c>
      <c r="B1932" s="3" t="s">
        <v>1933</v>
      </c>
      <c r="C1932" s="3" t="str">
        <f>IFERROR(__xludf.DUMMYFUNCTION("GOOGLETRANSLATE(B1932,""id"",""en"")"),"['Buy', 'Combo', 'Sakti', 'Unlimited', 'GB', 'Unlimited', 'Fill', 'reset', 'unlimited', 'restricted', 'GB', 'Please', ' price ',' friendly ',' little ',' mending ',' network ',' good ',' really ',' disappointed ',' service ',' Telkomsel ',' ']")</f>
        <v>['Buy', 'Combo', 'Sakti', 'Unlimited', 'GB', 'Unlimited', 'Fill', 'reset', 'unlimited', 'restricted', 'GB', 'Please', ' price ',' friendly ',' little ',' mending ',' network ',' good ',' really ',' disappointed ',' service ',' Telkomsel ',' ']</v>
      </c>
      <c r="D1932" s="3">
        <v>2.0</v>
      </c>
    </row>
    <row r="1933" ht="15.75" customHeight="1">
      <c r="A1933" s="1">
        <v>1931.0</v>
      </c>
      <c r="B1933" s="3" t="s">
        <v>1934</v>
      </c>
      <c r="C1933" s="3" t="str">
        <f>IFERROR(__xludf.DUMMYFUNCTION("GOOGLETRANSLATE(B1933,""id"",""en"")"),"['Unlimited', 'UDH', 'Signal', 'Network', 'Leet', 'Quota', 'Cave', 'Love', 'Rating', 'Star', 'Males',' Very ',' Cave ',' Wejek ',' Nie ',' card ',' sympathy ']")</f>
        <v>['Unlimited', 'UDH', 'Signal', 'Network', 'Leet', 'Quota', 'Cave', 'Love', 'Rating', 'Star', 'Males',' Very ',' Cave ',' Wejek ',' Nie ',' card ',' sympathy ']</v>
      </c>
      <c r="D1933" s="3">
        <v>1.0</v>
      </c>
    </row>
    <row r="1934" ht="15.75" customHeight="1">
      <c r="A1934" s="1">
        <v>1932.0</v>
      </c>
      <c r="B1934" s="3" t="s">
        <v>1935</v>
      </c>
      <c r="C1934" s="3" t="str">
        <f>IFERROR(__xludf.DUMMYFUNCTION("GOOGLETRANSLATE(B1934,""id"",""en"")"),"['signal', 'ugly', 'broke', 'connection', 'conversation', 'reach', 'signal', 'speed', 'access',' data ',' slow ',' reach ',' The area ',' sub-district ',' price ',' expensive ',' customized ',' quality ',' ']")</f>
        <v>['signal', 'ugly', 'broke', 'connection', 'conversation', 'reach', 'signal', 'speed', 'access',' data ',' slow ',' reach ',' The area ',' sub-district ',' price ',' expensive ',' customized ',' quality ',' ']</v>
      </c>
      <c r="D1934" s="3">
        <v>1.0</v>
      </c>
    </row>
    <row r="1935" ht="15.75" customHeight="1">
      <c r="A1935" s="1">
        <v>1933.0</v>
      </c>
      <c r="B1935" s="3" t="s">
        <v>1936</v>
      </c>
      <c r="C1935" s="3" t="str">
        <f>IFERROR(__xludf.DUMMYFUNCTION("GOOGLETRANSLATE(B1935,""id"",""en"")"),"['subscription', 'Combo', 'Sakti', 'Unlimited', 'Yesterday', 'smooth', 'package', 'unlimited', 'quota', 'main', 'already', 'run out', ' ngellag ',' severe ',' quota ',' main ',' run out ',' open ',' snap ',' open ',' ngelag ',' please ',' fix ', ""]")</f>
        <v>['subscription', 'Combo', 'Sakti', 'Unlimited', 'Yesterday', 'smooth', 'package', 'unlimited', 'quota', 'main', 'already', 'run out', ' ngellag ',' severe ',' quota ',' main ',' run out ',' open ',' snap ',' open ',' ngelag ',' please ',' fix ', "]</v>
      </c>
      <c r="D1935" s="3">
        <v>1.0</v>
      </c>
    </row>
    <row r="1936" ht="15.75" customHeight="1">
      <c r="A1936" s="1">
        <v>1934.0</v>
      </c>
      <c r="B1936" s="3" t="s">
        <v>1937</v>
      </c>
      <c r="C1936" s="3" t="str">
        <f>IFERROR(__xludf.DUMMYFUNCTION("GOOGLETRANSLATE(B1936,""id"",""en"")"),"['difficult', 'opened', 'connection', 'stable', 'open', 'smooth', 'smooth', '']")</f>
        <v>['difficult', 'opened', 'connection', 'stable', 'open', 'smooth', 'smooth', '']</v>
      </c>
      <c r="D1936" s="3">
        <v>1.0</v>
      </c>
    </row>
    <row r="1937" ht="15.75" customHeight="1">
      <c r="A1937" s="1">
        <v>1935.0</v>
      </c>
      <c r="B1937" s="3" t="s">
        <v>1938</v>
      </c>
      <c r="C1937" s="3" t="str">
        <f>IFERROR(__xludf.DUMMYFUNCTION("GOOGLETRANSLATE(B1937,""id"",""en"")"),"['Come', 'signal', 'Sometimes', 'ilang', 'Nilagan', 'Sometimes', 'Trouble', 'Browsing', 'Not', 'Bad', 'Sometimes', 'sometimes' ngak ',' tasty ',' jadine ',' please ',' team ',' provider ',' enhanced ',' trims', '']")</f>
        <v>['Come', 'signal', 'Sometimes', 'ilang', 'Nilagan', 'Sometimes', 'Trouble', 'Browsing', 'Not', 'Bad', 'Sometimes', 'sometimes' ngak ',' tasty ',' jadine ',' please ',' team ',' provider ',' enhanced ',' trims', '']</v>
      </c>
      <c r="D1937" s="3">
        <v>2.0</v>
      </c>
    </row>
    <row r="1938" ht="15.75" customHeight="1">
      <c r="A1938" s="1">
        <v>1936.0</v>
      </c>
      <c r="B1938" s="3" t="s">
        <v>1939</v>
      </c>
      <c r="C1938" s="3" t="str">
        <f>IFERROR(__xludf.DUMMYFUNCTION("GOOGLETRANSLATE(B1938,""id"",""en"")"),"['pulse', 'main', 'ilang', 'quota', 'lho', 'sorted', 'complain', 'kmana', 'gini', 'morning', 'contents',' afternoon ',' disappear ',' Credit ',' Perpanjanagan ',' buy ',' quota ',' gini ',' bother ',' times', 'really', 'Telkomsel', 'detrimental', 'signal'"&amp;", 'ilang' , 'Telkomsel', 'as good', ""]")</f>
        <v>['pulse', 'main', 'ilang', 'quota', 'lho', 'sorted', 'complain', 'kmana', 'gini', 'morning', 'contents',' afternoon ',' disappear ',' Credit ',' Perpanjanagan ',' buy ',' quota ',' gini ',' bother ',' times', 'really', 'Telkomsel', 'detrimental', 'signal', 'ilang' , 'Telkomsel', 'as good', "]</v>
      </c>
      <c r="D1938" s="3">
        <v>2.0</v>
      </c>
    </row>
    <row r="1939" ht="15.75" customHeight="1">
      <c r="A1939" s="1">
        <v>1937.0</v>
      </c>
      <c r="B1939" s="3" t="s">
        <v>1940</v>
      </c>
      <c r="C1939" s="3" t="str">
        <f>IFERROR(__xludf.DUMMYFUNCTION("GOOGLETRANSLATE(B1939,""id"",""en"")"),"['Thieves',' Credit ',' Check ',' Taken ',' Credit ',' Difficult ',' Register ',' Package ',' Cheap ',' Day ',' Register ',' Package ',' Cheerful ',' intention ',' love ',' package ',' cheap ',' appeared ',' ']")</f>
        <v>['Thieves',' Credit ',' Check ',' Taken ',' Credit ',' Difficult ',' Register ',' Package ',' Cheap ',' Day ',' Register ',' Package ',' Cheerful ',' intention ',' love ',' package ',' cheap ',' appeared ',' ']</v>
      </c>
      <c r="D1939" s="3">
        <v>1.0</v>
      </c>
    </row>
    <row r="1940" ht="15.75" customHeight="1">
      <c r="A1940" s="1">
        <v>1938.0</v>
      </c>
      <c r="B1940" s="3" t="s">
        <v>1941</v>
      </c>
      <c r="C1940" s="3" t="str">
        <f>IFERROR(__xludf.DUMMYFUNCTION("GOOGLETRANSLATE(B1940,""id"",""en"")"),"['WOI', 'COK', 'FUP', 'Njir', 'Unlimited', 'Restricted', 'Dancok', 'Customer', 'Lost', 'Kyak', 'Gini', 'Comfortable', ' rubbish', '']")</f>
        <v>['WOI', 'COK', 'FUP', 'Njir', 'Unlimited', 'Restricted', 'Dancok', 'Customer', 'Lost', 'Kyak', 'Gini', 'Comfortable', ' rubbish', '']</v>
      </c>
      <c r="D1940" s="3">
        <v>1.0</v>
      </c>
    </row>
    <row r="1941" ht="15.75" customHeight="1">
      <c r="A1941" s="1">
        <v>1939.0</v>
      </c>
      <c r="B1941" s="3" t="s">
        <v>1942</v>
      </c>
      <c r="C1941" s="3" t="str">
        <f>IFERROR(__xludf.DUMMYFUNCTION("GOOGLETRANSLATE(B1941,""id"",""en"")"),"['', 'ugly', 'skali', 'sudaah', 'contents',' pulse ',' activate ',' package ',' cheerful ',' tdaak ',' enter ',' notification ',' pulsa ',' main ',' Jih ',' took ',' first ',' leftover ',' quota ',' sngat ',' disappointed ',' skali ', ""]")</f>
        <v>['', 'ugly', 'skali', 'sudaah', 'contents',' pulse ',' activate ',' package ',' cheerful ',' tdaak ',' enter ',' notification ',' pulsa ',' main ',' Jih ',' took ',' first ',' leftover ',' quota ',' sngat ',' disappointed ',' skali ', "]</v>
      </c>
      <c r="D1941" s="3">
        <v>1.0</v>
      </c>
    </row>
    <row r="1942" ht="15.75" customHeight="1">
      <c r="A1942" s="1">
        <v>1940.0</v>
      </c>
      <c r="B1942" s="3" t="s">
        <v>1943</v>
      </c>
      <c r="C1942" s="3" t="str">
        <f>IFERROR(__xludf.DUMMYFUNCTION("GOOGLETRANSLATE(B1942,""id"",""en"")"),"['impressive', 'safe', 'comfortable', 'qouta', 'gift', 'check', 'thank', 'love', 'Telkomsel', 'Roly', 'forget', 'turn', ' free ',' qouta ',' internet ',' hope ',' in the future ',' facilitated ',' price ',' package ',' internet ',' cheap ',' customer ',' "&amp;"loyal ',' Telkomsel ' , 'Disappointed', 'Proud', 'Wear', 'Card', 'Telkomsel']")</f>
        <v>['impressive', 'safe', 'comfortable', 'qouta', 'gift', 'check', 'thank', 'love', 'Telkomsel', 'Roly', 'forget', 'turn', ' free ',' qouta ',' internet ',' hope ',' in the future ',' facilitated ',' price ',' package ',' internet ',' cheap ',' customer ',' loyal ',' Telkomsel ' , 'Disappointed', 'Proud', 'Wear', 'Card', 'Telkomsel']</v>
      </c>
      <c r="D1942" s="3">
        <v>5.0</v>
      </c>
    </row>
    <row r="1943" ht="15.75" customHeight="1">
      <c r="A1943" s="1">
        <v>1941.0</v>
      </c>
      <c r="B1943" s="3" t="s">
        <v>1944</v>
      </c>
      <c r="C1943" s="3" t="str">
        <f>IFERROR(__xludf.DUMMYFUNCTION("GOOGLETRANSLATE(B1943,""id"",""en"")"),"['Good', 'like', 'Telkomsel', 'Sometimes',' notification ',' quota ',' run out ',' late ',' direct ',' suck ',' pulse ',' notification ',' late ',' price ',' quota ',' represented ',' emoticon ',' number ',' bonus', 'promo', 'telkom', 'klao', 'promo', 'ev"&amp;"enly', 'add' , 'User', 'Telkom', 'Please', 'Fix', 'Comfort', '']")</f>
        <v>['Good', 'like', 'Telkomsel', 'Sometimes',' notification ',' quota ',' run out ',' late ',' direct ',' suck ',' pulse ',' notification ',' late ',' price ',' quota ',' represented ',' emoticon ',' number ',' bonus', 'promo', 'telkom', 'klao', 'promo', 'evenly', 'add' , 'User', 'Telkom', 'Please', 'Fix', 'Comfort', '']</v>
      </c>
      <c r="D1943" s="3">
        <v>3.0</v>
      </c>
    </row>
    <row r="1944" ht="15.75" customHeight="1">
      <c r="A1944" s="1">
        <v>1942.0</v>
      </c>
      <c r="B1944" s="3" t="s">
        <v>1945</v>
      </c>
      <c r="C1944" s="3" t="str">
        <f>IFERROR(__xludf.DUMMYFUNCTION("GOOGLETRANSLATE(B1944,""id"",""en"")"),"['Sorry', 'Love', 'Star', 'Since', 'Update', 'Bad', 'Application', 'Opened', 'Loading', 'Network', 'Normal', 'Ride', ' Rating ',' Thank you ']")</f>
        <v>['Sorry', 'Love', 'Star', 'Since', 'Update', 'Bad', 'Application', 'Opened', 'Loading', 'Network', 'Normal', 'Ride', ' Rating ',' Thank you ']</v>
      </c>
      <c r="D1944" s="3">
        <v>2.0</v>
      </c>
    </row>
    <row r="1945" ht="15.75" customHeight="1">
      <c r="A1945" s="1">
        <v>1943.0</v>
      </c>
      <c r="B1945" s="3" t="s">
        <v>1946</v>
      </c>
      <c r="C1945" s="3" t="str">
        <f>IFERROR(__xludf.DUMMYFUNCTION("GOOGLETRANSLATE(B1945,""id"",""en"")"),"['', 'buy', 'package', 'cheerful', 'click', 'buy', 'writing', 'sorry', 'disorder', 'system', 'please', 'repeat', 'transaction ',' Minutes', 'Follow', 'Message', 'TSB', 'BBR', 'Kali', 'Chat', 'Veronica', 'Related', 'Constraints',' TSB ',' above ', 'Service"&amp;"', 'Veronica', 'slow', 'disappointed']")</f>
        <v>['', 'buy', 'package', 'cheerful', 'click', 'buy', 'writing', 'sorry', 'disorder', 'system', 'please', 'repeat', 'transaction ',' Minutes', 'Follow', 'Message', 'TSB', 'BBR', 'Kali', 'Chat', 'Veronica', 'Related', 'Constraints',' TSB ',' above ', 'Service', 'Veronica', 'slow', 'disappointed']</v>
      </c>
      <c r="D1945" s="3">
        <v>1.0</v>
      </c>
    </row>
    <row r="1946" ht="15.75" customHeight="1">
      <c r="A1946" s="1">
        <v>1944.0</v>
      </c>
      <c r="B1946" s="3" t="s">
        <v>1947</v>
      </c>
      <c r="C1946" s="3" t="str">
        <f>IFERROR(__xludf.DUMMYFUNCTION("GOOGLETRANSLATE(B1946,""id"",""en"")"),"['have', 'card', 'tekomsel', 'sympathy', 'only', 'card', 'sympathy', 'subscribe', 'youtube', 'unlimited', 'used', 'card', ' Subscribe ',' Combo ',' Sakti ',' unlimited ',' buy ',' unlimited ',' already ',' times', 'buy', 'buy', 'package', 'data', 'use' , "&amp;"'here', 'cheated', 'chat', 'Veronika', 'responded', '']")</f>
        <v>['have', 'card', 'tekomsel', 'sympathy', 'only', 'card', 'sympathy', 'subscribe', 'youtube', 'unlimited', 'used', 'card', ' Subscribe ',' Combo ',' Sakti ',' unlimited ',' buy ',' unlimited ',' already ',' times', 'buy', 'buy', 'package', 'data', 'use' , 'here', 'cheated', 'chat', 'Veronika', 'responded', '']</v>
      </c>
      <c r="D1946" s="3">
        <v>1.0</v>
      </c>
    </row>
    <row r="1947" ht="15.75" customHeight="1">
      <c r="A1947" s="1">
        <v>1945.0</v>
      </c>
      <c r="B1947" s="3" t="s">
        <v>1948</v>
      </c>
      <c r="C1947" s="3" t="str">
        <f>IFERROR(__xludf.DUMMYFUNCTION("GOOGLETRANSLATE(B1947,""id"",""en"")"),"['appears', 'notification', 'connection', 'stable', 'click', 'try', 'network', 'full', 'signal', ""]")</f>
        <v>['appears', 'notification', 'connection', 'stable', 'click', 'try', 'network', 'full', 'signal', "]</v>
      </c>
      <c r="D1947" s="3">
        <v>2.0</v>
      </c>
    </row>
    <row r="1948" ht="15.75" customHeight="1">
      <c r="A1948" s="1">
        <v>1946.0</v>
      </c>
      <c r="B1948" s="3" t="s">
        <v>1949</v>
      </c>
      <c r="C1948" s="3" t="str">
        <f>IFERROR(__xludf.DUMMYFUNCTION("GOOGLETRANSLATE(B1948,""id"",""en"")"),"['Please', 'UDH', 'Download', 'Network', 'Stable', 'Please', 'Update', 'Experience', 'Please', 'Be patient', 'exam', 'please', ' UDH ',' Download ',' Enter ',' Application ',' Telkomsel ',' please ',' Try ',' Yaelah ',' Raying ',' Discard ',' Discard ',' "&amp;"Quota ',' Mulu ' , 'UDH', 'BLI', 'expensive', 'expensive', 'quota', 'waste', 'waste', 'all', 'please', 'Perhutan', 'pity', 'people', ' people ',' experience ',' problems', 'so', 'thank', 'love', ""]")</f>
        <v>['Please', 'UDH', 'Download', 'Network', 'Stable', 'Please', 'Update', 'Experience', 'Please', 'Be patient', 'exam', 'please', ' UDH ',' Download ',' Enter ',' Application ',' Telkomsel ',' please ',' Try ',' Yaelah ',' Raying ',' Discard ',' Discard ',' Quota ',' Mulu ' , 'UDH', 'BLI', 'expensive', 'expensive', 'quota', 'waste', 'waste', 'all', 'please', 'Perhutan', 'pity', 'people', ' people ',' experience ',' problems', 'so', 'thank', 'love', "]</v>
      </c>
      <c r="D1948" s="3">
        <v>1.0</v>
      </c>
    </row>
    <row r="1949" ht="15.75" customHeight="1">
      <c r="A1949" s="1">
        <v>1947.0</v>
      </c>
      <c r="B1949" s="3" t="s">
        <v>1950</v>
      </c>
      <c r="C1949" s="3" t="str">
        <f>IFERROR(__xludf.DUMMYFUNCTION("GOOGLETRANSLATE(B1949,""id"",""en"")"),"['Telkomsel', 'udh', 'tens', 'pakek', 'bonus', 'anything', 'price', 'package', 'expensive', 'corruption', 'UDH', 'Telkomsel']")</f>
        <v>['Telkomsel', 'udh', 'tens', 'pakek', 'bonus', 'anything', 'price', 'package', 'expensive', 'corruption', 'UDH', 'Telkomsel']</v>
      </c>
      <c r="D1949" s="3">
        <v>1.0</v>
      </c>
    </row>
    <row r="1950" ht="15.75" customHeight="1">
      <c r="A1950" s="1">
        <v>1948.0</v>
      </c>
      <c r="B1950" s="3" t="s">
        <v>1951</v>
      </c>
      <c r="C1950" s="3" t="str">
        <f>IFERROR(__xludf.DUMMYFUNCTION("GOOGLETRANSLATE(B1950,""id"",""en"")"),"['', 'area', 'speed', 'network', 'ugly', 'person', 'operator', 'switch', ""]")</f>
        <v>['', 'area', 'speed', 'network', 'ugly', 'person', 'operator', 'switch', "]</v>
      </c>
      <c r="D1950" s="3">
        <v>1.0</v>
      </c>
    </row>
    <row r="1951" ht="15.75" customHeight="1">
      <c r="A1951" s="1">
        <v>1949.0</v>
      </c>
      <c r="B1951" s="3" t="s">
        <v>1952</v>
      </c>
      <c r="C1951" s="3" t="str">
        <f>IFERROR(__xludf.DUMMYFUNCTION("GOOGLETRANSLATE(B1951,""id"",""en"")"),"['Telkomsel', 'ngeecap', 'checked', 'pulse', 'gabisa', 'pulse', 'entry', 'signal', 'ugly', 'really', 'likes',' error ',' Gajelas, 'price', 'package', 'etc.', 'expensive', 'service', 'corrupted', 'Telkomsel', 'until', 'bankrupt', 'destroyed', 'all', 'debri"&amp;"s' , 'Useful', 'BNYK', 'Operator', 'Offers', 'Service', 'Facilities', 'Price', 'Affordable', 'Disappointed', 'Telkomsel', ""]")</f>
        <v>['Telkomsel', 'ngeecap', 'checked', 'pulse', 'gabisa', 'pulse', 'entry', 'signal', 'ugly', 'really', 'likes',' error ',' Gajelas, 'price', 'package', 'etc.', 'expensive', 'service', 'corrupted', 'Telkomsel', 'until', 'bankrupt', 'destroyed', 'all', 'debris' , 'Useful', 'BNYK', 'Operator', 'Offers', 'Service', 'Facilities', 'Price', 'Affordable', 'Disappointed', 'Telkomsel', "]</v>
      </c>
      <c r="D1951" s="3">
        <v>1.0</v>
      </c>
    </row>
    <row r="1952" ht="15.75" customHeight="1">
      <c r="A1952" s="1">
        <v>1950.0</v>
      </c>
      <c r="B1952" s="3" t="s">
        <v>1953</v>
      </c>
      <c r="C1952" s="3" t="str">
        <f>IFERROR(__xludf.DUMMYFUNCTION("GOOGLETRANSLATE(B1952,""id"",""en"")"),"['subscription', 'package', 'unlimited', 'smooth', 'ajaa', 'yesterday', 'buy', 'smooth', 'lemott', 'really', 'yesterday', 'smooth', ' Please, 'Dongg', 'Benerin', 'PDHL', 'expensive', 'Package', 'Nya', ""]")</f>
        <v>['subscription', 'package', 'unlimited', 'smooth', 'ajaa', 'yesterday', 'buy', 'smooth', 'lemott', 'really', 'yesterday', 'smooth', ' Please, 'Dongg', 'Benerin', 'PDHL', 'expensive', 'Package', 'Nya', "]</v>
      </c>
      <c r="D1952" s="3">
        <v>1.0</v>
      </c>
    </row>
    <row r="1953" ht="15.75" customHeight="1">
      <c r="A1953" s="1">
        <v>1951.0</v>
      </c>
      <c r="B1953" s="3" t="s">
        <v>1954</v>
      </c>
      <c r="C1953" s="3" t="str">
        <f>IFERROR(__xludf.DUMMYFUNCTION("GOOGLETRANSLATE(B1953,""id"",""en"")"),"['kmrin', 'Msih', 'enjoy', 'usage', 'forgiveness',' signal ',' kmrin ',' package ',' main ',' hbis', 'msih', 'open', ' Instagram ',' skrang ',' mlh ',' opened ',' truz ',' writing ',' unlimited ',' buy ',' package ',' disappointed ',' offer ',' Telkomsel "&amp;"']")</f>
        <v>['kmrin', 'Msih', 'enjoy', 'usage', 'forgiveness',' signal ',' kmrin ',' package ',' main ',' hbis', 'msih', 'open', ' Instagram ',' skrang ',' mlh ',' opened ',' truz ',' writing ',' unlimited ',' buy ',' package ',' disappointed ',' offer ',' Telkomsel ']</v>
      </c>
      <c r="D1953" s="3">
        <v>1.0</v>
      </c>
    </row>
    <row r="1954" ht="15.75" customHeight="1">
      <c r="A1954" s="1">
        <v>1952.0</v>
      </c>
      <c r="B1954" s="3" t="s">
        <v>1955</v>
      </c>
      <c r="C1954" s="3" t="str">
        <f>IFERROR(__xludf.DUMMYFUNCTION("GOOGLETRANSLATE(B1954,""id"",""en"")"),"['Report', 'Login', 'App', 'Telkomsel', 'Difficult', 'Network', 'Stable', 'Good', 'kid', 'buy', 'Package', ""]")</f>
        <v>['Report', 'Login', 'App', 'Telkomsel', 'Difficult', 'Network', 'Stable', 'Good', 'kid', 'buy', 'Package', "]</v>
      </c>
      <c r="D1954" s="3">
        <v>2.0</v>
      </c>
    </row>
    <row r="1955" ht="15.75" customHeight="1">
      <c r="A1955" s="1">
        <v>1953.0</v>
      </c>
      <c r="B1955" s="3" t="s">
        <v>1956</v>
      </c>
      <c r="C1955" s="3" t="str">
        <f>IFERROR(__xludf.DUMMYFUNCTION("GOOGLETRANSLATE(B1955,""id"",""en"")"),"['Males', 'Telkomsel', 'joons', 'stable', 'network', 'good', 'login', 'login', 'please', 'repair', ""]")</f>
        <v>['Males', 'Telkomsel', 'joons', 'stable', 'network', 'good', 'login', 'login', 'please', 'repair', "]</v>
      </c>
      <c r="D1955" s="3">
        <v>2.0</v>
      </c>
    </row>
    <row r="1956" ht="15.75" customHeight="1">
      <c r="A1956" s="1">
        <v>1954.0</v>
      </c>
      <c r="B1956" s="3" t="s">
        <v>1957</v>
      </c>
      <c r="C1956" s="3" t="str">
        <f>IFERROR(__xludf.DUMMYFUNCTION("GOOGLETRANSLATE(B1956,""id"",""en"")"),"['Telkomsel', 'expensive', 'doang', 'signal', 'ilang', 'use', 'telkomsel', 'because his signa', 'good', 'disappointed', 'performance', ' Bener ',' decreases']")</f>
        <v>['Telkomsel', 'expensive', 'doang', 'signal', 'ilang', 'use', 'telkomsel', 'because his signa', 'good', 'disappointed', 'performance', ' Bener ',' decreases']</v>
      </c>
      <c r="D1956" s="3">
        <v>1.0</v>
      </c>
    </row>
    <row r="1957" ht="15.75" customHeight="1">
      <c r="A1957" s="1">
        <v>1955.0</v>
      </c>
      <c r="B1957" s="3" t="s">
        <v>1958</v>
      </c>
      <c r="C1957" s="3" t="str">
        <f>IFERROR(__xludf.DUMMYFUNCTION("GOOGLETRANSLATE(B1957,""id"",""en"")"),"['Telkomsel', 'Telkomsel', 'package', 'expensive', 'signal', 'like', 'error', 'fix', 'tired', 'jdi', 'sya', 'as',' Subscriptions', 'Sexos',' Switch ',' Service ',' Good ',' The Network ',' Cheap ',' ']")</f>
        <v>['Telkomsel', 'Telkomsel', 'package', 'expensive', 'signal', 'like', 'error', 'fix', 'tired', 'jdi', 'sya', 'as',' Subscriptions', 'Sexos',' Switch ',' Service ',' Good ',' The Network ',' Cheap ',' ']</v>
      </c>
      <c r="D1957" s="3">
        <v>1.0</v>
      </c>
    </row>
    <row r="1958" ht="15.75" customHeight="1">
      <c r="A1958" s="1">
        <v>1956.0</v>
      </c>
      <c r="B1958" s="3" t="s">
        <v>1959</v>
      </c>
      <c r="C1958" s="3" t="str">
        <f>IFERROR(__xludf.DUMMYFUNCTION("GOOGLETRANSLATE(B1958,""id"",""en"")"),"['Price', 'expensive', 'signal', 'slow', 'ugly', 'Segeek', 'quota', 'fast', 'run out', 'loss',' select ',' provider ',' Pingin ',' Update ',' Love ',' Rating ',' Pingin ',' Love ',' Rating ',' ']")</f>
        <v>['Price', 'expensive', 'signal', 'slow', 'ugly', 'Segeek', 'quota', 'fast', 'run out', 'loss',' select ',' provider ',' Pingin ',' Update ',' Love ',' Rating ',' Pingin ',' Love ',' Rating ',' ']</v>
      </c>
      <c r="D1958" s="3">
        <v>1.0</v>
      </c>
    </row>
    <row r="1959" ht="15.75" customHeight="1">
      <c r="A1959" s="1">
        <v>1957.0</v>
      </c>
      <c r="B1959" s="3" t="s">
        <v>1960</v>
      </c>
      <c r="C1959" s="3" t="str">
        <f>IFERROR(__xludf.DUMMYFUNCTION("GOOGLETRANSLATE(B1959,""id"",""en"")"),"['Please', 'Love', 'Feature', 'Package', 'Dipake', 'My Pack', 'A Day', 'Should', 'Very', 'Edit', 'Already', 'Chat', ' Twitter ',' Dibales', 'Min']")</f>
        <v>['Please', 'Love', 'Feature', 'Package', 'Dipake', 'My Pack', 'A Day', 'Should', 'Very', 'Edit', 'Already', 'Chat', ' Twitter ',' Dibales', 'Min']</v>
      </c>
      <c r="D1959" s="3">
        <v>3.0</v>
      </c>
    </row>
    <row r="1960" ht="15.75" customHeight="1">
      <c r="A1960" s="1">
        <v>1958.0</v>
      </c>
      <c r="B1960" s="3" t="s">
        <v>1961</v>
      </c>
      <c r="C1960" s="3" t="str">
        <f>IFERROR(__xludf.DUMMYFUNCTION("GOOGLETRANSLATE(B1960,""id"",""en"")"),"['Honest', 'tasty', 'Gaenak', 'Telkomsel', 'Sometimes',' Network ',' Lost ',' Hour ',' Down ',' Server ',' Sector ',' MUCH ',' Users', 'Live', 'Live', 'Different', 'Regions',' Honest ',' Comfortable ',' Telkomsel ',' Mbps', 'Lagging', 'Download', 'Downloa"&amp;"d' , 'Bercigi', 'Giga', 'fast', 'clock', 'night', 'deructed', 'network', 'network', 'pimit', 'use', 'trick', 'honest', ' Stable ',' rather than ', ""]")</f>
        <v>['Honest', 'tasty', 'Gaenak', 'Telkomsel', 'Sometimes',' Network ',' Lost ',' Hour ',' Down ',' Server ',' Sector ',' MUCH ',' Users', 'Live', 'Live', 'Different', 'Regions',' Honest ',' Comfortable ',' Telkomsel ',' Mbps', 'Lagging', 'Download', 'Download' , 'Bercigi', 'Giga', 'fast', 'clock', 'night', 'deructed', 'network', 'network', 'pimit', 'use', 'trick', 'honest', ' Stable ',' rather than ', "]</v>
      </c>
      <c r="D1960" s="3">
        <v>5.0</v>
      </c>
    </row>
    <row r="1961" ht="15.75" customHeight="1">
      <c r="A1961" s="1">
        <v>1959.0</v>
      </c>
      <c r="B1961" s="3" t="s">
        <v>1962</v>
      </c>
      <c r="C1961" s="3" t="str">
        <f>IFERROR(__xludf.DUMMYFUNCTION("GOOGLETRANSLATE(B1961,""id"",""en"")"),"['What', 'buy', 'quota', 'internet', 'youtube', 'unlimited', 'quota', 'can', 'use', 'APK', 'YouTube', 'Please', ' Looked on ', ""]")</f>
        <v>['What', 'buy', 'quota', 'internet', 'youtube', 'unlimited', 'quota', 'can', 'use', 'APK', 'YouTube', 'Please', ' Looked on ', "]</v>
      </c>
      <c r="D1961" s="3">
        <v>1.0</v>
      </c>
    </row>
    <row r="1962" ht="15.75" customHeight="1">
      <c r="A1962" s="1">
        <v>1960.0</v>
      </c>
      <c r="B1962" s="3" t="s">
        <v>1963</v>
      </c>
      <c r="C1962" s="3" t="str">
        <f>IFERROR(__xludf.DUMMYFUNCTION("GOOGLETRANSLATE(B1962,""id"",""en"")"),"['Credit', 'Sumpot', 'Package', 'Internet', 'GB', 'Connected', 'Nyedot', 'Please', 'Sumpot', 'Fix', 'Delicious',' sucked ',' Credit ',' People ',' ']")</f>
        <v>['Credit', 'Sumpot', 'Package', 'Internet', 'GB', 'Connected', 'Nyedot', 'Please', 'Sumpot', 'Fix', 'Delicious',' sucked ',' Credit ',' People ',' ']</v>
      </c>
      <c r="D1962" s="3">
        <v>1.0</v>
      </c>
    </row>
    <row r="1963" ht="15.75" customHeight="1">
      <c r="A1963" s="1">
        <v>1961.0</v>
      </c>
      <c r="B1963" s="3" t="s">
        <v>1964</v>
      </c>
      <c r="C1963" s="3" t="str">
        <f>IFERROR(__xludf.DUMMYFUNCTION("GOOGLETRANSLATE(B1963,""id"",""en"")"),"['disappointed', 'application', 'Telkomsel', 'buy', 'quota', 'unlimited', 'youtube', 'daily', 'for', 'pulses',' finished ',' stuff ',' Quota ',' YouTube ',' Function ',' Please ',' Admin ',' Repaired ',' Service ',' Disappointing ',' Customer ',' Download"&amp;" ',' Application ',' Mending ',' DLU ' , 'Improvement', 'Ntar', 'Ryesel', ""]")</f>
        <v>['disappointed', 'application', 'Telkomsel', 'buy', 'quota', 'unlimited', 'youtube', 'daily', 'for', 'pulses',' finished ',' stuff ',' Quota ',' YouTube ',' Function ',' Please ',' Admin ',' Repaired ',' Service ',' Disappointing ',' Customer ',' Download ',' Application ',' Mending ',' DLU ' , 'Improvement', 'Ntar', 'Ryesel', "]</v>
      </c>
      <c r="D1963" s="3">
        <v>1.0</v>
      </c>
    </row>
    <row r="1964" ht="15.75" customHeight="1">
      <c r="A1964" s="1">
        <v>1962.0</v>
      </c>
      <c r="B1964" s="3" t="s">
        <v>1965</v>
      </c>
      <c r="C1964" s="3" t="str">
        <f>IFERROR(__xludf.DUMMYFUNCTION("GOOGLETRANSLATE(B1964,""id"",""en"")"),"['Hopefully', 'pulse', 'well', 'promo', 'cheap', 'area', 'community', 'down', 'pity', 'remote', 'difficult', 'search', ' Money ',' Malal ',' sell ',' pulses', 'forget', 'friendly', 'polite', 'consumer', ""]")</f>
        <v>['Hopefully', 'pulse', 'well', 'promo', 'cheap', 'area', 'community', 'down', 'pity', 'remote', 'difficult', 'search', ' Money ',' Malal ',' sell ',' pulses', 'forget', 'friendly', 'polite', 'consumer', "]</v>
      </c>
      <c r="D1964" s="3">
        <v>5.0</v>
      </c>
    </row>
    <row r="1965" ht="15.75" customHeight="1">
      <c r="A1965" s="1">
        <v>1963.0</v>
      </c>
      <c r="B1965" s="3" t="s">
        <v>1966</v>
      </c>
      <c r="C1965" s="3" t="str">
        <f>IFERROR(__xludf.DUMMYFUNCTION("GOOGLETRANSLATE(B1965,""id"",""en"")"),"['Telkomsel', 'Telkomsel', 'Disorders',' Use ',' Zoom ',' Ngadat ',' Protest ',' Card ',' Package ',' Promo ',' Unlimited ',' Cheap ',' husband ',' child ',' card ',' use ',' appeal ',' beg ',' concern ',' thank you ']")</f>
        <v>['Telkomsel', 'Telkomsel', 'Disorders',' Use ',' Zoom ',' Ngadat ',' Protest ',' Card ',' Package ',' Promo ',' Unlimited ',' Cheap ',' husband ',' child ',' card ',' use ',' appeal ',' beg ',' concern ',' thank you ']</v>
      </c>
      <c r="D1965" s="3">
        <v>2.0</v>
      </c>
    </row>
    <row r="1966" ht="15.75" customHeight="1">
      <c r="A1966" s="1">
        <v>1964.0</v>
      </c>
      <c r="B1966" s="3" t="s">
        <v>1967</v>
      </c>
      <c r="C1966" s="3" t="str">
        <f>IFERROR(__xludf.DUMMYFUNCTION("GOOGLETRANSLATE(B1966,""id"",""en"")"),"['Telkomsel', 'Goblog', 'right', 'quota', 'abis',' pulse ',' sucked ',' access', 'internet', 'pulse', 'pulse', 'sampe', ' minutes', 'org', 'live', 'quota', 'see', 'Telkomsel', 'live', 'data', 'base', 'gobloggggg']")</f>
        <v>['Telkomsel', 'Goblog', 'right', 'quota', 'abis',' pulse ',' sucked ',' access', 'internet', 'pulse', 'pulse', 'sampe', ' minutes', 'org', 'live', 'quota', 'see', 'Telkomsel', 'live', 'data', 'base', 'gobloggggg']</v>
      </c>
      <c r="D1966" s="3">
        <v>1.0</v>
      </c>
    </row>
    <row r="1967" ht="15.75" customHeight="1">
      <c r="A1967" s="1">
        <v>1965.0</v>
      </c>
      <c r="B1967" s="3" t="s">
        <v>1968</v>
      </c>
      <c r="C1967" s="3" t="str">
        <f>IFERROR(__xludf.DUMMYFUNCTION("GOOGLETRANSLATE(B1967,""id"",""en"")"),"['sorry', 'banned', 'problem', 'quota', 'run out', 'Telkomsel', 'open', 'filled', 'quota', 'application', 'difficult', 'open', ' alternative ',' Link ',' failed ',' strange ',' yesterday ',' quota ',' left ',' active ',' Telkomsel ',' error ',' emng ',' c"&amp;"ommon ',' Telkomsel ' , 'Reluctant', 'Indah "",' Review ',' Review ',' User ']")</f>
        <v>['sorry', 'banned', 'problem', 'quota', 'run out', 'Telkomsel', 'open', 'filled', 'quota', 'application', 'difficult', 'open', ' alternative ',' Link ',' failed ',' strange ',' yesterday ',' quota ',' left ',' active ',' Telkomsel ',' error ',' emng ',' common ',' Telkomsel ' , 'Reluctant', 'Indah ",' Review ',' Review ',' User ']</v>
      </c>
      <c r="D1967" s="3">
        <v>2.0</v>
      </c>
    </row>
    <row r="1968" ht="15.75" customHeight="1">
      <c r="A1968" s="1">
        <v>1966.0</v>
      </c>
      <c r="B1968" s="3" t="s">
        <v>1969</v>
      </c>
      <c r="C1968" s="3" t="str">
        <f>IFERROR(__xludf.DUMMYFUNCTION("GOOGLETRANSLATE(B1968,""id"",""en"")"),"['Telkomsel', 'Ngadat', 'use', 'Telkomsel', 'smooth', 'trs',' crash ',' open ',' apk ',' buy ',' package ',' gabisa ',' already ',' pakek ',' wifi ',' please ',' repaired ',' cook ',' change ',' provider ', ""]")</f>
        <v>['Telkomsel', 'Ngadat', 'use', 'Telkomsel', 'smooth', 'trs',' crash ',' open ',' apk ',' buy ',' package ',' gabisa ',' already ',' pakek ',' wifi ',' please ',' repaired ',' cook ',' change ',' provider ', "]</v>
      </c>
      <c r="D1968" s="3">
        <v>3.0</v>
      </c>
    </row>
    <row r="1969" ht="15.75" customHeight="1">
      <c r="A1969" s="1">
        <v>1967.0</v>
      </c>
      <c r="B1969" s="3" t="s">
        <v>1970</v>
      </c>
      <c r="C1969" s="3" t="str">
        <f>IFERROR(__xludf.DUMMYFUNCTION("GOOGLETRANSLATE(B1969,""id"",""en"")"),"['service', 'Telkomsel', 'bad', 'Customer', 'card', 'Hello', 'routine', 'pay', 'bill', 'agreed', 'pay', 'package', ' Internet ',' Ministry of Education and Culture ',' Getted ',' Quality ',' Speed ​​',' Please ',' Repaired ',' Service ',' Cheating ',' Cus"&amp;"tomer ',' Card ',' Hello ',' Post ' , 'Pay', 'Enclusive', 'Service', 'Card', '']")</f>
        <v>['service', 'Telkomsel', 'bad', 'Customer', 'card', 'Hello', 'routine', 'pay', 'bill', 'agreed', 'pay', 'package', ' Internet ',' Ministry of Education and Culture ',' Getted ',' Quality ',' Speed ​​',' Please ',' Repaired ',' Service ',' Cheating ',' Customer ',' Card ',' Hello ',' Post ' , 'Pay', 'Enclusive', 'Service', 'Card', '']</v>
      </c>
      <c r="D1969" s="3">
        <v>1.0</v>
      </c>
    </row>
    <row r="1970" ht="15.75" customHeight="1">
      <c r="A1970" s="1">
        <v>1968.0</v>
      </c>
      <c r="B1970" s="3" t="s">
        <v>1971</v>
      </c>
      <c r="C1970" s="3" t="str">
        <f>IFERROR(__xludf.DUMMYFUNCTION("GOOGLETRANSLATE(B1970,""id"",""en"")"),"['Ahahaha', 'Severe', 'Provider', 'Mentang', 'Wind', 'Give', 'Price', 'Sebau', 'Package', 'Kombo', 'Sakti', 'And then', ' already ',' expensive ',' era ',' pandemic ',' UDH ',' dapetin ',' severe ',' package ',' monthly ',' udh ',' entry ',' sense ',' lik"&amp;"e ' , 'sucked', 'pulse', 'main', 'activated', 'package', 'kapok', 'card', 'emang', 'match', 'jadiin', 'card', 'main', ' ']")</f>
        <v>['Ahahaha', 'Severe', 'Provider', 'Mentang', 'Wind', 'Give', 'Price', 'Sebau', 'Package', 'Kombo', 'Sakti', 'And then', ' already ',' expensive ',' era ',' pandemic ',' UDH ',' dapetin ',' severe ',' package ',' monthly ',' udh ',' entry ',' sense ',' like ' , 'sucked', 'pulse', 'main', 'activated', 'package', 'kapok', 'card', 'emang', 'match', 'jadiin', 'card', 'main', ' ']</v>
      </c>
      <c r="D1970" s="3">
        <v>1.0</v>
      </c>
    </row>
    <row r="1971" ht="15.75" customHeight="1">
      <c r="A1971" s="1">
        <v>1969.0</v>
      </c>
      <c r="B1971" s="3" t="s">
        <v>1972</v>
      </c>
      <c r="C1971" s="3" t="str">
        <f>IFERROR(__xludf.DUMMYFUNCTION("GOOGLETRANSLATE(B1971,""id"",""en"")"),"['application', 'slow', 'work', 'slow', 'contents',' pulse ',' pulses', 'truncated', 'forced', 'fill', 'knp', 'Telkomsel', ' Leaked ',' Kek ',' Gini ',' Males', 'Use', 'Telkomsel', 'UDH', 'Network', 'Lemot', 'Credit', 'Leak', 'On', 'Data' , 'Sellullar', '"&amp;"Indosat', 'fast', 'application', 'good', 'promo', 'interesting', 'pulse', 'leak']")</f>
        <v>['application', 'slow', 'work', 'slow', 'contents',' pulse ',' pulses', 'truncated', 'forced', 'fill', 'knp', 'Telkomsel', ' Leaked ',' Kek ',' Gini ',' Males', 'Use', 'Telkomsel', 'UDH', 'Network', 'Lemot', 'Credit', 'Leak', 'On', 'Data' , 'Sellullar', 'Indosat', 'fast', 'application', 'good', 'promo', 'interesting', 'pulse', 'leak']</v>
      </c>
      <c r="D1971" s="3">
        <v>1.0</v>
      </c>
    </row>
    <row r="1972" ht="15.75" customHeight="1">
      <c r="A1972" s="1">
        <v>1970.0</v>
      </c>
      <c r="B1972" s="3" t="s">
        <v>1973</v>
      </c>
      <c r="C1972" s="3" t="str">
        <f>IFERROR(__xludf.DUMMYFUNCTION("GOOGLETRANSLATE(B1972,""id"",""en"")"),"['Use', 'MyTelkomsel', 'Love', 'Star', 'UDH', 'Faham', 'Love', 'Banyk', 'Features',' Offer ',' Dri ',' MyTelk ',' Thank you ',' discount ', ""]")</f>
        <v>['Use', 'MyTelkomsel', 'Love', 'Star', 'UDH', 'Faham', 'Love', 'Banyk', 'Features',' Offer ',' Dri ',' MyTelk ',' Thank you ',' discount ', "]</v>
      </c>
      <c r="D1972" s="3">
        <v>3.0</v>
      </c>
    </row>
    <row r="1973" ht="15.75" customHeight="1">
      <c r="A1973" s="1">
        <v>1971.0</v>
      </c>
      <c r="B1973" s="3" t="s">
        <v>1974</v>
      </c>
      <c r="C1973" s="3" t="str">
        <f>IFERROR(__xludf.DUMMYFUNCTION("GOOGLETRANSLATE(B1973,""id"",""en"")"),"['Disappointed', 'Telkomsel', 'subscribe', 'Kasi', 'price', 'package', 'expensive', 'forced', 'program', 'menu', 'package', 'GB', ' GB ',' OMG ',' menu ',' package ',' GB ',' GB ',' name ',' coercion ', ""]")</f>
        <v>['Disappointed', 'Telkomsel', 'subscribe', 'Kasi', 'price', 'package', 'expensive', 'forced', 'program', 'menu', 'package', 'GB', ' GB ',' OMG ',' menu ',' package ',' GB ',' GB ',' name ',' coercion ', "]</v>
      </c>
      <c r="D1973" s="3">
        <v>1.0</v>
      </c>
    </row>
    <row r="1974" ht="15.75" customHeight="1">
      <c r="A1974" s="1">
        <v>1972.0</v>
      </c>
      <c r="B1974" s="3" t="s">
        <v>1975</v>
      </c>
      <c r="C1974" s="3" t="str">
        <f>IFERROR(__xludf.DUMMYFUNCTION("GOOGLETRANSLATE(B1974,""id"",""en"")"),"['Hi', 'Sexos',' ask ',' usage ',' loyal ',' card ',' promo ',' cheap ',' dipped ',' friend ',' wear ',' card ',' Overcomed ',' promo ',' internet ',' thousand ',' please ',' reply ',' ']")</f>
        <v>['Hi', 'Sexos',' ask ',' usage ',' loyal ',' card ',' promo ',' cheap ',' dipped ',' friend ',' wear ',' card ',' Overcomed ',' promo ',' internet ',' thousand ',' please ',' reply ',' ']</v>
      </c>
      <c r="D1974" s="3">
        <v>1.0</v>
      </c>
    </row>
    <row r="1975" ht="15.75" customHeight="1">
      <c r="A1975" s="1">
        <v>1973.0</v>
      </c>
      <c r="B1975" s="3" t="s">
        <v>1976</v>
      </c>
      <c r="C1975" s="3" t="str">
        <f>IFERROR(__xludf.DUMMYFUNCTION("GOOGLETRANSLATE(B1975,""id"",""en"")"),"['application', 'help', 'buy', 'package', 'check', 'quota', 'check', 'credit', 'bonus',' darling ',' follow ',' quiz ',' Exchange ',' Points', 'Ngak', 'Prizes',' Actually ',' Prizes', 'Really', 'Dittoin', 'Engineering', ""]")</f>
        <v>['application', 'help', 'buy', 'package', 'check', 'quota', 'check', 'credit', 'bonus',' darling ',' follow ',' quiz ',' Exchange ',' Points', 'Ngak', 'Prizes',' Actually ',' Prizes', 'Really', 'Dittoin', 'Engineering', "]</v>
      </c>
      <c r="D1975" s="3">
        <v>5.0</v>
      </c>
    </row>
    <row r="1976" ht="15.75" customHeight="1">
      <c r="A1976" s="1">
        <v>1974.0</v>
      </c>
      <c r="B1976" s="3" t="s">
        <v>1977</v>
      </c>
      <c r="C1976" s="3" t="str">
        <f>IFERROR(__xludf.DUMMYFUNCTION("GOOGLETRANSLATE(B1976,""id"",""en"")"),"['Good', 'application', 'Telkomsel', 'JDI', 'promo', 'fill', 'reset', 'quota', 'pulse', 'hope', 'success',' Telkomsel ',' ']")</f>
        <v>['Good', 'application', 'Telkomsel', 'JDI', 'promo', 'fill', 'reset', 'quota', 'pulse', 'hope', 'success',' Telkomsel ',' ']</v>
      </c>
      <c r="D1976" s="3">
        <v>5.0</v>
      </c>
    </row>
    <row r="1977" ht="15.75" customHeight="1">
      <c r="A1977" s="1">
        <v>1975.0</v>
      </c>
      <c r="B1977" s="3" t="s">
        <v>1978</v>
      </c>
      <c r="C1977" s="3" t="str">
        <f>IFERROR(__xludf.DUMMYFUNCTION("GOOGLETRANSLATE(B1977,""id"",""en"")"),"['Main', 'activated', 'package', 'as soon as',' confirm ',' suck ',' pulse ',' look for ',' money ',' that's', 'boss',' please ',' Non ',' Activein ',' Package ',' Petunjut ',' Stop ',' Siall ', ""]")</f>
        <v>['Main', 'activated', 'package', 'as soon as',' confirm ',' suck ',' pulse ',' look for ',' money ',' that's', 'boss',' please ',' Non ',' Activein ',' Package ',' Petunjut ',' Stop ',' Siall ', "]</v>
      </c>
      <c r="D1977" s="3">
        <v>1.0</v>
      </c>
    </row>
    <row r="1978" ht="15.75" customHeight="1">
      <c r="A1978" s="1">
        <v>1976.0</v>
      </c>
      <c r="B1978" s="3" t="s">
        <v>1979</v>
      </c>
      <c r="C1978" s="3" t="str">
        <f>IFERROR(__xludf.DUMMYFUNCTION("GOOGLETRANSLATE(B1978,""id"",""en"")"),"['app', 'makes it easier', 'users',' Telkomsel ',' maximizes', 'features',' according to ',' ability ',' user ',' helped ',' choose ',' package ',' Data ',' package ',' quota ',' family ',' help ',' share ',' quota ',' internet ',' family ',' ']")</f>
        <v>['app', 'makes it easier', 'users',' Telkomsel ',' maximizes', 'features',' according to ',' ability ',' user ',' helped ',' choose ',' package ',' Data ',' package ',' quota ',' family ',' help ',' share ',' quota ',' internet ',' family ',' ']</v>
      </c>
      <c r="D1978" s="3">
        <v>5.0</v>
      </c>
    </row>
    <row r="1979" ht="15.75" customHeight="1">
      <c r="A1979" s="1">
        <v>1977.0</v>
      </c>
      <c r="B1979" s="3" t="s">
        <v>1980</v>
      </c>
      <c r="C1979" s="3" t="str">
        <f>IFERROR(__xludf.DUMMYFUNCTION("GOOGLETRANSLATE(B1979,""id"",""en"")"),"['Telkomsel', 'ugly', 'package', 'expensive', 'really', 'unlimited', 'combo', 'Sakti', 'given', 'FUP', 'GB', 'Fupnya', ' unlimited ',' unlimited ',' already ',' exceed ',' Fup ',' Mending ',' Change ',' card ']")</f>
        <v>['Telkomsel', 'ugly', 'package', 'expensive', 'really', 'unlimited', 'combo', 'Sakti', 'given', 'FUP', 'GB', 'Fupnya', ' unlimited ',' unlimited ',' already ',' exceed ',' Fup ',' Mending ',' Change ',' card ']</v>
      </c>
      <c r="D1979" s="3">
        <v>1.0</v>
      </c>
    </row>
    <row r="1980" ht="15.75" customHeight="1">
      <c r="A1980" s="1">
        <v>1978.0</v>
      </c>
      <c r="B1980" s="3" t="s">
        <v>1981</v>
      </c>
      <c r="C1980" s="3" t="str">
        <f>IFERROR(__xludf.DUMMYFUNCTION("GOOGLETRANSLATE(B1980,""id"",""en"")"),"['Disappointed', 'Package', 'Internet', 'Double', 'apart', 'Must', 'Credit', 'Taken', 'After', 'Open', 'Instagram', 'shocked', ' pulses', 'thousand', 'stay', 'thousand', 'how', 'mba', 'mas',' please ',' noticed ',' loss', 'deliberate', 'gather', 'pulses' "&amp;", 'buy', 'quota', 'taken', 'first', 'pulses', 'Please', 'what', '']")</f>
        <v>['Disappointed', 'Package', 'Internet', 'Double', 'apart', 'Must', 'Credit', 'Taken', 'After', 'Open', 'Instagram', 'shocked', ' pulses', 'thousand', 'stay', 'thousand', 'how', 'mba', 'mas',' please ',' noticed ',' loss', 'deliberate', 'gather', 'pulses' , 'buy', 'quota', 'taken', 'first', 'pulses', 'Please', 'what', '']</v>
      </c>
      <c r="D1980" s="3">
        <v>2.0</v>
      </c>
    </row>
    <row r="1981" ht="15.75" customHeight="1">
      <c r="A1981" s="1">
        <v>1979.0</v>
      </c>
      <c r="B1981" s="3" t="s">
        <v>1982</v>
      </c>
      <c r="C1981" s="3" t="str">
        <f>IFERROR(__xludf.DUMMYFUNCTION("GOOGLETRANSLATE(B1981,""id"",""en"")"),"['Credit', 'SEDOTT', 'Tekomsel', 'Fill', 'Credit', 'A Million', 'A Million', 'Out', 'Cukrurran', 'Quota', 'Internet', 'Out', ' buy ',' package ',' internet ',' tanned ',' pulse ',' bought ',' quota ',' package ',' combo ']")</f>
        <v>['Credit', 'SEDOTT', 'Tekomsel', 'Fill', 'Credit', 'A Million', 'A Million', 'Out', 'Cukrurran', 'Quota', 'Internet', 'Out', ' buy ',' package ',' internet ',' tanned ',' pulse ',' bought ',' quota ',' package ',' combo ']</v>
      </c>
      <c r="D1981" s="3">
        <v>1.0</v>
      </c>
    </row>
    <row r="1982" ht="15.75" customHeight="1">
      <c r="A1982" s="1">
        <v>1980.0</v>
      </c>
      <c r="B1982" s="3" t="s">
        <v>1983</v>
      </c>
      <c r="C1982" s="3" t="str">
        <f>IFERROR(__xludf.DUMMYFUNCTION("GOOGLETRANSLATE(B1982,""id"",""en"")"),"['update', 'quality', 'bad', 'open', 'APS', 'Telkomsel', 'jammed', 'connection', 'internet', 'stable', 'watch', 'YouTube', ' The connection is', 'smooth', 'Jaya', 'Disappointed', 'APS', '']")</f>
        <v>['update', 'quality', 'bad', 'open', 'APS', 'Telkomsel', 'jammed', 'connection', 'internet', 'stable', 'watch', 'YouTube', ' The connection is', 'smooth', 'Jaya', 'Disappointed', 'APS', '']</v>
      </c>
      <c r="D1982" s="3">
        <v>2.0</v>
      </c>
    </row>
    <row r="1983" ht="15.75" customHeight="1">
      <c r="A1983" s="1">
        <v>1981.0</v>
      </c>
      <c r="B1983" s="3" t="s">
        <v>1984</v>
      </c>
      <c r="C1983" s="3" t="str">
        <f>IFERROR(__xludf.DUMMYFUNCTION("GOOGLETRANSLATE(B1983,""id"",""en"")"),"['Credit', 'truncated', 'lost', 'reduced', 'chat', 'telkomsel', 'convoluted', 'turned', 'tip', 'tip', 'told', ' Dateng ',' GraPARI ',' cell ',' finished ',' reason ',' credit ',' truncated ',' use ',' GPRS ',' card ',' SIM ',' Different ',' data ' , 'WiFi"&amp;"', 'office', 'home', 'report', 'keboli', 'court', 'pulse', 'truncated', 'knowledge', 'owner', ""]")</f>
        <v>['Credit', 'truncated', 'lost', 'reduced', 'chat', 'telkomsel', 'convoluted', 'turned', 'tip', 'tip', 'told', ' Dateng ',' GraPARI ',' cell ',' finished ',' reason ',' credit ',' truncated ',' use ',' GPRS ',' card ',' SIM ',' Different ',' data ' , 'WiFi', 'office', 'home', 'report', 'keboli', 'court', 'pulse', 'truncated', 'knowledge', 'owner', "]</v>
      </c>
      <c r="D1983" s="3">
        <v>1.0</v>
      </c>
    </row>
    <row r="1984" ht="15.75" customHeight="1">
      <c r="A1984" s="1">
        <v>1982.0</v>
      </c>
      <c r="B1984" s="3" t="s">
        <v>1985</v>
      </c>
      <c r="C1984" s="3" t="str">
        <f>IFERROR(__xludf.DUMMYFUNCTION("GOOGLETRANSLATE(B1984,""id"",""en"")"),"['date', 'April', 'Yesterday', 'buy', 'package', 'GB', 'Alhamdulillah', 'network', 'Masi', 'smooth', 'until', 'package', ' Regular ',' out ',' stay ',' unlimited ',' suggestion ',' reduce ',' a little ',' price ',' expensive ',' gtu ',' okay ',' thank ','"&amp;" love ' , 'Telkomsel', '']")</f>
        <v>['date', 'April', 'Yesterday', 'buy', 'package', 'GB', 'Alhamdulillah', 'network', 'Masi', 'smooth', 'until', 'package', ' Regular ',' out ',' stay ',' unlimited ',' suggestion ',' reduce ',' a little ',' price ',' expensive ',' gtu ',' okay ',' thank ',' love ' , 'Telkomsel', '']</v>
      </c>
      <c r="D1984" s="3">
        <v>3.0</v>
      </c>
    </row>
    <row r="1985" ht="15.75" customHeight="1">
      <c r="A1985" s="1">
        <v>1983.0</v>
      </c>
      <c r="B1985" s="3" t="s">
        <v>1986</v>
      </c>
      <c r="C1985" s="3" t="str">
        <f>IFERROR(__xludf.DUMMYFUNCTION("GOOGLETRANSLATE(B1985,""id"",""en"")"),"['Thank you', 'pay attention', 'fate', 'Batman', 'package', 'internet', 'night', 'keep', 'night', 'always',' secure ',' peace ',' Sentosa ',' Jaya ',' Abadi ', ""]")</f>
        <v>['Thank you', 'pay attention', 'fate', 'Batman', 'package', 'internet', 'night', 'keep', 'night', 'always',' secure ',' peace ',' Sentosa ',' Jaya ',' Abadi ', "]</v>
      </c>
      <c r="D1985" s="3">
        <v>5.0</v>
      </c>
    </row>
    <row r="1986" ht="15.75" customHeight="1">
      <c r="A1986" s="1">
        <v>1984.0</v>
      </c>
      <c r="B1986" s="3" t="s">
        <v>1987</v>
      </c>
      <c r="C1986" s="3" t="str">
        <f>IFERROR(__xludf.DUMMYFUNCTION("GOOGLETRANSLATE(B1986,""id"",""en"")"),"['Must', 'Package', 'Call', 'Reduce', 'Minutes',' Minutes', 'Reduce', 'Package', 'SMS', 'Karna', 'Most', 'User', ' Internet ',' APL ',' Send ',' Message ',' Package ',' Data ',' Representing ',' User ',' Telkomsel ',' begging ',' Package ',' Call ',' Redu"&amp;"ce ' , 'Sometimes', 'communication', 'family', 'living', 'area', 'signal', 'internet', 'thanks', 'understanding']")</f>
        <v>['Must', 'Package', 'Call', 'Reduce', 'Minutes',' Minutes', 'Reduce', 'Package', 'SMS', 'Karna', 'Most', 'User', ' Internet ',' APL ',' Send ',' Message ',' Package ',' Data ',' Representing ',' User ',' Telkomsel ',' begging ',' Package ',' Call ',' Reduce ' , 'Sometimes', 'communication', 'family', 'living', 'area', 'signal', 'internet', 'thanks', 'understanding']</v>
      </c>
      <c r="D1986" s="3">
        <v>5.0</v>
      </c>
    </row>
    <row r="1987" ht="15.75" customHeight="1">
      <c r="A1987" s="1">
        <v>1985.0</v>
      </c>
      <c r="B1987" s="3" t="s">
        <v>1988</v>
      </c>
      <c r="C1987" s="3" t="str">
        <f>IFERROR(__xludf.DUMMYFUNCTION("GOOGLETRANSLATE(B1987,""id"",""en"")"),"['Telkomsel', 'Please', 'The network', 'repaired', 'UDH', 'Customer', 'Telkomsel', 'Bru', 'Kek', 'Gini', 'Network', 'Leg', ' Play ',' Game ',' Leg ',' Please ',' Telkomsel ',' Please ',' The Network ',' Cepet ',' Repaired ',' ']")</f>
        <v>['Telkomsel', 'Please', 'The network', 'repaired', 'UDH', 'Customer', 'Telkomsel', 'Bru', 'Kek', 'Gini', 'Network', 'Leg', ' Play ',' Game ',' Leg ',' Please ',' Telkomsel ',' Please ',' The Network ',' Cepet ',' Repaired ',' ']</v>
      </c>
      <c r="D1987" s="3">
        <v>1.0</v>
      </c>
    </row>
    <row r="1988" ht="15.75" customHeight="1">
      <c r="A1988" s="1">
        <v>1986.0</v>
      </c>
      <c r="B1988" s="3" t="s">
        <v>1989</v>
      </c>
      <c r="C1988" s="3" t="str">
        <f>IFERROR(__xludf.DUMMYFUNCTION("GOOGLETRANSLATE(B1988,""id"",""en"")"),"['signal', 'Telkomsel', 'slow', 'Uda', 'use', 'Telkomsel', 'fast', 'signal', 'weak', 'please', 'fix', 'signal', ' Kouta ',' Full ',' Disappointed ',' Telkomsel ',' Lemot ',' Sousal ',' Trima ',' Love ', ""]")</f>
        <v>['signal', 'Telkomsel', 'slow', 'Uda', 'use', 'Telkomsel', 'fast', 'signal', 'weak', 'please', 'fix', 'signal', ' Kouta ',' Full ',' Disappointed ',' Telkomsel ',' Lemot ',' Sousal ',' Trima ',' Love ', "]</v>
      </c>
      <c r="D1988" s="3">
        <v>1.0</v>
      </c>
    </row>
    <row r="1989" ht="15.75" customHeight="1">
      <c r="A1989" s="1">
        <v>1987.0</v>
      </c>
      <c r="B1989" s="3" t="s">
        <v>1990</v>
      </c>
      <c r="C1989" s="3" t="str">
        <f>IFERROR(__xludf.DUMMYFUNCTION("GOOGLETRANSLATE(B1989,""id"",""en"")"),"['bad', 'regret', 'already', 'buy', 'card', 'package', 'expensive', 'error', 'buy', 'unlimited', 'app', 'thousand', ' Sampek ',' week ',' run out ',' disappointed ',' fraud ',' ']")</f>
        <v>['bad', 'regret', 'already', 'buy', 'card', 'package', 'expensive', 'error', 'buy', 'unlimited', 'app', 'thousand', ' Sampek ',' week ',' run out ',' disappointed ',' fraud ',' ']</v>
      </c>
      <c r="D1989" s="3">
        <v>1.0</v>
      </c>
    </row>
    <row r="1990" ht="15.75" customHeight="1">
      <c r="A1990" s="1">
        <v>1988.0</v>
      </c>
      <c r="B1990" s="3" t="s">
        <v>1991</v>
      </c>
      <c r="C1990" s="3" t="str">
        <f>IFERROR(__xludf.DUMMYFUNCTION("GOOGLETRANSLATE(B1990,""id"",""en"")"),"['Hi', 'Telkomsel', 'complaints',' Kouta ',' buy ',' Kouta ',' Unlimited ',' Telkomsel ',' wearing it ',' Kouta ',' main ',' run out ',' remaining ',' kouta ',' unlimited ',' kouta ',' unlimited ',' used ', ""]")</f>
        <v>['Hi', 'Telkomsel', 'complaints',' Kouta ',' buy ',' Kouta ',' Unlimited ',' Telkomsel ',' wearing it ',' Kouta ',' main ',' run out ',' remaining ',' kouta ',' unlimited ',' kouta ',' unlimited ',' used ', "]</v>
      </c>
      <c r="D1990" s="3">
        <v>2.0</v>
      </c>
    </row>
    <row r="1991" ht="15.75" customHeight="1">
      <c r="A1991" s="1">
        <v>1989.0</v>
      </c>
      <c r="B1991" s="3" t="s">
        <v>1992</v>
      </c>
      <c r="C1991" s="3" t="str">
        <f>IFERROR(__xludf.DUMMYFUNCTION("GOOGLETRANSLATE(B1991,""id"",""en"")"),"['Connection', 'Stable', 'Mulu', 'Network', 'Full', 'Steaming', 'Main', 'Game', 'Current', 'Come', 'Disappointed', 'Measons',' Use ',' Telkomsel ',' Kali ',' Kyk ',' Ginu ']")</f>
        <v>['Connection', 'Stable', 'Mulu', 'Network', 'Full', 'Steaming', 'Main', 'Game', 'Current', 'Come', 'Disappointed', 'Measons',' Use ',' Telkomsel ',' Kali ',' Kyk ',' Ginu ']</v>
      </c>
      <c r="D1991" s="3">
        <v>1.0</v>
      </c>
    </row>
    <row r="1992" ht="15.75" customHeight="1">
      <c r="A1992" s="1">
        <v>1990.0</v>
      </c>
      <c r="B1992" s="3" t="s">
        <v>1993</v>
      </c>
      <c r="C1992" s="3" t="str">
        <f>IFERROR(__xludf.DUMMYFUNCTION("GOOGLETRANSLATE(B1992,""id"",""en"")"),"['network', 'broad', 'signal', 'strong', 'prettt', 'pdhl', 'area', 'cileungsi', 'signal', 'destroyed', 'open', 'google', ' Hard ',' Mending ',' Moving ',' Operator ',' Package ',' Data ',' Cheap ',' Sousal ',' Good ', ""]")</f>
        <v>['network', 'broad', 'signal', 'strong', 'prettt', 'pdhl', 'area', 'cileungsi', 'signal', 'destroyed', 'open', 'google', ' Hard ',' Mending ',' Moving ',' Operator ',' Package ',' Data ',' Cheap ',' Sousal ',' Good ', "]</v>
      </c>
      <c r="D1992" s="3">
        <v>1.0</v>
      </c>
    </row>
    <row r="1993" ht="15.75" customHeight="1">
      <c r="A1993" s="1">
        <v>1991.0</v>
      </c>
      <c r="B1993" s="3" t="s">
        <v>1994</v>
      </c>
      <c r="C1993" s="3" t="str">
        <f>IFERROR(__xludf.DUMMYFUNCTION("GOOGLETRANSLATE(B1993,""id"",""en"")"),"['Come on', 'customers',' Telkomsel ',' Signal ',' Severe ',' Very ',' Life ',' Jakarta ',' Life ',' State ',' Remote ',' Signal ',' Change ',' Provider ',' ']")</f>
        <v>['Come on', 'customers',' Telkomsel ',' Signal ',' Severe ',' Very ',' Life ',' Jakarta ',' Life ',' State ',' Remote ',' Signal ',' Change ',' Provider ',' ']</v>
      </c>
      <c r="D1993" s="3">
        <v>2.0</v>
      </c>
    </row>
    <row r="1994" ht="15.75" customHeight="1">
      <c r="A1994" s="1">
        <v>1992.0</v>
      </c>
      <c r="B1994" s="3" t="s">
        <v>1995</v>
      </c>
      <c r="C1994" s="3" t="str">
        <f>IFERROR(__xludf.DUMMYFUNCTION("GOOGLETRANSLATE(B1994,""id"",""en"")"),"['Disappointed', 'Network', 'Telkomsel', 'Karna', 'Network', 'Setabil', 'Telkomsel', 'Best', 'Proof', 'Please', 'Management', 'Telkomsel', ' Please ',' Overcome ',' Poor ',' People ',' User ',' Card ',' Telkomsel ',' Disturbed ',' Situation ',' Thank you "&amp;"']")</f>
        <v>['Disappointed', 'Network', 'Telkomsel', 'Karna', 'Network', 'Setabil', 'Telkomsel', 'Best', 'Proof', 'Please', 'Management', 'Telkomsel', ' Please ',' Overcome ',' Poor ',' People ',' User ',' Card ',' Telkomsel ',' Disturbed ',' Situation ',' Thank you ']</v>
      </c>
      <c r="D1994" s="3">
        <v>1.0</v>
      </c>
    </row>
    <row r="1995" ht="15.75" customHeight="1">
      <c r="A1995" s="1">
        <v>1993.0</v>
      </c>
      <c r="B1995" s="3" t="s">
        <v>1996</v>
      </c>
      <c r="C1995" s="3" t="str">
        <f>IFERROR(__xludf.DUMMYFUNCTION("GOOGLETRANSLATE(B1995,""id"",""en"")"),"['here', 'Ancurr', 'signal', 'Nya', 'Uda', 'expensive', 'PDAH', 'PKE', 'Telkomsel', 'era', 'Baheula', 'Dlu', ' Great ',' Krna ',' Quality ',' now ',' Ampunn ',' Dehh ',' expensive ',' Level ',' Donk ',' Quality ',' Service ',' User ',' Moving ' , 'heart',"&amp;" 'ehh']")</f>
        <v>['here', 'Ancurr', 'signal', 'Nya', 'Uda', 'expensive', 'PDAH', 'PKE', 'Telkomsel', 'era', 'Baheula', 'Dlu', ' Great ',' Krna ',' Quality ',' now ',' Ampunn ',' Dehh ',' expensive ',' Level ',' Donk ',' Quality ',' Service ',' User ',' Moving ' , 'heart', 'ehh']</v>
      </c>
      <c r="D1995" s="3">
        <v>1.0</v>
      </c>
    </row>
    <row r="1996" ht="15.75" customHeight="1">
      <c r="A1996" s="1">
        <v>1994.0</v>
      </c>
      <c r="B1996" s="3" t="s">
        <v>1997</v>
      </c>
      <c r="C1996" s="3" t="str">
        <f>IFERROR(__xludf.DUMMYFUNCTION("GOOGLETRANSLATE(B1996,""id"",""en"")"),"['Telkomsel', 'Sorry', 'Buy', 'Lagging', 'Disappointed', 'Telkomsel', 'Times',' Review ',' Review ',' Reply ',' Please ',' repaired ',' network']")</f>
        <v>['Telkomsel', 'Sorry', 'Buy', 'Lagging', 'Disappointed', 'Telkomsel', 'Times',' Review ',' Review ',' Reply ',' Please ',' repaired ',' network']</v>
      </c>
      <c r="D1996" s="3">
        <v>1.0</v>
      </c>
    </row>
    <row r="1997" ht="15.75" customHeight="1">
      <c r="A1997" s="1">
        <v>1995.0</v>
      </c>
      <c r="B1997" s="3" t="s">
        <v>1998</v>
      </c>
      <c r="C1997" s="3" t="str">
        <f>IFERROR(__xludf.DUMMYFUNCTION("GOOGLETRANSLATE(B1997,""id"",""en"")"),"['Disappointed', 'Telkomsel', 'Package', 'Unlimited', 'Restricted', 'Use', 'Base', 'Basic', 'Application', 'Out', 'Speed', 'Internet', ' Customized ',' Artian ',' Reduced ',' subscribe ',' user ',' card ',' Telkomsel ',' Disappointed ',' Heavy ',' Please "&amp;"',' Please ',' Returned ',' Package ' , 'Unlimited', 'Speed', 'Internet', 'Normal', 'Kayak', '']")</f>
        <v>['Disappointed', 'Telkomsel', 'Package', 'Unlimited', 'Restricted', 'Use', 'Base', 'Basic', 'Application', 'Out', 'Speed', 'Internet', ' Customized ',' Artian ',' Reduced ',' subscribe ',' user ',' card ',' Telkomsel ',' Disappointed ',' Heavy ',' Please ',' Please ',' Returned ',' Package ' , 'Unlimited', 'Speed', 'Internet', 'Normal', 'Kayak', '']</v>
      </c>
      <c r="D1997" s="3">
        <v>1.0</v>
      </c>
    </row>
    <row r="1998" ht="15.75" customHeight="1">
      <c r="A1998" s="1">
        <v>1996.0</v>
      </c>
      <c r="B1998" s="3" t="s">
        <v>1999</v>
      </c>
      <c r="C1998" s="3" t="str">
        <f>IFERROR(__xludf.DUMMYFUNCTION("GOOGLETRANSLATE(B1998,""id"",""en"")"),"['Increases',' Quality ',' Signal ',' Telkomsel ',' Choosing ',' Current ',' Different ',' Region ',' Already ',' Different ',' Quality ',' Signal ',' More ',' already ',' okay ']")</f>
        <v>['Increases',' Quality ',' Signal ',' Telkomsel ',' Choosing ',' Current ',' Different ',' Region ',' Already ',' Different ',' Quality ',' Signal ',' More ',' already ',' okay ']</v>
      </c>
      <c r="D1998" s="3">
        <v>4.0</v>
      </c>
    </row>
    <row r="1999" ht="15.75" customHeight="1">
      <c r="A1999" s="1">
        <v>1997.0</v>
      </c>
      <c r="B1999" s="3" t="s">
        <v>2000</v>
      </c>
      <c r="C1999" s="3" t="str">
        <f>IFERROR(__xludf.DUMMYFUNCTION("GOOGLETRANSLATE(B1999,""id"",""en"")"),"['Telkomsel', 'network', 'slow', 'slow', 'notif', 'connection', 'problematic', 'Telkomsel', 'king', 'signal', 'where', 'slow', ' Severe ',' Nge ',' Game ',' astagfirulloh ',' please ',' Telkomsel ',' fast ',' fix ',' gamau ',' loss', 'customer']")</f>
        <v>['Telkomsel', 'network', 'slow', 'slow', 'notif', 'connection', 'problematic', 'Telkomsel', 'king', 'signal', 'where', 'slow', ' Severe ',' Nge ',' Game ',' astagfirulloh ',' please ',' Telkomsel ',' fast ',' fix ',' gamau ',' loss', 'customer']</v>
      </c>
      <c r="D1999" s="3">
        <v>1.0</v>
      </c>
    </row>
    <row r="2000" ht="15.75" customHeight="1">
      <c r="A2000" s="1">
        <v>1998.0</v>
      </c>
      <c r="B2000" s="3" t="s">
        <v>2001</v>
      </c>
      <c r="C2000" s="3" t="str">
        <f>IFERROR(__xludf.DUMMYFUNCTION("GOOGLETRANSLATE(B2000,""id"",""en"")"),"['Severe', 'HandPhone', 'UDH', 'Use', 'Telkomsel', 'Fill', 'Credit', 'Card', 'Sampe', 'Turnling', 'Extend', 'Active', ' It's hard ',' forgiveness', 'Sampe', 'Cape', 'already', 'Mending', 'Change', 'Provider', 'Telkomsel', 'Provider', 'World', ""]")</f>
        <v>['Severe', 'HandPhone', 'UDH', 'Use', 'Telkomsel', 'Fill', 'Credit', 'Card', 'Sampe', 'Turnling', 'Extend', 'Active', ' It's hard ',' forgiveness', 'Sampe', 'Cape', 'already', 'Mending', 'Change', 'Provider', 'Telkomsel', 'Provider', 'World', "]</v>
      </c>
      <c r="D2000" s="3">
        <v>1.0</v>
      </c>
    </row>
    <row r="2001" ht="15.75" customHeight="1">
      <c r="A2001" s="1">
        <v>1999.0</v>
      </c>
      <c r="B2001" s="3" t="s">
        <v>2002</v>
      </c>
      <c r="C2001" s="3" t="str">
        <f>IFERROR(__xludf.DUMMYFUNCTION("GOOGLETRANSLATE(B2001,""id"",""en"")"),"['buy', 'Kouta', 'Thinking', 'YouTube', 'Watch', 'YouTube', 'Affected', 'Koutaa', 'Main', 'Kouta', 'Thinking', 'YouTube', ' Decreases', 'please', 'fair', 'love', 'kouta', 'main', 'drained', '']")</f>
        <v>['buy', 'Kouta', 'Thinking', 'YouTube', 'Watch', 'YouTube', 'Affected', 'Koutaa', 'Main', 'Kouta', 'Thinking', 'YouTube', ' Decreases', 'please', 'fair', 'love', 'kouta', 'main', 'drained', '']</v>
      </c>
      <c r="D2001" s="3">
        <v>1.0</v>
      </c>
    </row>
    <row r="2002" ht="15.75" customHeight="1">
      <c r="A2002" s="1">
        <v>2000.0</v>
      </c>
      <c r="B2002" s="3" t="s">
        <v>2003</v>
      </c>
      <c r="C2002" s="3" t="str">
        <f>IFERROR(__xludf.DUMMYFUNCTION("GOOGLETRANSLATE(B2002,""id"",""en"")"),"['Waduhh', 'expensive', 'expensive', 'bngt', 'my computer', 'network', 'no', 'rich', 'smooth', 'fast', 'location', 'Different', ' Now ',' Look ',' location ',' signal ',' stable ',' ']")</f>
        <v>['Waduhh', 'expensive', 'expensive', 'bngt', 'my computer', 'network', 'no', 'rich', 'smooth', 'fast', 'location', 'Different', ' Now ',' Look ',' location ',' signal ',' stable ',' ']</v>
      </c>
      <c r="D2002" s="3">
        <v>5.0</v>
      </c>
    </row>
    <row r="2003" ht="15.75" customHeight="1">
      <c r="A2003" s="1">
        <v>2001.0</v>
      </c>
      <c r="B2003" s="3" t="s">
        <v>2004</v>
      </c>
      <c r="C2003" s="3" t="str">
        <f>IFERROR(__xludf.DUMMYFUNCTION("GOOGLETRANSLATE(B2003,""id"",""en"")"),"['match', 'add', 'insight', 'hand', 'oversees',' tens', 'reseller', 'life', 'a day', 'size', 'woman', 'beautiful', ' Have ',' Sekaraman ',' Inner ',' ']")</f>
        <v>['match', 'add', 'insight', 'hand', 'oversees',' tens', 'reseller', 'life', 'a day', 'size', 'woman', 'beautiful', ' Have ',' Sekaraman ',' Inner ',' ']</v>
      </c>
      <c r="D2003" s="3">
        <v>5.0</v>
      </c>
    </row>
    <row r="2004" ht="15.75" customHeight="1">
      <c r="A2004" s="1">
        <v>2002.0</v>
      </c>
      <c r="B2004" s="3" t="s">
        <v>2005</v>
      </c>
      <c r="C2004" s="3" t="str">
        <f>IFERROR(__xludf.DUMMYFUNCTION("GOOGLETRANSLATE(B2004,""id"",""en"")"),"['Make', 'UDH', 'Card', 'Telkomsel', 'Sampe', 'Change', 'Change', 'Satisfied', 'Telkomsel', 'Hopefully', 'Telkomsel', 'In the future', ' Prioritizing ',' Satisfaction ',' Customer ',' ']")</f>
        <v>['Make', 'UDH', 'Card', 'Telkomsel', 'Sampe', 'Change', 'Change', 'Satisfied', 'Telkomsel', 'Hopefully', 'Telkomsel', 'In the future', ' Prioritizing ',' Satisfaction ',' Customer ',' ']</v>
      </c>
      <c r="D2004" s="3">
        <v>5.0</v>
      </c>
    </row>
    <row r="2005" ht="15.75" customHeight="1">
      <c r="A2005" s="1">
        <v>2003.0</v>
      </c>
      <c r="B2005" s="3" t="s">
        <v>2006</v>
      </c>
      <c r="C2005" s="3" t="str">
        <f>IFERROR(__xludf.DUMMYFUNCTION("GOOGLETRANSLATE(B2005,""id"",""en"")"),"['Input', 'Team', 'Developer', 'Application', 'MyTelkomsel', 'Modify', 'Display', 'Application', 'Support', 'Dark', 'Mode', 'Mode', ' dark ',' display ',' application ',' setting ',' cellphone ',' mode ',' dark ',' display ',' the application ',' ']")</f>
        <v>['Input', 'Team', 'Developer', 'Application', 'MyTelkomsel', 'Modify', 'Display', 'Application', 'Support', 'Dark', 'Mode', 'Mode', ' dark ',' display ',' application ',' setting ',' cellphone ',' mode ',' dark ',' display ',' the application ',' ']</v>
      </c>
      <c r="D2005" s="3">
        <v>4.0</v>
      </c>
    </row>
    <row r="2006" ht="15.75" customHeight="1">
      <c r="A2006" s="1">
        <v>2004.0</v>
      </c>
      <c r="B2006" s="3" t="s">
        <v>2007</v>
      </c>
      <c r="C2006" s="3" t="str">
        <f>IFERROR(__xludf.DUMMYFUNCTION("GOOGLETRANSLATE(B2006,""id"",""en"")"),"['Operator', 'Nurse', 'Package', 'Quota', 'Region', 'DKI', 'Jakarta', 'Region', 'West', 'West', 'Bandung', 'Sumedang', ' around theah ',' problems', 'please', 'Expand', 'love', 'restrictions',' kasian ',' pitpetin ',' city ',' right ',' bring ',' home ','"&amp;" home ' , 'The package', 'core', 'Problems', 'Please', 'Expand', 'Love', 'Limitation', 'City', 'City', ""]")</f>
        <v>['Operator', 'Nurse', 'Package', 'Quota', 'Region', 'DKI', 'Jakarta', 'Region', 'West', 'West', 'Bandung', 'Sumedang', ' around theah ',' problems', 'please', 'Expand', 'love', 'restrictions',' kasian ',' pitpetin ',' city ',' right ',' bring ',' home ',' home ' , 'The package', 'core', 'Problems', 'Please', 'Expand', 'Love', 'Limitation', 'City', 'City', "]</v>
      </c>
      <c r="D2006" s="3">
        <v>1.0</v>
      </c>
    </row>
    <row r="2007" ht="15.75" customHeight="1">
      <c r="A2007" s="1">
        <v>2005.0</v>
      </c>
      <c r="B2007" s="3" t="s">
        <v>2008</v>
      </c>
      <c r="C2007" s="3" t="str">
        <f>IFERROR(__xludf.DUMMYFUNCTION("GOOGLETRANSLATE(B2007,""id"",""en"")"),"['Please', 'optimize', 'lgi', 'signal', 'times',' play ',' game ',' sllu ',' down ',' stable ',' please ',' stable ',' LGI ',' Honest ',' Mending ',' Move ',' Sousal ',' Masih ',' Please ',' Fix ',' ']")</f>
        <v>['Please', 'optimize', 'lgi', 'signal', 'times',' play ',' game ',' sllu ',' down ',' stable ',' please ',' stable ',' LGI ',' Honest ',' Mending ',' Move ',' Sousal ',' Masih ',' Please ',' Fix ',' ']</v>
      </c>
      <c r="D2007" s="3">
        <v>2.0</v>
      </c>
    </row>
    <row r="2008" ht="15.75" customHeight="1">
      <c r="A2008" s="1">
        <v>2006.0</v>
      </c>
      <c r="B2008" s="3" t="s">
        <v>2009</v>
      </c>
      <c r="C2008" s="3" t="str">
        <f>IFERROR(__xludf.DUMMYFUNCTION("GOOGLETRANSLATE(B2008,""id"",""en"")"),"['price', 'expensive', 'TPI', 'The network', 'ugly', 'dead', 'electricity', 'missing', 'network', 'dlu', 'card', 'Telkom', ' recurrent ',' repay ',' donk ', ""]")</f>
        <v>['price', 'expensive', 'TPI', 'The network', 'ugly', 'dead', 'electricity', 'missing', 'network', 'dlu', 'card', 'Telkom', ' recurrent ',' repay ',' donk ', "]</v>
      </c>
      <c r="D2008" s="3">
        <v>1.0</v>
      </c>
    </row>
    <row r="2009" ht="15.75" customHeight="1">
      <c r="A2009" s="1">
        <v>2007.0</v>
      </c>
      <c r="B2009" s="3" t="s">
        <v>2010</v>
      </c>
      <c r="C2009" s="3" t="str">
        <f>IFERROR(__xludf.DUMMYFUNCTION("GOOGLETRANSLATE(B2009,""id"",""en"")"),"['Ngeluh', 'Honest', 'Disappointed', 'Tlkomsel', 'Network', 'Data', 'Lost', 'Embossed', 'Open', 'Sometimes',' Smooth ',' Sometimes', ' Telkomsel ',' Since ',' Getting to ',' Disappointed ',' Harap ',' Acquired ',' Continue ',' Moving ',' Neighbor ',' Next"&amp;" to ',' Riau ',' Kuansing ',' Kuansing ' ]")</f>
        <v>['Ngeluh', 'Honest', 'Disappointed', 'Tlkomsel', 'Network', 'Data', 'Lost', 'Embossed', 'Open', 'Sometimes',' Smooth ',' Sometimes', ' Telkomsel ',' Since ',' Getting to ',' Disappointed ',' Harap ',' Acquired ',' Continue ',' Moving ',' Neighbor ',' Next to ',' Riau ',' Kuansing ',' Kuansing ' ]</v>
      </c>
      <c r="D2009" s="3">
        <v>1.0</v>
      </c>
    </row>
    <row r="2010" ht="15.75" customHeight="1">
      <c r="A2010" s="1">
        <v>2008.0</v>
      </c>
      <c r="B2010" s="3" t="s">
        <v>2011</v>
      </c>
      <c r="C2010" s="3" t="str">
        <f>IFERROR(__xludf.DUMMYFUNCTION("GOOGLETRANSLATE(B2010,""id"",""en"")"),"['Package', 'Credit', 'Ineday', 'Out', 'Use', 'buy', 'package', 'error', 'system', 'sincerity', 'intentional', 'billion', ' Produced ',' Cheating ',' Telkomsel ',' ']")</f>
        <v>['Package', 'Credit', 'Ineday', 'Out', 'Use', 'buy', 'package', 'error', 'system', 'sincerity', 'intentional', 'billion', ' Produced ',' Cheating ',' Telkomsel ',' ']</v>
      </c>
      <c r="D2010" s="3">
        <v>1.0</v>
      </c>
    </row>
    <row r="2011" ht="15.75" customHeight="1">
      <c r="A2011" s="1">
        <v>2009.0</v>
      </c>
      <c r="B2011" s="3" t="s">
        <v>2012</v>
      </c>
      <c r="C2011" s="3" t="str">
        <f>IFERROR(__xludf.DUMMYFUNCTION("GOOGLETRANSLATE(B2011,""id"",""en"")"),"['Severe', 'pulse', 'run out', 'package', 'pulse', 'inedible', 'run out', 'use', 'buy', 'package', 'error', 'system', ' Sincerity ',' intentional ',' billion ',' produced ',' cheating ',' Telkomsel ',' ']")</f>
        <v>['Severe', 'pulse', 'run out', 'package', 'pulse', 'inedible', 'run out', 'use', 'buy', 'package', 'error', 'system', ' Sincerity ',' intentional ',' billion ',' produced ',' cheating ',' Telkomsel ',' ']</v>
      </c>
      <c r="D2011" s="3">
        <v>1.0</v>
      </c>
    </row>
    <row r="2012" ht="15.75" customHeight="1">
      <c r="A2012" s="1">
        <v>2010.0</v>
      </c>
      <c r="B2012" s="3" t="s">
        <v>2013</v>
      </c>
      <c r="C2012" s="3" t="str">
        <f>IFERROR(__xludf.DUMMYFUNCTION("GOOGLETRANSLATE(B2012,""id"",""en"")"),"['Disappointed', 'Telkomsel', 'Sinyal', 'yesterday', 'slow', 'price', 'expensive', 'card', 'capacity', 'example', 'card', 'combo', ' Unlimited ',' GB ',' RB ',' contents', 'reset', 'Rb', 'card', 'many years',' RB ',' Difference ',' Not bad ',' prioritizin"&amp;"g ',' LGN ' , '']")</f>
        <v>['Disappointed', 'Telkomsel', 'Sinyal', 'yesterday', 'slow', 'price', 'expensive', 'card', 'capacity', 'example', 'card', 'combo', ' Unlimited ',' GB ',' RB ',' contents', 'reset', 'Rb', 'card', 'many years',' RB ',' Difference ',' Not bad ',' prioritizing ',' LGN ' , '']</v>
      </c>
      <c r="D2012" s="3">
        <v>1.0</v>
      </c>
    </row>
    <row r="2013" ht="15.75" customHeight="1">
      <c r="A2013" s="1">
        <v>2011.0</v>
      </c>
      <c r="B2013" s="3" t="s">
        <v>2014</v>
      </c>
      <c r="C2013" s="3" t="str">
        <f>IFERROR(__xludf.DUMMYFUNCTION("GOOGLETRANSLATE(B2013,""id"",""en"")"),"['Network', 'Karuan', 'Buy', 'Package', 'Gede', 'Expensive', 'Leet', 'Rich', 'Keong', 'Mending', 'Wherever', 'Current', ' Telkomsel ',' already ',' lose ',' compete ',' emotion ',' play ',' game ',' open ',' difficult ',' ']")</f>
        <v>['Network', 'Karuan', 'Buy', 'Package', 'Gede', 'Expensive', 'Leet', 'Rich', 'Keong', 'Mending', 'Wherever', 'Current', ' Telkomsel ',' already ',' lose ',' compete ',' emotion ',' play ',' game ',' open ',' difficult ',' ']</v>
      </c>
      <c r="D2013" s="3">
        <v>1.0</v>
      </c>
    </row>
    <row r="2014" ht="15.75" customHeight="1">
      <c r="A2014" s="1">
        <v>2012.0</v>
      </c>
      <c r="B2014" s="3" t="s">
        <v>2015</v>
      </c>
      <c r="C2014" s="3" t="str">
        <f>IFERROR(__xludf.DUMMYFUNCTION("GOOGLETRANSLATE(B2014,""id"",""en"")"),"['Application', 'good', 'network', 'Telkomsel', 'ugly', 'area', 'signal', 'good', 'connection', 'slow', 'TLP', 'improvement', ' network ',' The reason ',' cable ',' broke ',' TLP ',' answer ',' report ',' as if ',' he was moved ',' Telkomsel ',' ugly ',' "&amp;"service ' , '']")</f>
        <v>['Application', 'good', 'network', 'Telkomsel', 'ugly', 'area', 'signal', 'good', 'connection', 'slow', 'TLP', 'improvement', ' network ',' The reason ',' cable ',' broke ',' TLP ',' answer ',' report ',' as if ',' he was moved ',' Telkomsel ',' ugly ',' service ' , '']</v>
      </c>
      <c r="D2014" s="3">
        <v>3.0</v>
      </c>
    </row>
    <row r="2015" ht="15.75" customHeight="1">
      <c r="A2015" s="1">
        <v>2013.0</v>
      </c>
      <c r="B2015" s="3" t="s">
        <v>2016</v>
      </c>
      <c r="C2015" s="3" t="str">
        <f>IFERROR(__xludf.DUMMYFUNCTION("GOOGLETRANSLATE(B2015,""id"",""en"")"),"['buy', 'package', 'GB', 'GB', 'Internet', 'GB', 'Internet', 'chat', 'sosmed', 'game', 'right', 'quota', ' main ',' GB ',' run out ',' play ',' game ',' steady ',' thank you ',' Telkomsel ',' fasting ',' gini ',' nyenengin ',' heart ',' hot ' ]")</f>
        <v>['buy', 'package', 'GB', 'GB', 'Internet', 'GB', 'Internet', 'chat', 'sosmed', 'game', 'right', 'quota', ' main ',' GB ',' run out ',' play ',' game ',' steady ',' thank you ',' Telkomsel ',' fasting ',' gini ',' nyenengin ',' heart ',' hot ' ]</v>
      </c>
      <c r="D2015" s="3">
        <v>1.0</v>
      </c>
    </row>
    <row r="2016" ht="15.75" customHeight="1">
      <c r="A2016" s="1">
        <v>2014.0</v>
      </c>
      <c r="B2016" s="3" t="s">
        <v>2017</v>
      </c>
      <c r="C2016" s="3" t="str">
        <f>IFERROR(__xludf.DUMMYFUNCTION("GOOGLETRANSLATE(B2016,""id"",""en"")"),"['Hi', 'Sis',' Telkomsel ',' Laraf ',' Repair ',' Signal ',' Setabil ',' Region ',' Majalengka ',' Javanese ',' West ',' Good ',' Morning ',' Afternoon ',' Wait ',' Signal ',' Open ',' Facebook ', ""]")</f>
        <v>['Hi', 'Sis',' Telkomsel ',' Laraf ',' Repair ',' Signal ',' Setabil ',' Region ',' Majalengka ',' Javanese ',' West ',' Good ',' Morning ',' Afternoon ',' Wait ',' Signal ',' Open ',' Facebook ', "]</v>
      </c>
      <c r="D2016" s="3">
        <v>1.0</v>
      </c>
    </row>
    <row r="2017" ht="15.75" customHeight="1">
      <c r="A2017" s="1">
        <v>2015.0</v>
      </c>
      <c r="B2017" s="3" t="s">
        <v>2018</v>
      </c>
      <c r="C2017" s="3" t="str">
        <f>IFERROR(__xludf.DUMMYFUNCTION("GOOGLETRANSLATE(B2017,""id"",""en"")"),"['signal', 'Telkomsel', 'ugly', 'user', 'Telkomsel', 'times',' signal ',' lag ',' please ',' fix ',' operator ',' Telkomsel ',' disappointed']")</f>
        <v>['signal', 'Telkomsel', 'ugly', 'user', 'Telkomsel', 'times',' signal ',' lag ',' please ',' fix ',' operator ',' Telkomsel ',' disappointed']</v>
      </c>
      <c r="D2017" s="3">
        <v>1.0</v>
      </c>
    </row>
    <row r="2018" ht="15.75" customHeight="1">
      <c r="A2018" s="1">
        <v>2016.0</v>
      </c>
      <c r="B2018" s="3" t="s">
        <v>2019</v>
      </c>
      <c r="C2018" s="3" t="str">
        <f>IFERROR(__xludf.DUMMYFUNCTION("GOOGLETRANSLATE(B2018,""id"",""en"")"),"['Telkomsel', 'Rada', 'slow', 'signal', 'rada', 'sleep', 'usually', 'quota', 'abis',' bilng ',' pulse ',' tack ',' Notifications', 'Gada', 'Sad']")</f>
        <v>['Telkomsel', 'Rada', 'slow', 'signal', 'rada', 'sleep', 'usually', 'quota', 'abis',' bilng ',' pulse ',' tack ',' Notifications', 'Gada', 'Sad']</v>
      </c>
      <c r="D2018" s="3">
        <v>4.0</v>
      </c>
    </row>
    <row r="2019" ht="15.75" customHeight="1">
      <c r="A2019" s="1">
        <v>2017.0</v>
      </c>
      <c r="B2019" s="3" t="s">
        <v>2020</v>
      </c>
      <c r="C2019" s="3" t="str">
        <f>IFERROR(__xludf.DUMMYFUNCTION("GOOGLETRANSLATE(B2019,""id"",""en"")"),"['complement', 'Package', 'Unlimited', 'Telkomsel', 'Ngeleg', 'Bukak', 'just', 'Bukak', 'Game', 'Chatingan', 'Please', 'repay', ' Bukak ',' Percum ',' ']")</f>
        <v>['complement', 'Package', 'Unlimited', 'Telkomsel', 'Ngeleg', 'Bukak', 'just', 'Bukak', 'Game', 'Chatingan', 'Please', 'repay', ' Bukak ',' Percum ',' ']</v>
      </c>
      <c r="D2019" s="3">
        <v>1.0</v>
      </c>
    </row>
    <row r="2020" ht="15.75" customHeight="1">
      <c r="A2020" s="1">
        <v>2018.0</v>
      </c>
      <c r="B2020" s="3" t="s">
        <v>2021</v>
      </c>
      <c r="C2020" s="3" t="str">
        <f>IFERROR(__xludf.DUMMYFUNCTION("GOOGLETRANSLATE(B2020,""id"",""en"")"),"['buy', 'pulse', 'package', 'fill in', 'pulse', 'already', 'sumps',' buy ',' package ',' loss', 'buy', 'pulse', ' Sometimes', 'Vitur', 'Virtual', 'Account', 'Sometimes',' How ',' Kayak ',' Gini ',' Disappointed ',' Heavy ', ""]")</f>
        <v>['buy', 'pulse', 'package', 'fill in', 'pulse', 'already', 'sumps',' buy ',' package ',' loss', 'buy', 'pulse', ' Sometimes', 'Vitur', 'Virtual', 'Account', 'Sometimes',' How ',' Kayak ',' Gini ',' Disappointed ',' Heavy ', "]</v>
      </c>
      <c r="D2020" s="3">
        <v>1.0</v>
      </c>
    </row>
    <row r="2021" ht="15.75" customHeight="1">
      <c r="A2021" s="1">
        <v>2019.0</v>
      </c>
      <c r="B2021" s="3" t="s">
        <v>2022</v>
      </c>
      <c r="C2021" s="3" t="str">
        <f>IFERROR(__xludf.DUMMYFUNCTION("GOOGLETRANSLATE(B2021,""id"",""en"")"),"['feels',' use ',' network ',' open ',' application ',' difficult ',' times', 'open', 'loading', 'close', 'open', 'that's',' Please ',' repaired ',' Telkomsel ',' Look ',' Hold ',' held ',' Country ',' company ',' Most ',' corruption ',' budget ',' applic"&amp;"ation ',' Tsel ' , 'BERES', 'Wrong', 'company', 'biggest', 'Indonesia', 'hopefully', 'fast', 'dead', 'corruption', ""]")</f>
        <v>['feels',' use ',' network ',' open ',' application ',' difficult ',' times', 'open', 'loading', 'close', 'open', 'that's',' Please ',' repaired ',' Telkomsel ',' Look ',' Hold ',' held ',' Country ',' company ',' Most ',' corruption ',' budget ',' application ',' Tsel ' , 'BERES', 'Wrong', 'company', 'biggest', 'Indonesia', 'hopefully', 'fast', 'dead', 'corruption', "]</v>
      </c>
      <c r="D2021" s="3">
        <v>1.0</v>
      </c>
    </row>
    <row r="2022" ht="15.75" customHeight="1">
      <c r="A2022" s="1">
        <v>2020.0</v>
      </c>
      <c r="B2022" s="3" t="s">
        <v>2023</v>
      </c>
      <c r="C2022" s="3" t="str">
        <f>IFERROR(__xludf.DUMMYFUNCTION("GOOGLETRANSLATE(B2022,""id"",""en"")"),"['disappointing', 'buy', 'pulse', 'direct', 'kebeli', 'package', 'call', 'all', 'operator', 'subscribe', 'please', 'fix', ' Because ',' experience ', ""]")</f>
        <v>['disappointing', 'buy', 'pulse', 'direct', 'kebeli', 'package', 'call', 'all', 'operator', 'subscribe', 'please', 'fix', ' Because ',' experience ', "]</v>
      </c>
      <c r="D2022" s="3">
        <v>1.0</v>
      </c>
    </row>
    <row r="2023" ht="15.75" customHeight="1">
      <c r="A2023" s="1">
        <v>2021.0</v>
      </c>
      <c r="B2023" s="3" t="s">
        <v>2024</v>
      </c>
      <c r="C2023" s="3" t="str">
        <f>IFERROR(__xludf.DUMMYFUNCTION("GOOGLETRANSLATE(B2023,""id"",""en"")"),"['oath', 'unclean', 'really', 'see', 'Telkomsel', 'according to', 'service', 'price', 'quota', 'damn', 'you', 'Telkomsel', ' Quota ',' expensive ',' signal ',' cheap ',' quality ',' card ',' card ',' gada ',' disorder ',' smooth ',' gara ',' signal ',' Te"&amp;"lkomsel ' , 'work', 'online', 'delayed', 'obstacle', 'signal']")</f>
        <v>['oath', 'unclean', 'really', 'see', 'Telkomsel', 'according to', 'service', 'price', 'quota', 'damn', 'you', 'Telkomsel', ' Quota ',' expensive ',' signal ',' cheap ',' quality ',' card ',' card ',' gada ',' disorder ',' smooth ',' gara ',' signal ',' Telkomsel ' , 'work', 'online', 'delayed', 'obstacle', 'signal']</v>
      </c>
      <c r="D2023" s="3">
        <v>1.0</v>
      </c>
    </row>
    <row r="2024" ht="15.75" customHeight="1">
      <c r="A2024" s="1">
        <v>2022.0</v>
      </c>
      <c r="B2024" s="3" t="s">
        <v>2025</v>
      </c>
      <c r="C2024" s="3" t="str">
        <f>IFERROR(__xludf.DUMMYFUNCTION("GOOGLETRANSLATE(B2024,""id"",""en"")"),"['Telkomsel', 'open', 'connection', 'stable', 'internet', 'good', 'buy', 'check', 'package', 'difficult', 'annoyed', '']")</f>
        <v>['Telkomsel', 'open', 'connection', 'stable', 'internet', 'good', 'buy', 'check', 'package', 'difficult', 'annoyed', '']</v>
      </c>
      <c r="D2024" s="3">
        <v>1.0</v>
      </c>
    </row>
    <row r="2025" ht="15.75" customHeight="1">
      <c r="A2025" s="1">
        <v>2023.0</v>
      </c>
      <c r="B2025" s="3" t="s">
        <v>2026</v>
      </c>
      <c r="C2025" s="3" t="str">
        <f>IFERROR(__xludf.DUMMYFUNCTION("GOOGLETRANSLATE(B2025,""id"",""en"")"),"['Really', 'great', 'customer', 'uda', 'really', 'expensive', 'used to', 'package', 'magic', 'normal', 'rb', 'unlimited', ' Limitations', 'Naturally', 'Use', 'Discussion', 'Need', 'Limitation', 'Naturally', 'Please', 'User', 'Telkomsel', 'Switch', 'Satisf"&amp;"action', 'Customer' , 'Priority', '']")</f>
        <v>['Really', 'great', 'customer', 'uda', 'really', 'expensive', 'used to', 'package', 'magic', 'normal', 'rb', 'unlimited', ' Limitations', 'Naturally', 'Use', 'Discussion', 'Need', 'Limitation', 'Naturally', 'Please', 'User', 'Telkomsel', 'Switch', 'Satisfaction', 'Customer' , 'Priority', '']</v>
      </c>
      <c r="D2025" s="3">
        <v>1.0</v>
      </c>
    </row>
    <row r="2026" ht="15.75" customHeight="1">
      <c r="A2026" s="1">
        <v>2024.0</v>
      </c>
      <c r="B2026" s="3" t="s">
        <v>2027</v>
      </c>
      <c r="C2026" s="3" t="str">
        <f>IFERROR(__xludf.DUMMYFUNCTION("GOOGLETRANSLATE(B2026,""id"",""en"")"),"['Applya', 'Pay', 'Credit', 'Times',' Click ',' Method ',' Payment ',' Appears', 'clicked', 'Error', 'already', 'times',' Try ',' Tetep ',' Kayak ',' Gini ',' Please ',' Repaired ',' ']")</f>
        <v>['Applya', 'Pay', 'Credit', 'Times',' Click ',' Method ',' Payment ',' Appears', 'clicked', 'Error', 'already', 'times',' Try ',' Tetep ',' Kayak ',' Gini ',' Please ',' Repaired ',' ']</v>
      </c>
      <c r="D2026" s="3">
        <v>1.0</v>
      </c>
    </row>
    <row r="2027" ht="15.75" customHeight="1">
      <c r="A2027" s="1">
        <v>2025.0</v>
      </c>
      <c r="B2027" s="3" t="s">
        <v>2028</v>
      </c>
      <c r="C2027" s="3" t="str">
        <f>IFERROR(__xludf.DUMMYFUNCTION("GOOGLETRANSLATE(B2027,""id"",""en"")"),"['Credit', 'taken', 'used', 'transfer', 'credit', 'operator', 'need', 'really', 'at home']")</f>
        <v>['Credit', 'taken', 'used', 'transfer', 'credit', 'operator', 'need', 'really', 'at home']</v>
      </c>
      <c r="D2027" s="3">
        <v>1.0</v>
      </c>
    </row>
    <row r="2028" ht="15.75" customHeight="1">
      <c r="A2028" s="1">
        <v>2026.0</v>
      </c>
      <c r="B2028" s="3" t="s">
        <v>2029</v>
      </c>
      <c r="C2028" s="3" t="str">
        <f>IFERROR(__xludf.DUMMYFUNCTION("GOOGLETRANSLATE(B2028,""id"",""en"")"),"['Masi', 'Masi', 'quota', 'GB', 'Credit', 'Cutting', 'Loss', 'How', 'Limited', 'Telkomsel', ""]")</f>
        <v>['Masi', 'Masi', 'quota', 'GB', 'Credit', 'Cutting', 'Loss', 'How', 'Limited', 'Telkomsel', "]</v>
      </c>
      <c r="D2028" s="3">
        <v>1.0</v>
      </c>
    </row>
    <row r="2029" ht="15.75" customHeight="1">
      <c r="A2029" s="1">
        <v>2027.0</v>
      </c>
      <c r="B2029" s="3" t="s">
        <v>2030</v>
      </c>
      <c r="C2029" s="3" t="str">
        <f>IFERROR(__xludf.DUMMYFUNCTION("GOOGLETRANSLATE(B2029,""id"",""en"")"),"['Telkomsel', 'threat', 'melted', 'expensive', 'doang', 'service', 'disappointing', 'card', 'Hallo', 'stop', 'scorched', 'card', ' Trap ',' Batman ']")</f>
        <v>['Telkomsel', 'threat', 'melted', 'expensive', 'doang', 'service', 'disappointing', 'card', 'Hallo', 'stop', 'scorched', 'card', ' Trap ',' Batman ']</v>
      </c>
      <c r="D2029" s="3">
        <v>1.0</v>
      </c>
    </row>
    <row r="2030" ht="15.75" customHeight="1">
      <c r="A2030" s="1">
        <v>2028.0</v>
      </c>
      <c r="B2030" s="3" t="s">
        <v>2031</v>
      </c>
      <c r="C2030" s="3" t="str">
        <f>IFERROR(__xludf.DUMMYFUNCTION("GOOGLETRANSLATE(B2030,""id"",""en"")"),"['Please', 'KPDA', 'Telkomsel', 'YTH', 'Application', 'Telkomsel', 'KNPA', 'Slow', 'Loading', 'Open', 'Appliate', 'Update', ' Please, 'users', 'Telkomsel', 'lightening', 'take', 'package', 'price', 'cheap', 'super', 'deal', 'user', 'application', 'bored' "&amp;", 'meet', 'provisions', 'Regulation', 'Telkomsel', 'Terbimah', 'Love']")</f>
        <v>['Please', 'KPDA', 'Telkomsel', 'YTH', 'Application', 'Telkomsel', 'KNPA', 'Slow', 'Loading', 'Open', 'Appliate', 'Update', ' Please, 'users', 'Telkomsel', 'lightening', 'take', 'package', 'price', 'cheap', 'super', 'deal', 'user', 'application', 'bored' , 'meet', 'provisions', 'Regulation', 'Telkomsel', 'Terbimah', 'Love']</v>
      </c>
      <c r="D2030" s="3">
        <v>3.0</v>
      </c>
    </row>
    <row r="2031" ht="15.75" customHeight="1">
      <c r="A2031" s="1">
        <v>2029.0</v>
      </c>
      <c r="B2031" s="3" t="s">
        <v>2032</v>
      </c>
      <c r="C2031" s="3" t="str">
        <f>IFERROR(__xludf.DUMMYFUNCTION("GOOGLETRANSLATE(B2031,""id"",""en"")"),"['a month', 'fill', 'pulse', 'total', 'nominal', 'thousand', 'active', 'increases',' active ',' following ',' purchase ',' package ',' Internet ',' buy ',' package ',' internet ',' April ',' fill ',' pulse ',' routine ',' gradual ',' thousand ',' Akif ','"&amp;" just ',' april ' , 'May', '']")</f>
        <v>['a month', 'fill', 'pulse', 'total', 'nominal', 'thousand', 'active', 'increases',' active ',' following ',' purchase ',' package ',' Internet ',' buy ',' package ',' internet ',' April ',' fill ',' pulse ',' routine ',' gradual ',' thousand ',' Akif ',' just ',' april ' , 'May', '']</v>
      </c>
      <c r="D2031" s="3">
        <v>1.0</v>
      </c>
    </row>
    <row r="2032" ht="15.75" customHeight="1">
      <c r="A2032" s="1">
        <v>2030.0</v>
      </c>
      <c r="B2032" s="3" t="s">
        <v>2033</v>
      </c>
      <c r="C2032" s="3" t="str">
        <f>IFERROR(__xludf.DUMMYFUNCTION("GOOGLETRANSLATE(B2032,""id"",""en"")"),"['Hello', 'Telkomsel', 'KNPA', 'Price', 'Package', 'Application', 'Dipipos',' Expensive ',' Appeal ',' Application ',' Outlet ',' Target ',' Dealers', 'Transactions',' Combo ',' Sakti ',' Etc. ',' Price ',' Digipos', 'Balanced', 'Application', 'Consumers'"&amp;",' Run ',' Buy ',' Credit ' , 'Buy', 'Package', 'Application', 'Telkomsel']")</f>
        <v>['Hello', 'Telkomsel', 'KNPA', 'Price', 'Package', 'Application', 'Dipipos',' Expensive ',' Appeal ',' Application ',' Outlet ',' Target ',' Dealers', 'Transactions',' Combo ',' Sakti ',' Etc. ',' Price ',' Digipos', 'Balanced', 'Application', 'Consumers',' Run ',' Buy ',' Credit ' , 'Buy', 'Package', 'Application', 'Telkomsel']</v>
      </c>
      <c r="D2032" s="3">
        <v>3.0</v>
      </c>
    </row>
    <row r="2033" ht="15.75" customHeight="1">
      <c r="A2033" s="1">
        <v>2031.0</v>
      </c>
      <c r="B2033" s="3" t="s">
        <v>2034</v>
      </c>
      <c r="C2033" s="3" t="str">
        <f>IFERROR(__xludf.DUMMYFUNCTION("GOOGLETRANSLATE(B2033,""id"",""en"")"),"['profider', 'bastard', 'infidel', 'badind', 'buy', 'pulse', 'clock', 'entry', 'hour', 'pig', 'Telkomsel', 'active', ' a year ',' contents', 'pulse', 'grace', 'run out', 'Telkomsel', 'provider', 'dog', '']")</f>
        <v>['profider', 'bastard', 'infidel', 'badind', 'buy', 'pulse', 'clock', 'entry', 'hour', 'pig', 'Telkomsel', 'active', ' a year ',' contents', 'pulse', 'grace', 'run out', 'Telkomsel', 'provider', 'dog', '']</v>
      </c>
      <c r="D2033" s="3">
        <v>1.0</v>
      </c>
    </row>
    <row r="2034" ht="15.75" customHeight="1">
      <c r="A2034" s="1">
        <v>2032.0</v>
      </c>
      <c r="B2034" s="3" t="s">
        <v>2035</v>
      </c>
      <c r="C2034" s="3" t="str">
        <f>IFERROR(__xludf.DUMMYFUNCTION("GOOGLETRANSLATE(B2034,""id"",""en"")"),"['How', 'internet', 'non', 'package', 'right', 'pulses',' already ',' run out ',' I mean ',' trs', 'that's',' Detice ',' the quota ',' replace ',' loss', 'already', 'times',' patient ', ""]")</f>
        <v>['How', 'internet', 'non', 'package', 'right', 'pulses',' already ',' run out ',' I mean ',' trs', 'that's',' Detice ',' the quota ',' replace ',' loss', 'already', 'times',' patient ', "]</v>
      </c>
      <c r="D2034" s="3">
        <v>1.0</v>
      </c>
    </row>
    <row r="2035" ht="15.75" customHeight="1">
      <c r="A2035" s="1">
        <v>2033.0</v>
      </c>
      <c r="B2035" s="3" t="s">
        <v>2036</v>
      </c>
      <c r="C2035" s="3" t="str">
        <f>IFERROR(__xludf.DUMMYFUNCTION("GOOGLETRANSLATE(B2035,""id"",""en"")"),"['Hello', 'Telkomsel', 'buy', 'quota', 'check', 'Sya', 'contents',' pulses', 'quota', 'buy', 'already', 'please', ' Telkomsel ',' already ',' many ',' times', 'cheat', 'kayak', 'gini', 'Please', 'policy', ""]")</f>
        <v>['Hello', 'Telkomsel', 'buy', 'quota', 'check', 'Sya', 'contents',' pulses', 'quota', 'buy', 'already', 'please', ' Telkomsel ',' already ',' many ',' times', 'cheat', 'kayak', 'gini', 'Please', 'policy', "]</v>
      </c>
      <c r="D2035" s="3">
        <v>2.0</v>
      </c>
    </row>
    <row r="2036" ht="15.75" customHeight="1">
      <c r="A2036" s="1">
        <v>2034.0</v>
      </c>
      <c r="B2036" s="3" t="s">
        <v>2037</v>
      </c>
      <c r="C2036" s="3" t="str">
        <f>IFERROR(__xludf.DUMMYFUNCTION("GOOGLETRANSLATE(B2036,""id"",""en"")"),"['because', 'no', 'use', 'no', 'use', 'provider', 'Lontong', 'slow', 'open', 'application', 'MyTelkomsel', 'Severe Layinta', ' Forgiveness', 'ehhh', 'Lontong', 'Loe', 'Example', 'Provider', 'Application', 'Opened', 'Direct', 'Makjleb', 'Network', 'Normal'"&amp;", 'Line' , 'signal', 'full', 'network', 'gatot', 'failed', 'total', ""]")</f>
        <v>['because', 'no', 'use', 'no', 'use', 'provider', 'Lontong', 'slow', 'open', 'application', 'MyTelkomsel', 'Severe Layinta', ' Forgiveness', 'ehhh', 'Lontong', 'Loe', 'Example', 'Provider', 'Application', 'Opened', 'Direct', 'Makjleb', 'Network', 'Normal', 'Line' , 'signal', 'full', 'network', 'gatot', 'failed', 'total', "]</v>
      </c>
      <c r="D2036" s="3">
        <v>1.0</v>
      </c>
    </row>
    <row r="2037" ht="15.75" customHeight="1">
      <c r="A2037" s="1">
        <v>2035.0</v>
      </c>
      <c r="B2037" s="3" t="s">
        <v>2038</v>
      </c>
      <c r="C2037" s="3" t="str">
        <f>IFERROR(__xludf.DUMMYFUNCTION("GOOGLETRANSLATE(B2037,""id"",""en"")"),"['easy', 'hopefully', 'Ramadhan', 'full', 'blessing', 'servant', 'Ridho', 'Allah', 'gift', 'car', 'MyTelkomsel', 'capital', ' effort ',' aamiin ',' hopefully ',' Telkomsel ',' Jaya ',' Aamiin ', ""]")</f>
        <v>['easy', 'hopefully', 'Ramadhan', 'full', 'blessing', 'servant', 'Ridho', 'Allah', 'gift', 'car', 'MyTelkomsel', 'capital', ' effort ',' aamiin ',' hopefully ',' Telkomsel ',' Jaya ',' Aamiin ', "]</v>
      </c>
      <c r="D2037" s="3">
        <v>5.0</v>
      </c>
    </row>
    <row r="2038" ht="15.75" customHeight="1">
      <c r="A2038" s="1">
        <v>2036.0</v>
      </c>
      <c r="B2038" s="3" t="s">
        <v>2039</v>
      </c>
      <c r="C2038" s="3" t="str">
        <f>IFERROR(__xludf.DUMMYFUNCTION("GOOGLETRANSLATE(B2038,""id"",""en"")"),"['complaint', 'run out', 'package', 'contents',' package ',' turn on ',' data ',' second ',' pulse ',' sucked ',' open ',' Telkomsel ',' AJHA ',' Loading ',' Credit ',' Expensive ',' Input ',' Reduce ',' Costs', 'Rich', 'Ngealir', 'That's',' Ajha ',' Cred"&amp;"it ',' Credit ' , 'Kayak', 'weight', 'that's', '']")</f>
        <v>['complaint', 'run out', 'package', 'contents',' package ',' turn on ',' data ',' second ',' pulse ',' sucked ',' open ',' Telkomsel ',' AJHA ',' Loading ',' Credit ',' Expensive ',' Input ',' Reduce ',' Costs', 'Rich', 'Ngealir', 'That's',' Ajha ',' Credit ',' Credit ' , 'Kayak', 'weight', 'that's', '']</v>
      </c>
      <c r="D2038" s="3">
        <v>3.0</v>
      </c>
    </row>
    <row r="2039" ht="15.75" customHeight="1">
      <c r="A2039" s="1">
        <v>2037.0</v>
      </c>
      <c r="B2039" s="3" t="s">
        <v>2040</v>
      </c>
      <c r="C2039" s="3" t="str">
        <f>IFERROR(__xludf.DUMMYFUNCTION("GOOGLETRANSLATE(B2039,""id"",""en"")"),"['Sympathy', 'The', 'Best', 'Signal', 'Skarang', 'The', 'Best', 'Lemot', 'Disright', 'Customer', 'Faithful', 'Telkomsel', ' Dri ',' Like ',' Telkomsel ',' Severe ',' Play ',' The ',' Best ',' Lost ',' Ama ',' ']")</f>
        <v>['Sympathy', 'The', 'Best', 'Signal', 'Skarang', 'The', 'Best', 'Lemot', 'Disright', 'Customer', 'Faithful', 'Telkomsel', ' Dri ',' Like ',' Telkomsel ',' Severe ',' Play ',' The ',' Best ',' Lost ',' Ama ',' ']</v>
      </c>
      <c r="D2039" s="3">
        <v>1.0</v>
      </c>
    </row>
    <row r="2040" ht="15.75" customHeight="1">
      <c r="A2040" s="1">
        <v>2038.0</v>
      </c>
      <c r="B2040" s="3" t="s">
        <v>2041</v>
      </c>
      <c r="C2040" s="3" t="str">
        <f>IFERROR(__xludf.DUMMYFUNCTION("GOOGLETRANSLATE(B2040,""id"",""en"")"),"['makes it easier', 'Kemonah', 'already', 'app', 'slow', 'buy', 'package', 'pulse', 'sufficient', 'use', 'open', 'app', ' Credit ',' Reduced ',' Please ',' Increase ',' The Application ',' ']")</f>
        <v>['makes it easier', 'Kemonah', 'already', 'app', 'slow', 'buy', 'package', 'pulse', 'sufficient', 'use', 'open', 'app', ' Credit ',' Reduced ',' Please ',' Increase ',' The Application ',' ']</v>
      </c>
      <c r="D2040" s="3">
        <v>1.0</v>
      </c>
    </row>
    <row r="2041" ht="15.75" customHeight="1">
      <c r="A2041" s="1">
        <v>2039.0</v>
      </c>
      <c r="B2041" s="3" t="s">
        <v>2042</v>
      </c>
      <c r="C2041" s="3" t="str">
        <f>IFERROR(__xludf.DUMMYFUNCTION("GOOGLETRANSLATE(B2041,""id"",""en"")"),"['Unlimited', 'intent', 'woi', 'Aah', 'Langanan', 'Telkomsel', 'many years',' Langanan ',' lightness', 'combo', 'Sakti', 'limitid', ' sosmed ',' unlimited ',' funny ',' times']")</f>
        <v>['Unlimited', 'intent', 'woi', 'Aah', 'Langanan', 'Telkomsel', 'many years',' Langanan ',' lightness', 'combo', 'Sakti', 'limitid', ' sosmed ',' unlimited ',' funny ',' times']</v>
      </c>
      <c r="D2041" s="3">
        <v>1.0</v>
      </c>
    </row>
    <row r="2042" ht="15.75" customHeight="1">
      <c r="A2042" s="1">
        <v>2040.0</v>
      </c>
      <c r="B2042" s="3" t="s">
        <v>2043</v>
      </c>
      <c r="C2042" s="3" t="str">
        <f>IFERROR(__xludf.DUMMYFUNCTION("GOOGLETRANSLATE(B2042,""id"",""en"")"),"['hike', 'profit', 'repairs', 'network', 'network', 'internet', 'optimized', 'bad', 'rating', '']")</f>
        <v>['hike', 'profit', 'repairs', 'network', 'network', 'internet', 'optimized', 'bad', 'rating', '']</v>
      </c>
      <c r="D2042" s="3">
        <v>1.0</v>
      </c>
    </row>
    <row r="2043" ht="15.75" customHeight="1">
      <c r="A2043" s="1">
        <v>2041.0</v>
      </c>
      <c r="B2043" s="3" t="s">
        <v>2044</v>
      </c>
      <c r="C2043" s="3" t="str">
        <f>IFERROR(__xludf.DUMMYFUNCTION("GOOGLETRANSLATE(B2043,""id"",""en"")"),"['Sorry', 'Sis',' Package ',' Unlimited ',' Leet ',' Network ',' No ',' Package ',' Regular ',' Please ',' Sis', 'Accelerate', ' network ',' quota ',' regular ',' run out ',' enthusiasts', '']")</f>
        <v>['Sorry', 'Sis',' Package ',' Unlimited ',' Leet ',' Network ',' No ',' Package ',' Regular ',' Please ',' Sis', 'Accelerate', ' network ',' quota ',' regular ',' run out ',' enthusiasts', '']</v>
      </c>
      <c r="D2043" s="3">
        <v>3.0</v>
      </c>
    </row>
    <row r="2044" ht="15.75" customHeight="1">
      <c r="A2044" s="1">
        <v>2042.0</v>
      </c>
      <c r="B2044" s="3" t="s">
        <v>2045</v>
      </c>
      <c r="C2044" s="3" t="str">
        <f>IFERROR(__xludf.DUMMYFUNCTION("GOOGLETRANSLATE(B2044,""id"",""en"")"),"['Min', 'buy', 'package', 'unlimited', 'already', 'expensive', 'restrictions',' package ',' chat ',' sosmed ',' youtube ',' entered ',' Sense ',' restrictions', 'GB', 'per month', 'unlimited', 'Season', 'Aying', ""]")</f>
        <v>['Min', 'buy', 'package', 'unlimited', 'already', 'expensive', 'restrictions',' package ',' chat ',' sosmed ',' youtube ',' entered ',' Sense ',' restrictions', 'GB', 'per month', 'unlimited', 'Season', 'Aying', "]</v>
      </c>
      <c r="D2044" s="3">
        <v>1.0</v>
      </c>
    </row>
    <row r="2045" ht="15.75" customHeight="1">
      <c r="A2045" s="1">
        <v>2043.0</v>
      </c>
      <c r="B2045" s="3" t="s">
        <v>2046</v>
      </c>
      <c r="C2045" s="3" t="str">
        <f>IFERROR(__xludf.DUMMYFUNCTION("GOOGLETRANSLATE(B2045,""id"",""en"")"),"['Cheap', 'lacks',' buy ',' package ',' gamemax ',' given ',' price ',' cheap ',' network ',' slow ',' intention ',' mabar ',' together ',' friend ',' please ',' emang ',' intention ',' sell ',' love ',' customer ',' satisfied ']")</f>
        <v>['Cheap', 'lacks',' buy ',' package ',' gamemax ',' given ',' price ',' cheap ',' network ',' slow ',' intention ',' mabar ',' together ',' friend ',' please ',' emang ',' intention ',' sell ',' love ',' customer ',' satisfied ']</v>
      </c>
      <c r="D2045" s="3">
        <v>2.0</v>
      </c>
    </row>
    <row r="2046" ht="15.75" customHeight="1">
      <c r="A2046" s="1">
        <v>2044.0</v>
      </c>
      <c r="B2046" s="3" t="s">
        <v>2047</v>
      </c>
      <c r="C2046" s="3" t="str">
        <f>IFERROR(__xludf.DUMMYFUNCTION("GOOGLETRANSLATE(B2046,""id"",""en"")"),"['Telkomsel', 'Telkomsel', 'best', 'update', 'application', 'price', 'quota', 'internet', 'expensive', 'please', 'deh', 'Telkomsel', ' Fix ',' network ',' good ',' price ',' quota ',' internet ',' expensive ',' pulse ',' quota ',' GB ',' quota ',' GB ',' "&amp;"price ' , '']")</f>
        <v>['Telkomsel', 'Telkomsel', 'best', 'update', 'application', 'price', 'quota', 'internet', 'expensive', 'please', 'deh', 'Telkomsel', ' Fix ',' network ',' good ',' price ',' quota ',' internet ',' expensive ',' pulse ',' quota ',' GB ',' quota ',' GB ',' price ' , '']</v>
      </c>
      <c r="D2046" s="3">
        <v>1.0</v>
      </c>
    </row>
    <row r="2047" ht="15.75" customHeight="1">
      <c r="A2047" s="1">
        <v>2045.0</v>
      </c>
      <c r="B2047" s="3" t="s">
        <v>2048</v>
      </c>
      <c r="C2047" s="3" t="str">
        <f>IFERROR(__xludf.DUMMYFUNCTION("GOOGLETRANSLATE(B2047,""id"",""en"")"),"['Complaint', 'Package', 'Internet', 'buy', 'already', 'Try', 'Many', 'Tetep', 'Use', 'Package', 'Buy', 'April', ' already', '']")</f>
        <v>['Complaint', 'Package', 'Internet', 'buy', 'already', 'Try', 'Many', 'Tetep', 'Use', 'Package', 'Buy', 'April', ' already', '']</v>
      </c>
      <c r="D2047" s="3">
        <v>1.0</v>
      </c>
    </row>
    <row r="2048" ht="15.75" customHeight="1">
      <c r="A2048" s="1">
        <v>2046.0</v>
      </c>
      <c r="B2048" s="3" t="s">
        <v>2049</v>
      </c>
      <c r="C2048" s="3" t="str">
        <f>IFERROR(__xludf.DUMMYFUNCTION("GOOGLETRANSLATE(B2048,""id"",""en"")"),"['Purchase', 'pulse', 'difficult', 'complicated', 'buy', 'pulse', 'JT', 'easy', 'payment', 'via', 'account', 'virtual', ' Knp ',' skrg ',' lost ',' aka ',' ugly ',' service ',' ']")</f>
        <v>['Purchase', 'pulse', 'difficult', 'complicated', 'buy', 'pulse', 'JT', 'easy', 'payment', 'via', 'account', 'virtual', ' Knp ',' skrg ',' lost ',' aka ',' ugly ',' service ',' ']</v>
      </c>
      <c r="D2048" s="3">
        <v>1.0</v>
      </c>
    </row>
    <row r="2049" ht="15.75" customHeight="1">
      <c r="A2049" s="1">
        <v>2047.0</v>
      </c>
      <c r="B2049" s="3" t="s">
        <v>2050</v>
      </c>
      <c r="C2049" s="3" t="str">
        <f>IFERROR(__xludf.DUMMYFUNCTION("GOOGLETRANSLATE(B2049,""id"",""en"")"),"['disappointed', 'already', 'a month', 'Telkomsel', 'disruption', 'area', 'banjarmasin', 'disruption', 'network', 'package', 'Telkomsel', 'stable', ' its network ',' choose ',' operator ',' sahara ',' msih ',' disruption ',' jdi ',' moved ',' operator ']")</f>
        <v>['disappointed', 'already', 'a month', 'Telkomsel', 'disruption', 'area', 'banjarmasin', 'disruption', 'network', 'package', 'Telkomsel', 'stable', ' its network ',' choose ',' operator ',' sahara ',' msih ',' disruption ',' jdi ',' moved ',' operator ']</v>
      </c>
      <c r="D2049" s="3">
        <v>2.0</v>
      </c>
    </row>
    <row r="2050" ht="15.75" customHeight="1">
      <c r="A2050" s="1">
        <v>2048.0</v>
      </c>
      <c r="B2050" s="3" t="s">
        <v>2051</v>
      </c>
      <c r="C2050" s="3" t="str">
        <f>IFERROR(__xludf.DUMMYFUNCTION("GOOGLETRANSLATE(B2050,""id"",""en"")"),"['Thread out', 'Kouta', 'GB', 'RB', 'Buy', 'Disappointed', 'Telkomsel', 'please', 'Kouta', 'GB', 'HRI', 'Price', ' rb ',' buy ',' wear ',' card ',' prime ',' Telkomsel ',' disappointed ',' resolved ',' wear ',' Telkomsel ', ""]")</f>
        <v>['Thread out', 'Kouta', 'GB', 'RB', 'Buy', 'Disappointed', 'Telkomsel', 'please', 'Kouta', 'GB', 'HRI', 'Price', ' rb ',' buy ',' wear ',' card ',' prime ',' Telkomsel ',' disappointed ',' resolved ',' wear ',' Telkomsel ', "]</v>
      </c>
      <c r="D2050" s="3">
        <v>1.0</v>
      </c>
    </row>
    <row r="2051" ht="15.75" customHeight="1">
      <c r="A2051" s="1">
        <v>2049.0</v>
      </c>
      <c r="B2051" s="3" t="s">
        <v>2052</v>
      </c>
      <c r="C2051" s="3" t="str">
        <f>IFERROR(__xludf.DUMMYFUNCTION("GOOGLETRANSLATE(B2051,""id"",""en"")"),"['pulse', 'sucked', 'notification', 'package', 'quota', 'run out', 'complainan', 'until', 'process', 'pepahhhhh', ""]")</f>
        <v>['pulse', 'sucked', 'notification', 'package', 'quota', 'run out', 'complainan', 'until', 'process', 'pepahhhhh', "]</v>
      </c>
      <c r="D2051" s="3">
        <v>1.0</v>
      </c>
    </row>
    <row r="2052" ht="15.75" customHeight="1">
      <c r="A2052" s="1">
        <v>2050.0</v>
      </c>
      <c r="B2052" s="3" t="s">
        <v>2053</v>
      </c>
      <c r="C2052" s="3" t="str">
        <f>IFERROR(__xludf.DUMMYFUNCTION("GOOGLETRANSLATE(B2052,""id"",""en"")"),"['Sorry', 'meaning', 'unlimited', 'boundary', 'please', 'Embed', 'Embed', 'Unlimited', 'Look for', 'Relevant', 'Thank you']")</f>
        <v>['Sorry', 'meaning', 'unlimited', 'boundary', 'please', 'Embed', 'Embed', 'Unlimited', 'Look for', 'Relevant', 'Thank you']</v>
      </c>
      <c r="D2052" s="3">
        <v>3.0</v>
      </c>
    </row>
    <row r="2053" ht="15.75" customHeight="1">
      <c r="A2053" s="1">
        <v>2051.0</v>
      </c>
      <c r="B2053" s="3" t="s">
        <v>2054</v>
      </c>
      <c r="C2053" s="3" t="str">
        <f>IFERROR(__xludf.DUMMYFUNCTION("GOOGLETRANSLATE(B2053,""id"",""en"")"),"['Network', 'slow', 'stable', 'package', 'was removed', 'quality', 'backward', 'hope', 'rich', ""]")</f>
        <v>['Network', 'slow', 'stable', 'package', 'was removed', 'quality', 'backward', 'hope', 'rich', "]</v>
      </c>
      <c r="D2053" s="3">
        <v>1.0</v>
      </c>
    </row>
    <row r="2054" ht="15.75" customHeight="1">
      <c r="A2054" s="1">
        <v>2052.0</v>
      </c>
      <c r="B2054" s="3" t="s">
        <v>2055</v>
      </c>
      <c r="C2054" s="3" t="str">
        <f>IFERROR(__xludf.DUMMYFUNCTION("GOOGLETRANSLATE(B2054,""id"",""en"")"),"['Please', 'Sorry', 'KNPA', 'Update', 'Application', 'Error', 'GTU', 'Yaa', 'Enter', 'Application', 'Telkomsel', 'Cman', ' Posts', 'Realod', 'Change', 'then', 'Network', 'Jga', 'Knapa', 'now', 'card', 'Jdi', 'and that', 'Jga', 'Gnti' , 'right', 'data', 'T"&amp;"urn on', 'haze', 'Connect', 'anything', 'like', 'off', 'data', 'what', 'wrong', 'yaa', ' Please ',' response ',' Action ',' Telkomsel ',' Trims', '']")</f>
        <v>['Please', 'Sorry', 'KNPA', 'Update', 'Application', 'Error', 'GTU', 'Yaa', 'Enter', 'Application', 'Telkomsel', 'Cman', ' Posts', 'Realod', 'Change', 'then', 'Network', 'Jga', 'Knapa', 'now', 'card', 'Jdi', 'and that', 'Jga', 'Gnti' , 'right', 'data', 'Turn on', 'haze', 'Connect', 'anything', 'like', 'off', 'data', 'what', 'wrong', 'yaa', ' Please ',' response ',' Action ',' Telkomsel ',' Trims', '']</v>
      </c>
      <c r="D2054" s="3">
        <v>1.0</v>
      </c>
    </row>
    <row r="2055" ht="15.75" customHeight="1">
      <c r="A2055" s="1">
        <v>2053.0</v>
      </c>
      <c r="B2055" s="3" t="s">
        <v>2056</v>
      </c>
      <c r="C2055" s="3" t="str">
        <f>IFERROR(__xludf.DUMMYFUNCTION("GOOGLETRANSLATE(B2055,""id"",""en"")"),"['see', 'yak', 'price', 'pket', 'trossss',' smpe ',' mmposs', 'quota', 'collapsed', 'TPI', 'expensive', 'hrg', ' joking', '']")</f>
        <v>['see', 'yak', 'price', 'pket', 'trossss',' smpe ',' mmposs', 'quota', 'collapsed', 'TPI', 'expensive', 'hrg', ' joking', '']</v>
      </c>
      <c r="D2055" s="3">
        <v>1.0</v>
      </c>
    </row>
    <row r="2056" ht="15.75" customHeight="1">
      <c r="A2056" s="1">
        <v>2054.0</v>
      </c>
      <c r="B2056" s="3" t="s">
        <v>2057</v>
      </c>
      <c r="C2056" s="3" t="str">
        <f>IFERROR(__xludf.DUMMYFUNCTION("GOOGLETRANSLATE(B2056,""id"",""en"")"),"['gini', 'application', 'Telkomsel', 'buy', 'package', 'refresh', 'login', 'reset', 'please', 'fix', 'bug', 'parahh', ' Really ',' price ',' package ',' expensive ',' disappointed ',' ']")</f>
        <v>['gini', 'application', 'Telkomsel', 'buy', 'package', 'refresh', 'login', 'reset', 'please', 'fix', 'bug', 'parahh', ' Really ',' price ',' package ',' expensive ',' disappointed ',' ']</v>
      </c>
      <c r="D2056" s="3">
        <v>1.0</v>
      </c>
    </row>
    <row r="2057" ht="15.75" customHeight="1">
      <c r="A2057" s="1">
        <v>2055.0</v>
      </c>
      <c r="B2057" s="3" t="s">
        <v>2058</v>
      </c>
      <c r="C2057" s="3" t="str">
        <f>IFERROR(__xludf.DUMMYFUNCTION("GOOGLETRANSLATE(B2057,""id"",""en"")"),"['embarrassing', 'class',' child ',' company ',' owned ',' country ',' buy ',' package ',' kouta ',' hbis', 'enactment', 'Telkomsel', ' Disappointed ',' so, 'Telkomsel', 'Disright', 'People', '']")</f>
        <v>['embarrassing', 'class',' child ',' company ',' owned ',' country ',' buy ',' package ',' kouta ',' hbis', 'enactment', 'Telkomsel', ' Disappointed ',' so, 'Telkomsel', 'Disright', 'People', '']</v>
      </c>
      <c r="D2057" s="3">
        <v>1.0</v>
      </c>
    </row>
    <row r="2058" ht="15.75" customHeight="1">
      <c r="A2058" s="1">
        <v>2056.0</v>
      </c>
      <c r="B2058" s="3" t="s">
        <v>2059</v>
      </c>
      <c r="C2058" s="3" t="str">
        <f>IFERROR(__xludf.DUMMYFUNCTION("GOOGLETRANSLATE(B2058,""id"",""en"")"),"['Telkomsel', 'Network', 'Severe', 'really', 'Rich', 'Kura', 'Gini', 'Switch', 'Come', 'Move', 'Card', 'Telkomsel', ' Fix ',' Network ',' Rich ',' Super ',' Duper ',' Speaking ',' Come ',' Please ',' Fix ',' Hub ',' Twitter ',' What's', 'fix' , 'Quality',"&amp;" 'Network', 'Indo', ""]")</f>
        <v>['Telkomsel', 'Network', 'Severe', 'really', 'Rich', 'Kura', 'Gini', 'Switch', 'Come', 'Move', 'Card', 'Telkomsel', ' Fix ',' Network ',' Rich ',' Super ',' Duper ',' Speaking ',' Come ',' Please ',' Fix ',' Hub ',' Twitter ',' What's', 'fix' , 'Quality', 'Network', 'Indo', "]</v>
      </c>
      <c r="D2058" s="3">
        <v>1.0</v>
      </c>
    </row>
    <row r="2059" ht="15.75" customHeight="1">
      <c r="A2059" s="1">
        <v>2057.0</v>
      </c>
      <c r="B2059" s="3" t="s">
        <v>2060</v>
      </c>
      <c r="C2059" s="3" t="str">
        <f>IFERROR(__xludf.DUMMYFUNCTION("GOOGLETRANSLATE(B2059,""id"",""en"")"),"['network', 'Telkomsel', 'slow', 'bangetttttttttttttttt', 'expensive', 'doang', 'harmed', 'fix', 'network', 'high', 'doang', 'yaaa', ' customers', 'loyal', 'Telkomsel', 'moved', 'provider', 'udh', 'mah', 'expensive', 'network', 'slow', 'fair', 'bought', '"&amp;"money' , 'Telkomsel', 'sucked', 'really', 'package', 'nyedot', 'bangett', 'already', 'expensive', 'network', 'slow', 'emblem', 'emng', ' Think ',' Money ',' Buy ',' Package ',' Doang ',' ']")</f>
        <v>['network', 'Telkomsel', 'slow', 'bangetttttttttttttttt', 'expensive', 'doang', 'harmed', 'fix', 'network', 'high', 'doang', 'yaaa', ' customers', 'loyal', 'Telkomsel', 'moved', 'provider', 'udh', 'mah', 'expensive', 'network', 'slow', 'fair', 'bought', 'money' , 'Telkomsel', 'sucked', 'really', 'package', 'nyedot', 'bangett', 'already', 'expensive', 'network', 'slow', 'emblem', 'emng', ' Think ',' Money ',' Buy ',' Package ',' Doang ',' ']</v>
      </c>
      <c r="D2059" s="3">
        <v>1.0</v>
      </c>
    </row>
    <row r="2060" ht="15.75" customHeight="1">
      <c r="A2060" s="1">
        <v>2058.0</v>
      </c>
      <c r="B2060" s="3" t="s">
        <v>2061</v>
      </c>
      <c r="C2060" s="3" t="str">
        <f>IFERROR(__xludf.DUMMYFUNCTION("GOOGLETRANSLATE(B2060,""id"",""en"")"),"['regret', 'card', 'here', 'network', 'ugly', 'experience', 'slow', 'network', 'Telkomsel', 'bad', ""]")</f>
        <v>['regret', 'card', 'here', 'network', 'ugly', 'experience', 'slow', 'network', 'Telkomsel', 'bad', "]</v>
      </c>
      <c r="D2060" s="3">
        <v>1.0</v>
      </c>
    </row>
    <row r="2061" ht="15.75" customHeight="1">
      <c r="A2061" s="1">
        <v>2059.0</v>
      </c>
      <c r="B2061" s="3" t="s">
        <v>2062</v>
      </c>
      <c r="C2061" s="3" t="str">
        <f>IFERROR(__xludf.DUMMYFUNCTION("GOOGLETRANSLATE(B2061,""id"",""en"")"),"['The application', 'ugly', 'lie', 'the application', 'good', 'really']")</f>
        <v>['The application', 'ugly', 'lie', 'the application', 'good', 'really']</v>
      </c>
      <c r="D2061" s="3">
        <v>5.0</v>
      </c>
    </row>
    <row r="2062" ht="15.75" customHeight="1">
      <c r="A2062" s="1">
        <v>2060.0</v>
      </c>
      <c r="B2062" s="3" t="s">
        <v>2063</v>
      </c>
      <c r="C2062" s="3" t="str">
        <f>IFERROR(__xludf.DUMMYFUNCTION("GOOGLETRANSLATE(B2062,""id"",""en"")"),"['buy', 'package', 'package', 'Nggk', 'complete', 'event', 'promo', 'see', 'Store', 'no', 'disappointed', 'buy', ' Credit ',' The product ',' Nggk ',' Come ',' Telkomsel ',' Fix ',' Loss']")</f>
        <v>['buy', 'package', 'package', 'Nggk', 'complete', 'event', 'promo', 'see', 'Store', 'no', 'disappointed', 'buy', ' Credit ',' The product ',' Nggk ',' Come ',' Telkomsel ',' Fix ',' Loss']</v>
      </c>
      <c r="D2062" s="3">
        <v>1.0</v>
      </c>
    </row>
    <row r="2063" ht="15.75" customHeight="1">
      <c r="A2063" s="1">
        <v>2061.0</v>
      </c>
      <c r="B2063" s="3" t="s">
        <v>2064</v>
      </c>
      <c r="C2063" s="3" t="str">
        <f>IFERROR(__xludf.DUMMYFUNCTION("GOOGLETRANSLATE(B2063,""id"",""en"")"),"['Sorry', 'Raulse', 'Leleeeeeet', 'Enter', 'Home', 'Telkomsel', 'Ajh', 'like', 'update', 'paraaaahhh', 'buy', 'package', ' "", 'Application', 'Skapan', 'Drpda', '']")</f>
        <v>['Sorry', 'Raulse', 'Leleeeeeet', 'Enter', 'Home', 'Telkomsel', 'Ajh', 'like', 'update', 'paraaaahhh', 'buy', 'package', ' ", 'Application', 'Skapan', 'Drpda', '']</v>
      </c>
      <c r="D2063" s="3">
        <v>1.0</v>
      </c>
    </row>
    <row r="2064" ht="15.75" customHeight="1">
      <c r="A2064" s="1">
        <v>2062.0</v>
      </c>
      <c r="B2064" s="3" t="s">
        <v>2065</v>
      </c>
      <c r="C2064" s="3" t="str">
        <f>IFERROR(__xludf.DUMMYFUNCTION("GOOGLETRANSLATE(B2064,""id"",""en"")"),"['Network', 'good', 'broke', 'connection', 'network', 'ugly', 'use', 'price', 'ahal', 'really', 'already', 'replace', ' Operators', 'Kalok', 'already', 'Benerin', 'Kabarin', '']")</f>
        <v>['Network', 'good', 'broke', 'connection', 'network', 'ugly', 'use', 'price', 'ahal', 'really', 'already', 'replace', ' Operators', 'Kalok', 'already', 'Benerin', 'Kabarin', '']</v>
      </c>
      <c r="D2064" s="3">
        <v>1.0</v>
      </c>
    </row>
    <row r="2065" ht="15.75" customHeight="1">
      <c r="A2065" s="1">
        <v>2063.0</v>
      </c>
      <c r="B2065" s="3" t="s">
        <v>2066</v>
      </c>
      <c r="C2065" s="3" t="str">
        <f>IFERROR(__xludf.DUMMYFUNCTION("GOOGLETRANSLATE(B2065,""id"",""en"")"),"['Package', 'Sakti', 'Unlimited', 'Wearing "",' Service ',' Telkomsel ',' Ngaco ',' Cook ',' Customer ',' Lost ',' Samo ',' Pelangement ',' Telkomsel ',' sell ',' card ',' prime ',' sell ',' service ']")</f>
        <v>['Package', 'Sakti', 'Unlimited', 'Wearing ",' Service ',' Telkomsel ',' Ngaco ',' Cook ',' Customer ',' Lost ',' Samo ',' Pelangement ',' Telkomsel ',' sell ',' card ',' prime ',' sell ',' service ']</v>
      </c>
      <c r="D2065" s="3">
        <v>2.0</v>
      </c>
    </row>
    <row r="2066" ht="15.75" customHeight="1">
      <c r="A2066" s="1">
        <v>2064.0</v>
      </c>
      <c r="B2066" s="3" t="s">
        <v>2067</v>
      </c>
      <c r="C2066" s="3" t="str">
        <f>IFERROR(__xludf.DUMMYFUNCTION("GOOGLETRANSLATE(B2066,""id"",""en"")"),"['Mintak', 'please', 'data', 'expensive', 'amet', 'list', 'data', 'expensive', 'really', 'apalgi', 'data', 'omg', ' Please, 'Kasi', 'Unlimited', 'Card', 'Telkomsel']")</f>
        <v>['Mintak', 'please', 'data', 'expensive', 'amet', 'list', 'data', 'expensive', 'really', 'apalgi', 'data', 'omg', ' Please, 'Kasi', 'Unlimited', 'Card', 'Telkomsel']</v>
      </c>
      <c r="D2066" s="3">
        <v>5.0</v>
      </c>
    </row>
    <row r="2067" ht="15.75" customHeight="1">
      <c r="A2067" s="1">
        <v>2065.0</v>
      </c>
      <c r="B2067" s="3" t="s">
        <v>2068</v>
      </c>
      <c r="C2067" s="3" t="str">
        <f>IFERROR(__xludf.DUMMYFUNCTION("GOOGLETRANSLATE(B2067,""id"",""en"")"),"['assalamu', 'alaikum', 'please', 'telkom', 'fill', 'pulse', 'credit', 'take-up', 'use', 'kouta', 'emergency', 'pulse', ' Thanks', 'Thank you', 'concern']")</f>
        <v>['assalamu', 'alaikum', 'please', 'telkom', 'fill', 'pulse', 'credit', 'take-up', 'use', 'kouta', 'emergency', 'pulse', ' Thanks', 'Thank you', 'concern']</v>
      </c>
      <c r="D2067" s="3">
        <v>1.0</v>
      </c>
    </row>
    <row r="2068" ht="15.75" customHeight="1">
      <c r="A2068" s="1">
        <v>2066.0</v>
      </c>
      <c r="B2068" s="3" t="s">
        <v>2069</v>
      </c>
      <c r="C2068" s="3" t="str">
        <f>IFERROR(__xludf.DUMMYFUNCTION("GOOGLETRANSLATE(B2068,""id"",""en"")"),"['Actually', 'Males',' Monks', 'Package', 'expensive', 'boss',' just ',' network ',' severe ',' stay ',' diesa ',' tggal ',' In the city of ',' Bali ',' Turn ',' Pakek ',' Ngegame ',' lag ',' point ',' MSLH ',' price ',' pajet ',' connection ',' Fixed ','"&amp;" Duh ' , 'tired', 'hems']")</f>
        <v>['Actually', 'Males',' Monks', 'Package', 'expensive', 'boss',' just ',' network ',' severe ',' stay ',' diesa ',' tggal ',' In the city of ',' Bali ',' Turn ',' Pakek ',' Ngegame ',' lag ',' point ',' MSLH ',' price ',' pajet ',' connection ',' Fixed ',' Duh ' , 'tired', 'hems']</v>
      </c>
      <c r="D2068" s="3">
        <v>1.0</v>
      </c>
    </row>
    <row r="2069" ht="15.75" customHeight="1">
      <c r="A2069" s="1">
        <v>2067.0</v>
      </c>
      <c r="B2069" s="3" t="s">
        <v>2070</v>
      </c>
      <c r="C2069" s="3" t="str">
        <f>IFERROR(__xludf.DUMMYFUNCTION("GOOGLETRANSLATE(B2069,""id"",""en"")"),"['buy', 'package', 'internet', 'unlimited', 'internet', 'already', 'abis',' boundary ',' already ',' use ',' sms', 'limit', ' Naturally ',' quota ',' application ',' run out ',' ngeselin ',' really ', ""]")</f>
        <v>['buy', 'package', 'internet', 'unlimited', 'internet', 'already', 'abis',' boundary ',' already ',' use ',' sms', 'limit', ' Naturally ',' quota ',' application ',' run out ',' ngeselin ',' really ', "]</v>
      </c>
      <c r="D2069" s="3">
        <v>1.0</v>
      </c>
    </row>
    <row r="2070" ht="15.75" customHeight="1">
      <c r="A2070" s="1">
        <v>2068.0</v>
      </c>
      <c r="B2070" s="3" t="s">
        <v>2071</v>
      </c>
      <c r="C2070" s="3" t="str">
        <f>IFERROR(__xludf.DUMMYFUNCTION("GOOGLETRANSLATE(B2070,""id"",""en"")"),"['Lasted', 'Telkomsel', 'Package', 'Unlimited', 'Limited', 'Mahallll', 'RB', 'RB', 'RB', 'RB', 'Unlimited', 'Changed', ' rb ',' doang ',' choice ',' ']")</f>
        <v>['Lasted', 'Telkomsel', 'Package', 'Unlimited', 'Limited', 'Mahallll', 'RB', 'RB', 'RB', 'RB', 'Unlimited', 'Changed', ' rb ',' doang ',' choice ',' ']</v>
      </c>
      <c r="D2070" s="3">
        <v>4.0</v>
      </c>
    </row>
    <row r="2071" ht="15.75" customHeight="1">
      <c r="A2071" s="1">
        <v>2069.0</v>
      </c>
      <c r="B2071" s="3" t="s">
        <v>2072</v>
      </c>
      <c r="C2071" s="3" t="str">
        <f>IFERROR(__xludf.DUMMYFUNCTION("GOOGLETRANSLATE(B2071,""id"",""en"")"),"['service', 'good', 'price', 'package', 'reach out', 'people', 'circles',' network ',' stable ',' thank ',' love ',' Telkomsel ',' Then ',' committed ',' ']")</f>
        <v>['service', 'good', 'price', 'package', 'reach out', 'people', 'circles',' network ',' stable ',' thank ',' love ',' Telkomsel ',' Then ',' committed ',' ']</v>
      </c>
      <c r="D2071" s="3">
        <v>5.0</v>
      </c>
    </row>
    <row r="2072" ht="15.75" customHeight="1">
      <c r="A2072" s="1">
        <v>2070.0</v>
      </c>
      <c r="B2072" s="3" t="s">
        <v>2073</v>
      </c>
      <c r="C2072" s="3" t="str">
        <f>IFERROR(__xludf.DUMMYFUNCTION("GOOGLETRANSLATE(B2072,""id"",""en"")"),"['Sorry', 'package', 'Internet', 'Telkomsel', 'expensive', 'afraid', 'loss',' buy ',' package ',' economical ',' ntah ',' delete ',' Wonder ',' Cuman ',' Provider ',' Telkomsel ',' Provider ',' Already ',' Move ',' Provider ',' Please ',' Telkomsel ',' Un"&amp;"derstand ',' Thank you ']")</f>
        <v>['Sorry', 'package', 'Internet', 'Telkomsel', 'expensive', 'afraid', 'loss',' buy ',' package ',' economical ',' ntah ',' delete ',' Wonder ',' Cuman ',' Provider ',' Telkomsel ',' Provider ',' Already ',' Move ',' Provider ',' Please ',' Telkomsel ',' Understand ',' Thank you ']</v>
      </c>
      <c r="D2072" s="3">
        <v>1.0</v>
      </c>
    </row>
    <row r="2073" ht="15.75" customHeight="1">
      <c r="A2073" s="1">
        <v>2071.0</v>
      </c>
      <c r="B2073" s="3" t="s">
        <v>2074</v>
      </c>
      <c r="C2073" s="3" t="str">
        <f>IFERROR(__xludf.DUMMYFUNCTION("GOOGLETRANSLATE(B2073,""id"",""en"")"),"['cheated', 'Ama', 'Telkomsel', 'he deskripse', 'cave', 'alternating', 'balikpacket', 'unlimited', 'apps',' udh ',' bought ',' cave ',' Check ',' alternating ',' GTU ',' Kayak ',' Ngebug ',' Ntah ',' Serasa ',' cheated ',' cave ']")</f>
        <v>['cheated', 'Ama', 'Telkomsel', 'he deskripse', 'cave', 'alternating', 'balikpacket', 'unlimited', 'apps',' udh ',' bought ',' cave ',' Check ',' alternating ',' GTU ',' Kayak ',' Ngebug ',' Ntah ',' Serasa ',' cheated ',' cave ']</v>
      </c>
      <c r="D2073" s="3">
        <v>1.0</v>
      </c>
    </row>
    <row r="2074" ht="15.75" customHeight="1">
      <c r="A2074" s="1">
        <v>2072.0</v>
      </c>
      <c r="B2074" s="3" t="s">
        <v>2075</v>
      </c>
      <c r="C2074" s="3" t="str">
        <f>IFERROR(__xludf.DUMMYFUNCTION("GOOGLETRANSLATE(B2074,""id"",""en"")"),"['Telkomselku', 'great', 'network', 'spacious',' affordable ',' all ',' remote ',' land ',' water ',' his voice ',' internet ',' fast ',' slow ',' Telkomselku ',' great ']")</f>
        <v>['Telkomselku', 'great', 'network', 'spacious',' affordable ',' all ',' remote ',' land ',' water ',' his voice ',' internet ',' fast ',' slow ',' Telkomselku ',' great ']</v>
      </c>
      <c r="D2074" s="3">
        <v>5.0</v>
      </c>
    </row>
    <row r="2075" ht="15.75" customHeight="1">
      <c r="A2075" s="1">
        <v>2073.0</v>
      </c>
      <c r="B2075" s="3" t="s">
        <v>2076</v>
      </c>
      <c r="C2075" s="3" t="str">
        <f>IFERROR(__xludf.DUMMYFUNCTION("GOOGLETRANSLATE(B2075,""id"",""en"")"),"['Telkomsel', 'please', 'disorder', 'ugly', 'mulu', 'signal', 'pay', 'expensive', 'expensive', 'kek', 'gini', 'please', ' Fix ',' Package ',' TPI ',' Like ',' On ',' Data ',' On ',' get ',' Credit ',' Error ',' Disappointed ']")</f>
        <v>['Telkomsel', 'please', 'disorder', 'ugly', 'mulu', 'signal', 'pay', 'expensive', 'expensive', 'kek', 'gini', 'please', ' Fix ',' Package ',' TPI ',' Like ',' On ',' Data ',' On ',' get ',' Credit ',' Error ',' Disappointed ']</v>
      </c>
      <c r="D2075" s="3">
        <v>1.0</v>
      </c>
    </row>
    <row r="2076" ht="15.75" customHeight="1">
      <c r="A2076" s="1">
        <v>2074.0</v>
      </c>
      <c r="B2076" s="3" t="s">
        <v>2077</v>
      </c>
      <c r="C2076" s="3" t="str">
        <f>IFERROR(__xludf.DUMMYFUNCTION("GOOGLETRANSLATE(B2076,""id"",""en"")"),"['Telkomsel', 'GJLS', 'expensive', 'package', 'buy', 'because' signal ',' Where ',' smooth ',' think ',' buy ',' packetan ',' signal ',' slow ',' replace ',' subscribe ',' card ',' ']")</f>
        <v>['Telkomsel', 'GJLS', 'expensive', 'package', 'buy', 'because' signal ',' Where ',' smooth ',' think ',' buy ',' packetan ',' signal ',' slow ',' replace ',' subscribe ',' card ',' ']</v>
      </c>
      <c r="D2076" s="3">
        <v>1.0</v>
      </c>
    </row>
    <row r="2077" ht="15.75" customHeight="1">
      <c r="A2077" s="1">
        <v>2075.0</v>
      </c>
      <c r="B2077" s="3" t="s">
        <v>2078</v>
      </c>
      <c r="C2077" s="3" t="str">
        <f>IFERROR(__xludf.DUMMYFUNCTION("GOOGLETRANSLATE(B2077,""id"",""en"")"),"['Wear', 'tissue', 'Telkomsel', 'card', 'card', 'lost', 'damaged', 'number', 'take care', 'gapri', 'village', 'signal', ' Telkomsel ',' good ',' slow ',' increase ',' network ',' Telkomsel ',' thank ',' love ', ""]")</f>
        <v>['Wear', 'tissue', 'Telkomsel', 'card', 'card', 'lost', 'damaged', 'number', 'take care', 'gapri', 'village', 'signal', ' Telkomsel ',' good ',' slow ',' increase ',' network ',' Telkomsel ',' thank ',' love ', "]</v>
      </c>
      <c r="D2077" s="3">
        <v>5.0</v>
      </c>
    </row>
    <row r="2078" ht="15.75" customHeight="1">
      <c r="A2078" s="1">
        <v>2076.0</v>
      </c>
      <c r="B2078" s="3" t="s">
        <v>2079</v>
      </c>
      <c r="C2078" s="3" t="str">
        <f>IFERROR(__xludf.DUMMYFUNCTION("GOOGLETRANSLATE(B2078,""id"",""en"")"),"['complement', 'error', 'mulu', 'see', 'connection', 'stable', 'my quota', 'pulses', ""]")</f>
        <v>['complement', 'error', 'mulu', 'see', 'connection', 'stable', 'my quota', 'pulses', "]</v>
      </c>
      <c r="D2078" s="3">
        <v>1.0</v>
      </c>
    </row>
    <row r="2079" ht="15.75" customHeight="1">
      <c r="A2079" s="1">
        <v>2077.0</v>
      </c>
      <c r="B2079" s="3" t="s">
        <v>2080</v>
      </c>
      <c r="C2079" s="3" t="str">
        <f>IFERROR(__xludf.DUMMYFUNCTION("GOOGLETRANSLATE(B2079,""id"",""en"")"),"['', 'suggestion', 'Telkomsel', 'stabilized', 'signal', 'streaming', 'watch', 'ball', 'watch', 'application', 'maxtream', 'trims', "" ]")</f>
        <v>['', 'suggestion', 'Telkomsel', 'stabilized', 'signal', 'streaming', 'watch', 'ball', 'watch', 'application', 'maxtream', 'trims', " ]</v>
      </c>
      <c r="D2079" s="3">
        <v>5.0</v>
      </c>
    </row>
    <row r="2080" ht="15.75" customHeight="1">
      <c r="A2080" s="1">
        <v>2078.0</v>
      </c>
      <c r="B2080" s="3" t="s">
        <v>2081</v>
      </c>
      <c r="C2080" s="3" t="str">
        <f>IFERROR(__xludf.DUMMYFUNCTION("GOOGLETRANSLATE(B2080,""id"",""en"")"),"['just', 'love', 'suggestion', 'please', 'quota', 'sudh', 'buy', 'jngan', 'eat', 'date', 'fall', 'tempo', ' Gurts', 'Dappened', 'DAPT', 'Cleaning', 'Quota', 'Sin', 'Quota', 'Bnyak', 'Udh', 'Fall', 'Tempo', 'Must', 'Remnant' , 'quota', 'mkan', 'leftover', "&amp;"""]")</f>
        <v>['just', 'love', 'suggestion', 'please', 'quota', 'sudh', 'buy', 'jngan', 'eat', 'date', 'fall', 'tempo', ' Gurts', 'Dappened', 'DAPT', 'Cleaning', 'Quota', 'Sin', 'Quota', 'Bnyak', 'Udh', 'Fall', 'Tempo', 'Must', 'Remnant' , 'quota', 'mkan', 'leftover', "]</v>
      </c>
      <c r="D2080" s="3">
        <v>2.0</v>
      </c>
    </row>
    <row r="2081" ht="15.75" customHeight="1">
      <c r="A2081" s="1">
        <v>2079.0</v>
      </c>
      <c r="B2081" s="3" t="s">
        <v>2082</v>
      </c>
      <c r="C2081" s="3" t="str">
        <f>IFERROR(__xludf.DUMMYFUNCTION("GOOGLETRANSLATE(B2081,""id"",""en"")"),"['Disappointed', 'really', 'quota', 'unlimited', 'program', 'FUP', 'annoying', 'change', 'drimana', 'info', 'progam', 'fup', ' interrupted ',' disappointed ',' policy ',' harmed ',' buy ',' quota ',' quota ',' main ',' abis', 'unlimited', 'guarantee', 'un"&amp;"limited', 'please' , 'returned', 'Yesterday', '']")</f>
        <v>['Disappointed', 'really', 'quota', 'unlimited', 'program', 'FUP', 'annoying', 'change', 'drimana', 'info', 'progam', 'fup', ' interrupted ',' disappointed ',' policy ',' harmed ',' buy ',' quota ',' quota ',' main ',' abis', 'unlimited', 'guarantee', 'unlimited', 'please' , 'returned', 'Yesterday', '']</v>
      </c>
      <c r="D2081" s="3">
        <v>1.0</v>
      </c>
    </row>
    <row r="2082" ht="15.75" customHeight="1">
      <c r="A2082" s="1">
        <v>2080.0</v>
      </c>
      <c r="B2082" s="3" t="s">
        <v>2083</v>
      </c>
      <c r="C2082" s="3" t="str">
        <f>IFERROR(__xludf.DUMMYFUNCTION("GOOGLETRANSLATE(B2082,""id"",""en"")"),"['Feelings', 'Price', 'Sorry', 'takon', 'wae', 'times', 'forget', 'forget', 'Please', 'Forgiven', 'Lur', '']")</f>
        <v>['Feelings', 'Price', 'Sorry', 'takon', 'wae', 'times', 'forget', 'forget', 'Please', 'Forgiven', 'Lur', '']</v>
      </c>
      <c r="D2082" s="3">
        <v>4.0</v>
      </c>
    </row>
    <row r="2083" ht="15.75" customHeight="1">
      <c r="A2083" s="1">
        <v>2081.0</v>
      </c>
      <c r="B2083" s="3" t="s">
        <v>2084</v>
      </c>
      <c r="C2083" s="3" t="str">
        <f>IFERROR(__xludf.DUMMYFUNCTION("GOOGLETRANSLATE(B2083,""id"",""en"")"),"['Application', 'suck', 'quota', 'axis',' open ',' quota ',' quality ',' person ',' below ',' axis', 'like', 'suck', ' Credit ',' Package ',' Data ',' ']")</f>
        <v>['Application', 'suck', 'quota', 'axis',' open ',' quota ',' quality ',' person ',' below ',' axis', 'like', 'suck', ' Credit ',' Package ',' Data ',' ']</v>
      </c>
      <c r="D2083" s="3">
        <v>1.0</v>
      </c>
    </row>
    <row r="2084" ht="15.75" customHeight="1">
      <c r="A2084" s="1">
        <v>2082.0</v>
      </c>
      <c r="B2084" s="3" t="s">
        <v>2085</v>
      </c>
      <c r="C2084" s="3" t="str">
        <f>IFERROR(__xludf.DUMMYFUNCTION("GOOGLETRANSLATE(B2084,""id"",""en"")"),"['Learning', 'AXIS', 'The application', 'opened', 'sucking', 'pulse', 'quota', 'pulse', 'customer', 'safe', 'key', 'play', ' Suck ',' dry ',' SPT ',' Telkomsel ',' ']")</f>
        <v>['Learning', 'AXIS', 'The application', 'opened', 'sucking', 'pulse', 'quota', 'pulse', 'customer', 'safe', 'key', 'play', ' Suck ',' dry ',' SPT ',' Telkomsel ',' ']</v>
      </c>
      <c r="D2084" s="3">
        <v>1.0</v>
      </c>
    </row>
    <row r="2085" ht="15.75" customHeight="1">
      <c r="A2085" s="1">
        <v>2083.0</v>
      </c>
      <c r="B2085" s="3" t="s">
        <v>2086</v>
      </c>
      <c r="C2085" s="3" t="str">
        <f>IFERROR(__xludf.DUMMYFUNCTION("GOOGLETRANSLATE(B2085,""id"",""en"")"),"['Please', 'Add', 'Option', 'Easy', 'Stop', 'Subscriptions',' Package ',' Data ',' Package ',' Data ',' Ministry of Education ',' Quota ',' Ministry of Education and Culture ',' quota ',' main ',' quota ',' Kemdikbud ',' slow ',' internet ',' thank you ',"&amp;"' please ',' read ',' telkom ',' indonesia ']")</f>
        <v>['Please', 'Add', 'Option', 'Easy', 'Stop', 'Subscriptions',' Package ',' Data ',' Package ',' Data ',' Ministry of Education ',' Quota ',' Ministry of Education and Culture ',' quota ',' main ',' quota ',' Kemdikbud ',' slow ',' internet ',' thank you ',' please ',' read ',' telkom ',' indonesia ']</v>
      </c>
      <c r="D2085" s="3">
        <v>1.0</v>
      </c>
    </row>
    <row r="2086" ht="15.75" customHeight="1">
      <c r="A2086" s="1">
        <v>2084.0</v>
      </c>
      <c r="B2086" s="3" t="s">
        <v>2087</v>
      </c>
      <c r="C2086" s="3" t="str">
        <f>IFERROR(__xludf.DUMMYFUNCTION("GOOGLETRANSLATE(B2086,""id"",""en"")"),"['list', 'unlimited', 'youtube', 'pulse', 'already', 'reduced', 'sms',' knp ',' right ',' open ',' youtube ',' muter ',' That's', 'mah', 'loss', ""]")</f>
        <v>['list', 'unlimited', 'youtube', 'pulse', 'already', 'reduced', 'sms',' knp ',' right ',' open ',' youtube ',' muter ',' That's', 'mah', 'loss', "]</v>
      </c>
      <c r="D2086" s="3">
        <v>1.0</v>
      </c>
    </row>
    <row r="2087" ht="15.75" customHeight="1">
      <c r="A2087" s="1">
        <v>2085.0</v>
      </c>
      <c r="B2087" s="3" t="s">
        <v>2088</v>
      </c>
      <c r="C2087" s="3" t="str">
        <f>IFERROR(__xludf.DUMMYFUNCTION("GOOGLETRANSLATE(B2087,""id"",""en"")"),"['Sorry', 'Please', 'Increase', 'Quality', 'Network', 'Network', 'Upset', 'Play', 'Game', 'Online', 'Class',' MobileLagen ',' The network is', 'Support', 'Ngelag', 'already', 'package', 'quotanya', 'expensive', 'dri', 'cook', 'yes',' tissue ',' telphone '"&amp;",' doang ' , '']")</f>
        <v>['Sorry', 'Please', 'Increase', 'Quality', 'Network', 'Network', 'Upset', 'Play', 'Game', 'Online', 'Class',' MobileLagen ',' The network is', 'Support', 'Ngelag', 'already', 'package', 'quotanya', 'expensive', 'dri', 'cook', 'yes',' tissue ',' telphone ',' doang ' , '']</v>
      </c>
      <c r="D2087" s="3">
        <v>1.0</v>
      </c>
    </row>
    <row r="2088" ht="15.75" customHeight="1">
      <c r="A2088" s="1">
        <v>2086.0</v>
      </c>
      <c r="B2088" s="3" t="s">
        <v>2089</v>
      </c>
      <c r="C2088" s="3" t="str">
        <f>IFERROR(__xludf.DUMMYFUNCTION("GOOGLETRANSLATE(B2088,""id"",""en"")"),"['Buy', 'Package', 'Unlimited', 'All Day', 'Unlimited', 'GB', 'Unlimited', 'Limited', 'Woeee', 'Telkomsel', 'Gini', 'Peroolas',' Decreases', 'cheat', 'Woeee', '']")</f>
        <v>['Buy', 'Package', 'Unlimited', 'All Day', 'Unlimited', 'GB', 'Unlimited', 'Limited', 'Woeee', 'Telkomsel', 'Gini', 'Peroolas',' Decreases', 'cheat', 'Woeee', '']</v>
      </c>
      <c r="D2088" s="3">
        <v>1.0</v>
      </c>
    </row>
    <row r="2089" ht="15.75" customHeight="1">
      <c r="A2089" s="1">
        <v>2087.0</v>
      </c>
      <c r="B2089" s="3" t="s">
        <v>2090</v>
      </c>
      <c r="C2089" s="3" t="str">
        <f>IFERROR(__xludf.DUMMYFUNCTION("GOOGLETRANSLATE(B2089,""id"",""en"")"),"['Sorry', 'disappointed', 'loss',' times', 'buy', 'package', 'unlimited', 'youtube', 'daily', 'package', 'use', 'beg', ' Assisted ']")</f>
        <v>['Sorry', 'disappointed', 'loss',' times', 'buy', 'package', 'unlimited', 'youtube', 'daily', 'package', 'use', 'beg', ' Assisted ']</v>
      </c>
      <c r="D2089" s="3">
        <v>2.0</v>
      </c>
    </row>
    <row r="2090" ht="15.75" customHeight="1">
      <c r="A2090" s="1">
        <v>2088.0</v>
      </c>
      <c r="B2090" s="3" t="s">
        <v>2091</v>
      </c>
      <c r="C2090" s="3" t="str">
        <f>IFERROR(__xludf.DUMMYFUNCTION("GOOGLETRANSLATE(B2090,""id"",""en"")"),"['offer', 'appears',' via ',' SMS ',' right ',' looked ',' APK ',' Tlekomsel ',' Ngeprank ',' Content ',' YouTube ',' prank ',' Customers', 'Telkomsel', 'Litu', 'remember', 'min', 'fasting', 'doses',' multiplied ',' fold ']")</f>
        <v>['offer', 'appears',' via ',' SMS ',' right ',' looked ',' APK ',' Tlekomsel ',' Ngeprank ',' Content ',' YouTube ',' prank ',' Customers', 'Telkomsel', 'Litu', 'remember', 'min', 'fasting', 'doses',' multiplied ',' fold ']</v>
      </c>
      <c r="D2090" s="3">
        <v>1.0</v>
      </c>
    </row>
    <row r="2091" ht="15.75" customHeight="1">
      <c r="A2091" s="1">
        <v>2089.0</v>
      </c>
      <c r="B2091" s="3" t="s">
        <v>2092</v>
      </c>
      <c r="C2091" s="3" t="str">
        <f>IFERROR(__xludf.DUMMYFUNCTION("GOOGLETRANSLATE(B2091,""id"",""en"")"),"['slow', 'modboard', 'loss',' Fund ',' benefits', 'udh', 'signal', 'severe', 'connection', 'gajelas',' price ',' expensive ',' Hopefully ',' Should ',' End ',' Suspicious', '']")</f>
        <v>['slow', 'modboard', 'loss',' Fund ',' benefits', 'udh', 'signal', 'severe', 'connection', 'gajelas',' price ',' expensive ',' Hopefully ',' Should ',' End ',' Suspicious', '']</v>
      </c>
      <c r="D2091" s="3">
        <v>1.0</v>
      </c>
    </row>
    <row r="2092" ht="15.75" customHeight="1">
      <c r="A2092" s="1">
        <v>2090.0</v>
      </c>
      <c r="B2092" s="3" t="s">
        <v>2093</v>
      </c>
      <c r="C2092" s="3" t="str">
        <f>IFERROR(__xludf.DUMMYFUNCTION("GOOGLETRANSLATE(B2092,""id"",""en"")"),"['disappointed', 'unlimitid', 'game', 'play', 'game', 'pub', 'vain', 'vain', 'buy', 'kouta', 'send', 'email', ' Responded ',' TelkomTod ',' ']")</f>
        <v>['disappointed', 'unlimitid', 'game', 'play', 'game', 'pub', 'vain', 'vain', 'buy', 'kouta', 'send', 'email', ' Responded ',' TelkomTod ',' ']</v>
      </c>
      <c r="D2092" s="3">
        <v>1.0</v>
      </c>
    </row>
    <row r="2093" ht="15.75" customHeight="1">
      <c r="A2093" s="1">
        <v>2091.0</v>
      </c>
      <c r="B2093" s="3" t="s">
        <v>2094</v>
      </c>
      <c r="C2093" s="3" t="str">
        <f>IFERROR(__xludf.DUMMYFUNCTION("GOOGLETRANSLATE(B2093,""id"",""en"")"),"['Disappointed', 'Network', 'Telkomasel', 'Like', 'Down', 'at the time', 'Trading', 'Main', 'Game', 'Repair', 'Move', 'Card']")</f>
        <v>['Disappointed', 'Network', 'Telkomasel', 'Like', 'Down', 'at the time', 'Trading', 'Main', 'Game', 'Repair', 'Move', 'Card']</v>
      </c>
      <c r="D2093" s="3">
        <v>2.0</v>
      </c>
    </row>
    <row r="2094" ht="15.75" customHeight="1">
      <c r="A2094" s="1">
        <v>2092.0</v>
      </c>
      <c r="B2094" s="3" t="s">
        <v>2095</v>
      </c>
      <c r="C2094" s="3" t="str">
        <f>IFERROR(__xludf.DUMMYFUNCTION("GOOGLETRANSLATE(B2094,""id"",""en"")"),"['Package', 'Offer', 'Quality', 'Package', 'Combo', 'Definite', 'Perna', 'Disappointed', 'Skli', 'Telkomsel', 'ugly', 'Klau', ' Package ',' OMG ',' Trludu ',' Expensive ',' Personal ',' Please ',' KPDA ',' Telkomsel ',' Package ',' Combo ',' Seat ',' Enab"&amp;"led ',' Krna ' , 'according to', 'contents', 'wallet', '']")</f>
        <v>['Package', 'Offer', 'Quality', 'Package', 'Combo', 'Definite', 'Perna', 'Disappointed', 'Skli', 'Telkomsel', 'ugly', 'Klau', ' Package ',' OMG ',' Trludu ',' Expensive ',' Personal ',' Please ',' KPDA ',' Telkomsel ',' Package ',' Combo ',' Seat ',' Enabled ',' Krna ' , 'according to', 'contents', 'wallet', '']</v>
      </c>
      <c r="D2094" s="3">
        <v>1.0</v>
      </c>
    </row>
    <row r="2095" ht="15.75" customHeight="1">
      <c r="A2095" s="1">
        <v>2093.0</v>
      </c>
      <c r="B2095" s="3" t="s">
        <v>2096</v>
      </c>
      <c r="C2095" s="3" t="str">
        <f>IFERROR(__xludf.DUMMYFUNCTION("GOOGLETRANSLATE(B2095,""id"",""en"")"),"['network', 'disturbing', 'woy', 'open', 'difficult', 'really', 'Telkomsel', 'good', '']")</f>
        <v>['network', 'disturbing', 'woy', 'open', 'difficult', 'really', 'Telkomsel', 'good', '']</v>
      </c>
      <c r="D2095" s="3">
        <v>1.0</v>
      </c>
    </row>
    <row r="2096" ht="15.75" customHeight="1">
      <c r="A2096" s="1">
        <v>2094.0</v>
      </c>
      <c r="B2096" s="3" t="s">
        <v>2097</v>
      </c>
      <c r="C2096" s="3" t="str">
        <f>IFERROR(__xludf.DUMMYFUNCTION("GOOGLETRANSLATE(B2096,""id"",""en"")"),"['Thanks',' service ',' already ',' network ',' no ',' deliberate ',' love ',' read ',' ama ',' understood ',' action ',' see ',' ',' people ',' work ',' ']")</f>
        <v>['Thanks',' service ',' already ',' network ',' no ',' deliberate ',' love ',' read ',' ama ',' understood ',' action ',' see ',' ',' people ',' work ',' ']</v>
      </c>
      <c r="D2096" s="3">
        <v>1.0</v>
      </c>
    </row>
    <row r="2097" ht="15.75" customHeight="1">
      <c r="A2097" s="1">
        <v>2095.0</v>
      </c>
      <c r="B2097" s="3" t="s">
        <v>2098</v>
      </c>
      <c r="C2097" s="3" t="str">
        <f>IFERROR(__xludf.DUMMYFUNCTION("GOOGLETRANSLATE(B2097,""id"",""en"")"),"['Dear', 'Telkomsel', 'please', 'fix', 'network', 'in the area', 'citalang', 'munjul', 'jaya', 'purwakarta', 'surroundings',' sometimes', ' signal ',' missing ',' check ',' org ',' telkom ',' signal ',' stable ']")</f>
        <v>['Dear', 'Telkomsel', 'please', 'fix', 'network', 'in the area', 'citalang', 'munjul', 'jaya', 'purwakarta', 'surroundings',' sometimes', ' signal ',' missing ',' check ',' org ',' telkom ',' signal ',' stable ']</v>
      </c>
      <c r="D2097" s="3">
        <v>2.0</v>
      </c>
    </row>
    <row r="2098" ht="15.75" customHeight="1">
      <c r="A2098" s="1">
        <v>2096.0</v>
      </c>
      <c r="B2098" s="3" t="s">
        <v>2099</v>
      </c>
      <c r="C2098" s="3" t="str">
        <f>IFERROR(__xludf.DUMMYFUNCTION("GOOGLETRANSLATE(B2098,""id"",""en"")"),"['Telkomsel', 'Please', 'Fix', 'Network', 'Lecture', 'Online', 'Telkomsel', 'Kenceng', 'Network', 'Network', 'ugly', 'Severe', ' PDHL ',' Regions', 'Urban', 'Thank you']")</f>
        <v>['Telkomsel', 'Please', 'Fix', 'Network', 'Lecture', 'Online', 'Telkomsel', 'Kenceng', 'Network', 'Network', 'ugly', 'Severe', ' PDHL ',' Regions', 'Urban', 'Thank you']</v>
      </c>
      <c r="D2098" s="3">
        <v>1.0</v>
      </c>
    </row>
    <row r="2099" ht="15.75" customHeight="1">
      <c r="A2099" s="1">
        <v>2097.0</v>
      </c>
      <c r="B2099" s="3" t="s">
        <v>2100</v>
      </c>
      <c r="C2099" s="3" t="str">
        <f>IFERROR(__xludf.DUMMYFUNCTION("GOOGLETRANSLATE(B2099,""id"",""en"")"),"['min', 'payment', 'contents',' pulse ',' account ',' virtual ',' missing ',' please ',' repair ',' system ',' contents', 'pulses',' Mudan ',' option ',' payment ',' ']")</f>
        <v>['min', 'payment', 'contents',' pulse ',' account ',' virtual ',' missing ',' please ',' repair ',' system ',' contents', 'pulses',' Mudan ',' option ',' payment ',' ']</v>
      </c>
      <c r="D2099" s="3">
        <v>4.0</v>
      </c>
    </row>
    <row r="2100" ht="15.75" customHeight="1">
      <c r="A2100" s="1">
        <v>2098.0</v>
      </c>
      <c r="B2100" s="3" t="s">
        <v>2101</v>
      </c>
      <c r="C2100" s="3" t="str">
        <f>IFERROR(__xludf.DUMMYFUNCTION("GOOGLETRANSLATE(B2100,""id"",""en"")"),"['regretting', 'contents',' credit ',' buy ',' package ',' combo ',' magic ',' mending ',' change ',' card ',' klau ',' KEK ',' Gini ',' uda ',' network ',' slow ',' package ',' cheap ',' remove ',' Hello ',' Telkomsel ',' news', ""]")</f>
        <v>['regretting', 'contents',' credit ',' buy ',' package ',' combo ',' magic ',' mending ',' change ',' card ',' klau ',' KEK ',' Gini ',' uda ',' network ',' slow ',' package ',' cheap ',' remove ',' Hello ',' Telkomsel ',' news', "]</v>
      </c>
      <c r="D2100" s="3">
        <v>1.0</v>
      </c>
    </row>
    <row r="2101" ht="15.75" customHeight="1">
      <c r="A2101" s="1">
        <v>2099.0</v>
      </c>
      <c r="B2101" s="3" t="s">
        <v>2102</v>
      </c>
      <c r="C2101" s="3" t="str">
        <f>IFERROR(__xludf.DUMMYFUNCTION("GOOGLETRANSLATE(B2101,""id"",""en"")"),"['user', 'card', 'Hello', 'apk', 'Telkomsel', 'difficult', 'times',' open ',' March ',' March ',' Turus', 'open', ' TPLAMA ',' Koutaa ',' Iyak ',' Uda ',' Update ',' Hopefully ',' CRPAT ',' Process', 'Look', 'Bill', 'work', 'PLAY', 'Iyak' , '']")</f>
        <v>['user', 'card', 'Hello', 'apk', 'Telkomsel', 'difficult', 'times',' open ',' March ',' March ',' Turus', 'open', ' TPLAMA ',' Koutaa ',' Iyak ',' Uda ',' Update ',' Hopefully ',' CRPAT ',' Process', 'Look', 'Bill', 'work', 'PLAY', 'Iyak' , '']</v>
      </c>
      <c r="D2101" s="3">
        <v>1.0</v>
      </c>
    </row>
    <row r="2102" ht="15.75" customHeight="1">
      <c r="A2102" s="1">
        <v>2100.0</v>
      </c>
      <c r="B2102" s="3" t="s">
        <v>2103</v>
      </c>
      <c r="C2102" s="3" t="str">
        <f>IFERROR(__xludf.DUMMYFUNCTION("GOOGLETRANSLATE(B2102,""id"",""en"")"),"['package', 'expensive', 'can', 'rb', 'skrg', 'udh', 'expensive', 'already', 'signal', 'ugly', 'already', 'changed', ' Telkomsel ',' skrg ',' ']")</f>
        <v>['package', 'expensive', 'can', 'rb', 'skrg', 'udh', 'expensive', 'already', 'signal', 'ugly', 'already', 'changed', ' Telkomsel ',' skrg ',' ']</v>
      </c>
      <c r="D2102" s="3">
        <v>1.0</v>
      </c>
    </row>
    <row r="2103" ht="15.75" customHeight="1">
      <c r="A2103" s="1">
        <v>2101.0</v>
      </c>
      <c r="B2103" s="3" t="s">
        <v>2104</v>
      </c>
      <c r="C2103" s="3" t="str">
        <f>IFERROR(__xludf.DUMMYFUNCTION("GOOGLETRANSLATE(B2103,""id"",""en"")"),"['buy', 'package', 'game', 'max', 'quota', 'printed', 'giga', 'play', 'connect', 'continued', 'question', 'quota', ' Giga ',' Sell ',' Honest ',' Donk ', ""]")</f>
        <v>['buy', 'package', 'game', 'max', 'quota', 'printed', 'giga', 'play', 'connect', 'continued', 'question', 'quota', ' Giga ',' Sell ',' Honest ',' Donk ', "]</v>
      </c>
      <c r="D2103" s="3">
        <v>1.0</v>
      </c>
    </row>
    <row r="2104" ht="15.75" customHeight="1">
      <c r="A2104" s="1">
        <v>2102.0</v>
      </c>
      <c r="B2104" s="3" t="s">
        <v>2105</v>
      </c>
      <c r="C2104" s="3" t="str">
        <f>IFERROR(__xludf.DUMMYFUNCTION("GOOGLETRANSLATE(B2104,""id"",""en"")"),"['woi', 'buy', 'voucher', 'TDI', 'night', 'written', 'system', 'busy', 'yes',' dri ',' hbis', 'tarawih', ' sampek ',' just ',' busy ',' gmna ',' nich ',' responsibility ',' ']")</f>
        <v>['woi', 'buy', 'voucher', 'TDI', 'night', 'written', 'system', 'busy', 'yes',' dri ',' hbis', 'tarawih', ' sampek ',' just ',' busy ',' gmna ',' nich ',' responsibility ',' ']</v>
      </c>
      <c r="D2104" s="3">
        <v>1.0</v>
      </c>
    </row>
    <row r="2105" ht="15.75" customHeight="1">
      <c r="A2105" s="1">
        <v>2103.0</v>
      </c>
      <c r="B2105" s="3" t="s">
        <v>2106</v>
      </c>
      <c r="C2105" s="3" t="str">
        <f>IFERROR(__xludf.DUMMYFUNCTION("GOOGLETRANSLATE(B2105,""id"",""en"")"),"['Application', 'usually', 'nyedot', 'pulse', 'suck', 'pulses',' lock ',' pulse ',' sumps', 'gini', 'good', 'exisnet', ' application ',' already ',' package ',' expensive ',' sucked ',' pulses', 'please', 'fix', '']")</f>
        <v>['Application', 'usually', 'nyedot', 'pulse', 'suck', 'pulses',' lock ',' pulse ',' sumps', 'gini', 'good', 'exisnet', ' application ',' already ',' package ',' expensive ',' sucked ',' pulses', 'please', 'fix', '']</v>
      </c>
      <c r="D2105" s="3">
        <v>1.0</v>
      </c>
    </row>
    <row r="2106" ht="15.75" customHeight="1">
      <c r="A2106" s="1">
        <v>2104.0</v>
      </c>
      <c r="B2106" s="3" t="s">
        <v>2107</v>
      </c>
      <c r="C2106" s="3" t="str">
        <f>IFERROR(__xludf.DUMMYFUNCTION("GOOGLETRANSLATE(B2106,""id"",""en"")"),"['Times',' Open ',' Application ',' Errr ',' Already ',' Clean ',' Ram ',' Cache ',' Application ',' Loading ',' Application ',' Dahlahh ',' Delete ',' Leet ',' Thanks']")</f>
        <v>['Times',' Open ',' Application ',' Errr ',' Already ',' Clean ',' Ram ',' Cache ',' Application ',' Loading ',' Application ',' Dahlahh ',' Delete ',' Leet ',' Thanks']</v>
      </c>
      <c r="D2106" s="3">
        <v>1.0</v>
      </c>
    </row>
    <row r="2107" ht="15.75" customHeight="1">
      <c r="A2107" s="1">
        <v>2105.0</v>
      </c>
      <c r="B2107" s="3" t="s">
        <v>2108</v>
      </c>
      <c r="C2107" s="3" t="str">
        <f>IFERROR(__xludf.DUMMYFUNCTION("GOOGLETRANSLATE(B2107,""id"",""en"")"),"['signal', 'number', 'Indonesia', 'Lawak', 'package', 'unlimited', 'unlimited', 'wkwkwkwk', 'already', 'bankrupt', 'provider', 'upgrade', ' Quality ',' downgrade ',' wkwkwkwk ',' ']")</f>
        <v>['signal', 'number', 'Indonesia', 'Lawak', 'package', 'unlimited', 'unlimited', 'wkwkwkwk', 'already', 'bankrupt', 'provider', 'upgrade', ' Quality ',' downgrade ',' wkwkwkwk ',' ']</v>
      </c>
      <c r="D2107" s="3">
        <v>1.0</v>
      </c>
    </row>
    <row r="2108" ht="15.75" customHeight="1">
      <c r="A2108" s="1">
        <v>2106.0</v>
      </c>
      <c r="B2108" s="3" t="s">
        <v>2109</v>
      </c>
      <c r="C2108" s="3" t="str">
        <f>IFERROR(__xludf.DUMMYFUNCTION("GOOGLETRANSLATE(B2108,""id"",""en"")"),"['knapa', 'card', 'Different', 'ngak', 'love', 'promo', 'skali', 'love', 'promo', 'package', 'unlimited', 'price', ' Ngak ',' Ngilak ',' Sampe ',' Mending ',' Change ',' Operator ',' Cheap ',' Card ',' Telkomsel ']")</f>
        <v>['knapa', 'card', 'Different', 'ngak', 'love', 'promo', 'skali', 'love', 'promo', 'package', 'unlimited', 'price', ' Ngak ',' Ngilak ',' Sampe ',' Mending ',' Change ',' Operator ',' Cheap ',' Card ',' Telkomsel ']</v>
      </c>
      <c r="D2108" s="3">
        <v>1.0</v>
      </c>
    </row>
    <row r="2109" ht="15.75" customHeight="1">
      <c r="A2109" s="1">
        <v>2107.0</v>
      </c>
      <c r="B2109" s="3" t="s">
        <v>2110</v>
      </c>
      <c r="C2109" s="3" t="str">
        <f>IFERROR(__xludf.DUMMYFUNCTION("GOOGLETRANSLATE(B2109,""id"",""en"")"),"['Package', 'GB', 'Unlimited', 'Max', 'GB', 'Choice', 'aka', 'Hillangk', 'Speed', 'Brosing', 'Leet', 'Disruption', ' Buy ',' Package ',' YouTube ',' Unlimited ',' Merciful ',' Package ',' Unlimited ',' Merciful ']")</f>
        <v>['Package', 'GB', 'Unlimited', 'Max', 'GB', 'Choice', 'aka', 'Hillangk', 'Speed', 'Brosing', 'Leet', 'Disruption', ' Buy ',' Package ',' YouTube ',' Unlimited ',' Merciful ',' Package ',' Unlimited ',' Merciful ']</v>
      </c>
      <c r="D2109" s="3">
        <v>1.0</v>
      </c>
    </row>
    <row r="2110" ht="15.75" customHeight="1">
      <c r="A2110" s="1">
        <v>2108.0</v>
      </c>
      <c r="B2110" s="3" t="s">
        <v>2111</v>
      </c>
      <c r="C2110" s="3" t="str">
        <f>IFERROR(__xludf.DUMMYFUNCTION("GOOGLETRANSLATE(B2110,""id"",""en"")"),"['Nukar', 'Point', 'pulse', 'emang', 'point', 'exchanged', 'mending', 'deh', 'fall', 'fenduris',' point ',' missing ',' Substitution ',' Mending ',' emang ',' ']")</f>
        <v>['Nukar', 'Point', 'pulse', 'emang', 'point', 'exchanged', 'mending', 'deh', 'fall', 'fenduris',' point ',' missing ',' Substitution ',' Mending ',' emang ',' ']</v>
      </c>
      <c r="D2110" s="3">
        <v>1.0</v>
      </c>
    </row>
    <row r="2111" ht="15.75" customHeight="1">
      <c r="A2111" s="1">
        <v>2109.0</v>
      </c>
      <c r="B2111" s="3" t="s">
        <v>2112</v>
      </c>
      <c r="C2111" s="3" t="str">
        <f>IFERROR(__xludf.DUMMYFUNCTION("GOOGLETRANSLATE(B2111,""id"",""en"")"),"['makes it easier', 'transaction', 'card', 'Telkomsel', 'multiply', 'adin', 'promo', 'package', 'talk', 'package', 'data', ""]")</f>
        <v>['makes it easier', 'transaction', 'card', 'Telkomsel', 'multiply', 'adin', 'promo', 'package', 'talk', 'package', 'data', "]</v>
      </c>
      <c r="D2111" s="3">
        <v>5.0</v>
      </c>
    </row>
    <row r="2112" ht="15.75" customHeight="1">
      <c r="A2112" s="1">
        <v>2110.0</v>
      </c>
      <c r="B2112" s="3" t="s">
        <v>2113</v>
      </c>
      <c r="C2112" s="3" t="str">
        <f>IFERROR(__xludf.DUMMYFUNCTION("GOOGLETRANSLATE(B2112,""id"",""en"")"),"['App', 'Telkomsel', 'dilapidated', 'contents',' pulse ',' buy ',' package ',' success', 'package', 'activated', 'sms',' offer ',' Buy ',' Package ',' Offer ',' SMS ',' Fear ',' Fill ',' Credit ',' Buy ',' Combo ',' Sakti ',' Max ',' Fear ',' cheated ' , "&amp;"'bad']")</f>
        <v>['App', 'Telkomsel', 'dilapidated', 'contents',' pulse ',' buy ',' package ',' success', 'package', 'activated', 'sms',' offer ',' Buy ',' Package ',' Offer ',' SMS ',' Fear ',' Fill ',' Credit ',' Buy ',' Combo ',' Sakti ',' Max ',' Fear ',' cheated ' , 'bad']</v>
      </c>
      <c r="D2112" s="3">
        <v>1.0</v>
      </c>
    </row>
    <row r="2113" ht="15.75" customHeight="1">
      <c r="A2113" s="1">
        <v>2111.0</v>
      </c>
      <c r="B2113" s="3" t="s">
        <v>2114</v>
      </c>
      <c r="C2113" s="3" t="str">
        <f>IFERROR(__xludf.DUMMYFUNCTION("GOOGLETRANSLATE(B2113,""id"",""en"")"),"['Telkomsel', 'miserly', 'telegram', 'ngak', 'use', 'download', 'document', 'friend', 'my friend', 'that's',' loss', 'buy', ' quota ',' expensive ',' expensive ',' ngak ',' use ']")</f>
        <v>['Telkomsel', 'miserly', 'telegram', 'ngak', 'use', 'download', 'document', 'friend', 'my friend', 'that's',' loss', 'buy', ' quota ',' expensive ',' expensive ',' ngak ',' use ']</v>
      </c>
      <c r="D2113" s="3">
        <v>1.0</v>
      </c>
    </row>
    <row r="2114" ht="15.75" customHeight="1">
      <c r="A2114" s="1">
        <v>2112.0</v>
      </c>
      <c r="B2114" s="3" t="s">
        <v>2115</v>
      </c>
      <c r="C2114" s="3" t="str">
        <f>IFERROR(__xludf.DUMMYFUNCTION("GOOGLETRANSLATE(B2114,""id"",""en"")"),"['', 'love', 'deh', 'download', 'apps',' promo ',' dapet ',' pulse ',' rb ',' notif ',' sms', 'telkomsel', 'right ',' click ',' Link ',' buy ',' package ']")</f>
        <v>['', 'love', 'deh', 'download', 'apps',' promo ',' dapet ',' pulse ',' rb ',' notif ',' sms', 'telkomsel', 'right ',' click ',' Link ',' buy ',' package ']</v>
      </c>
      <c r="D2114" s="3">
        <v>3.0</v>
      </c>
    </row>
    <row r="2115" ht="15.75" customHeight="1">
      <c r="A2115" s="1">
        <v>2113.0</v>
      </c>
      <c r="B2115" s="3" t="s">
        <v>2116</v>
      </c>
      <c r="C2115" s="3" t="str">
        <f>IFERROR(__xludf.DUMMYFUNCTION("GOOGLETRANSLATE(B2115,""id"",""en"")"),"['Disappointed', 'really', 'already', 'unlimited', 'max', 'no', 'anything', 'limit', 'usage', 'normal', 'ngelag', 'severe', ' Open ',' Sometimes', 'Gabisa', 'Mending', 'Move', 'Kesmartfren', 'AJG']")</f>
        <v>['Disappointed', 'really', 'already', 'unlimited', 'max', 'no', 'anything', 'limit', 'usage', 'normal', 'ngelag', 'severe', ' Open ',' Sometimes', 'Gabisa', 'Mending', 'Move', 'Kesmartfren', 'AJG']</v>
      </c>
      <c r="D2115" s="3">
        <v>1.0</v>
      </c>
    </row>
    <row r="2116" ht="15.75" customHeight="1">
      <c r="A2116" s="1">
        <v>2114.0</v>
      </c>
      <c r="B2116" s="3" t="s">
        <v>2117</v>
      </c>
      <c r="C2116" s="3" t="str">
        <f>IFERROR(__xludf.DUMMYFUNCTION("GOOGLETRANSLATE(B2116,""id"",""en"")"),"['Hello', 'min', 'already', 'a week', 'apk', 'Telkomsel', 'open', 'obstacle', 'network', 'already', 'uninstall', 'then', ' Install ',' Tetep ',' Please ',' Solution ']")</f>
        <v>['Hello', 'min', 'already', 'a week', 'apk', 'Telkomsel', 'open', 'obstacle', 'network', 'already', 'uninstall', 'then', ' Install ',' Tetep ',' Please ',' Solution ']</v>
      </c>
      <c r="D2116" s="3">
        <v>4.0</v>
      </c>
    </row>
    <row r="2117" ht="15.75" customHeight="1">
      <c r="A2117" s="1">
        <v>2115.0</v>
      </c>
      <c r="B2117" s="3" t="s">
        <v>2118</v>
      </c>
      <c r="C2117" s="3" t="str">
        <f>IFERROR(__xludf.DUMMYFUNCTION("GOOGLETRANSLATE(B2117,""id"",""en"")"),"['package', 'appears',' kayak ',' internet ',' daily ',' weekly ',' monthly ',' cook ',' nampilin ',' package ',' above ',' thousand ',' ']")</f>
        <v>['package', 'appears',' kayak ',' internet ',' daily ',' weekly ',' monthly ',' cook ',' nampilin ',' package ',' above ',' thousand ',' ']</v>
      </c>
      <c r="D2117" s="3">
        <v>1.0</v>
      </c>
    </row>
    <row r="2118" ht="15.75" customHeight="1">
      <c r="A2118" s="1">
        <v>2116.0</v>
      </c>
      <c r="B2118" s="3" t="s">
        <v>2119</v>
      </c>
      <c r="C2118" s="3" t="str">
        <f>IFERROR(__xludf.DUMMYFUNCTION("GOOGLETRANSLATE(B2118,""id"",""en"")"),"['Please', 'Repaired', 'Meng', 'Claim', 'Daily', 'Check', 'Nealin', 'Time', 'Already', 'Claim', 'Reward', 'Notif', ' Successful ',' quota ',' enter ',' notif ',' disorder ',' that's', 'beg', 'please', 'mutasiin', 'thanks']")</f>
        <v>['Please', 'Repaired', 'Meng', 'Claim', 'Daily', 'Check', 'Nealin', 'Time', 'Already', 'Claim', 'Reward', 'Notif', ' Successful ',' quota ',' enter ',' notif ',' disorder ',' that's', 'beg', 'please', 'mutasiin', 'thanks']</v>
      </c>
      <c r="D2118" s="3">
        <v>5.0</v>
      </c>
    </row>
    <row r="2119" ht="15.75" customHeight="1">
      <c r="A2119" s="1">
        <v>2117.0</v>
      </c>
      <c r="B2119" s="3" t="s">
        <v>2120</v>
      </c>
      <c r="C2119" s="3" t="str">
        <f>IFERROR(__xludf.DUMMYFUNCTION("GOOGLETRANSLATE(B2119,""id"",""en"")"),"['Telkomsel', 'kayak', 'hijacker', 'quota', 'expensive', 'signal', 'ugly', 'promo', 'ramadhan', 'package', 'quota', 'special', ' cheap ',' festive ',' just ',' package ',' telponan ',' please ',' Seace ',' love ',' quota ',' cheerful ',' at least ',' pric"&amp;"e ',' package ' , 'quota', 'Lower', 'buy', 'quota', 'unlimited', 'quota', 'unlimited', 'just', 'good', 'whatsapp', 'open', 'sosmed', ' Signalnya ',' ugly ',' please ',' admin ',' listen ',' complaints', 'user', '']")</f>
        <v>['Telkomsel', 'kayak', 'hijacker', 'quota', 'expensive', 'signal', 'ugly', 'promo', 'ramadhan', 'package', 'quota', 'special', ' cheap ',' festive ',' just ',' package ',' telponan ',' please ',' Seace ',' love ',' quota ',' cheerful ',' at least ',' price ',' package ' , 'quota', 'Lower', 'buy', 'quota', 'unlimited', 'quota', 'unlimited', 'just', 'good', 'whatsapp', 'open', 'sosmed', ' Signalnya ',' ugly ',' please ',' admin ',' listen ',' complaints', 'user', '']</v>
      </c>
      <c r="D2119" s="3">
        <v>1.0</v>
      </c>
    </row>
    <row r="2120" ht="15.75" customHeight="1">
      <c r="A2120" s="1">
        <v>2118.0</v>
      </c>
      <c r="B2120" s="3" t="s">
        <v>2121</v>
      </c>
      <c r="C2120" s="3" t="str">
        <f>IFERROR(__xludf.DUMMYFUNCTION("GOOGLETRANSLATE(B2120,""id"",""en"")"),"['times',' open ',' application ',' Telkomsel ',' connection ',' stable ',' natural ',' month ',' update ',' lie ',' disappointed ',' Telkomsel ',' bad', '']")</f>
        <v>['times',' open ',' application ',' Telkomsel ',' connection ',' stable ',' natural ',' month ',' update ',' lie ',' disappointed ',' Telkomsel ',' bad', '']</v>
      </c>
      <c r="D2120" s="3">
        <v>1.0</v>
      </c>
    </row>
    <row r="2121" ht="15.75" customHeight="1">
      <c r="A2121" s="1">
        <v>2119.0</v>
      </c>
      <c r="B2121" s="3" t="s">
        <v>2122</v>
      </c>
      <c r="C2121" s="3" t="str">
        <f>IFERROR(__xludf.DUMMYFUNCTION("GOOGLETRANSLATE(B2121,""id"",""en"")"),"['Nge', 'lag', 'play', 'game', 'online', 'quota', 'signal', 'line', 'TPI', 'Tetep', 'Nge', 'lag', ' intention ',' ajg ']")</f>
        <v>['Nge', 'lag', 'play', 'game', 'online', 'quota', 'signal', 'line', 'TPI', 'Tetep', 'Nge', 'lag', ' intention ',' ajg ']</v>
      </c>
      <c r="D2121" s="3">
        <v>1.0</v>
      </c>
    </row>
    <row r="2122" ht="15.75" customHeight="1">
      <c r="A2122" s="1">
        <v>2120.0</v>
      </c>
      <c r="B2122" s="3" t="s">
        <v>2123</v>
      </c>
      <c r="C2122" s="3" t="str">
        <f>IFERROR(__xludf.DUMMYFUNCTION("GOOGLETRANSLATE(B2122,""id"",""en"")"),"['Good', 'gess',' price ',' quota ',' quota ',' reduced ',' healthy ',' tel ',' eat ',' sick ',' doctor ',' hotel ',' fasting ',' holiday ',' duls']")</f>
        <v>['Good', 'gess',' price ',' quota ',' quota ',' reduced ',' healthy ',' tel ',' eat ',' sick ',' doctor ',' hotel ',' fasting ',' holiday ',' duls']</v>
      </c>
      <c r="D2122" s="3">
        <v>1.0</v>
      </c>
    </row>
    <row r="2123" ht="15.75" customHeight="1">
      <c r="A2123" s="1">
        <v>2121.0</v>
      </c>
      <c r="B2123" s="3" t="s">
        <v>2124</v>
      </c>
      <c r="C2123" s="3" t="str">
        <f>IFERROR(__xludf.DUMMYFUNCTION("GOOGLETRANSLATE(B2123,""id"",""en"")"),"['customer', 'loyal', 'Telkomsel', 'Telkomsel', 'offer', 'migration', 'card', 'hello', 'post', 'pay', 'change', 'card', ' Hello ',' Post ',' Pay ',' Because ',' Bill ',' Walking ',' Moon ',' Wear ',' Service ',' Internet ',' Phone ',' SMS ',' Card ' , 'Ha"&amp;"llo', 'prepaid', 'wrong', 'victim', 'my bill', 'swell', 'card', 'Hallo', 'prepaid', 'really', 'bad', 'changed', ' Pre ',' Pay ',' Menonaktvkn ',' Card ',' ']")</f>
        <v>['customer', 'loyal', 'Telkomsel', 'Telkomsel', 'offer', 'migration', 'card', 'hello', 'post', 'pay', 'change', 'card', ' Hello ',' Post ',' Pay ',' Because ',' Bill ',' Walking ',' Moon ',' Wear ',' Service ',' Internet ',' Phone ',' SMS ',' Card ' , 'Hallo', 'prepaid', 'wrong', 'victim', 'my bill', 'swell', 'card', 'Hallo', 'prepaid', 'really', 'bad', 'changed', ' Pre ',' Pay ',' Menonaktvkn ',' Card ',' ']</v>
      </c>
      <c r="D2123" s="3">
        <v>1.0</v>
      </c>
    </row>
    <row r="2124" ht="15.75" customHeight="1">
      <c r="A2124" s="1">
        <v>2122.0</v>
      </c>
      <c r="B2124" s="3" t="s">
        <v>2125</v>
      </c>
      <c r="C2124" s="3" t="str">
        <f>IFERROR(__xludf.DUMMYFUNCTION("GOOGLETRANSLATE(B2124,""id"",""en"")"),"['sorry', 'migrated', 'card', 'Telkomsel', 'prepaid', 'card', 'hello', 'postpaid', 'bills',' monthly ',' swell ',' month ',' Wear ',' service ',' card ',' Hello ',' Post ',' Pay ',' bill ',' according to ',' use ',' Hadeeh ',' Gima ',' Sich ' , '']")</f>
        <v>['sorry', 'migrated', 'card', 'Telkomsel', 'prepaid', 'card', 'hello', 'postpaid', 'bills',' monthly ',' swell ',' month ',' Wear ',' service ',' card ',' Hello ',' Post ',' Pay ',' bill ',' according to ',' use ',' Hadeeh ',' Gima ',' Sich ' , '']</v>
      </c>
      <c r="D2124" s="3">
        <v>1.0</v>
      </c>
    </row>
    <row r="2125" ht="15.75" customHeight="1">
      <c r="A2125" s="1">
        <v>2123.0</v>
      </c>
      <c r="B2125" s="3" t="s">
        <v>2126</v>
      </c>
      <c r="C2125" s="3" t="str">
        <f>IFERROR(__xludf.DUMMYFUNCTION("GOOGLETRANSLATE(B2125,""id"",""en"")"),"['Sorry', 'star', 'updated', 'payment', 'quota', 'direct', 'directed', 'payment', 'use', 'balance', 'pulse', 'yesterday', ' Update ',' delicious', 'directed', 'payment']")</f>
        <v>['Sorry', 'star', 'updated', 'payment', 'quota', 'direct', 'directed', 'payment', 'use', 'balance', 'pulse', 'yesterday', ' Update ',' delicious', 'directed', 'payment']</v>
      </c>
      <c r="D2125" s="3">
        <v>2.0</v>
      </c>
    </row>
    <row r="2126" ht="15.75" customHeight="1">
      <c r="A2126" s="1">
        <v>2124.0</v>
      </c>
      <c r="B2126" s="3" t="s">
        <v>2127</v>
      </c>
      <c r="C2126" s="3" t="str">
        <f>IFERROR(__xludf.DUMMYFUNCTION("GOOGLETRANSLATE(B2126,""id"",""en"")"),"['credit', 'buy', 'kouta', 'open', 'want', 'package', 'combo', 'magic', 'pulse', 'ngak', 'ngak', ' ',' Package ',' Must ',' buy ',' pulse ',' mah ',' money ',' buy ',' pulse ', ""]")</f>
        <v>['credit', 'buy', 'kouta', 'open', 'want', 'package', 'combo', 'magic', 'pulse', 'ngak', 'ngak', ' ',' Package ',' Must ',' buy ',' pulse ',' mah ',' money ',' buy ',' pulse ', "]</v>
      </c>
      <c r="D2126" s="3">
        <v>1.0</v>
      </c>
    </row>
    <row r="2127" ht="15.75" customHeight="1">
      <c r="A2127" s="1">
        <v>2125.0</v>
      </c>
      <c r="B2127" s="3" t="s">
        <v>2128</v>
      </c>
      <c r="C2127" s="3" t="str">
        <f>IFERROR(__xludf.DUMMYFUNCTION("GOOGLETRANSLATE(B2127,""id"",""en"")"),"['network', 'cellphone', 'data', 'weak', 'repairs', 'need', 'disappointing', 'price', 'data', 'according to', 'service', '']")</f>
        <v>['network', 'cellphone', 'data', 'weak', 'repairs', 'need', 'disappointing', 'price', 'data', 'according to', 'service', '']</v>
      </c>
      <c r="D2127" s="3">
        <v>3.0</v>
      </c>
    </row>
    <row r="2128" ht="15.75" customHeight="1">
      <c r="A2128" s="1">
        <v>2126.0</v>
      </c>
      <c r="B2128" s="3" t="s">
        <v>2129</v>
      </c>
      <c r="C2128" s="3" t="str">
        <f>IFERROR(__xludf.DUMMYFUNCTION("GOOGLETRANSLATE(B2128,""id"",""en"")"),"['additional', 'quota', 'card', 'Hello', 'quota', 'main', 'GB', 'enter', 'policy', 'disappointing', 'member', ""]")</f>
        <v>['additional', 'quota', 'card', 'Hello', 'quota', 'main', 'GB', 'enter', 'policy', 'disappointing', 'member', "]</v>
      </c>
      <c r="D2128" s="3">
        <v>1.0</v>
      </c>
    </row>
    <row r="2129" ht="15.75" customHeight="1">
      <c r="A2129" s="1">
        <v>2127.0</v>
      </c>
      <c r="B2129" s="3" t="s">
        <v>2130</v>
      </c>
      <c r="C2129" s="3" t="str">
        <f>IFERROR(__xludf.DUMMYFUNCTION("GOOGLETRANSLATE(B2129,""id"",""en"")"),"['how', 'login', 'already', 'many', 'times',' tried ',' told ',' list ',' menu ',' list ',' where ',' try ',' Hnya ',' direct ',' menu ',' login ',' confused ',' explained ',' ']")</f>
        <v>['how', 'login', 'already', 'many', 'times',' tried ',' told ',' list ',' menu ',' list ',' where ',' try ',' Hnya ',' direct ',' menu ',' login ',' confused ',' explained ',' ']</v>
      </c>
      <c r="D2129" s="3">
        <v>1.0</v>
      </c>
    </row>
    <row r="2130" ht="15.75" customHeight="1">
      <c r="A2130" s="1">
        <v>2128.0</v>
      </c>
      <c r="B2130" s="3" t="s">
        <v>2131</v>
      </c>
      <c r="C2130" s="3" t="str">
        <f>IFERROR(__xludf.DUMMYFUNCTION("GOOGLETRANSLATE(B2130,""id"",""en"")"),"['buy', 'package', 'data', 'slow', 'cok', 'wifi', 'mbps',' mentang ',' wifinya ',' roof ',' kah ',' gannguan ',' Then ',' NCUK ']")</f>
        <v>['buy', 'package', 'data', 'slow', 'cok', 'wifi', 'mbps',' mentang ',' wifinya ',' roof ',' kah ',' gannguan ',' Then ',' NCUK ']</v>
      </c>
      <c r="D2130" s="3">
        <v>1.0</v>
      </c>
    </row>
    <row r="2131" ht="15.75" customHeight="1">
      <c r="A2131" s="1">
        <v>2129.0</v>
      </c>
      <c r="B2131" s="3" t="s">
        <v>2132</v>
      </c>
      <c r="C2131" s="3" t="str">
        <f>IFERROR(__xludf.DUMMYFUNCTION("GOOGLETRANSLATE(B2131,""id"",""en"")"),"['signal', 'bad', 'clock', 'night', 'signal', 'lost', 'rain', 'lightning', 'stay', 'area', 'Kesambi', 'signal', ' stable', '']")</f>
        <v>['signal', 'bad', 'clock', 'night', 'signal', 'lost', 'rain', 'lightning', 'stay', 'area', 'Kesambi', 'signal', ' stable', '']</v>
      </c>
      <c r="D2131" s="3">
        <v>1.0</v>
      </c>
    </row>
    <row r="2132" ht="15.75" customHeight="1">
      <c r="A2132" s="1">
        <v>2130.0</v>
      </c>
      <c r="B2132" s="3" t="s">
        <v>2133</v>
      </c>
      <c r="C2132" s="3" t="str">
        <f>IFERROR(__xludf.DUMMYFUNCTION("GOOGLETRANSLATE(B2132,""id"",""en"")"),"['card', 'Telkomsel', 'already', 'get', 'package', 'internet', 'cheap', 'expensive', 'severe', 'already', 'signal', 'skat', ' Price ',' comparable ',' quality ']")</f>
        <v>['card', 'Telkomsel', 'already', 'get', 'package', 'internet', 'cheap', 'expensive', 'severe', 'already', 'signal', 'skat', ' Price ',' comparable ',' quality ']</v>
      </c>
      <c r="D2132" s="3">
        <v>1.0</v>
      </c>
    </row>
    <row r="2133" ht="15.75" customHeight="1">
      <c r="A2133" s="1">
        <v>2131.0</v>
      </c>
      <c r="B2133" s="3" t="s">
        <v>2134</v>
      </c>
      <c r="C2133" s="3" t="str">
        <f>IFERROR(__xludf.DUMMYFUNCTION("GOOGLETRANSLATE(B2133,""id"",""en"")"),"['happy', 'Telkomsel', 'profit', 'price', 'package', 'internet', 'above', 'provider', 'hopefully', 'serve', 'reach', 'circles',' ']")</f>
        <v>['happy', 'Telkomsel', 'profit', 'price', 'package', 'internet', 'above', 'provider', 'hopefully', 'serve', 'reach', 'circles',' ']</v>
      </c>
      <c r="D2133" s="3">
        <v>5.0</v>
      </c>
    </row>
    <row r="2134" ht="15.75" customHeight="1">
      <c r="A2134" s="1">
        <v>2132.0</v>
      </c>
      <c r="B2134" s="3" t="s">
        <v>2135</v>
      </c>
      <c r="C2134" s="3" t="str">
        <f>IFERROR(__xludf.DUMMYFUNCTION("GOOGLETRANSLATE(B2134,""id"",""en"")"),"['The application', 'good', 'get', 'email', 'comment', 'Performance', 'card', 'Telkomsel', 'reply', 'complaint', 'email', 'Karna', ' signal ',' ugly ',' signal ',' expensive ',' quality ',' please ',' secure ',' love ',' telkomsel ',' always']")</f>
        <v>['The application', 'good', 'get', 'email', 'comment', 'Performance', 'card', 'Telkomsel', 'reply', 'complaint', 'email', 'Karna', ' signal ',' ugly ',' signal ',' expensive ',' quality ',' please ',' secure ',' love ',' telkomsel ',' always']</v>
      </c>
      <c r="D2134" s="3">
        <v>5.0</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2022-02-26T07:02:39Z</dcterms:created>
  <dc:creator>openpyxl</dc:creator>
</cp:coreProperties>
</file>