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B7bHmCj2MuTg5KUHBNT2mCjPQSA=="/>
    </ext>
  </extLst>
</workbook>
</file>

<file path=xl/sharedStrings.xml><?xml version="1.0" encoding="utf-8"?>
<sst xmlns="http://schemas.openxmlformats.org/spreadsheetml/2006/main" count="2264" uniqueCount="2264">
  <si>
    <t>text_review</t>
  </si>
  <si>
    <t>text_review_english</t>
  </si>
  <si>
    <t>score</t>
  </si>
  <si>
    <t>['jelek', 'banget', 'app', 'buka', 'suka', 'log', 'out', 'beli', 'kuota', 'unlimited', 'kasih', 'bingung']</t>
  </si>
  <si>
    <t>['paket', 'promo', 'beli', 'pulsa', 'hati', 'jebakan', 'gag', 'beli', 'ujung', 'beli', 'paket', 'reguler', 'paket', 'promo', 'support', 'pembayaran', 'ewallet']</t>
  </si>
  <si>
    <t>['harga', 'kuota', 'mahal', 'jaringan', 'solusi', 'parah', 'kesini', 'kesini', 'sinyal', 'bagus', 'malem', 'hadeuhhhh']</t>
  </si>
  <si>
    <t>['', 'udah', 'sinyal', 'jelek', 'daftar', 'harga', 'paketnya', 'naikin', 'paket', 'omg', 'gb', 'harga', 'beli', 'harga', 'mantaps', 'telkomsel', 'penindasan']</t>
  </si>
  <si>
    <t>['halo', 'admin', 'paket', 'ceria', 'ngak', 'pakai', 'udah', 'abiss', 'promonya', 'udah', 'isi', 'pulsa', 'truss', 'coba', 'ngak', 'balasan', 'sms', 'telpon', 'consenter', 'ngak', 'tolong', 'min', 'ngak', 'beli', 'paket', 'ceria', 'tolong', 'kasi', 'diam', 'ngak', 'min', 'sekian', 'terima', 'kasih']</t>
  </si>
  <si>
    <t>['telkomsel', 'pliss', 'sesek', 'bngt', 'dada', 'tdi', 'temen', 'transfer', 'pulsa', 'udah', 'transfer', 'terkirim', 'saldo', 'udh', 'kepotong', 'tpi', 'pulsa', 'masuk', 'masuk', 'chat', 'respon', 'telkomsel', '']</t>
  </si>
  <si>
    <t>['jaringan', 'buruk', 'cepet', 'panas', 'jam', 'maen', 'game', 'susah', 'ngangkatnya', 'tolong', 'perbaiki', 'jaringan', 'stabil', 'bpak', 'terhormat', 'beli', 'paket', 'data', 'murah', '']</t>
  </si>
  <si>
    <t>['apk', 'bagus', 'liat', 'emang', 'apk', 'bagus', '']</t>
  </si>
  <si>
    <t>['nomer', 'login', 'registrasi', 'anehnya', 'random', 'masukin', 'nomor', 'tsel', 'muncul', 'sruh', 'masukin', 'kode', 'verify', 'pas', 'nomor', 'something', 'went', 'wrong', 'truuss']</t>
  </si>
  <si>
    <t>['semenjak', 'kemunculan', 'jaringan', 'bobrok', 'bagus', 'munculin', 'jaringan', 'perbaiki', 'jaringan', 'jaringan', 'penuh', 'pas', 'bermain', 'game', 'koneksi', 'buruk', 'tolong', 'perbaiki', 'ssbentar', 'udah', 'gini', '']</t>
  </si>
  <si>
    <t>['assalamualaikum', 'telkomsel', 'terhormat', 'memohon', 'kosistensi', 'jaringan', 'kecepatan', 'sinyal', 'berfikir', 'telkomsel', 'menurun', 'kualitas', 'jaringannya', 'kegiatan', 'terhambat', 'upload', 'tugas', 'kuliah', 'online', 'dll', 'menuntut', 'nilai', 'dosen', 'mohon', 'dipertimbangkan', 'kosintensi', 'jaringan', 'mohon', 'maaf', 'salah', 'sekian', 'terimakasih', '']</t>
  </si>
  <si>
    <t>['sebenernya', 'signal', 'jelek', 'beres', 'beres', 'keselnya', 'paket', 'voice', 'all', 'operator', 'sisa', 'menit', 'pakai', 'pulsa', 'mencukupi', '']</t>
  </si>
  <si>
    <t>['sinyal', 'telkomsel', 'lemot', 'tolong', 'diperbaiki', 'pelajar', 'pembelajaran', 'daring', 'belajar', 'maksimal', '']</t>
  </si>
  <si>
    <t>['isi', 'kartu', 'pulsa', 'simpatih', 'telkomsel', 'pelanggan', 'bonus', 'pelanggan', 'mengisi', 'pulsa', 'rutin', 'jaringan', 'telkomsel', 'perbaiki', 'kecewakan', 'pelanggan', 'rela', 'membeli', 'paket', 'mahal', 'harga', 'dimana', 'loyalitas', 'perusahaan', 'bumn', 'terbesar', 'seindonesia', 'memuaskan', '']</t>
  </si>
  <si>
    <t>['aplikasi', 'logo', 'rubah', 'bingung', 'pelayanan', 'rubah', 'paket', 'kemarin', 'udah', 'enak', 'unlimited', 'dibates', '']</t>
  </si>
  <si>
    <t>['telkomsel', 'upgrade', 'lemot', 'banget', 'banget', 'kesal', 'sampe', 'paket', 'buka', 'telkomsel', 'susahnya', 'ampun', 'wifi', 'trs', '']</t>
  </si>
  <si>
    <t>['turun', 'bintang', 'deh', 'jaringan', 'harga', 'mahal', 'tolong', 'jaringan', 'kaya', 'gini', 'murah', 'msekipun', 'jaringan', 'memuaskan', 'udah', 'mahal', 'gangguan', '']</t>
  </si>
  <si>
    <t>['kartu', 'telkosel', 'udah', 'bakar', 'telkomsel', 'membosan', 'sinyalnya', 'baguss', 'ngelek', 'telkomsel', 'berguna', 'udah', 'mahal', 'sinyal', 'memadai', 'udah', 'putus', 'putus', 'tolong', 'developernya', 'tolong', 'kak', 'keluhan', 'member', 'telkomsel', 'tolong', 'menghubungi', 'kali', 'perwakilan', 'adminya', 'wakilnya', 'dikoreksi', 'dikeluhkan', 'pengguna', 'telkomsel', 'terimakasih', 'mohon', 'tanggapannya', '']</t>
  </si>
  <si>
    <t>['update', 'lemot', 'koneksi', 'stabil', 'putus', 'paket', 'terpakai', 'menyedot', 'pulsa', 'malam', 'gangguan', 'sistem', 'pembayaran', 'paket', 'gagal', 'pulsa', 'terpotong', 'kasih', 'penjelasan', 'formal', 'semacamnya', 'penggunanya', 'pergi', 'sebelah', '']</t>
  </si>
  <si>
    <t>['metode', 'pembayarannya', 'pakai', 'banking', 'kemarin', 'perubahaan', 'metode', 'pembayarannya', 'gada', 'pemberitahuan', 'pembayaran', 'tagihannya', 'terpaksa', 'dibayar', 'ribet']</t>
  </si>
  <si>
    <t>['masuk', 'aplikasi', 'versi', 'terbaru', 'data', 'internet', 'pulsa', 'telalu', 'memaksa', 'rating', 'aplikasi', 'masuk', 'home', 'paksa', 'rating', 'penilaian']</t>
  </si>
  <si>
    <t>['kenpa', 'telkomsel', 'skrang', 'buruk', 'jaringannya', 'ping', 'main', 'game', 'jaringannya', 'hilang', 'parah', 'orang', 'telkomsel', 'bagus', 'jaringannya', 'mah', 'sigap', 'teknis', 'perbaikan', 'cepat', '']</t>
  </si>
  <si>
    <t>['dirugikan', 'beli', 'paket', 'belajar', 'dibatasi', 'situs', 'situs', 'ditetapkan', 'pemerintah', 'berwenang', 'kuota', 'utamanya', 'habis', 'searching', 'google', 'buka', 'google', 'meet', 'situs', 'aplikasi', 'conference', 'hadir', 'kelas', 'menerus', 'alangkah', 'baiknya', 'kejujuran', 'merugikan', 'orang', 'diutamakan', 'mari', 'memajukan', 'pendidikan', '']</t>
  </si>
  <si>
    <t>['maaf', 'saran', 'pembelian', 'pulsa', 'via', 'app', 'dikembangkan', 'pembayaran', 'via', 'transfer', 'bank', 'virtual', 'account', 'memudahkan', 'pelanggan', 'membeli', 'pulsa', 'makasih']</t>
  </si>
  <si>
    <t>['jaringan', 'jaringan', 'terbaik', 'indonesia', 'cmn', 'omdo', 'kah', 'jaringan', 'terbaik', 'apanya', 'ganguan', 'mulu', 'males', 'telkomsel', '']</t>
  </si>
  <si>
    <t>['jaringan', 'telkomsel', 'beda', 'lemot', 'kecewa', 'telkomsel', 'nyaman', 'lemotnya', 'ampun', 'paket', 'mahal', 'jaringannya', '']</t>
  </si>
  <si>
    <t>['tolong', 'jaringan', 'diperbaiki', 'pengguna', 'nyaman', 'ngegem', 'jujur', 'kecewa', 'jaringan', 'karna', 'kena', 'afk', 'jaringan', 'suka', 'lag', 'main', 'gem', '']</t>
  </si>
  <si>
    <t>['pengguna', 'telkomsel', 'smp', 'lulus', 'kuliah', 'pakai', 'telkomsel', 'kartu', 'telkomsel', 'kali', 'lelet', 'sinyalnya', 'normal', 'kali', 'beli', 'kuota', 'ketengan', 'youtube', 'mengajukan', 'keluhan', 'call', 'center', 'telkomsel', 'sarannya', 'lakukan', 'kuota', 'youtubenya', 'kecewa', 'sma', 'telkomsel', 'trus', 'alamat', 'ganti', 'kartu', '']</t>
  </si>
  <si>
    <t>['pakai', 'kartu', 'hallo', 'wajib', 'bayar', 'sinyal', 'hilang', 'tagihan', 'wajib', 'bayar', 'kenyamanan', 'konsumen', 'khusus', 'aceh', 'tenggara', 'hujan', 'dikit', 'sinyal', 'mati', 'sebentar', 'semalat', 'tinggal', 'telkonsel', '']</t>
  </si>
  <si>
    <t>['kinerja', 'customer', 'service', 'buruk', 'pusat', 'bantuan', 'chat', 'dibalas', 'ditinggal', 'jam', 'membalas', 'kinerja', 'pejabat', 'telkomsel', 'memimpin', 'anak', 'buahnya', 'harap', 'mundur', 'sajaa']</t>
  </si>
  <si>
    <t>['beruntung', 'gimana', 'alhamdulillah', 'segi', 'jaringan', 'apknya', 'oke', 'udah', 'pakai', 'kartu', 'kuning', 'sblh', 'indo', 'bagus', 'jaringannya', 'dri', 'krtunya', 'upgrade', 'jdi', 'lancar', 'harga', 'kuotanya', 'apknya', 'terjangkau', 'banget', '']</t>
  </si>
  <si>
    <t>['kak', 'tolong', 'bantu', 'nomor', 'blokir', 'udh', 'siin', 'pulsa', 'gimana', 'nomor', 'mengaktifkannya', 'akun', 'bank', 'terhubung', 'nomor', 'nomor']</t>
  </si>
  <si>
    <t>['masukan', 'telkomsel', 'tolong', 'diperbaiki', 'jaringan', 'internet', 'disaat', 'siang', 'maghrib', 'jaringan', 'beli', 'mahal', 'mahal', 'kendala', 'orang', 'pengguna', 'telkomsel', 'tolong', 'langsung', 'tanggapi', 'keluhan', 'orang', 'orang', '']</t>
  </si>
  <si>
    <t>['apk', 'bagus', 'fan', 'berguna', 'apk', 'membantu', 'mngesisi', 'data', 'panting', 'aplikasi', 'menguntungkan', 'terimakasih', 'aplikasi', 'membantu']</t>
  </si>
  <si>
    <t>['mohon', 'maaf', 'tolong', 'diperbaiki', 'membeli', 'paket', 'internet', 'pulsa', 'pilihan', 'paket', 'internet']</t>
  </si>
  <si>
    <t>['pulsa', 'suka', 'kepotong', 'abis', 'dipake', 'sms', 'tlpon', 'internet', 'dll', 'motong', 'pulsa', 'kek', 'pencurian', '']</t>
  </si>
  <si>
    <t>['mengerti', 'telkomsel', 'paketan', 'medsos', 'tiktok', 'masuk', 'katagori', 'multimedia', 'buka', 'medsos', 'tiktok', 'kuota', 'tersedot', 'kuota', 'kepake', 'kuota', 'utama', 'gunanya', 'paketan', 'helooo', 'udah', 'setahun', 'jaringannya', 'lemot', 'parah', 'jelek', 'banget', 'telkomsel']</t>
  </si>
  <si>
    <t>['', 'petinggi', 'pekerja', 'usaha', 'milik', 'negara', 'coba', 'tengok', 'kualitas', 'jaringan', 'telkomsel', 'mohon', 'tanggapi', 'atasi', 'keluhan', 'pelanggan', '']</t>
  </si>
  <si>
    <t>['diperbaharui', 'log', 'dikirim', 'link', 'log', 'giliran', 'klik', 'tautan', 'kadaluarsa', 'terussss', 'mohon', 'info', '']</t>
  </si>
  <si>
    <t>['kasih', 'bintang', 'aplikasi', 'sebel', 'jaringan', 'udah', 'beli', 'kuota', 'mahal', 'jaringan', 'kayak', 'provider', 'main', 'game', 'online', 'dapet', 'ping', 'harga', 'kuota', 'mahal', 'jaringan', 'jelek', 'gitu', 'worth', 'mohon', 'telkomsel', 'tolong', 'perbaiki', 'kekurangan', 'komentar', 'sosmed', 'telkomsel', 'respon', 'email', 'telkomsel', 'semoga', 'kedepan', 'terimakasih']</t>
  </si>
  <si>
    <t>['halo', 'salah', 'pengguna', 'mytelkomsel', 'udah', 'pengalaman', 'peroleh', 'memuaskan', 'app', 'mengharapkan', 'app', 'memiliki', 'fitur', 'lock', 'button', 'mengunci', 'pulsa', 'dipakai', 'layanan', 'non', 'paket', 'dilock', 'telepon', 'sms', 'data', 'service', 'harap', 'mytelkomsel', 'membaca', 'merealisasikan', 'harapanku', 'pengguna', 'berpikiran', 'terimakasih']</t>
  </si>
  <si>
    <t>['', 'allah', 'kali', 'lho', 'telkomsel', 'gemana', 'pulsa', 'kepake', 'data', 'paket', 'internet', 'beli', 'internet', 'ceria', 'nggak', 'acc', 'pulsa', 'berkurang', 'isi', 'beli', 'ceria', 'kog', 'tetep', 'nggak', 'diacc', 'pulsa', 'berkurang', 'ampe', 'tinggal', 'gegara', 'kepake', 'data', 'internet', 'disitu', 'paket', 'interne', 'memeras', 'pelanggan', 'gila', 'gila', '']</t>
  </si>
  <si>
    <t>['tampilan', 'update', 'jelek', 'kontras', 'font', 'tebal', 'pedih', 'dimata', 'jaringan', 'maleber', 'bandung', 'perbaiki', 'kalah', 'smartfreen', '']</t>
  </si>
  <si>
    <t>['apk', 'update', 'terbaru', 'cuman', 'sesering', 'update', 'bagus']</t>
  </si>
  <si>
    <t>['admin', 'saran', 'kuota', 'habis', 'beli', 'kuota', 'telkomsel', 'repot', 'kode', 'dial', 'mending', 'gratis', 'khusus', 'aplikasi', 'telkomsel', 'kesel', 'pas', 'kehabisan', 'kuota', 'beli', 'aplikasi', 'semoga', 'kedepannya']</t>
  </si>
  <si>
    <t>['wow', 'mahal', 'harga', 'super', 'mencekik', 'ganti', 'logo', 'paket', 'berubah', 'terjangkau', 'gitu', 'dipisah', 'pisah', 'paket', 'unlimited', 'mah', 'merakyat', 'banget', 'lebaran', 'kemarin', 'harga', 'paket', 'ganti', 'logo', 'nyekik', 'banget', 'harganya', 'terjangkau', 'kalangan', 'kebawah', 'ganti', 'sebelah', 'bye', 'bye', '']</t>
  </si>
  <si>
    <t>['beli', 'paket', 'ceria', 'telkomsel', 'pembelian', 'proses', 'masuk', 'masuk', 'udah', 'jam', 'tunggu', 'udah', 'ulang', 'kali', 'beli', 'masuk', 'gimana', '']</t>
  </si>
  <si>
    <t>['ngebug', 'claim', 'dayli', 'check', 'udah', 'gitu', 'pindah', 'ngeklaim', 'tolong', 'perbaiki', 'jaringan', '']</t>
  </si>
  <si>
    <t>['komplain', 'pengisian', 'pulsa', 'masuk', 'notifikasi', 'sms', 'kode', 'dirugikan', 'tolong', '']</t>
  </si>
  <si>
    <t>['aplikasi', 'terbaru', 'telkomsel', 'efektif', 'promo', 'menarik', 'belanja', 'paket', 'ribet', 'thanks', 'telkomsel', 'pengguna', 'telkomsel', 'setia', 'terima', 'kasih', 'telkomsel']</t>
  </si>
  <si>
    <t>['telkomsel', 'indonesia', 'hormat', 'pelanggan', 'setia', 'produk', 'manfaat', 'diperoleh', 'pelayanan', 'menggangu', 'bangsa', 'indonesia', 'bangga', 'bahasa', 'indonesia', 'disayangkan', 'menu', 'layanan', 'aplikasi', 'telkomsel', 'berbahasa', 'inggris', 'pelanggan', 'indonesia', 'orang', 'indonesia', 'orang', 'eropa', 'amerika', 'tolong', 'ganti', 'menu', 'berbahasa', 'indonesia', 'terimakasih', '']</t>
  </si>
  <si>
    <t>['versi', 'terbaru', 'kali', 'menggangu', 'nyaman', 'logout', 'menuliskan', 'nomor', 'keyboard', 'beralih', 'tampilan', 'angka', 'klik', 'langsung', 'beralih', 'huruf', 'huruf', 'menulis', 'angka', 'tertulis', 'menganggu', 'mohon', 'diperbaiki', 'terimakasih', '']</t>
  </si>
  <si>
    <t>['beli', 'vocer', 'internet', 'omg', 'ribu', 'internet', 'dasar', 'internet', 'unlimetid', 'game', 'youtube', 'dll', 'habis', 'kuata', 'utama', 'makek', 'internet', 'unlimitid', 'lemotnya', 'kek', 'siput', 'youtube', 'muter', 'muter', 'doang', 'bnyak', 'hoaxnya', 'buka', 'youtube', 'loding', 'mulu', 'janji', 'sesuai', 'sinyal', 'terbaik', 'prett', '']</t>
  </si>
  <si>
    <t>['aplikasi', 'korupsi', 'lancar', 'jaringannya', 'udah', 'kek', 'kadang', 'pakek', 'nonton', 'youtube', 'nunggu', 'jam', 'kalok', 'kek', 'gini', 'pindah', 'jaringan', 'ngelaporin', 'aplikasi', 'korupsi', '']</t>
  </si>
  <si>
    <t>['pulsa', 'kepotong', 'mulu', 'genap', 'pas', 'cek', 'tinggal', 'sekian', 'paketin', 'data', 'telkomsel', 'wifi', '']</t>
  </si>
  <si>
    <t>['parah', 'jaringan', 'internet', 'beli', 'kuota', 'mahal', 'tetep', 'ajah', 'lemot', 'nonton', 'youtube', 'resolusi', 'doang', 'itupun', 'loading', 'berkali', '']</t>
  </si>
  <si>
    <t>['haduhhh', 'isi', 'pulsa', 'daftar', 'kuota', 'internet', 'pas', 'daftar', 'pulsa', 'habis', 'kuotanya', 'nggak', 'masuk', 'masuk', 'bermasalah', 'apanya', 'telkomsel', 'merugikan', 'dahlah', 'ganti', 'kartu', 'ganti', 'kerugian', 'merugikan', 'masyarakat', 'nggak', 'kartu', 'bermasalah', 'tolong', 'perbaiki', 'ganti', 'pulsa', '']</t>
  </si>
  <si>
    <t>['udah', 'kecewa', 'telkomsel', 'sinyal', 'udah', 'gangguan', 'aplikasi', 'udah', 'update', 'ngk', 'buka', 'aplikasi', 'gua', 'liat', 'sisa', 'paket', 'gua', 'tinggal', 'aktif', 'paket', 'sampe', 'sumpah', 'bener', 'kecewa', 'telkomsel', '']</t>
  </si>
  <si>
    <t>['sinyal', 'anjjjj', 'ngeleg', 'kagak', 'gblk', 'banget', 'telkomsel', 'kntll', 'mending', 'pakai', 'ngeleg', 'kagak', 'jelassss', 'diperbaiki', '']</t>
  </si>
  <si>
    <t>['tsel', 'tolong', 'udah', 'kuota', 'gag', 'sedot', 'pulsa', 'dunk', 'gunanya', 'beli', 'kuota', 'mahal', 'pulsa', 'embat', 'curi', 'nie', 'sukanya', 'dikit', 'diambil', 'lumayan', 'heeeehhh', 'gedek', '']</t>
  </si>
  <si>
    <t>['tolong', 'murahkan', 'paket', 'internet', 'provider', 'pandemi', 'covid', 'telkomsel', 'lovery', 'bantu', 'informasi', 'dunia', '']</t>
  </si>
  <si>
    <t>['mohon', 'pengelola', 'telkomsel', 'tolong', 'secepatnya', 'diperbaiki', 'aplikasinya', 'kali', 'membeli', 'paket', 'gagal', 'sekedar', 'pemberitahuan', 'proses', 'jujur', 'kecewa', 'aplikasi', 'diupdate', 'nambah', 'karuan', '']</t>
  </si>
  <si>
    <t>['jaringan', 'terburuk', 'indonesia', 'namanya', 'ngegame', 'ping', 'merah', 'yutub', 'buffering', 'mulu', 'ngk', 'worth', 'banget', 'mending', 'jaringan', 'swasta']</t>
  </si>
  <si>
    <t>['udah', 'terimakasih', 'telkomael', 'pelanggan', 'setia', 'harga', 'pandemi', 'kaya', 'gini', 'pakai', 'telkomsel', 'pindah', 'operator', 'sebelah', 'stabil', 'harganya', 'silahkan', 'menikmati', 'setia', 'telkomsel', 'selamat', 'miskin', 'setia', 'telkomsel', '']</t>
  </si>
  <si>
    <t>['enak', 'nge', 'rumit', 'log', 'hilang', 'ideas', 'enegy', 'ads', 'otak', 'orang', 'nggak', 'zamannya', 'step', 'ber', 'liku', 'pakai', 'algoritma', 'system', 'plihan', 'yes', 'tersedia', 'jam', 'spt', 'jam', 'est', 'pas', 'possible', 'quel', 'horreur', '']</t>
  </si>
  <si>
    <t>['siih', 'seharian', 'cek', 'kuota', 'data', 'ama', 'pulsa', 'koneksi', 'bermasalah', 'jaringan', 'paket', 'heran', 'update', 'ngaconya', 'mintaa', 'ampuuunn', '']</t>
  </si>
  <si>
    <t>['bertaun', 'taun', 'udah', 'telkomsel', 'sebulan', 'beli', 'pulsa', 'pulsanya', 'berkurang', 'langsung', 'habis', 'pdhal', 'gpernah', 'langganan', 'apapun', 'udah', 'cek', 'berlanggangan', 'apapun', 'udah', 'krim', 'laporan', 'email', 'blm', 'tanggapan', 'bermasalah', 'temen', 'trnyta', 'suka', 'nyedot', 'pulsa', '']</t>
  </si>
  <si>
    <t>['sumpah', 'kecewa', 'aplikasi', 'telkomsel', 'update', 'enak', 'sulit', 'lemot', 'pembayaran', 'langsung', 'berhasil', 'nunggu', 'pokok', 'sumpah', 'kecewa', 'banget', 'pakek', 'telkomsel']</t>
  </si>
  <si>
    <t>['terimakasih', 'telkomsel', 'full', 'desa', 'didirikanya', 'tower', 'bts', 'desa', 'dataran', 'terimakasih', '']</t>
  </si>
  <si>
    <t>['pokok', 'bagus', 'menarik', 'aplikasi', 'telkomsel', 'karna', 'hadiah', 'fantastis', 'karna', 'hadiah', 'tawarkan', 'main', 'main', 'semoga', 'telkomsel', 'kartu', 'perdana', 'telkomsel', 'sukses', 'maju', 'terimakasih', 'telkomsel', 'membantu', 'mempermudah', 'komunikasi', 'thanks', 'you', 'muachh', 'telkomsel', '']</t>
  </si>
  <si>
    <t>['tekomsel', 'kesini', 'perbaiki', 'kenerja', 'samsung', 'uda', 'rebut', 'pasukan', 'orange', 'pelanggan', 'pindah', 'warna', 'biru']</t>
  </si>
  <si>
    <t>['segi', 'desain', 'tampilan', 'bagus', 'versi', 'enak', 'pandang', 'mata', 'kaku', 'mencerminkan', 'aplikasi', 'perusahan', 'telkomsel', 'sayangkan', '']</t>
  </si>
  <si>
    <t>['emang', 'telkomsel', 'banget', 'paket', 'nelfon', 'seribu', 'all', 'oprator', 'karna', 'segi', 'jaringan', 'terbaik', 'menyiksa', 'pelanggannya', 'pelan', 'pelan', 'untung', 'bintang', 'kasih', 'rating', 'ngasih', 'promo', 'masuk', 'akal', 'butuh', 'kouta', 'pemakaian', 'sehari', 'coba', '']</t>
  </si>
  <si>
    <t>['sinyal', 'lemot', 'buka', 'aplikasi', 'data', 'lambat', 'tulisannya', 'ngapain', 'lemot', 'banget', 'susah', 'berasa', 'sia', 'sia', 'kuota', '']</t>
  </si>
  <si>
    <t>['tolong', 'mytelkomsel', 'paket', 'combo', 'sakti', 'unlimited', 'pakai', 'full', 'sesuai', 'tanggal', 'pembelian', 'internet', 'multimedia', 'terimakasih']</t>
  </si>
  <si>
    <t>['pulsa', 'kesedot', 'bonus', 'login', 'trus', 'klaim', 'klaim', 'pdhal', 'udh', 'nunggu', 'seminggu', 'telkomsel', 'hubungi', 'hubungi', 'tolong', 'update', 'gitu', 'plis', '']</t>
  </si>
  <si>
    <t>['kak', 'dund', 'jaringan', 'internet', 'wilayah', 'kota', 'bogor', 'buruk', 'pengguna', 'telkomsel', 'kecewa', 'jaringan', 'tolonglah', 'perbaiki', 'jaringannya', 'terimakasih']</t>
  </si>
  <si>
    <t>['tinggal', 'orng', 'keluarga', 'pakai', 'telkomsel', 'tetangga', 'tnggal', 'pakai', 'karna', 'sinyal', 'lingungan', 'rumah', 'jelek', 'berbanding', 'terbalik', 'mall', 'bagus', 'karna', 'rumah', 'pandemik', 'pakai', 'provider', 'brand', 'baju', 'jerse', 'chelsea', 'perumah', 'perumahan', 'sinyal', 'bagus', 'kartu', 'telkomsel', 'isi', 'pulsa', 'hangus', 'kasian', 'kasian', 'kasian', '']</t>
  </si>
  <si>
    <t>['mohon', 'maaf', 'notifikasi', 'paket', 'habis', 'perbaiki', 'notifikasi', 'paket', 'habis', 'pulsa', 'terkena', 'tarif']</t>
  </si>
  <si>
    <t>['belik', 'kouta', 'aplikasi', 'mytelkomsel', 'pas', 'metode', 'pembayaran', 'maaf', 'gangguan', 'sistem', 'knpa', 'yaa', 'tolong', 'laa', 'kerja', 'nyaa', 'kemaren', 'kek', 'gitu', 'udh', '']</t>
  </si>
  <si>
    <t>['terganggu', 'update', 'metode', 'pembayaran', 'pilihan', 'kemudahan', 'transaksi', 'berkurang', 'tingkatkan', 'layanan', '']</t>
  </si>
  <si>
    <t>['knp', 'akses', 'putih', 'trs', 'tulisan', 'harap', 'memuat', 'ulang', 'pdhl', 'udh', 'gua', 'klik', 'berkali', 'putih', 'trs', 'sinyal', 'gua', 'pdhl', 'bagus', 'tolong', 'bntu']</t>
  </si>
  <si>
    <t>['kenyamanan', 'deh', 'utama', 'telkomsel', 'operator', 'kalangan', 'ngga', 'paket', 'promo', 'pokonya', 'telkomsel', '']</t>
  </si>
  <si>
    <t>['tolong', 'noted', 'min', 'sudab', 'tukar', 'point', 'aktifkan', 'paket', 'data', 'pulsa', 'mencukupi', 'isi', 'ulang', 'pulsa', 'paket', 'merespon', 'point', 'terbuang', 'sia', '']</t>
  </si>
  <si>
    <t>['', 'program', 'daily', 'chek', 'tukar', 'poinnya', 'nggak', 'gbnya', 'bug', 'sistem', 'tolong', 'tanggapan', 'sekian', 'terima', 'kasih', '']</t>
  </si>
  <si>
    <t>['rumit', 'telkomsel', 'lite', 'udah', 'aplikasi', 'butuh', 'jaringan', 'kaya', 'wifi', 'bagus', 'jaringan', 'bagus', 'tetep', 'pas', 'cek', 'kuota', 'bikang', 'jaringan', 'lemah']</t>
  </si>
  <si>
    <t>['kuota', 'paket', 'penggunaan', 'beda', 'habis', 'kepake', 'duluan', 'alhasil', 'kuota', 'kepake', 'gtu', 'abis', 'penggunaan', 'gimana', 'huu', 'dri', 'deadline', 'mepet', '']</t>
  </si>
  <si>
    <t>['komen', 'eror', 'layar', 'gua', 'putih', 'masuk', 'apalah', 'apalah', 'kentang', '']</t>
  </si>
  <si>
    <t>['asli', 'parah', 'parah', 'giliran', 'check', 'harian', 'ngambil', 'hadiah', 'check', 'login', 'something', 'wrong', 'udahlah', 'ganti', 'kartu', 'perdana', 'gini', 'jaringan', 'terluas', 'terkuat', 'indonesia', 'kaya', 'gini', 'ping', 'sampe', 'parah', 'bye', 'bye', 'ganti', 'kartu', 'perdana', 'udah', 'jaringan', 'drpd', 'telkomsel', 'jaringan', 'bermasalah']</t>
  </si>
  <si>
    <t>['pulsa', 'kepotong', 'ngilang', 'paket', 'telpon', 'menit', 'sms', 'eeeehh', 'ngilang', 'pulsa', 'dikit', 'serebu', 'gope', 'eeett', 'gmn', '']</t>
  </si>
  <si>
    <t>['apk', 'penipuan', 'doang', 'suruh', 'chek', 'bonus', 'kuota', 'pas', 'udah', 'claim', 'gangguan', 'chek', 'udah', 'kuota', 'mahal', 'sinyal', 'burik', 'sok', 'elit', 'bat', 'maaf', 'udah', 'teranjur', 'kecewa', 'mending', 'ganti', 'kartu', 'perdana', 'laen']</t>
  </si>
  <si>
    <t>['sengaja', 'ngasih', 'bintang', 'baca', 'orng', 'aplikasi', 'culas', 'daily', 'check', 'lancar', 'udah', 'klaim', 'ujung', 'periode', 'error', 'nyedot', 'kouta', 'orng', 'masuk', 'aplikasi', 'check', 'untung', 'pelanggan']</t>
  </si>
  <si>
    <t>['mohon', 'telkomsel', 'perbaiki', 'kesalahan', 'pengguna', 'capek', 'masak', 'jaringn', 'kayak', 'tinggal', 'hutan', 'ambil', 'keuntungan']</t>
  </si>
  <si>
    <t>['recommended', 'banget', 'beli', 'paket', 'mahal', 'dipake', 'main', 'game', 'ping', 'teruss', 'giliran', 'youtube', 'muter', 'aneh', 'belipaket', 'gangguan', 'alah', 'nyesel', 'gua', 'intinya', 'provider', 'nga', 'recommended']</t>
  </si>
  <si>
    <t>['aplikasi', 'operator', 'maling', 'daily', 'check', 'susahnya', 'ampun', 'klik', 'menu', 'beli', 'kuota', 'lancar', 'jaya', 'wkwkwk', 'boss', 'niat', 'ngasi', 'hadiah', 'daily', 'check', 'gembar', 'gembor', 'ujung', 'ngabisin', 'kuota', 'dasar', 'licik', '']</t>
  </si>
  <si>
    <t>['the', 'best', 'aplikasi', 'membantu', 'simple', 'mengetik', 'keyboard', 'layar', 'tinggal', 'klik', 'langkah', 'perincian', '']</t>
  </si>
  <si>
    <t>['pelayanan', 'ask', 'veronika', 'mengecewakan', 'keluhan', 'selesai', 'sesi', 'chatnya', 'udh', 'ditutup', 'disuruh', 'nunggu', 'admin', 'ask', 'veronika', 'nunggu', 'sesinya', 'langsung', 'ditutup', 'gitu', 'ganti', 'admin', 'keluhannya', 'selesai', '']</t>
  </si>
  <si>
    <t>['sangatt', 'membantu', 'aplikasi', 'berjalan', 'mantap', 'smoga', 'kedepannya', 'promo', 'hadiahnya']</t>
  </si>
  <si>
    <t>['update', 'versi', 'ngeleg', 'banget', 'kaya', 'jadul', 'update', 'perubahan', 'jelek', '']</t>
  </si>
  <si>
    <t>['beli', 'paket', 'jam', 'hilang', 'paket', 'beli', 'besok', 'jam', 'batas', 'pelanggan', 'dirugikan', 'mengecewakan', '']</t>
  </si>
  <si>
    <t>['bos', 'knp', 'nomor', 'mytelkomsel', 'klau', 'kirim', 'link', 'sms', 'link', 'valid', 'kadaluarsa', 'tolong', 'bos', '']</t>
  </si>
  <si>
    <t>['telkomsel', 'isi', 'pulsa', 'membeli', 'paket', 'berkali', 'dicoba', 'tolong', 'telkomsel', 'memperhatikan', 'pelanggan', 'mahasiswa', 'butuh', 'kouta', 'bimbingan', 'online', '']</t>
  </si>
  <si>
    <t>['', 'daily', 'check', 'jam', 'kejelasan', 'mslh', 'sistem', 'sistem', 'manusia', 'bkn', 'tuhan', 'msih', 'blum', 'fear', 'kompetisi', 'hadiah', 'dijanjikan', '']</t>
  </si>
  <si>
    <t>['dijalankan', 'langsung', 'aplikasi', 'menutup', 'aplikasi', 'mengakibatkan', 'error', 'mengganggu', 'kenyamanan', 'pengguna', 'dirasa', 'tahap', 'beta', 'tolong', 'dipublikasikan', 'pembenahan', 'developer', 'mengakibatkan', 'nama', 'perusahaan', 'dibangun', 'bermasalah', 'dikemudian', 'tks', '']</t>
  </si>
  <si>
    <t>['memuaskan', 'efektif', 'penggunaan', 'data', 'kbps', 'respon', 'loading', '']</t>
  </si>
  <si>
    <t>['senang', 'kartu', 'mingunya', 'telkomsel', 'undi', 'undi', 'hadiah', 'minggunya', 'buah', 'motor', 'undi', 'undi', 'hadiah', 'minggunya', '']</t>
  </si>
  <si>
    <t>['tolong', 'respon', 'developer', 'update', 'apk', 'banget', 'error', 'keluhan', 'konsumen', 'tanggapannya', 'lelet', '']</t>
  </si>
  <si>
    <t>['paket', 'combo', 'sakti', 'kemaren', 'udah', 'bagus', 'dihapus', 'paket', 'telkomsel', 'disesuaikan', 'kualitas', 'koneksinya', 'maunya', 'untung', 'servisnya', 'buruk', '']</t>
  </si>
  <si>
    <t>['kecewa', 'aplikasinya', 'aplikasi', 'telkomsel', 'data', 'gratis', 'urgen', 'kuota', 'habis', 'langsung', 'top', 'beli', 'aplikasi', 'data', 'pas', 'buka', 'aplikasi', 'liat', 'notif', 'layar', 'data', 'perlukan', 'kb', 'streaming', 'coba', 'tindaklanjuti', 'terimakasih']</t>
  </si>
  <si>
    <t>['update', 'buka', 'daily', 'chek', 'hangus', 'gini', 'habis', 'pikir', 'kadang', 'telkomsel', 'provider', 'nomer', 'sinyal', 'kadang', 'susah', 'suka', 'gangguan', 'paket', 'data', 'mahal', 'perubahan', 'fix', 'pengguna', 'milih', 'ganti', 'provider', '']</t>
  </si>
  <si>
    <t>['ngaco', 'telko', 'gwa', 'hutang', 'pulsa', 'trs', 'gwa', 'isi', 'pulsa', 'pas', 'gwa', 'beli', 'paket', 'data', 'malam', 'mendadak', 'hbs', 'sisa', 'hanggus', '']</t>
  </si>
  <si>
    <t>['pemakai', 'bru', 'limited', 'trus', 'pakai', 'blok', 'bayar', 'ngak', 'paksa', 'grapari', 'terpapar', 'covid', 'keluarga', 'nekad', 'grapari', 'deh', 'ngak', 'ngak', 'selesai', 'call', 'terhubung', 'wilaya', 'makasar', 'ruben', 'ngotot', 'grapari', 'uda', 'penularan', 'staff', 'grapari', 'resiko', 'telkomsel', 'uda', 'jelasin', '']</t>
  </si>
  <si>
    <t>['perubahan', 'sinyal', 'cuman', 'garis', 'doank', 'daerah', 'surabaya', 'selatan', 'hutan', 'daerah', 'terpencil', 'surabaya', 'respon', 'pelangganmu', 'tambahi', 'lihat', 'komentar', 'dengar', 'pelangganmu', 'dibalas', 'pakai', 'komputer', 'trus', 'disuruh', 'klik', 'angel', 'wes', 'angeeeeeeelllllllll']</t>
  </si>
  <si>
    <t>['tampilan', 'segar', 'berwarna', 'provider', 'terbaik', 'update', 'lemot', 'sinyal', 'lemot', 'reload', 'tetep', 'eror', 'dll', 'buka', 'daily', 'check', 'susahnya', 'ampun', 'udah', 'gitu', 'mahal', 'telkomsel', 'beda', 'promonya', 'kartu', 'mahal', 'ramutu', 'ora', 'sesuai', 'larangmu', '']</t>
  </si>
  <si>
    <t>['halo', 'telkomsel', 'tolong', 'daily', 'check', 'udh', 'ngelakuin', 'minggu', 'sayang', 'hilang', 'karna', 'bsa', 'check', 'padalah', 'nyarik', 'bonusnya', 'tolong', 'bantu', 'kemarin', 'update']</t>
  </si>
  <si>
    <t>['aplikasi', 'error', 'gangguan', 'deskripsi', 'informasi', 'layanan', 'pengaduan', 'efektif', 'jaringan', 'menentu', '']</t>
  </si>
  <si>
    <t>['udah', 'males', 'asli', 'kartu', 'perdana', 'telkomsel', 'maen', 'leg', 'mulu', 'nonton', 'youtube', 'parah', 'ngapain', 'loading', 'mulu', 'hadeh', 'cape', 'ati', 'push', 'renk', 'kartu', 'asli', 'pegel', 'ati']</t>
  </si>
  <si>
    <t>['buruk', 'sinyal', 'download', 'speednya', 'bagusin', 'aplikasi', 'logo', 'kualitasnya', 'ancur', 'komplain', 'email', 'perubahan', 'dibales', 'ditindak', 'lanjuti', 'sampe', 'perubahan', 'kualitas', 'tutup', 'ajalah', 'tutup', '']</t>
  </si>
  <si>
    <t>['giliran', 'ngisap', 'pulsa', 'kenceng', 'pas', 'dipake', 'internetan', 'jaringannya', 'lemot', 'truss', 'boss', 'aplikasinya', 'gabisa', 'dibuka', 'pelanggan', 'bagus', 'rendah', 'kasian', 'bye', 'telkomshit', '']</t>
  </si>
  <si>
    <t>['update', 'kali', 'isi', 'pulsa', 'via', 'telkomsel', 'pembayaran', 'via', 'virtual', 'akun', 'mbanking', 'ane', 'disuruh', 'shope', 'pay', 'dana', 'dll', 'dimana', 'ogah', 'daftar', 'maaf', 'ane', 'turunin', 'bintang']</t>
  </si>
  <si>
    <t>['produk', 'skrg', 'kwalitas', 'recommended', 'serba', 'lelet', 'sinyal', 'lelet', 'mahalnya', 'nomor', 'bintang', 'kemarin', 'turunin', '']</t>
  </si>
  <si>
    <t>['kasih', 'bintang', 'sinyal', 'daerah', 'kec', 'gempol', 'sari', 'tangerang', 'banten', 'suka', 'ngelek', 'klw', 'bermain', 'game', 'klw', 'poin', 'telkomsel', 'ditukarkan', 'saldo', 'dana', 'gopay', 'bermanfaat', 'kaum', 'gratisan', '']</t>
  </si>
  <si>
    <t>['habis', 'update', 'dibuka', 'emang', 'tawarkan', 'update', 'aplikasi', 'kelas', 'anak', 'malu', 'telkomsel', 'dikejar', 'hancur', 'sinyal', 'hilang', 'kadang', 'lemotnya', 'ampun', 'parah', 'banget', '']</t>
  </si>
  <si>
    <t>['perbaiki', 'kasih', 'bintang', 'saran', 'sistem', 'ngelock', 'penggunaan', 'pulsa', 'keperluan', 'sms', 'nelpon', 'internet', 'dll', 'tekor', 'ane', 'kuota', 'habis', 'langsung', 'makan', 'pulsa', 'udah', 'paketan', 'mahal', 'kasih', 'kenyamanan', 'sesuai', 'harga', 'paketnya', 'apps', 'sebelah', 'sistem', 'kek', 'gitu', 'udah', 'dengar', 'ane', 'ganti', 'bintang', '']</t>
  </si>
  <si>
    <t>['semenjak', 'update', 'aplikasi', 'telkomsel', 'blank', 'berguna', 'cek', 'pulsa', 'paket', 'payah', 'jaringan', 'full', '']</t>
  </si>
  <si>
    <t>['parah', 'telkomsel', 'beli', 'paket', 'ilang', 'cepet', 'banget', 'habisnya', 'gini', 'pindah', 'provaider', 'terimakasih', 'menemani', 'thn', '']</t>
  </si>
  <si>
    <t>['telkomsel', 'buka', 'applikasi', 'mytelkomsel', 'susah', 'susah', 'sesusah', 'susahnya', 'muat', 'ulang', 'capeh', 'deh', 'tolong', 'diperbaiki', 'hadehhh', '']</t>
  </si>
  <si>
    <t>['mytelkomsel', 'menjengkelkan', 'udah', 'update', 'error', 'sayangnya', 'gua', 'kirim', 'foto', 'loe', 'keluhan', '']</t>
  </si>
  <si>
    <t>['aplikasinya', 'update', 'versi', 'terbaru', 'halaman', 'beranda', 'dimuat', 'klik', 'muat', 'ulang', 'muat', 'checkin', 'harian', '']</t>
  </si>
  <si>
    <t>['update', 'versi', 'buruk', 'gangguan', 'sistem', 'sampek', 'buypack', 'data', 'internet', 'urgent', 'tolong', 'diperbaiki', '']</t>
  </si>
  <si>
    <t>['jaringan', 'telkomsel', 'jelek', 'banget', 'bagus', 'banget', 'mudik', 'gaperlu', 'ganti', 'kartu', 'sinyalnya', 'hilang', 'trus', 'kirim', 'sms', 'gagal', 'trus', 'paket', 'tlp', 'sms', 'berlakunya', 'telkomsel', 'donk', 'aqu', 'smk', 'sampe', 'detik', 'anak', 'aqu', 'setia', 'telkomsel', 'tlong', 'donk', 'telkomsel', 'perbaiki', 'makasih', '']</t>
  </si>
  <si>
    <t>['kualitasnya', 'menurun', 'jaringan', 'parah', 'update', 'telkomsel', 'dibuka', 'layar', 'putih', 'mulu', 'yaelah', '']</t>
  </si>
  <si>
    <t>['aplikasi', 'memudahkan', 'nyusahin', 'cek', 'kuota', 'halamannya', 'blank', 'sok', 'pembaruan', 'aplikasi', 'susah', 'ngecek', 'pembaruannya', 'udah', 'test', 'lgsg', 'sodorin', 'user', 'kecewa', '']</t>
  </si>
  <si>
    <t>['update', 'nga', 'buka', 'beranda', 'muncul', 'kesalahan', 'putih', 'udah', 'pakek', 'wifi', 'nga', 'buka', 'kuota', 'internet', 'telkomsel', 'ttp', 'nga', 'kuota', 'axis', 'sinyal', 'kartu', 'kek', 'buka', 'nga', 'buka']</t>
  </si>
  <si>
    <t>['memuat', 'halaman', 'app', 'diupdate', 'eror', 'keburu', 'paket', 'habis', 'nyedot', 'pulsa', 'harga', 'paketan', 'pakai', 'app', 'eror', 'mengecewakan', 'harga', 'kualitas', 'gimana', 'telkomselll', 'zonk']</t>
  </si>
  <si>
    <t>['habis', 'upgrade', 'dipakw', 'cek', 'kuota', 'susah', 'gimana', 'telkomsel', 'tolong', 'perbaiki', 'pelanggan', 'setia', 'telkomsel', 'kecewa', '']</t>
  </si>
  <si>
    <t>['make', 'data', 'pas', 'buka', 'aplikasi', 'memuat', 'ganti', 'wifi', 'segarkan', 'ulang', 'berkali', 'kali', 'hasil', 'coba', 'playstore', 'download', 'make', 'wifi', 'kuota', 'pas', 'buka', 'aplikasi', 'doang', 'telkomsel', 'bermasalah', 'jaringan', 'playstore', 'perbolehkan', 'kirim', 'gambar', 'kirim', 'hasil', 'screenshoot', 'bukti', '']</t>
  </si>
  <si>
    <t>['update', 'aplikasi', 'nongol', 'memuat', 'halaman', 'promo', 'aplikasinya', 'jebakan', 'doang', 'ujung', 'tuker', 'harganya', 'mahalan', 'dikit', 'ayolah', 'bambang', 'gpp', 'mahal', 'terpenting', 'buka', 'aplikasi', 'tuker', 'paketan', 'jaringan', 'lancar', '']</t>
  </si>
  <si>
    <t>['eror', 'bacaan', 'memuat', 'ngambil', 'pulsa', 'diam', 'pinter', 'sampe', 'gampang', 'ketebak', 'kartu', 'terbaik', 'terbaik', 'kaya', 'gini', 'kartu', 'terbaik', 'dikasih', 'bintang', 'namanya', '']</t>
  </si>
  <si>
    <t>['oke', 'makasih', 'udah', 'bales', 'kuotanya', 'blom', 'masuk', 'hai', 'telkom', 'ngebug', 'masuk', 'telkom', 'tulisanya', 'segarkan', 'buka', 'youtube', 'dll', 'lancar']</t>
  </si>
  <si>
    <t>['semenjak', 'update', 'aplikasi', 'telkomsel', 'tidk', 'buka', 'wifi', 'layar', 'eror', 'jaringan', 'wifi', 'kecewa', 'tolong', 'perbaiki', 'karna', 'sebentar', 'kuota', 'habis', 'beli', 'paket', 'susah', 'karna', 'aplikasi', 'eror', 'promo', 'promo', 'murah', 'kesal', 'karna', 'aplikasinya', 'eror', '']</t>
  </si>
  <si>
    <t>['telkomsel', 'terbaik', 'terbaik', 'sinyal', 'gue', 'ilang', 'ilangan', 'daerah', 'perkampungan', 'sinyalnya', 'susah', 'kuota', 'harga', 'mahal', 'buka', 'telkomsel', 'refresh', 'mulu', 'asli', 'parah', 'sekelas', 'telkomsel', 'bgini', 'tolong', '']</t>
  </si>
  <si>
    <t>['gmna', 'tukar', 'poin', 'bnyak', 'kesalahan', 'telkomsel', 'pilihan', 'utama', 'ribet', 'pengguna', 'setia', 'telkomsel', 'ribetin', '']</t>
  </si>
  <si>
    <t>['aplikasi', 'update', 'dibuka', 'tulisan', 'dimuat', 'segarkan', 'aplikasi', '']</t>
  </si>
  <si>
    <t>['update', 'bukak', 'hancur', 'jaringan', 'telkom', 'systemnya', 'gini', 'mending', 'pindah', 'provider', 'mintak', 'update', 'update', 'kayak', 'taik', '']</t>
  </si>
  <si>
    <t>['tolong', 'liat', 'rating', 'playstore', 'kasih', 'bintang', 'aplikasinya', 'perasaan', 'gini', 'gini', 'semoga', 'berbenah', '']</t>
  </si>
  <si>
    <t>['kasih', 'bintang', 'kecewa', 'semenjak', 'update', 'versi', 'download', 'keterarangannya', 'maaf', 'gangguan', 'system', 'klik', 'muat', 'versi', 'puas', 'kecewa', '']</t>
  </si>
  <si>
    <t>['diupdate', 'eroor', 'kecewa', 'puluhan', 'kartu', 'sinyal', 'internet', 'lemot', 'apapun', 'paket', 'data', 'ngk', 'ngaruh', '']</t>
  </si>
  <si>
    <t>['najis', 'banget', 'apk', 'jaringan', 'terbaik', 'beli', 'kuota', 'susah', 'kaga', 'kebuka', 'udah', 'mahal', 'internet', 'kaya', 'taiii', '']</t>
  </si>
  <si>
    <t>['aplikasi', 'terbuka', 'error', 'cek', 'koneksi', 'aplikasi', 'berjalan', 'lancar', 'aplikasi', 'membantu', 'pengguna', '']</t>
  </si>
  <si>
    <t>['payah', 'mengupdate', 'apk', 'pas', 'versi', 'diperbaharui', 'bagus', 'dibuka', 'beli', 'kuota', 'pikir', 'pikir', 'semoga', 'cepat', 'perbaiki', '']</t>
  </si>
  <si>
    <t>['aplikasi', 'telkomsel', 'knp', 'gabisa', 'diakses', 'tulisannya', 'kesalahan', 'sistem', 'koneksi', 'stabil', 'udh', 'isi', 'pulsa', 'kesedot', 'beli', 'kuota', 'gimana', 'tolong', 'duh', 'astagfirullah', 'emosi']</t>
  </si>
  <si>
    <t>['anjinglahhh', 'gangguan', 'mulu', 'kau', 'terbaik', 'seindonesia', 'panteklah', 'duit', 'doang', 'dibanyakin', 'jaringan', 'diperbaikin', 'kualitasnya', 'gaguna', 'kau', '']</t>
  </si>
  <si>
    <t>['aplikasii', 'dongoooooooooo', 'beli', 'paket', 'ajh', 'persulit', 'dikit', 'ngeleg', 'pas', 'main', '']</t>
  </si>
  <si>
    <t>['', 'aplikasi', 'pakai', 'telkomsel', 'mohon', 'kau', 'tower', 'rumah', 'lahan', 'lemparin', 'batu', '']</t>
  </si>
  <si>
    <t>['towernya', 'ambruk', 'kali', 'jaringan', 'bapuk', 'manajemen', 'kinerja', 'maximal', 'kali', 'mengalami', 'telkomsel', 'super', 'bapuk']</t>
  </si>
  <si>
    <t>['lelet', 'jaringan', 'main', 'game', 'ping', 'turun', 'nggak', 'sampain', 'ping', 'merah', 'tolong', 'telkomsel', 'jaringan', 'benerin', 'bagus']</t>
  </si>
  <si>
    <t>['diupdate', 'eror', 'jaringan', 'bagus', 'tolong', 'ukuran', 'diperkecil', 'tetep', 'ringan', 'android', 'lemot', 'jaringan', 'bagus']</t>
  </si>
  <si>
    <t>['kasih', 'bintang', 'udah', 'update', 'gangguan', 'kebukaka', 'sinyal', 'kaya', 'bbi', 'gini', 'tah', 'profaider', 'wkwkwkwk', 'mikirrrttt']</t>
  </si>
  <si>
    <t>['telkomsel', 'maju', 'udah', 'paket', 'mahal', 'aplikasi', 'lamaaaaaaaa', 'buka', 'jaringan', 'kalah', 'indosat', '']</t>
  </si>
  <si>
    <t>['mengecewakan', 'aplikasinya', 'pikir', 'updatenya', 'aplikasi', 'akses', 'masuk', 'aplikasi', 'cepat', 'tolonglah', 'telkomsel', 'perbaiki', 'aplikasinya', 'harga', 'paketan', 'mahal', 'aplikasi', 'telkomsel', 'notifikasi', 'muncul', 'jaringan', 'sibuk', '']</t>
  </si>
  <si>
    <t>['aplikasi', 'infoin', 'min', 'bingung', 'pengguna', 'gini', 'ganti', 'kartu', 'ajah', 'pusinggg', '']</t>
  </si>
  <si>
    <t>['update', 'kayak', 'gini', 'nggak', 'akses', 'jaringan', 'udh', 'bagus', 'mohon', 'bantuannya', 'telkomsel', 'perbaiki', 'sistem', 'error', 'terima', 'kasih']</t>
  </si>
  <si>
    <t>['app', 'berjalan', 'dipakai', 'merugikan', 'pulsa', 'tersedot', 'puluhan', 'ribu', 'aktivasi', 'paket', 'internet', 'coba', 'install', 'ttp', 'dipakai', 'hft']</t>
  </si>
  <si>
    <t>['telkomsel', 'udh', 'bobrok', 'lupa', 'bumn', 'wkwkwk', 'pantes', 'jaringan', 'kayak', 'keong', 'udh', 'mahal', 'jaringan', 'kayak', 'keong', 'tingkat', 'masuk', 'jaring', 'terbaik', 'udh', 'puluhan', 'pakek', 'telkomsel', 'kali', 'kecewe', 'ngapain', '']</t>
  </si>
  <si>
    <t>['kecewa', 'semakain', 'sinyal', 'telkomsel', 'stabil', 'tinggal', 'perkotaan', 'harga', 'kwalitas', 'turun', 'jujur', 'kecewa', 'aplikasi', 'telkomsel', 'buka', 'tolong', 'perbaiki', 'min', 'kwalitasnya', 'mumpung', 'pelanggan', 'lari', '']</t>
  </si>
  <si>
    <t>['mahalnya', 'doang', 'lemot', 'lingkungan', 'padat', 'penduduk', 'sperti', 'kelurahan', 'kapuk', 'kec', 'cengkareng', 'jakarta', 'barat', 'pelanggan', 'tselnya', 'kuotanya', 'jaringan', 'quantitynya', 'seandainya', 'jatah', 'daerah', 'mbps', 'kecepatan', 'tambahin', 'pengguna', 'jatah', 'segitu', 'segitu', 'menyebabkan', 'kabel', 'wifi', 'sembraut', 'daerah', 'komplain', 'udah', 'manapun', 'perkembangan', 'kemajuan', '']</t>
  </si>
  <si>
    <t>['telkomsel', 'lelet', 'buka', 'telkomsel', 'berjam', 'jam', 'gagal', 'disayangkan', 'peminat', 'pemakai', 'telkomsel', 'lelet']</t>
  </si>
  <si>
    <t>['kuota', 'mahal', 'jaringannya', 'bagus', 'udah', 'mahal', 'jaringan', 'jelek', 'setabil', 'game', 'tolong', 'perbaikin', '']</t>
  </si>
  <si>
    <t>['maaf', 'gimana', 'kak', 'aplikasi', 'dibuka', 'transaksi', 'beli', 'kuota', 'belajar', 'udah', 'kuota', 'belajar', 'turun', 'pemerintah', 'beli', 'kuota', 'twitter', 'telkomsel', 'direspon', 'tolong', 'min', 'direspon', 'secepatnya', 'butuh', 'kuota']</t>
  </si>
  <si>
    <t>['semenjak', 'update', 'telkomsel', 'dibuka', 'kesalahan', 'sistem', 'refresh', 'sampe', 'uninstall', 'ajah', 'gitu', 'update', 'susah', 'males', 'bangetttt', 'gini', 'musti', 'lapor', 'keluhan', 'buka', '']</t>
  </si>
  <si>
    <t>['parah', 'dftar', 'pket', 'sbelumnya', 'connect', 'kebanyakan', 'gangguan', 'gmn', 'jaringan', 'terbaik', 'kyk', 'gni', 'ribet', '']</t>
  </si>
  <si>
    <t>['bis', 'update', 'buka', 'liat', 'komen', 'admin', 'suru', 'chat', 'coba', 'deh', 'admin', 'mending', 'fokus', 'betulin', 'beres', 'chat', '']</t>
  </si>
  <si>
    <t>['mahal', 'fitur', 'ampas', 'update', 'buka', 'jaringan', 'dasar', 'ampas', 'kaya', 'trs', 'kinerja', 'sampah', '']</t>
  </si>
  <si>
    <t>['kesini', 'ancur', 'tsel', 'udah', 'mahal', 'layanan', 'ancoorr', 'buka', 'aplikasi', 'tsel', 'susahnya', 'modar', 'jaringan', 'tsel', 'tolong', 'diperbaiki', 'konsumen', 'kelur', 'duit', 'gangguan']</t>
  </si>
  <si>
    <t>['aplikasi', 'update', 'ganti', 'tema', 'dll', 'eror', 'beli', 'pulsa', 'paket', 'data', 'aneh', 'team', 'development', 'blm']</t>
  </si>
  <si>
    <t>['parah', 'telkomnyet', 'harga', 'kuota', 'aplikasi', 'telkomsel', 'nggak', 'terjangkau', 'parahnya', 'kartu', 'utama', 'udh', 'harga', 'paketannya', 'mahal', 'giliran', 'adek', 'beli', 'kartu', 'dikasi', 'promo', 'mulu', 'adil', 'namanya', '']</t>
  </si>
  <si>
    <t>['aplikasinya', 'perluin', 'error', 'nggak', 'niatan', 'perbaiki', 'pelanggan', 'kecewa', 'nggak', 'kompensasi', 'ahsudalah', '']</t>
  </si>
  <si>
    <t>['app', 'update', 'daftar', 'paket', 'putih', 'layarnya', 'bagus', 'kecewakan', 'pelangganmu', 'telkomsel', 'download', 'ulang', 'putih', '']</t>
  </si>
  <si>
    <t>['sehabis', 'update', 'dibuka', 'udah', 'coba', 'uninstall', 'install', 'dibuka', 'loading', 'menerus', 'versi', 'berjalan', 'normal', 'komen', 'komen', 'mengeluh', 'perihal', 'versi', 'terbaru', 'telkomsel', 'please', 'solve', 'asap', '']</t>
  </si>
  <si>
    <t>['semenjak', 'update', 'aplikasi', 'lemot', 'gangguan', 'jaringan', 'normal', 'kaya', 'lancar', 'mohon', 'perbaiki', 'pengguna', 'nyaman']</t>
  </si>
  <si>
    <t>['udah', 'diupdate', 'bener', 'kacau', 'cek', 'kuota', 'gakbisa', 'udah', 'ganti', 'jaringan', 'wifi', 'data', 'seluler', 'hapus', 'cache', 'pengaturan', 'aplikasi', 'sampe', 'restart', 'hasilnya', 'solusinha', 'gimana', '']</t>
  </si>
  <si>
    <t>['upgrade', 'apk', 'telkomsel', 'dibuka', 'membeli', 'paket', 'data', 'susah', 'kecewa', 'pembaruan', 'sistemnya', 'error', 'gini', '']</t>
  </si>
  <si>
    <t>['sungguh', 'kecewa', 'sadis', 'buka', 'aplikasi', 'isi', 'kuota', 'kaga', 'ngaku', 'doang', 'terbaik', 'taunya', 'kecewa', 'telkomsel', 'mahal', 'kaga', 'intinya', 'kecewa', 'telkomsel', '']</t>
  </si>
  <si>
    <t>['hah', 'gimana', 'update', 'log', 'isi', 'konten', 'fiturnya', 'didalem', 'muat', 'jaringan', 'normal', 'mencoba', 'menghubungi', 'admin', 'menghubungi', 'admin', 'masuk', 'bantuan', 'admin', 'hahh', 'payaaaahhh', '']</t>
  </si>
  <si>
    <t>['tolong', 'perbaiki', 'masuk', 'apknya', 'jaringan', 'wifi', 'cepat', 'jaringannya', 'lelet', 'telkomsel', 'bangkrut', 'yaa', 'gini', 'orang', 'pindah', 'provider', 'aceh', 'aceh', 'barat', 'susah', 'pakai', 'provider', 'telkomsel', 'lelet', 'bermasalah']</t>
  </si>
  <si>
    <t>['update', 'engga', 'sinyal', 'jaringan', 'stabil', 'udah', 'berlangganan', 'thn', 'sinyal', 'bagus', 'kesini', 'sinyal', 'jelek', 'lemot', 'kuota', 'cepat', 'abis', 'ntah', 'hilang', 'kemana', 'tolong', 'perbarui', 'dengar', 'keluhan', 'konsumen']</t>
  </si>
  <si>
    <t>['update', 'berat', 'error', 'layanannya', 'check', 'klw', 'gini', 'check', 'blm', 'klaim', 'udah', 'error', 'telkomsel', 'poin', '']</t>
  </si>
  <si>
    <t>['update', 'parah', 'aplikasi', 'lemot', 'penawaran', 'kuota', 'tipu', 'tipu', 'kuita', 'gb', 'rb', 'pas', 'bayar', 'kesalahan', 'ulang', 'paraah', 'woiiiii', 'luciiik', 'menghabisi', 'kuota', 'orang', '']</t>
  </si>
  <si>
    <t>['aplikasi', 'telkomsel', 'jelek', 'jaringan', 'bagus', 'muncul', 'layanan', 'bagus', 'mempernyaman', 'pengguna', 'pengguna', 'nyaman', '']</t>
  </si>
  <si>
    <t>['tolong', 'perbaiki', 'pelayanannya', 'dipake', 'gangguan', 'mulu', 'urgent', 'beli', 'kuota', 'gangguan', 'kecewa']</t>
  </si>
  <si>
    <t>['kecewa', 'pas', 'beli', 'paket', 'internet', 'telkomsel', 'tampilan', 'daftar', 'paket', 'internetnya', 'gangguan']</t>
  </si>
  <si>
    <t>['dear', 'developer', 'berganti', 'device', 'mengalami', 'gangguan', 'disaat', 'loading', 'app', 'tertulis', 'unable', 'load', 'server', 'datanya', 'trafficnya', 'appnya', 'device', 'redmi', 'note', 'poco', 'mohon', 'diperbaiki', 'terimakasih', '']</t>
  </si>
  <si>
    <t>['aplikasi', 'mengupdet', 'apk', 'cek', 'kuota', 'beli', 'kuota', 'gimana', 'ktanya', 'jriangan', 'bagus', 'indonesia', 'kek', 'gini', 'kah', 'jaringan', 'bagus']</t>
  </si>
  <si>
    <t>['apl', 'update', 'lancar', 'lemot', 'kayak', 'gini', 'menghambat', 'costumer', 'dulunya', 'suka', 'jengkel', '']</t>
  </si>
  <si>
    <t>['aplikasi', 'berguna', 'membuka', 'aplikasi', 'menunggu', 'berjam', 'jam', 'parahnya', 'udah', 'terbuka', 'memuat', 'halaman', 'kesalan', 'sistem', 'memuat', 'informasi', 'kouta']</t>
  </si>
  <si>
    <t>['diupdate', 'dibuka', 'beli', 'kuota', 'nunggu', 'berjam', 'update', 'tujuan', 'susah', 'tmbah', 'stress', 'suruh', 'hub', 'menu', 'bantuan', 'via', 'aplikasi', 'kocak', 'ngerti', 'definisi', 'aplikasi', 'dibuka', 'benerin', 'cepetan', 'stress', '']</t>
  </si>
  <si>
    <t>['telkomsel', 'maunya', 'gimana', 'aplikasi', 'jaringannya', 'udah', 'bener', 'koneksi', 'buka', 'aplikasi', 'telkomsel', 'sinyal', 'turun', 'kadang', 'akses', 'muat', 'ulang', 'mulu', 'buka', 'aplikasi', 'lancar', 'jaya', 'hotspot', 'orang', 'provider', 'akses', 'lancar', 'jaya', 'giliran', 'masuk', 'telkomsel', 'susahnya', 'ampun', 'muak', 'gua']</t>
  </si>
  <si>
    <t>['aplikasi', 'super', 'lemot', 'buka', 'loadingnya', 'luamaaaaa', 'sekelas', 'telkomsel', 'buruk', 'aplikasinya', 'butuh', 'beli', 'paket', 'udah', 'uninstall', '']</t>
  </si>
  <si>
    <t>['update', 'masuk', 'liat', 'sisa', 'pulsa', 'kuota', 'gagal', 'memuat', 'payah', 'kirim', 'foto', 'kirim', 'schrenshot', 'tampilan', 'telkomsel', 'lelet']</t>
  </si>
  <si>
    <t>['', 'aplikasi', 'cek', 'kuota', 'beli', 'pulsa', 'sayang', 'sinyalnya', 'lelet', 'lemot', 'tolong', 'min', 'perbaiki', 'tingkatkan', 'sinyalnya', 'mengalami', 'lemot', 'telkomselnya']</t>
  </si>
  <si>
    <t>['update', 'parah', 'blank', 'putih', 'kotak', 'tulisannya', 'tolong', 'perbaiki', 'terima', 'kasih']</t>
  </si>
  <si>
    <t>['buka', 'aplikasi', 'layar', 'putih', 'kesalahan', 'sistem', 'orang', 'lulusan', 'kampus', 'benerin', 'kaya', 'gini', 'doang', 'sulit', 'kalah', 'saing', 'freshgraduate', 'lulusan', 'kampus', 'swasta']</t>
  </si>
  <si>
    <t>['apaansih', 'kesel', 'aihh', 'diupdate', 'kebuka', 'orang', 'jaringan', 'diupdate', 'bagus', 'malas', 'buruk', 'hadeh', 'jaman', 'kinerja', 'aplikasi', 'kayak', 'gini', 'parahnya', 'mengalami', 'kendala', 'tolong', 'sistem', 'bagus', 'mending', 'gausah', 'deh', 'sok', 'ciptain', 'terbaru', '']</t>
  </si>
  <si>
    <t>['aplikasi', 'jelek', 'boobng', '']</t>
  </si>
  <si>
    <t>['update', 'buruk', 'coba', 'aplikasi', 'pelanggannya', 'nyaman', 'pelanggannya', 'marah', 'buang', 'kuota', 'download', 'udh', 'download', 'pas', 'dibuka', 'layar', 'putih', 'berilah', 'kenyamanan', 'pembuat', 'aplikasi', 'telkomsel', 'mementingkan', 'uang', 'pentingkan', 'pelanggannya', 'pelanggan', 'berpikirlah', 'bertindak', '']</t>
  </si>
  <si>
    <t>['kacaaau', 'download', 'app', 'telkomsel', 'mestinya', 'layarnya', 'putih', 'cek', 'sisa', 'kuota', 'sisa', 'pulsa', 'susahnya', 'main', '']</t>
  </si>
  <si>
    <t>['jaringan', 'bagus', 'buka', 'aplikasi', 'lancar', 'pas', 'buka', 'telkomsel', 'cuman', 'warna', 'putih', 'gambar', 'ayo', 'telkomsel', 'pelanggan', 'kecewa', 'sampe', 'habis', 'update', 'sistem', 'bermasalah', 'cepet', 'perbaiki', 'terima', 'kasih']</t>
  </si>
  <si>
    <t>['jelek', 'bangat', 'diliat', 'bagus', 'masah', 'nggak']</t>
  </si>
  <si>
    <t>['apk', 'buka', 'koneksi', 'stabil', 'udah', 'minjem', 'hotspot', 'kakak', 'lancar', 'beli', 'kuota', 'mahal', 'doang', 'lancarnya', 'kagak']</t>
  </si>
  <si>
    <t>['update', 'nguras', 'kuota', 'aplikasi', 'lelet', 'buka', 'pas', 'buka', 'suruh', 'muat', 'ulang', 'sistem', 'error', 'maunya']</t>
  </si>
  <si>
    <t>['aktifin', 'paket', 'aplikasi', 'muter', 'doang', 'sore', 'jaringan', 'muter', 'lemot']</t>
  </si>
  <si>
    <t>['versi', 'lemot', 'gagal', 'beli', 'paket', 'unable', 'load', 'pakai', 'wifi', 'ngetik', 'google', 'play', 'lancar', '']</t>
  </si>
  <si>
    <t>['masuk', 'notifikasi', 'promo', 'paket', 'murah', 'pas', 'dibuka', 'trus', 'aplikasi', 'sulit', 'konek', 'dibuka', '']</t>
  </si>
  <si>
    <t>['simpati', 'jaringan', 'benerin', 'beli', 'paket', 'mhal', 'sinyal', 'hilang', 'mulu', 'tolong', 'respon', 'apk', 'habis', 'update', 'buka', 'pakek', 'sinyal', 'internet', 'telkomsel', 'pelanggan', 'pindah', 'kayak', 'gini', 'paket', 'mahal', 'doang', 'kecewa', 'pakek', '']</t>
  </si>
  <si>
    <t>['aplikasi', 'banget', 'loading', 'bukanya', 'trus', 'internetnya', 'lemot', 'harga', 'kuotanya', 'mahal', 'provider', 'internetnya', 'cepet', 'lambat', 'bener']</t>
  </si>
  <si>
    <t>['', 'telkomsel', 'dibuka', 'semenjak', 'updated', 'versi', 'alesan', 'kuota', 'kuota', 'msh', 'coba', 'wifi', 'tetep', 'gkbs', 'dibuka', 'gimana', 'isi', 'paket', 'tolong', 'diperbaiki', 'bug', 'aplikasi', 'lancar', 'kembalikan', 'versi', 'terimakasih', '']</t>
  </si>
  <si>
    <t>['maaf', 'aplikasi', 'update', 'terbaru', 'menunggu', 'kuota', 'pulsa', 'miliki', 'terkadang', 'menu', 'unable', 'load', 'jaringan', 'stabil', 'mohon', 'update', 'tampilannya', 'ditingkatkan', 'proses', 'load', 'datanya', 'dibebankan', 'pelanggan', 'menunggu', 'terimakasih', '']</t>
  </si>
  <si>
    <t>['kecewa', 'jaringan', 'dibandingkan', 'kompetitor', 'kecepatan', 'ping', 'sim', 'card', 'murah', '']</t>
  </si>
  <si>
    <t>['telkomsel', 'banget', 'gangguan', 'jaringan', 'internetnya', 'udah', 'mah', 'mahal', 'kenaikan', 'tarif', 'pemberitahuan', 'mohon', 'diperbaiki', 'pelayanannya', 'kualitasnya', 'sesuai', 'harga', 'tarif', 'mahal']</t>
  </si>
  <si>
    <t>['udah', 'tahan', 'asli', 'pengen', 'ganti', 'provider', 'sayang', 'msh', 'nomor', 'karna', 'udh', 'terlanjur', 'kerjaan', 'karna', 'ganti', 'nomor', 'ganti', 'rezeki', 'banyaknya', 'complaint', 'perbaiki', 'parah', 'stack', 'situ', 'buka', 'aplikasi', 'beli', 'kouta', 'udh', 'berhari', 'buka', 'aplikasinya', '']</t>
  </si>
  <si>
    <t>['tolong', 'masuk', 'app', 'telkomsel', 'dipersulit', 'susah', 'perpanjang', 'aktif', 'paket', 'internet', 'sebel', 'jam', 'habis', 'buka', 'aplikasi', 'sulit', 'banget', 'terimakasih']</t>
  </si>
  <si>
    <t>['diupdate', 'gabisa', 'loading', 'update', 'review', 'udh', 'appnya', 'launching', 'pembaruannya', 'min', '']</t>
  </si>
  <si>
    <t>['bis', 'diperbaharui', 'susah', 'dibuka', 'pelanggan', 'setia', 'telkomsel', 'kecewa', 'aplikasi', 'diperbaiki', 'kacau', 'sekelas', 'telkomsel', '']</t>
  </si>
  <si>
    <t>['udah', 'jaringan', 'telkomsel', 'buruk', 'internet', 'susah', 'gunain', 'paketan', 'jaringan', 'kek', 'gini', 'kecewa', 'banget', 'telkomse', '']</t>
  </si>
  <si>
    <t>['bagus', 'aplikasi', 'update', 'dibuka', 'gangguan', 'mohon', 'maaf', 'uninstal', 'kmbali', 'aplikasinya', 'downlod', 'solusi', 'pelanggan', 'telkomsel', 'lancar', '']</t>
  </si>
  <si>
    <t>['ngawas', 'bug', 'bego', 'banget', 'unstable', 'network', 'palalu', 'peang', 'jaringan', 'bagus', 'gini', 'jaringan', 'unstable', 'network', 'jelek', 'telkomsel', 'banget', 'bego', '']</t>
  </si>
  <si>
    <t>['gimana', 'cerita', 'dev', 'beli', 'kouta', 'dibuka', 'gini', 'loading', 'doang', 'paket', 'sisa', 'kouta', 'tolong', 'mudah', 'susah']</t>
  </si>
  <si>
    <t>['updetan', 'lemot', 'cek', 'jaringan', 'buka', 'aplikasi', 'sosial', 'media', 'gam', 'pubg', 'mobile', 'lagen', 'lancar', 'buka', 'telkomsel', 'respon', 'suru', 'coba', 'sebgainya', 'mohon', 'perbaik', 'udah', 'kasih', 'bintang', '']</t>
  </si>
  <si>
    <t>['habis', 'update', 'tampilan', 'jdi', 'susah', 'buka', 'apk', 'tampilan', 'putih', 'isi', 'update', 'perbaikan', 'bug', 'cepat', 'lelet', '']</t>
  </si>
  <si>
    <t>['aplikasi', 'tolol', 'lemot', 'ampun', 'ngebug', 'mulu', 'memuat', 'gimana', 'kesalahan', 'sistem', 'mulu', 'apk', 'emosi', 'doang', 'bisanya', 'super', 'lemot']</t>
  </si>
  <si>
    <t>['', 'koneksi', 'stabil', 'maksudnya', 'isi', 'pulsa', 'data', 'dimatiin', 'berkurang', 'gitu', 'mending', 'update', '']</t>
  </si>
  <si>
    <t>['kartu', 'telkomsel', 'nomor', 'pelanggan', 'setia', 'harga', 'paket', 'promo', 'murah', 'mahal', 'harganya', 'kartu', 'telkomsel', 'promo', 'internetnya', 'murah', 'nomor', 'setia', 'gonta', 'ganti', 'nomor', 'pelanggan', 'setia', 'dianggap', 'gitu', 'astaghfirullah', '']</t>
  </si>
  <si>
    <t>['jelek', 'apk', 'loading', 'makan', 'paket', 'data', 'lagiiii', 'buka', 'apk', 'paket', 'data', 'nggak', 'paket', 'data', 'nggak', 'loading', 'sungguh', 'meresahkannn', '']</t>
  </si>
  <si>
    <t>['semenjak', 'abis', 'update', 'gabisa', 'buka', 'layar', 'putih', 'doang', 'apus', 'instal', 'ulang', 'tetep', 'main', 'game', 'sinyal', 'down', 'gajelas', 'niat', 'layanan', 'harga', 'doang', 'mahal', 'pelayanan', 'sesuai', 'komplen', 'disni', 'suruh', 'twiter', 'aplikasi', 'playstore', 'komplen', 'twiter', 'nyambung', '']</t>
  </si>
  <si>
    <t>['haloo', 'telkomsel', 'gimana', 'isi', 'plsa', 'buka', 'telkomsel', 'buka', 'tampilan', 'update', 'unable', 'load', '']</t>
  </si>
  <si>
    <t>['lambat', 'koneksi', 'mengganggu', 'kinerja', 'aplikasi', 'mbanking', 'lemot', 'hbis', 'update', 'menyebalkan', 'terpaksa', 'dibuang', 'sampah', 'bye']</t>
  </si>
  <si>
    <t>['pembaruannya', 'ngapain', 'ubah', 'ikon', 'nyusahin', 'orang', 'buka', 'aplikasi', 'gitu', 'internet', 'lanca', 'lancar', 'ngecek', 'beli', 'kouta', 'susah', 'banget', 'buka', 'aplikasi', 'kebuka', 'buka', 'sekalinya', 'kebuka', 'tampilan', 'mending', 'versi', 'kemarin', 'udh', 'bagus', 'jengkel', '']</t>
  </si>
  <si>
    <t>['parah', 'semenjak', 'update', 'beli', 'paket', 'buka', 'sejam', 'bsa', 'mnding', 'update', 'woy', 'susah', 'gni', 'mending', 'pindah', 'kartu', 'laen']</t>
  </si>
  <si>
    <t>['buka', 'aplikasi', 'sedot', 'pulsa', 'aplikasi', 'enggk', 'telkomsel', 'udahan', 'barusan', 'isi', 'pulsa', 'buka', 'aplikasi', 'langsung', 'kesedot', 'gtu', 'udah', 'gtu', 'eror', 'jaringan', 'isi', 'pulsa', 'maketin', '']</t>
  </si>
  <si>
    <t>['apk', 'pakek', 'terbaru', 'nggk', 'buka', 'gangguan', 'trus', 'udh', 'jaringan', 'coba', 'blank', 'putih', 'tlong', 'pengembangnya', 'pakek', 'berpengalaman', 'uang', 'ngembangin', 'software', 'jngan', 'korupsi', 'smua', 'tolol']</t>
  </si>
  <si>
    <t>['sinyal', 'wifi', 'bagus', 'bilangnya', 'koneksi', 'bermasalah', 'buka', 'youtube', 'lancar', 'buka', 'aplikasi', 'gada', 'jaringan', 'beki', 'kuota', 'sampe', 'besok', 'beres', 'bye', 'telkomsel']</t>
  </si>
  <si>
    <t>['parah', 'aplikasi', 'eror', 'gajelas', 'layar', 'putih', 'muncul', 'aneh', 'jaringan', 'terluas', 'tpi', 'kualitas', 'kek', 'gini', 'tolong', 'telkomsel', 'optimalkan', '']</t>
  </si>
  <si>
    <t>['hallo', 'telkomsel', 'knpa', 'masuk', 'telkomsel', 'sll', 'susah', 'keterangan', 'unable', 'load', 'kayak', 'cba', 'lihat', 'telkomsel', 'suami', 'pdhl', 'kuota', 'rencana', 'beli', 'kuota', 'susah', 'mohon', 'perbaiki', 'sistem', 'coba', 'berkali', 'internet', 'bagus', 'tpi', 'masuk', 'telkomsel', 'unable', 'load', 'trus', '']</t>
  </si>
  <si>
    <t>['selamat', 'telkomsel', 'tampilan', 'nyusahin', 'aplikasinya', 'sulit', 'diakses', 'berulang', 'kali', 'uninstal', 'instal', 'akses', 'nihil', 'akses', 'fitur', 'aplikasi', 'syukur', 'aplikasinya', 'kebuka']</t>
  </si>
  <si>
    <t>['update', 'engga', 'peeubahan', 'server', 'down', 'jaringan', 'data', 'wifi', 'jaringan', 'membuka', 'aplikasi', 'aplikasi', 'mytelkomsel', 'emang', 'berguna', 'semoga', 'bad', 'rating', 'app']</t>
  </si>
  <si>
    <t>['woi', 'apk', 'jaringannya', 'cacad', 'pelayanan', 'bagus', 'kuota', 'jngan', 'mahalin', 'udah', 'bayar', 'kuota', 'mahal', 'jaringan', 'kek', 'gini']</t>
  </si>
  <si>
    <t>['update', 'loading', 'unable', 'load', 'menit', 'tetep', 'gabisa', 'dibuka', '']</t>
  </si>
  <si>
    <t>['', 'aneh', 'update', 'susah', 'buka', 'buka', 'reload', 'mulu', 'gini', 'aplikasi', 'udah', 'nyaman', 'aplikasi', 'tolong', 'perbaiki', 'makasih']</t>
  </si>
  <si>
    <t>['mengecewakan', 'paketan', 'mahal', 'koneksi', 'tetep', 'lemot', 'komplen', 'serasa', 'tutup', 'mata', 'mendengar', 'memperbaiki', 'keluhan', 'pelanggan', '']</t>
  </si>
  <si>
    <t>['maaf', 'uni', 'instalasi', 'user', 'knpa', 'smnjak', 'aplikasinya', 'update', 'lemot', 'buka', 'komi', 'pengaruh', 'salam', 'sehat', '']</t>
  </si>
  <si>
    <t>['', 'aplikasi', 'upgrade', 'bkn', 'bagus', 'parah', 'lemot', 'buka', 'aplikasi', 'lemot', 'beli', 'paket', 'kuotanya', 'lbh', 'murah', 'aplikasinya', 'aplikasinya', 'pst', 'lbh', 'bnyk', 'digunain', 'smua', 'pengguna', 'telkomsel', 'tolonglah', 'bnr', 'server', 'jaringan', 'mnt', 'upgrade', 'doang', 'malu', 'min', 'tetangga', 'sebelah', 'kartu', 'bnyk', 'digunain', 'org', 'indonesia']</t>
  </si>
  <si>
    <t>['dear', 'all', 'team', 'telkomsel', 'gangguan', 'malam', 'buka', 'aplikasi', 'muncul', 'informasi', 'kartu', 'gangguan', 'mohon', 'aplikasi', 'error', 'server', 'mohon', 'menangani', 'permasalahan', 'customer', '']</t>
  </si>
  <si>
    <t>['yaelah', 'diperbarui', 'mlah', 'nggk', 'ngecek', 'data', 'memuat', 'mulu', 'udah', 'dihpus', 'diinstal', 'ttap', 'mending', 'nggak', 'diperbarui', 'gini', '']</t>
  </si>
  <si>
    <t>['udah', 'buru', 'isi', 'pulsa', 'beli', 'kuota', 'app', 'urgent', 'ehh', 'skrg', 'tampilan', 'terbaru', 'lemot', 'app', 'masuk', '']</t>
  </si>
  <si>
    <t>['gimana', 'abis', 'update', 'gabisa', 'buka', 'mahal', 'sinyal', 'lemot', 'mahal', 'sinyal', 'oke', 'bagus', 'maklum', 'mahal', 'jelek', 'sinyal', 'gimana', 'pelayanan', 'bkin', 'emosi', 'mengecewakan', 'sumpah', 'telkomsel']</t>
  </si>
  <si>
    <t>['parah', 'jaringan', 'telkomsel', 'terjelek', 'sejagad', 'raya', 'parah', 'parah', 'parah', 'mytelkomsel', 'buka', '']</t>
  </si>
  <si>
    <t>['update', 'diikuti', 'perubahan', 'logo', 'aplikasi', 'menampilkan', 'informasi', 'update', 'loading', 'melulu', 'terhubung', 'server', 'sinyal', 'kendala', 'uninstall', 'install', 'tetep', 'hmmm', 'semoga', 'diperbaiki', '']</t>
  </si>
  <si>
    <t>['aplikasi', 'dipake', 'udah', 'hapus', 'cache', 'hapus', 'data', 'uninstall', 'download', 'tetep', 'dipake', '']</t>
  </si>
  <si>
    <t>['app', 'update', 'parah', 'poin', 'udah', 'ampir', 'poin', 'udah', 'kirim', 'keluhannya', 'tsel', 'respon', 'parah', 'kecewa', 'banget', 'update', 'kali', '']</t>
  </si>
  <si>
    <t>['pengguna', 'setia', 'telkomsel', 'berasa', 'dikecewakan', 'jaringan', 'app', 'diperbaharui', 'lambat', 'tolong', 'pelayanan', 'jaringan', 'diutamakan', 'menerus', 'update', 'aplikasi', '']</t>
  </si>
  <si>
    <t>['diperbaharui', 'ancur', 'telkomsel', 'terbaik', 'terbalik', 'aplikasi', 'sungguh', 'mengecewakan', '']</t>
  </si>
  <si>
    <t>['aplikasi', 'lelet', 'susah', 'beli', 'paket', 'buka', 'layak', 'kasih', 'bintang', 'kenapaaa', 'mytelkomsel', 'buka', 'woyyyyy']</t>
  </si>
  <si>
    <t>['jaringan', 'bagus', 'aplikasinya', 'baguskah', 'update', 'memuat', 'periksa', 'koneksi', '']</t>
  </si>
  <si>
    <t>['mohon', 'admin', 'konfirmasinya', 'jaringan', 'area', 'serdang', 'bedagai', 'lambat', 'sipispis', 'buka', 'app', 'mytelkomsel', 'layar', 'putih', 'bertulis', 'koneksi', 'hostpot', 'layar', 'putih', 'app', 'bermasalah', 'update', 'telkomsel', 'menjanjikan', 'lihat', 'rating', 'turun', 'kecewa', 'pelayanannya', 'kuota', 'beli', 'ngawur', 'paket', 'disajikan', '']</t>
  </si>
  <si>
    <t>['profesional', 'apk', 'lemot', 'parah', 'mohon', 'diperbaiki', 'kartu', 'mahalan', 'kartu', 'sistemnya', 'gimana', '']</t>
  </si>
  <si>
    <t>['apk', 'nyh', 'jalanin', 'muat', 'ulang', 'signal', 'bagus', 'beli', 'paket', 'apk', 'tolong', 'diperbaiki']</t>
  </si>
  <si>
    <t>['jaringan', 'oke', 'app', 'telkomsel', 'sumpah', 'parah', 'banget', 'app', 'berjalan', 'super', 'mulus', 'gangguan', 'internet', 'telkomsel', 'susah', 'banget', 'akses', 'keterangan', 'signal', 'stabil', 'serius', 'udah', 'update', 'tetep', 'samaaaa', 'pas', 'ngasih', 'ulasan', 'udah', 'menitan', 'buka', 'telkomsel', 'beli', 'paket', 'ampuuuuuuunnnnnn', '']</t>
  </si>
  <si>
    <t>['aplikasi', 'buka', 'beli', 'paket', 'bang', 'tolong', 'perbaiki', 'secepatnya', 'hotspot', 'temen', 'buka', 'youtube', 'enak', 'tolong', 'nonton', 'live', 'brando', 'bocil', 'kematian']</t>
  </si>
  <si>
    <t>['beli', 'paket', 'susah', 'gmna', 'gratis', 'buka', 'aplikasi', 'koneksi', 'buruk', 'udh', 'pakai', 'wifi', 'aplikasi', 'sampah']</t>
  </si>
  <si>
    <t>['maaf', 'apk', 'update', 'apk', 'error', 'system', 'loading', 'tolong', 'perbaiki', 'terimakasih']</t>
  </si>
  <si>
    <t>['beli', 'kuota', 'gamesmax', 'pubg', 'mobile', 'jaringannyatidak', 'stabil', 'operator', 'kah', 'telkomsel', 'kualitas', 'internet', 'buruk', '']</t>
  </si>
  <si>
    <t>['udah', 'update', 'kayak', 'gini', 'nunjukin', 'data', 'pengguna', 'sejam', 'nungguin', 'nongol', 'nongol', 'nongol', 'putih', 'tolong', 'perbaiki']</t>
  </si>
  <si>
    <t>['kecewa', 'aplikasi', 'sebenernya', 'bagus', 'aplikasinya', 'membantu', 'banget', 'gangguannya', 'sinyal', 'bagus', 'muat', 'ulang']</t>
  </si>
  <si>
    <t>['susah', 'banget', 'allah', 'buka', 'aplikasinya', 'doang', 'beli', 'kuota', 'butuh', 'banget', 'kuota', 'gini', 'banget', '']</t>
  </si>
  <si>
    <t>['update', 'juni', 'tolong', 'diperbaiki', 'admin', 'update', 'lambat', 'proses', 'transaksi', 'error', 'mohon', 'ditanggapi', 'karna', 'puas', 'aplikasi', 'telkomsel', 'trimakasi', '']</t>
  </si>
  <si>
    <t>['semenjak', 'update', 'telkomsel', 'susah', 'masuk', 'muncul', 'tulisan', 'kesalahan', 'memeriksa', 'paket', 'pertimbangkan', 'dlu', 'pengguna', 'telkomsel', 'nyaman']</t>
  </si>
  <si>
    <t>['respon', 'customer', 'servicenya', 'lambat', 'aplikasi', 'error', 'pilihan', 'paket', 'mengecek', 'pulsa', 'via', 'aplikasi', 'harap', 'perbaikiiiiiii', '']</t>
  </si>
  <si>
    <t>['buruk', 'eror', 'loading', 'mulu', 'trus', 'eror', 'tolong', 'ditingkatkan', 'mahal', 'pelayanan', 'kualitas', 'kayak', 'gini', '']</t>
  </si>
  <si>
    <t>['udah', 'update', 'telkomsel', 'pas', 'loading', 'banget', 'musti', 'nunggu', 'ngantuk', 'loading', 'banget', '']</t>
  </si>
  <si>
    <t>['astaghfirullah', 'udah', 'update', 'buruk', 'susah', 'banget', 'diakses', 'beli', 'paket', 'muncul', 'daftar', 'paket', 'loading', 'mulu', 'pascabayar', 'deh', 'langganan', 'pascabayar', 'pascabayar', 'byk', 'hak', 'istimewa', 'buktinya', 'buka', 'mytelkomsel', 'susahnya', 'ampun', 'parah', '']</t>
  </si>
  <si>
    <t>['haduh', 'untung', 'banting', 'sore', 'sampe', 'aplikasi', 'loading', 'mulu', 'login', 'gimana', 'telkom', '']</t>
  </si>
  <si>
    <t>['mytelkomsel', 'loading', 'mulu', 'koneksi', 'bagus', 'loadingnya', 'kelar', 'kelar', 'pasang', 'paketan', 'tolong', 'benarkan', '']</t>
  </si>
  <si>
    <t>['daily', 'check', 'tolong', 'donk', 'jngan', 'pulsa', 'kebeli', 'pulsa', 'pengangguran', 'karna', 'coved', 'mengharapkan', 'gratisan', 'telkomsel', '']</t>
  </si>
  <si>
    <t>['susah', 'buka', 'menu', 'berbelit', 'kecewa', 'perubahan', 'sempurnakan', 'publikasikan', 'app', 'cacat', 'publis']</t>
  </si>
  <si>
    <t>['', 'apk', 'buka', 'buka', 'isi', 'putih', 'sinyal', 'oke', 'buka', 'apk', 'buka', 'apk', 'lelet', 'ampun', 'tolong', 'perbaiki', 'min', 'udah', 'emosi', 'hedeuhhh']</t>
  </si>
  <si>
    <t>['telkomsel', 'eror', 'diperbarui', 'dibuka', 'dihps', 'download', 'ulang', 'layar', 'gambar', 'putih', 'pakai', 'berthn', 'kali', 'kayanya', 'eror', 'tolong', 'dibenahin', '']</t>
  </si>
  <si>
    <t>['', 'suruh', 'update', 'udah', 'update', 'udah', 'update', 'gimana', 'kasih', 'nilai', 'poor', 'sesuai', 'fakta']</t>
  </si>
  <si>
    <t>['halo', 'telkomsel', 'bangkrut', 'gimana', 'jaringan', 'lelet', 'harga', 'mahal', 'deuhhh', 'aplikasi', 'telkomsel', 'susah', 'diakses', 'loadingggggh', 'jengkel', '']</t>
  </si>
  <si>
    <t>['niat', 'aplikasi', 'asli', 'lagg', 'banget', 'bukaa', 'app', 'aplikasi', 'lancar', 'jaringan', 'lelet', 'banget', 'beli', 'paket', 'telkomsel', 'aplikasi', 'sampah', 'gausah', 'dwonloaddd', 'awas', 'nyesel', 'download', 'yaaa', '']</t>
  </si>
  <si>
    <t>['gimana', 'aplikasi', 'susah', 'bener', 'dibuka', 'iya', 'dibuka', 'download', 'habis', 'ngecek', 'nggak', '']</t>
  </si>
  <si>
    <t>['ngapain', 'update', 'lola', 'lemoot', 'banget', 'gangguan', 'mulu', 'nggk', 'lancar', 'karna', 'perbaikan', 'bug', 'lemot', 'transaksi', 'gagal', 'trs', '']</t>
  </si>
  <si>
    <t>['mytelkomsel', 'date', 'update', 'memuat', 'muncul', 'menu', 'internet', 'internet', 'lemot', 'gangguan', 'update']</t>
  </si>
  <si>
    <t>['emang', 'kesalahan', 'sistem', 'telkomsel', 'cek', 'kuota', 'isi', 'internet', 'isi', 'pulsa', 'kuota', 'sekarat', 'kepake', 'gb', 'telkomsel', 'udah', 'sisa', 'gb', 'sayakan', 'pesen', 'gb', 'adil', 'main', 'dipotong', 'orang', 'tua', 'sampe', 'percaya', 'hemat', 'kuota', 'dibilang', 'boros', 'tolong', 'keadilan', 'samakan', 'orang', 'kaya', 'pandang', 'plis', '']</t>
  </si>
  <si>
    <t>['aplikasi', 'penipu', 'jaringan', 'terbaik', 'terburuk', 'berkali', 'upgrade', 'upgrade', 'susah', 'masuk', 'koneksi', 'stabil', 'memuat', 'tampilkan', 'kuota', 'internet', 'terbuang', 'sia', 'mendownload', 'upgrade']</t>
  </si>
  <si>
    <t>['telkomsel', 'gimana', 'aplikasinya', 'parah', 'dibuka', 'sinyal', 'jelek', 'kayak', 'tlong', 'perbaiki', 'gini', 'trus', 'males', 'telkomsel', 'udah', 'mahal', 'mengecewakan', '']</t>
  </si>
  <si>
    <t>['susah', 'masuk', 'aplikasi', 'signal', 'full', 'kb', 'disuruh', 'refresh', 'sampe', 'masuk', 'penilaian', 'bintang', 'skrg', 'turuni', 'diperbaharui', 'aplikasinya', 'susah', 'masuk', 'kesel', 'bener']</t>
  </si>
  <si>
    <t>['woy', 'apk', 'dibuka', 'udh', 'kali', 'gua', 'buka', 'tetep', 'putih', 'gua', 'mao', 'beli', 'paket', 'apk', 'kuota', 'gua', 'tinggal', 'dikit', 'sengaja', 'pulsa', 'gua', 'kesedot', 'karna', 'paket', 'gua', 'mao', 'abis', 'sampe', 'akun', 'email', 'gua', 'gua', 'kasih', 'bintang', 'apk', 'kau', 'jaringan', 'malem', 'jam', 'lemot', 'jakarta', '']</t>
  </si>
  <si>
    <t>['aplikasi', 'halaman', 'termuat', 'sistem', 'halaman', 'berfungsi', 'bertransaksi', 'sekedar', 'mengecek', 'kuota', 'pulsa']</t>
  </si>
  <si>
    <t>['', 'buruk', 'gimana', 'chek', 'kuota', 'pulsa', 'blank', 'something', 'wrong', 'blablablabla', 'abal']</t>
  </si>
  <si>
    <t>['gimana', 'update', 'buka', 'udah', 'jaringan', 'jelek', 'komplain', 'jawabannya', 'ganggu', 'trs', '']</t>
  </si>
  <si>
    <t>['halo', 'telkomsel', 'jaringannya', 'lemot', 'pelanggan', 'kecewa', 'sistem', 'sibuk', 'sibuk', 'coba', 'rumpi', 'pelayanan', 'publik', 'memuaskan', 'jawabannya', 'respon', 'kebanyakan', 'rekomendasi', 'nggak', 'mohon', 'tingkatkan', 'kinerjanya', '']</t>
  </si>
  <si>
    <t>['update', 'jelek', 'logonya', 'jelek', 'loading', 'memuat', 'buka', 'youtube', 'lancar', 'beli', 'paket', 'susah', 'aneh', 'orng', 'nyaman', 'bagus', 'susah', '']</t>
  </si>
  <si>
    <t>['gimana', 'woiii', 'gabisa', 'buka', 'jaringan', 'full', 'tetep', 'muat', 'coba', 'udh', 'restart', 'tetep', 'ampun', 'dahhhhh', 'semenjak', 'updet', 'kek', 'gini', 'terusss', 'sengaja', 'kasih', 'bintang', '']</t>
  </si>
  <si>
    <t>['sinyal', 'jelek', 'banget', 'paketannya', 'mahal', 'koneksi', 'harga', 'sebanding', 'kecewa', 'banget', 'apps', 'emang', 'bagus', 'kualitas', 'sinyal', 'samsek', 'edit', 'over', 'all', 'kaya', 'ditambah', 'update', 'apps', 'banget', 'system', 'error', 'udah', 'refresh', 'berulang', 'kali', 'tetep', 'error', 'sampe', 'install', 'ulang', 'apps', 'start', 'hape', 'off', 'mode', 'terbang', 'efek', 'tetep', 'error', 'jga', '']</t>
  </si>
  <si>
    <t>['knpa', 'update', 'versi', 'buka', 'cuman', 'layar', 'putih', 'udh', 'hapus', 'instal', 'hasilnya', 'beli', 'paket', 'bgni', 'trus', 'tolong', 'jwabnnya', '']</t>
  </si>
  <si>
    <t>['telkomsel', 'kesininya', 'buruk', 'konsumen', 'kecewa', 'pengen', 'beralih', 'perdana', '']</t>
  </si>
  <si>
    <t>['ngeluh', 'maaf', 'kak', 'follow', 'telkomsel', 'perusahaan', 'bumn', 'cari', 'keuntungan', 'diluar', 'bintang', 'kasih', 'nol', 'bintang', 'menyesal', 'update', 'download', 'update', 'sia', 'kecewa', 'mengecewakan', 'updete', 'buka', 'mending', 'ganti', 'kartu', 'kecewa', 'makai', 'telkomsel', 'smart', 'preen', 'dada', 'telkomsel']</t>
  </si>
  <si>
    <t>['semenjak', 'update', 'aplikasi', 'buka', 'download', 'hapus', 'berkali', 'kali', 'nyusahin', 'orang', 'sekelas', 'telkomsel', 'apalikasi', 'becus', 'kalah', 'dibawahnya', 'tolong', 'perbaiki']</t>
  </si>
  <si>
    <t>['sinyal', 'stabil', 'harga', 'mahal', 'undian', 'ngga', 'menang', 'udah', 'tukar', 'poin', 'pengundian', 'sampe', 'ngga', 'kredit', 'motor', 'ajah', '']</t>
  </si>
  <si>
    <t>['susah', 'claim', 'daily', 'check', 'paket', 'combo', 'sakti', 'cuman', 'dapet', 'pilihan', 'paket', 'kyk', 'paket', 'combo', 'suamiku', 'pilihannya', 'byk', 'pdhl', 'simpati', '']</t>
  </si>
  <si>
    <t>['buruk', 'beli', 'kuota', 'loading', 'nyedot', 'kuota', 'sampe', 'gb', 'pas', 'beli', 'paket', 'kadang', 'masuk', 'pulsa', 'potong', 'tolong', 'niat', 'aplikasi', 'gini', 'pakai', '']</t>
  </si>
  <si>
    <t>['sulit', 'penggunaan', 'telkomsel', 'diupdate', 'pindah', 'nomor', 'telkomsel', 'check', 'kuota', 'dll', 'udh', 'dibuka', 'check', 'ulang', 'membutuhkan', 'susah', 'pembelian', 'pulsa', 'kuota', 'dibandingkan', 'fitur', 'update', 'versi', 'dibandingkan', 'versi', 'terbaru']</t>
  </si>
  <si>
    <t>['apk', 'buka', 'kemarin', 'buka', 'udah', 'update', '']</t>
  </si>
  <si>
    <t>['pakai', 'aplikasi', 'jelek', 'jaringannya', 'lemot', 'error', 'dibuka', 'jarang', 'banget', 'lancar', 'ttp', 'gini', 'diupdate', 'terbaru', 'sayang', 'banget', 'sesuai', 'perusahaannya']</t>
  </si>
  <si>
    <t>['payah', 'telkomsel', 'jaringanya', 'payah', 'mohon', 'perbaiki', 'semenjak', 'update', 'sulit', 'buka', 'payah']</t>
  </si>
  <si>
    <t>['loading', 'loading', 'loading', 'buka', 'kagak', 'kuota', 'sinyal', 'full', 'realme', 'pro', 'salah', '']</t>
  </si>
  <si>
    <t>['tolong', 'emng', 'sinyal', 'terbaik', 'buktikan', 'meresahkan', 'pengguna', 'telkomsel', 'buka', 'aplikasi', 'telkomsel', 'susah', 'sinyal', 'lemah', 'saran', 'perbaiki', 'penggunaan', 'telkomsel', 'berkurang', 'makasih']</t>
  </si>
  <si>
    <t>['malas', 'kritik', 'ulasan', 'terpaksa', 'jujur', 'harga', 'aplikasi', 'lemot', 'jaringan', 'stabil', 'coba', 'prioritaskan', 'pelanggan', 'income', 'aplikasi', 'tolong', 'kemudahan', 'pilihan', 'paket', 'yng', 'berantakan']</t>
  </si>
  <si>
    <t>['bolak', 'update', 'mala', 'sinyal', 'jelek', 'pengguna', 'makai', 'kak', 'kecawa', 'kak', 'bolak', 'update', 'mala', 'sinyal', 'jelek', 'ngojek', 'susah', 'nyari', 'sinyal', 'manjat', 'pohon', 'untung', 'hujan', 'perbaiki', 'kak', '']</t>
  </si>
  <si>
    <t>['logo', 'sma', 'tampilannya', 'yng', 'kualitas', 'sinyal', 'mundur', 'apk', 'ngk', 'bsa', 'dibuka', 'njing', 'bintang', 'minus', 'mah', 'gwe', 'kasih', '']</t>
  </si>
  <si>
    <t>['', 'sinyal', 'aplikasi', 'telkomselnya', 'lemot', 'malem', 'aplikasi', 'telkomsel', 'dibuka', 'posisi', 'pusat', 'kota', 'bandar', 'lampung', 'kuat', 'sinyal', 'axis', '']</t>
  </si>
  <si>
    <t>['update', 'dibuka', 'daily', 'check', 'mengumpulkan', 'point', 'yaudahlah', 'promo', 'hati', 'pertahankan', 'metode', 'telkomsel', 'semangat', '']</t>
  </si>
  <si>
    <t>['memuat', 'update', 'dibuka', 'memuat', 'update', 'memuat', 'gitu', 'gitu', 'ajalah', 'sampe', 'manusia', 'udah', 'pindah', 'planet', 'mars', 'telkomsel', 'sibuk', 'benerin', 'aplikasi', 'bener', 'ngeselin', 'ntar', 'ulasan', 'maaf', 'kak', 'blablalaaa', 'silakan', 'twit', 'bla', 'ala', 'ala', '']</t>
  </si>
  <si>
    <t>['aplikasinya', 'berat', 'butuh', 'koneksi', 'stabil', 'disayangkan', 'infrastruktur', 'jaringan', 'kualitasnya', 'minus', 'mending', 'transaksi', 'olshop', '']</t>
  </si>
  <si>
    <t>['ampun', 'upgrade', 'buka', 'android', 'aplikasinya', 'dibuka', 'sampe', 'kesal', 'nungguinnya', 'terbuka']</t>
  </si>
  <si>
    <t>['', 'telkomsel', 'lelet', 'sulit', 'akses', 'aplikasi', 'lambat', 'kondisi', 'jaringan', 'coba', 'admin', 'perbaiki', 'aplikasi', 'kompatibel', 'mempermudah', 'pengguna', 'menyusahkan', 'pengguna', '']</t>
  </si>
  <si>
    <t>['aplikasi', 'sampah', 'nggak', 'jaringan', 'lelet', 'lelet', 'seindonesia', 'telkomsel', 'mahal', 'telkomsel', 'harga', 'paket', 'mahal', 'jaringan', 'lelet', 'sampah', '']</t>
  </si>
  <si>
    <t>['update', 'oke', 'anak', 'muda', 'paham', 'aplikasi', 'masukan', 'orang', 'tua', 'pembaruan', 'rumit', 'kesulitan', 'memahaminya', 'dibandingkan', 'mudah', 'pahami', 'aplikasi', 'semoga']</t>
  </si>
  <si>
    <t>['jaringan', 'pendiri', 'telkomsel', 'jaringan', 'buruk', 'layak', 'bintang', 'masak', 'jaringan', 'buruk', 'lag', 'parah', 'munculkan', 'lelet', 'ampun', 'jaringan', 'kacau', 'pendiri', 'telkomsel', 'hancur', 'jaringan', '']</t>
  </si>
  <si>
    <t>['telkomsel', 'provider', 'penghisap', 'pulsa', 'berlangganan', 'perubahan', 'korupsi', 'pulsa', 'masyarakat', 'tersedot', 'habis', 'berlangganan', 'internet', 'pakai', 'provider', 'terpaksa', '']</t>
  </si>
  <si>
    <t>['', 'paan', 'kota', 'sinyal', 'kartu', 'bagus', 'ngapain', 'telkomsel', 'haa', 'emosi', 'maen', 'game', 'harga', 'kuota', 'mahal', 'tpi', 'sinyal', 'min', '']</t>
  </si>
  <si>
    <t>['udah', 'tahunan', 'pakek', 'telkomsel', 'skrang', 'kecewa', 'pembaruan', 'karuan', 'harganya', 'mahal', 'promo', 'pencet', 'promo', 'ditemukan', 'jaringan', 'eror', '']</t>
  </si>
  <si>
    <t>['mantap', 'udah', 'minggu', 'sinyal', 'jaringan', 'internet', 'mengalami', 'gangguan', 'kesal', 'nyaman', 'kayak', 'mohon', 'perbaiki', 'sinyal', 'jaringan', 'internatnya', '']</t>
  </si>
  <si>
    <t>['app', 'bagus', 'dowload', 'ngapain', 'liat', 'udah', 'bagus', 'udah', 'dibilang', 'bagus', '']</t>
  </si>
  <si>
    <t>['kemudahan', 'koneksi', 'kemurahan', 'paket', 'paket', 'unlimitedmax', 'fup', 'pengguna', 'operator', 'berpindah', 'telkomsel', 'kecewa', 'harga', 'koneksi', 'fup', 'paket', 'unlimitedmax', 'semoga', 'kebijakan', 'penghapusan', 'fup', 'paket', 'unlimitedmax', 'fup', 'zaman', 'kuota', 'gratis', 'chat', 'operator', '']</t>
  </si>
  <si>
    <t>['beli', 'paket', 'nggak', 'masuk', 'masuk', 'telkomsel', 'menanggapinya', 'isi', 'pulsa', 'beli', 'paket', 'internet', 'tulisannya', 'pembelian', 'diproses', 'sia', 'sia', 'beli', 'pulsa', 'nggak', 'beli', 'paket', 'mohon', 'telkomsel', 'memperbaiki', 'pakai', 'telkomsel', 'pelayanannya', 'buruk', '']</t>
  </si>
  <si>
    <t>['kecewa', 'banget', 'telkomsel', 'isi', 'pulsa', 'memakai', 'jaringan', 'wifi', 'pulsa', 'tersedot', 'sampe', 'transaksi', 'apapun']</t>
  </si>
  <si>
    <t>['update', 'versi', 'terbaru', 'paket', 'internet', 'mingguan', 'harian', 'karna', 'paket', 'harian', 'mingguan', 'karna', 'dirumah', 'wifi', 'kebutuhan', 'inter', 'diluar', 'rumah', 'terganggu', 'karna', 'paketnya']</t>
  </si>
  <si>
    <t>['taun', 'kemaren', 'lumayanlah', 'taun', 'ancur', 'parah', 'jaringan', 'telkomsel', 'ampun', 'chating', 'jam', 'red', 'panggilan', 'video', 'call', 'menghubungkan', 'ampun', 'gini']</t>
  </si>
  <si>
    <t>['tolong', 'kaa', 'kena', 'sinyal', 'telkomsel', 'jelek', 'mahalnya', 'doang', 'kaya', 'gini', 'trus', 'ganti', 'kartu', 'sinyal', 'dikorbankan', 'jarang', 'sinyal', 'diindonesia', 'tolong', 'telkomsel', 'dengar', 'keluh', 'kesah', 'komplain', 'sinyal', '']</t>
  </si>
  <si>
    <t>['jaringan', 'telkomsel', 'banget', 'error', 'udah', 'bayar', 'internet', 'mahal', 'jaringannya', 'error', 'berasa', 'rugi', 'bayar', 'mahal', 'chat', 'aplikasi', 'komputer', 'bener', 'udah', 'jawabannya', 'membantu', 'karyawannya', 'udah', 'males', 'kerja', 'pusat', 'bantuannya', '']</t>
  </si>
  <si>
    <t>['bagus', 'banget', 'telkomsel', 'kasi', 'bintang', 'kalaian', 'download', 'telkomsel', 'seru', 'nonton', 'ihh', 'seru', 'banget', 'gimana', 'sukak', 'maaf', 'banyaan', 'ngomong', 'download', 'jalan', 'jalan', 'gimana', 'download', 'downlod', 'gimana', 'tolong', 'pliss', '']</t>
  </si>
  <si>
    <t>['mahal', 'mahal', 'beli', 'ehhhh', 'jaringan', 'kadang', 'kecewa', 'gitu', 'pelanggan', 'setia', 'beli', 'paket', 'gb']</t>
  </si>
  <si>
    <t>['dikasi', 'promo', 'isi', 'pulsa', 'ribu', 'pas', 'isi', 'payah', 'telkomsel', 'kecewa', 'jangka', 'kasi', 'promo', 'isi']</t>
  </si>
  <si>
    <t>['aplikasi', 'lancar', 'layanan', 'combo', 'sakti', 'mahal', 'gb', 'pilihan', 'terendah', 'mendekati', 'layanan', 'wifi', 'indihome', 'perbulan', 'trmksh', '']</t>
  </si>
  <si>
    <t>['halo', 'telkomsel', 'gmn', 'jaringannya', 'kaya', 'gini', 'kah', 'telkomsel', 'parah', 'maaf', 'tolong', 'diperbaiki', '']</t>
  </si>
  <si>
    <t>['hallo', 'telkomsel', 'pulsa', 'terkuras', 'trus', 'sisanya', 'simpan', 'cek', 'pulsa', 'terkuras', 'kuota', 'nyaman', 'banget', 'telkomsel', 'pembelian', 'kuota', 'telkomsel', 'lambat', 'banget', 'telkomsel']</t>
  </si>
  <si>
    <t>['maafkan', 'rating', 'bintang', 'telkomsel', 'keren', 'macet', 'mendaftar', 'paket', 'unlimited', 'fup', 'sulit', 'alasannya', 'gangguan', 'sistem', 'tolong', 'diperbaiki', '']</t>
  </si>
  <si>
    <t>['bug', 'aplikasi', 'menukarkan', 'daily', 'check', 'tukar', 'langsung', 'terklaim', 'tukar', 'kuota', 'mohon', 'perbaiki']</t>
  </si>
  <si>
    <t>['knpa', 'kesini', 'down', 'sinyal', 'terbaik', 'kecewa', 'panas', 'siang', 'bolong', 'ujan', 'lag', 'kerjaan', 'ganggu', 'udh', 'kek', 'pelosok', '']</t>
  </si>
  <si>
    <t>['tolong', 'telkomsel', 'promo', 'gedein', 'perhatikan', 'kenyamanan', 'pelanggan', 'sinyal', 'internet', 'parah', 'gini', 'nomer', 'isi', 'paket', 'internet', 'nyesel', 'kecewa', 'banget']</t>
  </si>
  <si>
    <t>['depannya', 'memburuk', 'jaringan', 'jaringan', 'simpati', 'bagusan', 'lancar', 'dibandingkan', 'lemot', 'main', 'game', 'onlaine', 'koneksi', 'mulu', 'stabil', 'nyaman', 'kalu', '']</t>
  </si>
  <si>
    <t>['tolong', 'sinyal', 'daerah', 'temon', 'ponorogo', 'ditambah', 'jalur', 'alternatif', 'trenggalek', 'disana', 'sinyal', 'terima', 'kasih']</t>
  </si>
  <si>
    <t>['maksih', 'sinyal', 'naa', 'pakai', 'telkomsel', 'kemarin', 'bagus', 'lemot', 'banget', 'susah', 'usaha', 'onlinen', 'padaha', 'uda', 'nyaman', 'terpaksa', 'pakai', '']</t>
  </si>
  <si>
    <t>['bagus', 'tolong', 'kuota', 'ekstra', 'unlimited', 'permanenkan', 'beli', 'ekstra', 'kuota', 'unlimited', 'dipermanenkan', 'kasih', 'bintang', 'telkomsel', 'suka', 'combo', 'sakti', 'telkomsel', 'dinaikan', 'harganya', 'ngisi', 'pulsa', 'nggak', 'dinaikan', 'harganya', 'ngisi', 'nanggung']</t>
  </si>
  <si>
    <t>['jam', 'sore', 'menjelang', 'subih', 'sinyal', 'ilang', 'komplen', 'tanggapan', 'beli', 'kuota', 'pakai', 'uang', 'pakai', 'daun', '']</t>
  </si>
  <si>
    <t>['telkomsel', 'hormati', 'pelanggan', 'bngt', 'sprti', 'jaman', 'telkomsel', 'setia', 'trhadap', 'jujur', 'telkomsel', 'mahal', 'mahal', 'sya', 'lihat', 'rajin', 'bngt', 'menaikan', 'tarif', 'hrga', 'paket', 'tubuh', 'telkomsel', 'sya', 'pelayanan', 'gitu', 'ajah', 'tolong', 'lemot', 'banget', '']</t>
  </si>
  <si>
    <t>['aplikasi', 'kayak', 'gua', 'udah', 'ambil', 'kuota', 'games', 'kepake', 'ngegame', 'kayak', 'gini', 'telkomsel', 'nyesel', 'dahh', 'gua', 'download', 'aplikasi', 'banget', 'mendingan', 'gua', 'uninstall', '']</t>
  </si>
  <si>
    <t>['login', 'mytelkomsel', 'tetep', 'keterangannya', 'link', 'kadaluarsa', '']</t>
  </si>
  <si>
    <t>['memasukkan', 'voucher', 'telkomsel', 'minn', 'kartu', 'temen', 'pas', 'sya', 'coba', 'jaringan', 'sibuk', 'mohon', 'coba', 'mohon', 'bantuannya']</t>
  </si>
  <si>
    <t>['paket', 'paket', 'unlimited', 'beli', 'silahkan', 'ulangi', 'sungguh', 'menjengkelkan']</t>
  </si>
  <si>
    <t>['logonya', 'jelek', 'balikin', 'logo', 'pembelian', 'paket', 'promo', 'bayar', 'ttp', 'msh', 'blm', 'masuk', 'pulsa', 'kepotong', 'beli', 'berulang', 'ulang', 'aneh']</t>
  </si>
  <si>
    <t>['puas', 'cmn', 'kmrn', 'malam', 'beli', 'paket', 'unlimited', 'telkomsel', 'notifikasi', 'kuota', 'aktif', 'bayar', 'via', 'shoppe', 'pay']</t>
  </si>
  <si>
    <t>['sinyal', 'buruk', 'sebagus', 'ayok', 'pindah', 'maaf', 'maaf', 'memperbaiki', 'kualitas', 'jaringan', 'buruk', '']</t>
  </si>
  <si>
    <t>['samsung', 'plus', 'internel', 'lega', 'kali', 'buka', 'aplikasi', 'telkomsel', 'sebentar', 'panas', 'langsung', 'tulisan', 'sistem', 'menanggapi', 'buka', 'aplikasi', 'berat', 'lancar', 'tolong', 'perbaiki', 'ngeganggu', 'banget']</t>
  </si>
  <si>
    <t>['semenjak', 'update', 'error', 'mulu', 'beli', 'kuota', 'trus', 'server', 'error', 'cmn', 'sehari', 'doang', 'error', 'ehh', 'udh', 'berhari', 'error', 'bsa', 'gmna', 'knpa', 'telkomsel', 'mkin', 'bgus', 'mlah', 'mkin', 'buruk', '']</t>
  </si>
  <si>
    <t>['internet', 'paket', 'udah', 'dihitung', 'barusan', 'belanja', 'circlek', 'nyalain', 'internet', 'bayar', 'nyampe', 'semenit', 'langsung', 'dapet', 'sms', 'memakai', 'pulsa', 'akses', 'internet', 'non', 'paket', 'allah', 'astaghfirullah', 'allahhu', 'akbar', 'laillahailallah', '']</t>
  </si>
  <si>
    <t>['rating', 'aplikasinya', 'rakyat', 'ekonomi', 'kebawah', 'beli', 'kuota', 'hilang', 'berguna', 'kepepet', 'uang', 'beli', 'kuota', 'kuota', 'harganya', 'tergolong', 'mahal', 'dipertahankan', 'kuota', 'beli', 'pertahankan', 'jaringan', 'tsel', 'gangguan', 'tolong', 'tsel', 'solusinnya', 'terimakasih']</t>
  </si>
  <si>
    <t>['telkomsel', 'parah', 'harga', 'paket', 'combo', 'pulsa', 'berkurang', 'sisa', 'pulsa', 'ribu', 'skrg', 'tinggal', 'ribu', 'parah', '']</t>
  </si>
  <si>
    <t>['bingung', 'deh', 'liat', 'apk', 'beli', 'paket', 'internet', 'responnya', 'sms', 'promo', 'kesel', '']</t>
  </si>
  <si>
    <t>['telkomsel', 'menawarkan', 'paket', 'darurat', 'kehabisan', 'pulsa', 'bayar', 'disaat', 'isi', 'pulsa', 'otomatis', 'potong', 'syarat', 'mematuhi', 'aturan', 'pengisian', 'pulsa', 'menbayar', 'paket', 'darurat', 'kecewa', 'layanan', 'darurat', 'tawarkan', 'kit', 'butuh', 'respon', 'alasan', 'maaf', 'sistim', 'sibuk', 'chat', 'telkomsel', 'sesuai', 'ditawarkan', 'pengisian', 'pulsa', 'seminggu', 'ribu', '']</t>
  </si>
  <si>
    <t>['jaringan', 'jelek', 'paket', 'data', 'mahal', 'tpi', 'kualitasnya', 'memburuk', 'beli', 'kouta', 'tpi', 'serasa', 'gkad', 'dibuka', 'tolong', 'diperbaiki', 'terimakasih']</t>
  </si>
  <si>
    <t>['jaringan', 'sumpah', 'jelek', 'bangeddd', 'paketnya', 'mahal', 'sumpah', 'konsumen', 'sungguh', 'merugi', 'udh', 'mari', 'aplikasi', 'balasan', 'hai', 'maaf', 'ketidaknyamanannya', 'silahkan', 'hubungi', 'nye', 'nye', 'nye', '']</t>
  </si>
  <si>
    <t>['', 'notifikasi', 'pesan', 'notif', 'bertambah', 'pesan', 'masuk', 'pesan', 'baca', 'ditandai', 'baca', 'notifnya', 'hilang', 'berkurang']</t>
  </si>
  <si>
    <t>['', 'telkomsel', 'tutup', 'menerus', 'udah', 'mahal', 'jaringan', 'diandalkan', 'menyesal', 'beli', 'kartu', 'telkomsel', 'pindah']</t>
  </si>
  <si>
    <t>['kasih', 'bintang', 'jaringan', 'jelek', 'signal', 'sanggup', 'rumah', 'cari', 'sinyal', 'data', 'rumah', 'tolong', 'perbaiki']</t>
  </si>
  <si>
    <t>['aneh', 'kirim', 'hadiah', 'masuk', 'masuk', 'paketan', 'kali', 'dikirim', 'masuk', 'masuk', '']</t>
  </si>
  <si>
    <t>['mahal', 'paket', 'combo', 'sakti', 'mahal', 'mahal', 'kayak', 'beli', 'tanah', 'bukanya', 'combo', 'sakti', 'permudah', 'mala', 'persulit', 'mahalnya', 'liar', 'harganya', 'paket', 'telkomsel', 'mahal', '']</t>
  </si>
  <si>
    <t>['bagus', 'aplikasinya', 'buka', 'telkomsel', 'loadingnya', 'aplikasinya', 'mohon', 'bantuannya', '']</t>
  </si>
  <si>
    <t>['parah', 'telkomsel', 'jaringan', 'pelanggan', 'telkomsel', 'kecewa', 'provider', 'milik', 'pemerintah', 'mesti', 'terbaik', 'tolong', 'perbaiki', 'pelayanan', 'jaringan', 'kau', 'petinggi', 'kuasa', 'perbaiki', 'pelayanan', 'terbaik', '']</t>
  </si>
  <si>
    <t>['aneh', 'update', 'paket', 'combo', 'sakti', 'hilang', 'nggak', 'sisa', 'gb', 'kemana', '']</t>
  </si>
  <si>
    <t>['harga', 'paketan', 'mahal', 'mending', 'jaringan', 'bagus', 'dki', 'jaringan', 'jelek', 'beralih', 'operator', 'sebelah', 'telkomsel', 'bangkrut', 'kaya', 'gini']</t>
  </si>
  <si>
    <t>['tolong', 'jual', 'paket', 'sesuai', 'dongg', 'harga', 'paket', 'mslnya', 'trus', 'dilanjutkan', 'pembelian', 'harga', 'penipuan', 'salam', 'kupang', 'ntt', '']</t>
  </si>
  <si>
    <t>['paket', 'datta', 'mahal', 'kwalitas', 'jaringan', 'buruk', 'kartu', 'telkomsel', 'kacau', 'paketan', 'mahal', 'kwalitas', 'jaringan', 'buruk', 'ayo', 'tinggalin', 'bodohi']</t>
  </si>
  <si>
    <t>['telkomsel', 'sata', 'pengguna', 'kartu', 'telkomsel', 'kecewa', 'jaringan', 'diseduakan', 'unlimitit', 'kecepatan', 'jaringan', 'buruk', 'nyaman', 'telkomsel', 'mohon', 'perbaiki', 'jarjnganya', '']</t>
  </si>
  <si>
    <t>['mytelkomsel', 'yth', 'tolong', 'donk', 'perusahaan', 'terbesar', 'indonesia', 'promo', 'internet', 'masuk', 'akal', 'harganya', 'paketan', 'mahal', 'dpt', 'koutanya', 'pandemi', 'pelanggan', 'indonesia', 'murah', 'kouta', '']</t>
  </si>
  <si>
    <t>['buruk', 'capek', 'login', 'nggak', 'link', 'nggak', 'klik', 'ulang', 'ulang', 'hasilnya', 'nggak', 'daftar', '']</t>
  </si>
  <si>
    <t>['pembelian', 'produk', 'aplikasi', 'murah', 'mengalami', 'kegagalan', 'telkomsel', 'bertanggung', 'sepenuhnya', 'proses']</t>
  </si>
  <si>
    <t>['tolong', 'kembalikan', 'fup', 'unlimited', 'mwnjadi', 'harga', 'unlimited', 'pelayanan', 'mala', 'kurangi', 'puas', '']</t>
  </si>
  <si>
    <t>['tolong', 'perbaikiii', 'nukar', 'poin', 'saldo', 'gagal', 'menukar', 'poin', 'gpp', 'asli', 'gpp', 'tapiikir', 'lahhhh', '']</t>
  </si>
  <si>
    <t>['min', 'kouta', 'gamesmax', 'unlimited', 'lemot', 'parah', 'apk', 'normal', 'tolong', 'kasih', 'kenyamanan', 'mati', 'lampu', 'akses', 'internet', 'kesini', 'jelek', 'layanannya', 'kecewa', 'bngt', 'udh', 'telkomsel', 'kecepatan', 'jaringan']</t>
  </si>
  <si>
    <t>['tolong', 'telkomsel', 'beli', 'kuoata', 'prnh', 'murah', 'yaaa', 'jrngaan', 'lemot', 'ampun', 'tolong', 'bersangkutan', 'dengarkan', 'keluh', 'kesah', 'pengguna', 'telkomsel', 'pngen', 'ganti', 'kartu', '']</t>
  </si>
  <si>
    <t>['tolong', 'donk', 'sidak', 'tower', 'telkomsel', 'daerah', 'kab', 'garut', 'jaringan', 'eror', 'pas', 'mati', 'lampu', 'hilang', 'sinyal', 'kyk', 'kartu', 'raskin', 'paket', 'mahal', 'rugi']</t>
  </si>
  <si>
    <t>['date', 'harga', 'paketnya', 'aneh', 'bknya', 'jaringan', 'benahin', 'harga', 'paketnya', 'naikin', 'mahal', 'doang', 'jaringan', 'lemot', 'pindah', 'tower', 'sebelah', '']</t>
  </si>
  <si>
    <t>['jaringan', 'telkomsel', 'jaringan', 'kadang', 'full', 'tpi', 'langsung', 'hilang', 'kena', 'pakai', 'internetan', 'kah', 'jaringan', 'telkomsel', 'biaya', 'mahal', 'kualitas', 'buruk', 'tanggung', 'nyaman', 'pengguna']</t>
  </si>
  <si>
    <t>['mhn', 'maaf', 'sekedar', 'saran', 'pandangan', 'pengguna', 'kartu', 'halo', 'telkomsel', 'mhn', 'izin', 'masukan', 'sisi', 'pengguna', 'produk', 'halo', 'logo', 'logo', 'pandangan', 'menarik', 'bersesuaian', 'tampilan', 'menu', 'aplikasi', 'tampil', 'aplikasi', 'menarik', 'bersahabat', 'andai', 'mengusulkan', 'logo', 'menu', 'tempilan', 'layanan', 'kualitasnya', 'ditingkatkan', 'tks']</t>
  </si>
  <si>
    <t>['kuota', 'aplikasinya', 'aktif', 'aktif', 'internet', 'habis', 'buka', 'aplikasi', 'beli', 'datanya', 'habis', 'via', '']</t>
  </si>
  <si>
    <t>['jaringan', 'telkomsel', 'paket', 'mahal', 'kuwalitas', 'buruk', 'udah', 'gitu', 'nomor', 'bajak', 'orang', 'bertanggung', 'penguna', 'telkomsel', 'kecewa', 'mending', 'pindah', 'gsm', 'kaya', 'gini', '']</t>
  </si>
  <si>
    <t>['plis', 'telkomsel', 'beli', 'paket', 'ketengan', 'yutub', 'gakepake', 'kepake', 'kuota', 'utama', 'beli', 'pulsa', 'rb', 'kesedot', 'kuota', 'aktif', 'kuota', 'kali', 'kaya', 'gini', 'tolong', 'rugi', 'konsumen', 'uang', 'lancar', 'karna', 'pandemi', 'karna', 'mahasiswa', 'segara', 'diperbaiki', 'rugi']</t>
  </si>
  <si>
    <t>['paket', 'combo', 'sakti', 'beli', 'hilang', 'berlangganan', 'telkomsel', 'kesini', 'menjengkelkan', 'sinyalnya', 'karuan', 'paket', 'hilang', 'pemberitahuan', 'diganti', 'paket', 'bermanfaat', 'mengecewakan', '']</t>
  </si>
  <si>
    <t>['ngerti', 'telkomsel', 'kesini', 'kuota', 'mahal', 'lemot', 'internetan', 'sesuai', 'bngt', 'harga', 'tinggal', 'lancar', 'akses', 'internetnya']</t>
  </si>
  <si>
    <t>['kesini', 'bagus', 'harga', 'mahal', 'koneksi', 'buruk', 'maulah', 'provider', 'lbh', 'produk', 'ikhlas', 'rela', '']</t>
  </si>
  <si>
    <t>['jaringan', 'hilang', 'aplikasi', 'jelek', 'pulsa', 'suka', 'habis', 'pkoknya', 'telkomsel', 'suka', 'ngambil', 'pulsa', 'paket', 'mahal', 'suka', 'mencuri', 'pulsa', 'orang', 'haram', 'paket', 'ceria', 'coba', 'jaringan', 'suka', 'keganti', 'makan', 'duit', 'haram', 'makan', 'halal', 'bos']</t>
  </si>
  <si>
    <t>['membuka', 'aplikasi', 'memaketkan', 'menghabiskan', 'mb', 'saran', 'gratiskan', 'khusus', 'pengguna', 'telkomsel', 'mengakses', 'aplikasi', 'mudah', 'bertransaksi', 'milik', 'telkomsel', 'terimakasih']</t>
  </si>
  <si>
    <t>['daerah', 'purwakarta', 'kualitas', 'jaringan', 'harga', 'paket', 'mahal', 'beli', 'paket', 'omg', 'seharga', 'rb', 'rb', 'tpi', 'kualitas', 'jaringan', 'buruk', '']</t>
  </si>
  <si>
    <t>['tolong', 'kembalikan', 'paket', 'combo', 'sakti', 'unlimited', 'masyarakat', 'terbantu', 'paket', 'paket', 'mahal', 'unlimited', '']</t>
  </si>
  <si>
    <t>['mantap', 'telkomsel', 'pemakaian', 'udah', 'sinyalnya', 'buruk', 'sayang', 'nomerku', 'cantik', 'emosi', 'gara', 'jaringan', 'jelek', 'buka', 'lemotnya', 'ampun', 'mending', 'provider', 'melayani', 'pelanggan', '']</t>
  </si>
  <si>
    <t>['telkomsel', 'sinyalnya', 'lemot', 'banget', 'udah', 'gitu', 'aplikasi', 'kadang', 'suka', 'lemot', 'beli', 'kuota', 'mahal', 'harganya', '']</t>
  </si>
  <si>
    <t>['apasih', 'telkomsel', 'beli', 'pulsa', 'alfamart', 'mas', 'udah', 'masuk', 'lowbat', 'tinggalkan', 'rumah', 'kerumah', 'cek', 'pulsa', 'beli', 'paket', 'mingguan', 'gb', 'beli', 'refresh', 'kali', 'situ', 'suka', 'telkomsel', 'kejadian', 'kali', 'pakai', 'telkomsel', 'berharap', 'telkomsel']</t>
  </si>
  <si>
    <t>['setia', 'tolong', 'jaringan', 'perbaiki', 'kuota', 'tolong', 'ramah', 'kantong', 'zaman', 'online', 'trimakasih', 'telkomsel']</t>
  </si>
  <si>
    <t>['telkomsel', 'minusnya', 'sinyal', 'down', 'parah', 'maen', 'game', 'online', 'pink', 'bagus', 'merah', 'beli', 'kuota', 'aplikasi', 'proses', 'kali', 'uda', 'kya', 'gini', '']</t>
  </si>
  <si>
    <t>['nggak', 'habiskan', 'paket', 'ditarek', 'paket', 'kesel', 'telkomsel', 'gratis', 'pulsa', 'nggak', 'dipake', 'tolong']</t>
  </si>
  <si>
    <t>['kesini', 'samakin', 'buruk', 'jaringannya', 'kawan', 'mending', 'ganti', 'simcard', 'kouta', 'gb', 'sosmed', 'lemotnya', 'ampun', '']</t>
  </si>
  <si>
    <t>['udah', 'aplikasi', 'udah', 'ganti', 'beli', 'kartu', 'telkomsel', 'karna', 'paket', 'pengguna', 'kesini', 'mahal', 'sinyal', 'baguas', 'developer', 'paket', 'harga', 'jnga', 'mhal', 'mhal', '']</t>
  </si>
  <si>
    <t>['telkomsel', 'jaringannya', 'lemot', 'banget', 'beli', 'paket', 'giga', 'stress', 'smakin', 'parah', 'layanan', 'jaringannya', 'depok', 'daerah', 'hello', 'pejabat', 'telkom', '']</t>
  </si>
  <si>
    <t>['jaringan', 'masak', 'game', 'sinyal', 'ms', 'gini', 'pakek', 'telkomsel', 'udah', 'mahal', 'sinyal', 'buruk', 'tolong', 'devlopernya', 'perhatikan', 'apk', 'habis', 'update', 'bagus', 'nambah', 'jelek', 'pas', 'buka', 'dak', 'menanggapi', 'makasih', '']</t>
  </si>
  <si>
    <t>['isi', 'pulsa', 'beli', 'paket', 'udah', 'habus', 'duluan', 'pulsa', 'kebeli', 'paketannya', 'pulsa', 'habis', 'tolong', 'bari', 'fitur', 'kunci', 'pulsa', 'habis', 'paket', 'kaya', 'axis', '']</t>
  </si>
  <si>
    <t>['maksud', 'pulsa', 'membeli', 'paket', 'malam', 'harga', 'pesan', 'tertulisnya', 'pulsa', 'mecukupi', 'layanan', 'dasar', 'telkomsel']</t>
  </si>
  <si>
    <t>['males', 'pakek', 'apk', 'masuk', 'sll', 'muncul', 'apk', 'berhenti', 'kecewa', 'pokkknya', 'kmren', 'kirain', 'blm', 'uptudate', 'pas', 'udah', 'uptudate', 'sll', 'masuk']</t>
  </si>
  <si>
    <t>['', 'telkomsel', 'jaringan', 'lelet', 'kadang', 'kadang', 'koneksi', 'terputus', 'kota', 'mengecewakan', 'paketnya', 'mahal', 'beli', 'paket', 'internet', 'malam', 'kuota', 'utama', 'kesedot', 'beli', 'kuota', 'utama', 'tetep', 'abis', '']</t>
  </si>
  <si>
    <t>['kartu', 'sinyal', 'kemaren', 'dipakai', 'masukkan', 'sim', 'kejelasan', 'dibalas', 'min', 'nyuruh', 'dikontak', 'bantuan', 'nomer', 'sinyalnya', 'bantuan', 'kotak', 'amal']</t>
  </si>
  <si>
    <t>['debbest', 'bat', 'aplikaasih', 'pulsa', 'rb', 'aplikasih', 'kemang', 'terbaik', 'aplikasih', 'booong', 'hayyuk', '']</t>
  </si>
  <si>
    <t>['telkomsel', 'jaringan', 'terburuk', 'harga', 'mahal', 'bngst', 'rusak', 'kemaren', 'gara', 'beli', 'paketan', 'jaringannya', 'pengen', 'emosi', 'pengen', 'chat', 'telkomsel', 'layanan', 'bot', 'telkomsel', 'loro', 'atiku', 'tagih', 'nang', 'akhirat', 'eleng', 'iku', '']</t>
  </si>
  <si>
    <t>['tolong', 'telkomsel', 'banget', 'nyedot', 'pulsa', 'gal', 'penetapan', 'tarif', 'berubah', 'ubah', 'mendingan', 'jngn', 'isi', 'pulsa', 'deh', 'sedot', 'dikit', 'dikit']</t>
  </si>
  <si>
    <t>['isi', 'pulsa', 'buka', 'aplikasi', 'telkomsel', 'udah', 'kepotong', 'mahal', 'kire', 'nyari', 'duit', 'segampang', 'nyari', 'kerikil', 'mikir', 'hrd', 'respon', 'humasnya']</t>
  </si>
  <si>
    <t>['simpati', 'kesini', 'kaya', 'exsis', 'paket', 'ojol', 'giga', 'lemot', 'gua', 'pindah', 'jelek', 'simpati', 'kuota', 'akses', 'internet', 'stabil', '']</t>
  </si>
  <si>
    <t>['keren', 'app', 'suka', 'karna', 'chek', 'data', 'gratis', 'vocer', 'pulsa', 'pembelian', 'app', 'harga', 'murah', 'memudahkan', 'app', 'jelek', 'cuman', 'orang', 'bego', 'nda', 'app', 'sukses', 'slalu', 'telkomsel', '']</t>
  </si>
  <si>
    <t>['anjim', 'jaringan', 'simpatu', 'tanda', 'mulu', 'gua', 'hidup', 'kota', 'goa', 'mahal', 'doang', 'sinyal', 'jelek', 'kaya', 'keonh', 'gua', 'sengaja', 'instal', 'cuman', 'pengen', 'kasih', 'bintang', 'trus', 'komen', 'karna', 'gua', 'ngerasa', 'rugi', 'simpati', 'mahal', 'doang', 'sinyal', 'standar', 'kesini', 'parah', 'udh', 'bnyak', 'ngeluh', 'tuu', 'sinyal', 'lol', 'diem', 'maonya', 'duitnya', 'doang', 'asuuu']</t>
  </si>
  <si>
    <t>['permisi', 'pengembang', 'mytelkomsel', 'suka', 'tampilan', 'beranda', 'bertema', 'rapi', 'tampilan', 'update', 'terbaru', 'simple', 'rapi']</t>
  </si>
  <si>
    <t>['jakarta', 'timur', 'pelosok', 'gunung', 'sinyal', 'jelek', 'pikirinlah', 'konsumen', 'maaf', 'tindakan', 'kerja', 'kerja', 'kerja', '']</t>
  </si>
  <si>
    <t>['pembaruan', 'dpt', 'laporan', 'system', 'sibuk', 'beli', 'paket', 'susah', 'masuknya', 'cek', 'koneksiiiiiiiii', 'laporanya', 'system', 'sibuuuuuuuuk', 'laporanya', 'nyesel', 'update', 'aplikasi', '']</t>
  </si>
  <si>
    <t>['memilih', 'opsi', 'menu', 'klik', 'apapun', 'loading', 'memunculkan', 'sisa', 'kuota', 'sinyal', 'bagus', 'kota', 'mohon', 'diperbaiki', 'aplikasi', 'trims']</t>
  </si>
  <si>
    <t>['tolong', 'min', 'kasih', 'promonya', 'murah', 'kartu', 'bermasala', 'gimana', 'kali', 'promo', 'ngga', 'perna', 'murah', 'mahal', '']</t>
  </si>
  <si>
    <t>['maaf', 'min', 'udah', 'beli', 'paket', 'pulsa', 'udah', 'transfer', 'gaada', 'masuk', 'kuota', 'hilang', 'pulsa', '']</t>
  </si>
  <si>
    <t>['gmana', 'status', 'komplen', 'nomer', 'lc', 'isi', 'kuota', 'keluarga', 'pulsa', 'kepotong', 'kuota', 'aktif', 'tgl', 'klaim', 'proses', 'gada', 'kejelasan', 'gada', 'kepastian', 'disuruh', 'nunggu', 'dampak', 'error', 'tagihan', 'kartu', 'halo', 'istri', 'tetiba', 'kesedot', 'data', 'extra', 'beli', 'kuota', 'harian', 'smua', 'member', 'register', 'paketb', 'kuota', 'keluarga', 'gegara', 'error', 'dampak', 'bos', '']</t>
  </si>
  <si>
    <t>['kesini', 'sinyal', 'jelek', 'perasaan', 'download', 'apapun', 'lemot', 'banget', 'asli', 'sistemnya', 'tolong', 'betulin', 'eksis', '']</t>
  </si>
  <si>
    <t>['lombok', 'mewakili', 'teman', 'teman', 'keluarga', 'kekecewaan', 'mati', 'lampu', 'signal', 'mampus', 'paket', 'unlimitednya', 'unlimited', 'harga', 'paket', 'berniat', 'menggati', 'propaider', 'bejamaah', 'propaider', 'sebelumya']</t>
  </si>
  <si>
    <t>['parah', 'kemari', 'paket', 'unlimited', 'udh', 'ngk', 'taudah', 'ama', 'telkomsel']</t>
  </si>
  <si>
    <t>['bintang', 'karna', 'update', 'login', 'aplikasi', 'ribet', 'masuk', 'nomor', 'resmi', 'mash', 'susah', 'masuk', 'masuk', 'masuk', 'email', 'pemberitahuan', 'email', 'terdaftar', 'aplikasi', 'sampah', '']</t>
  </si>
  <si>
    <t>['aplikasi', 'mantappppppppppppp', 'kuota', 'gratis', 'check', 'lumayan', 'yap', 'pokoknya', 'mantap']</t>
  </si>
  <si>
    <t>['layanan', 'telkomsel', 'bagus', 'kualitas', 'jaringan', 'internet', 'superior', 'coba', 'tingkatkan', 'pelanggan', 'setia', 'setia', '']</t>
  </si>
  <si>
    <t>['', 'update', 'parah', 'beli', 'paket', 'jawabannya', 'maaf', 'gangguan', 'sistem', 'tunggu', 'menit', 'udh', '']</t>
  </si>
  <si>
    <t>['mahal', 'paket', 'data', 'knpa', 'hapus', 'masak', 'iya', 'skrg', 'gb', 'rb', 'bener', 'suntuk', 'telkomsel', 'alih', 'paket', 'mahal', 'kek', 'gini']</t>
  </si>
  <si>
    <t>['aplikasi', 'telkomsel', 'penggunaan', 'user', 'membantu', 'telkomsel', 'kecepatan', 'data', 'terbilang', 'lemot', 'mohon', 'ditingkatkan', 'terlena', 'pelanggan', '']</t>
  </si>
  <si>
    <t>['tolong', 'notifikasi', 'jarang', 'kebanyakan', 'mengganggu', 'sehari', 'notifikasi', 'masuk', 'sms', 'aplikasi', 'kali', 'memberitahukan', 'pulsa', 'quota', 'kebanyakan', 'devcolector']</t>
  </si>
  <si>
    <t>['program', 'daily', 'check', 'lumayan', 'pembelian', 'aplikasi', 'lancar', 'intinya', 'btw', 'kasih', 'bintang', 'aplikasi', '']</t>
  </si>
  <si>
    <t>['kecewe', 'kpd', 'telkomsel', 'mahal', 'paket', 'bukanya', 'pengguna', 'murah', 'fitur', 'berubah', 'membedakan', 'kartu', 'pengguna', 'setia', 'telkomseh', 'umur', 'kartu', 'murah', 'harga', 'kouta', 'tolong', 'bedakan', '']</t>
  </si>
  <si>
    <t>['kuota', 'omg', 'gb', 'aplikasi', 'tik', 'tok', 'kecewa', 'disarankan', 'restat', 'menit', 'lakukan', 'hasilnya', 'zonk', 'klu', 'pakai', 'provaider', '']</t>
  </si>
  <si>
    <t>['kartu', 'nggak', 'dapet', 'sinyal', 'mulu', 'masuk', 'aplikasi', 'daftar', 'masukin', 'nomor', 'pemberitahuan', 'gmail', 'nge', 'daftar', 'tetep', 'nggak', 'sinyal', '']</t>
  </si>
  <si>
    <t>['gimana', 'mengerti', 'telkomsel', 'paket', 'utama', 'habis', 'paket', 'multimedia', 'sisa', 'loading', 'buka', 'apk', 'emang', 'batasin', 'nyaman', 'pengguna', 'beli', 'paket', 'mahal', 'multimedia', 'pakai', 'habis', 'paket', 'utama', 'habis', 'loading', 'deh', 'mending', 'sekrng', 'sinyal', 'stabil', 'jelek', 'banget', 'kesel', 'nntn', 'bapring']</t>
  </si>
  <si>
    <t>['', 'kartu', 'penuh', 'alasannya', 'make', 'kartu', 'sinyal', 'harganya', 'bagus', 'harganya', 'oke', 'isi', 'pulsa', 'rb', 'dpt', 'bonus', 'kuota', 'gb', 'gb', 'trus', 'gpp', 'abis', 'harga', 'paketan', 'rb', 'gb', 'rb', 'gb', 'dipisah', 'internet', 'aka', 'omg', 'trus', 'rb', 'paket', 'hilang', '']</t>
  </si>
  <si>
    <t>['pembelian', 'pulsa', 'paket', 'memenuhi', 'telat', 'isi', 'kuota', 'pulsa', 'isi', 'kuota', 'beli', 'paket', 'kuota', 'beli', 'paket', 'combo', 'sakti', 'combo', 'sakti', 'hilang', 'pemberitahuan', 'bagus', 'pelayanannya', '']</t>
  </si>
  <si>
    <t>['udh', 'brap', 'kali', 'pulsa', 'sisa', 'rb', 'bsk', 'ilang', 'kuota', 'maish', 'utuh', 'pemberitahuan', 'penyedotan', 'pulsa', 'mending', 'make', 'kyk', 'gini', 'sinyalnya', 'jelek']</t>
  </si>
  <si>
    <t>['tahan', 'buruk', 'jaringan', 'telkomsel', 'undur', 'in', 'ganti', 'provider', 'bln', 'kecewa', 'telkomsel', 'eror', 'jaringan', 'lemot', 'pke', 'main', 'game', 'buffering', 'kecewa', 'pokoknya', 'ganti', 'provider', 'ajah', 'sumpah', 'kecewa', '']</t>
  </si>
  <si>
    <t>['bagus', 'aplikasi', 'mytelkomsel', 'mempermudah', 'memilih', 'berlangganan', 'paket', 'internet', 'harganya', 'kapitalis', 'woaaaaaaah', '']</t>
  </si>
  <si>
    <t>['berfikir', 'konsumen', 'telkomsel', 'perbaikan', 'membaik', 'memburuk', 'sinyaalll', 'jaringan', 'hilang', 'mati', 'teruuss', 'planing', 'upgrade', 'qok', 'kacau', 'tolong', 'diperbaiki', 'kritik', '']</t>
  </si>
  <si>
    <t>['paket', 'internet', 'mahal', 'kualitas', 'jaringan', 'menurun', 'ping', 'dibawah', 'diuji', 'speedtest', 'tolong', 'diperbaiki', 'provider', 'pleasee']</t>
  </si>
  <si>
    <t>['terbaik', 'terburuk', 'parah', 'daerah', 'telkomsel', 'krang', 'berpindah', 'sim', 'card', '']</t>
  </si>
  <si>
    <t>['telkomsel', 'kacau', 'daftar', 'paket', 'kuota', 'pakai', 'kuotanya', 'utuh', 'pulsa', 'makan', 'gimana', 'sia', 'sia', 'daftarin', 'paket', 'menghentikan', 'paket', 'kuota', 'langganan', 'trus', 'pulsa', 'kemakan', '']</t>
  </si>
  <si>
    <t>['', 'bener', 'donk', 'min', 'kalah', 'ama', 'axis', 'nembak', 'paket', 'internet', 'utama', 'malam', 'langsung', 'hangus', 'mlm', 'jancuuukkkk', 'gitulah', 'klw', 'nembak', 'sesuai', 'tembak', 'habisnya', 'nipu', '']</t>
  </si>
  <si>
    <t>['heran', 'gua', 'provider', 'terbaik', 'jaringan', 'jelek', 'harga', 'kouta', 'pulsa', 'hilang', 'kemana', 'telkomsel', 'jaga', 'performa', 'bnyk', 'pindah', 'provider', 'potong', 'teroooos', 'pulsa', 'guaaa', 'potongggggg', 'logo', 'perbarui', 'dasar']</t>
  </si>
  <si>
    <t>['telomsel', 'parah', 'sekarng', 'jaringan', 'sinyal', 'paranh', 'mengcewakn', 'pelanggan', 'udh', 'ngga', 'kaya', 'lancar', 'udh', 'telkomsel', 'buruk', 'jaringan', 'ngga', 'siang', 'ngga', 'sore', 'malam', 'jaringan', 'jelek', 'kalah', 'sma', 'sma', 'kartu', 'sebelah', 'ujan', 'poko', 'mengecewakan', '']</t>
  </si>
  <si>
    <t>['astaga', 'telkomsel', 'jaringan', 'parah', 'banget', 'udah', 'keluhan', 'pelanggan', 'diamkan', 'tutup', 'mata', 'bukti', 'nyelesain', '']</t>
  </si>
  <si>
    <t>['maketin', 'kuota', 'gimana', 'apk', 'telkomsel', 'buka', 'langsung', 'menu', 'utama', 'telkomsel', 'udah', 'bertahun', 'sekrang', 'buruk', 'pelayanannya', '']</t>
  </si>
  <si>
    <t>['kecewa', 'banget', 'updateennya', 'update', 'paketan', 'unlinited', 'ribu', 'update', 'hilang', 'woee', 'gitu', 'rugi', 'gua', 'udah', 'terlanjur', 'beli', 'pulsa', 'beli', 'paketannya', 'hilang', 'update', 'apknya', '']</t>
  </si>
  <si>
    <t>['paketnya', 'trus', 'jaringannya', 'rusak', 'mohon', 'min', 'paketnya', 'naiknya', 'sikit', 'kadang', 'kadang', 'sampek', '']</t>
  </si>
  <si>
    <t>['sedih', 'banget', 'skrng', 'pelanggan', 'simpati', 'beli', 'pulsa', 'rb', 'pas', 'chek', 'cuman', 'nge', 'aktifin', 'data', 'sim', 'simpati', 'pengirim', 'udah', 'masuk', 'pulsa', 'masuk', 'aneh', 'aneh', 'males', 'simpati', 'udah', 'lelet', 'jaringan', 'pulsa', 'ilang', 'payah', 'payahhh']</t>
  </si>
  <si>
    <t>['keren', 'beli', 'kuota', 'sinyal', 'lancar', 'bagus', 'main', 'game', 'ngeleg', 'lho', 'kirain', 'beli', 'keatas', 'jdi', 'bagus', 'sinyal', 'iya', 'jngn', 'dibanyakin', 'internet', 'lokal', 'internet', 'all', 'mending', 'perbanyak', 'internet', 'all', 'woke', 'mksh', 'ucapkan', 'wassalamu', 'alaikum', 'warahmatullahi', 'wabarakatuh']</t>
  </si>
  <si>
    <t>['bertahun', 'tsel', 'aman', 'setahun', 'jaringan', 'lemot', 'diluar', 'lemot', 'didlm', 'ruangan', 'ditingkatkan', 'maslah', 'kendala', 'costumer', 'ditinggal', 'provider', '']</t>
  </si>
  <si>
    <t>['kecewa', 'paket', 'mahal', 'sinyal', 'murahan', 'sesuai', 'pakai', 'produk', 'telkomsel', 'sarankan', 'ganti', 'provider', 'terlambat', 'menyesal', '']</t>
  </si>
  <si>
    <t>['halo', 'min', 'komplain', 'pas', 'udah', 'isi', 'pulsa', 'langsung', 'dipotong', 'beli', 'paket', 'kuota', 'kesel', '']</t>
  </si>
  <si>
    <t>['ganti', 'batasan', 'wajar', 'fup', 'trus', 'tambahin', 'harga', 'pke', 'unlimited', 'taik', 'klu', 'abis', 'jringn', 'down', 'nipu', 'kartu', 'unlimited', 'abis', 'sepuasnya', 'sosmed', 'kenpa', 'takut', 'rugi', 'taik']</t>
  </si>
  <si>
    <t>['apknya', 'apknya', 'udah', 'bagus', 'banget', 'tpi', 'kartu', 'telkomselnya', 'rusak', 'ganti', 'kartu', 'telcom', 'sinyalnya', 'data', 'hilang', 'kartu', 'bagus', 'tempatku', 'meter', 'menara', 'sinyal', 'kecewa', 'udah', 'bertahun', 'pakek', 'telkomsel', '']</t>
  </si>
  <si>
    <t>['buruk', 'kualitas', 'jaringan', 'internet', 'telkomsel', 'andalkan', 'browsing', 'mending', 'pindah', 'kartu', 'telkomsel', 'bangkrut', 'kali', '']</t>
  </si>
  <si>
    <t>['tolong', 'telkomsel', 'hilangkan', 'paket', 'combo', 'sakti', 'gb', 'paket', 'pindah', 'kartu', 'paket']</t>
  </si>
  <si>
    <t>['hancur', 'sinyalnya', 'mending', 'ganti', 'kuota', 'emosi', 'pakai', 'kuota', 'main', 'ngelag', 'buka', 'foto', 'ngelag']</t>
  </si>
  <si>
    <t>['mohon', 'penjelasan', 'udah', 'seminggu', 'sinyal', 'komsel', 'buruk', 'banget', 'ganti', 'nomor', 'simpati', 'sinyalnya', 'kuat', 'buka', 'aplikasi', 'berita', 'muuter', 'kadang', 'koneksi', '']</t>
  </si>
  <si>
    <t>['aplikasi', 'nanya', 'keluhan', 'banget', 'respon', 'pegawai', 'kerja', 'rumpi', 'konsumen', 'dilayanin', 'telkomsel', 'lwat', 'chatt', 'telp', 'nunggu', 'segi', 'kuota', 'udah', 'mahal', 'dibanding', 'provider', 'kasih', 'pelayanan', 'baguslah', 'baca', 'ulasan', 'kebanyakan', 'kecewa', 'jaringan', '']</t>
  </si>
  <si>
    <t>['telkomsel', 'buruk', 'kemarin', 'membeli', 'paket', 'games', 'max', 'silver', 'mobile', 'legend', 'berkurang', 'paket', 'internet', 'utamanya', 'paket', 'utamanya', 'habis', 'paket', 'game', 'gb', 'main', 'mobile', 'legend', 'mengalami', 'harganya', 'mahal', 'bermasalah', 'tekomsel', 'mohon', 'diperbaiki', 'dibiarkan', 'membaca', 'ulasan', '']</t>
  </si>
  <si>
    <t>['jaringan', 'terluas', 'indonesia', 'kah', 'telkomsel', 'koneksi', 'internet', 'down', 'lokasi', 'dikota', 'dipedesaan', '']</t>
  </si>
  <si>
    <t>['parah', 'telkomsel', 'signal', 'hilang', 'lte', 'parahnya', 'tinggal', 'pelosok', 'tolong', 'perbaiki', 'twitter', 'email', 'tolong', 'admin', 'telkomselnya']</t>
  </si>
  <si>
    <t>['logo', 'semangat', 'telkomsel', 'pakai', 'layananmu', 'susah', 'senang', 'suka', 'paket', 'murah', 'meriah', 'kuota', 'sepuasnya', 'sedihnya', 'abis', 'paket', 'kuota', 'utama', 'disedot', 'jaringan', 'hilang', 'hilang', 'sms', 'blast', 'penipuan', '']</t>
  </si>
  <si>
    <t>['knp', 'membeli', 'kuota', 'pas', 'cek', 'telkomsel', 'kuota', 'tidk', 'alasan', 'pembelian', 'eror', 'silahkan', 'coba', 'pas', 'coba', 'knp', 'pulsa', 'hilang', 'membeli', 'tolong', 'telkomsel']</t>
  </si>
  <si>
    <t>['dlm', 'rentang', 'harga', 'kuota', 'herannya', 'sinyalnya', 'stabil', 'hilang', 'kadang', 'sinyal', 'cuaca', 'menurun', 'kualitasnya', 'tinggal', 'daerah', 'sulit', 'jangkauan', 'ganti', 'nomor', 'hubungin', 'permasalahan', 'terselesaikan', 'permanen', 'ulasan', 'maksud', 'pertimbangan', 'peningkatan', 'kualitas', 'diberitahu', 'menghubungi', '']</t>
  </si>
  <si>
    <t>['gini', 'abis', 'ultah', 'berfungsi', 'aplikasi', 'pas', 'dibuka', 'nge', 'lag', 'sampe', 'notif', 'aplicatiom', 'not', 'responding', 'promo', 'bagus', 'bagusin', 'fungsi', 'gausah', 'mikirin', 'ujung', 'fungsi', 'apk', 'contoh', 'apk', 'berhasil', 'liat', 'apk', 'fungsi', 'apk']</t>
  </si>
  <si>
    <t>['sialan', 'penjahat', 'sialan', 'beli', 'paket', 'unlimited', 'pulsa', 'utama', 'hisap', 'kejahatan', 'operator', 'kuota', 'unlimited', 'aktif', 'pulsa', 'utama', 'dihisap', 'kejahatan', 'semoga', 'operator', 'mencurangi', 'binasa', 'amin']</t>
  </si>
  <si>
    <t>['beli', 'paket', 'paket', 'kuota', 'utamanya', 'paket', 'kuota', 'multimedia', 'terpakai', 'memakai', 'aplikasi', 'kuota', 'multimedia', 'macem', 'tolong', 'donk']</t>
  </si>
  <si>
    <t>['pls', 'banget', 'kadang', 'beli', 'unlimited', 'pas', 'kuota', 'internet', 'abis', 'unlimited', 'ngilang', 'kepake', 'ngilang', 'pokoknya', 'ngeselin', 'gue', 'gapunya', 'duit', 'barusan', 'beli', 'midnight', 'tulisannya', 'pas', 'dibeli', 'aktifnya', 'kayak', 'gini', 'benerin', '']</t>
  </si>
  <si>
    <t>['modus', 'isi', 'paket', 'unlimited', 'youtube', 'dicoba', 'buka', 'youtube', 'loding', 'trs', 'cek', 'pulsa', 'gua', 'habis', 'sisa', 'rb', 'parah', 'banget', 'beli', 'paket', 'kuota', 'gede', 'jaringan', 'lemot', 'mendingan']</t>
  </si>
  <si>
    <t>['kecewa', 'membeli', 'pulsa', 'minimal', 'beli', 'kuota', 'darurat', 'seharga', 'wajar', 'sisa', 'pulsanya', 'membeli', 'paket', 'combo', 'sakti', 'seharga', 'membelinya', 'pulsa', 'tolong', 'admin', 'memperbaiki', 'kesalahan']</t>
  </si>
  <si>
    <t>['telkomsel', 'yth', 'kualitas', 'jaringan', 'tolong', 'diperbaiki', 'internet', 'stabil', 'promosi', 'penawaran', 'paket', 'via', 'sms', 'mytelkomsel', 'muncul', 'aplikasi', 'dll', 'mengganggu', 'menjadikan', 'was', 'was', 'sengaja', 'terpencet', 'daftar', 'konfirmasi', 'hutang', 'pulsa', '']</t>
  </si>
  <si>
    <t>['nyaman', 'mohon', 'server', 'paket', 'game', 'freefirenya', 'upgrade', 'mengalami', 'kendala', 'memakai', 'paket', 'game', 'kuota', 'utamanya', 'habis', 'sudh', 'masuk', 'lobby', 'free', 'fire', 'mohon', 'bantuannya', 'yaaaa']</t>
  </si>
  <si>
    <t>['telkomsel', 'nama', 'doang', 'kualitas', 'jaringan', 'nol', 'sinyal', 'kuota', 'internet', 'berjalan', 'muter', 'kaya', 'gangsing', 'gemes', 'jijik', 'jaringannya', 'merata']</t>
  </si>
  <si>
    <t>['kedepan', 'jelek', 'pelayanannya', 'aplikasi', 'susah', 'buka', 'maaf', 'aplikasi', 'telkomsel', 'bagus', 'indosat', 'pelayanannya', '']</t>
  </si>
  <si>
    <t>['tolong', 'harga', 'paket', 'bulanannya', 'diturunin', 'selisih', 'indosat', 'orang', 'kaya', 'telkomsel', 'internet', 'bagus', 'klonmahal', 'cmn', 'dpt', 'quota', 'dikit', 'youtub', 'habis', 'zaman', 'zaman', 'promo', 'telpon', 'sms', 'via', 'internet', '']</t>
  </si>
  <si>
    <t>['cek', 'ulang', 'app', 'update', 'perangkat', 'crash', 'membuka', 'telkomsel', 'app', 'berhenti', 'pesan', 'google', 'google', 'play', 'telkomsel', 'crash', 'versi', 'lite']</t>
  </si>
  <si>
    <t>['pembohong', 'anjinq', 'sales', 'telkomsel', 'upgred', 'kartu', 'hallo', 'bonus', 'telfon', 'menit', 'nelfon', 'all', 'oprator', 'ternya', 'bohong', 'anjinq', 'biadab', 'sales', 'mudahan', 'kena', 'ajab', 'dunia', 'akhirar', 'pembohong', '']</t>
  </si>
  <si>
    <t>['sedih', 'terkenal', 'kartu', 'elitnya', 'paketpun', 'terbilang', 'menengah', 'keatas', 'kinerja', 'signal', 'ampun', 'dahh', 'sampe', 'main', 'game', 'sya', 'hapus', 'kesal', 'signal', 'saking', 'terluasnya', 'jaringan', 'indonesia', 'sampe', 'pelosok', 'dikota', 'signal', 'kaya', 'tower', 'riskan']</t>
  </si>
  <si>
    <t>['telkomsel', 'udah', 'tinggal', 'dikota', 'ngelag', 'ngeluh', 'beralih', 'provider', 'astagaaa', 'telkomsel', 'pelit', 'gimana', 'fokus', 'internet', 'khusus', 'daring', 'doang', 'paket', 'blah', 'blah', 'blah', 'diperbanyak', 'dimurahin', 'jaringan', 'diperbaiki', 'samsek', '']</t>
  </si>
  <si>
    <t>['aduh', 'pembayar', 'via', 'virtual', 'akun', 'dihilangkan', 'memudah', 'banget', 'pakai', 'virtual', 'akun', 'ngga', 'orang', 'kartu', 'kredit', 'dll', 'pengguna', 'aplikasi', 'kurleb', 'tahunan', '']</t>
  </si>
  <si>
    <t>['jaringan', 'lemot', 'telkomsel', 'geram', 'kesel', 'jaringan', 'muter', 'udah', 'telkomsel', 'jaringan', 'stress', 'kayanya', 'ganti', 'kartu']</t>
  </si>
  <si>
    <t>['secepatnya', 'diperbaiki', 'nggak', 'sinyalnya', 'udah', 'risih', 'telkomsel', 'udah', 'sinyal', 'sulit', 'kuota', 'mahal', 'ngotak', 'dikit', 'massa', 'kuota', 'mahal', 'mahal', 'sinyal', 'buruk', 'ngelawak']</t>
  </si>
  <si>
    <t>['woi', 'telkomsel', 'kuota', 'combo', 'sakti', 'gb', 'woiii', 'plis', 'lahh', 'balikin', 'paket', 'bener', 'butuh', 'dihilangkan', 'paket', 'sad', '']</t>
  </si>
  <si>
    <t>['keknya', 'paket', 'telkomsel', 'mahal', 'trus', 'servicenya', 'dikendurin', 'udah', 'jaringannya', 'kendor', 'paket', 'paket', 'unlimited', 'paket', 'unlimited', 'sosmed', 'youtube', 'dll', 'downgrade', 'kecepatan', 'abis', 'paket', 'utama', 'paket', 'sosmed', 'ulimited', 'abis', 'yuk', 'tinggalin']</t>
  </si>
  <si>
    <t>['aplikasi', 'susah', 'memasuki', 'nomor', 'kartu', 'telepon', 'genggam', 'susah', 'masuk', 'magic', 'link', 'berbulan', 'tolong', 'perbaiki', 'logo', 'telkomsel', 'ganti', '']</t>
  </si>
  <si>
    <t>['sinyal', 'udah', 'bagus', 'sayangkan', 'harga', 'paket', 'internet', 'mahal', 'kaum', 'kondisi', 'stabil', 'tolong', 'turunin', 'pepatah', 'harga', 'udah', 'turun', '']</t>
  </si>
  <si>
    <t>['pas', 'paket', 'unlimited', 'dibatasi', 'kecepatan', 'penggunaannya', 'kecepatan', 'jaringannya', 'batasi', 'konsisten', 'unlimited', 'batas', 'kecepatan', 'saa', 'bohong', '']</t>
  </si>
  <si>
    <t>['telkomsel', 'kesini', 'kekuatan', 'stabilan', 'jaringan', 'merosot', 'kecepatan', 'jaringan', 'lemot', 'era', 'berbasis', 'lemot', 'harga', 'paket', 'telkomsel', 'mahal', 'pda', 'kartu', 'karna', 'telkomsel', 'jaringan', 'sinyal', 'terkuat', 'mahal', 'mahal', 'lemot', 'hitung', 'bulanan', 'lemot', 'parah', 'seminggu', 'parah', '']</t>
  </si>
  <si>
    <t>['ukuran', 'font', 'sesuai', 'mudah', 'baca', 'tampilan', 'home', 'sesuai', 'informasi', 'ditampilkan', 'lengkap', 'deskripsi', 'produk', 'bahasanya', 'terkesan', 'menjebak', 'penggunaan', 'paket', 'unlimited', 'max', 'ubah', 'namanya', 'batasan', 'kuota', 'unlimited', 'batasan', '']</t>
  </si>
  <si>
    <t>['aplikasi', 'bagus', 'sayang', 'udah', 'jaringan', 'daerah', 'jdi', 'stabil', 'harap', 'jaringan', 'telkomsel', 'bagus', 'perkotaan']</t>
  </si>
  <si>
    <t>['telkomsel', 'parah', 'sinyal', 'internet', 'down', 'udah', 'refresh', 'tetep', 'lemot', 'bintang', 'nol', 'udh', 'kasi', 'nol', 'paraaahhhh', 'operator', 'gobloook', 'udh', 'ngerti', 'kali', 'jaringan', 'lemot', 'lemot', 'alesan', 'refresh', 'matiin', 'data', 'hidupkan', 'bobroook', 'harga', 'kualitas', 'sebanding', 'babi']</t>
  </si>
  <si>
    <t>['telkomsel', 'parah', 'jelek', 'bobrok', 'udah', 'jaringan', 'jumping', 'bobrok', 'kuota', 'mb', 'beli', 'paket', 'telkomsel', 'harga', 'omg', 'gb', 'rb', 'top', 'pulsa', 'harga', 'omg', 'gb', 'rb', 'what', 'the', 'hell', 'nunggu', 'jam', 'check', 'berubah', 'turun', 'omg', 'gb', 'rb', 'are', 'you', 'paying', 'with', 'your', 'customers', 'daaafck', 'ganti', 'provider', 'borok', 'sprti', '']</t>
  </si>
  <si>
    <t>['mohon', 'maaf', 'min', 'sekedae', 'kuota', 'gb', 'jaringan', 'lemot', 'pancar', 'gimana', 'min', 'pdhal', 'kuota', 'pakw', 'telkomsel', 'lamnya', 'kali', 'lemotnya', 'ampun', 'kuota', 'gb']</t>
  </si>
  <si>
    <t>['recommended', 'banget', 'thn', 'simpati', 'bbrapa', 'kecewa', 'paket', 'kuota', 'udah', 'sesuai', 'tertulis', 'apk', 'mytelkomsel', 'aslinya', 'kecewa']</t>
  </si>
  <si>
    <t>['kalinya', 'kecewa', 'telkomsel', 'bermain', 'game', 'sinyal', 'slalu', 'down', 'mentang', 'daerah', 'daerah', 'terpencil', 'mengandalkan', 'jaringan', 'telkom', 'jaringan', 'telkomsel', 'mengunakan', 'jaringan', 'kecewa', 'telkomsel', '']</t>
  </si>
  <si>
    <t>['mantap', 'membantu', 'hehehe', 'stiap', 'pembelian', 'pulsa', 'dpat', 'poin', 'stamp', 'cek', 'poin', 'sayang', 'banget', 'cuman', 'dihape', 'buka', 'berat', 'banget', '']</t>
  </si>
  <si>
    <t>['korupsi', 'kuota', 'internet', 'dpt', 'notif', 'tarif', 'non', 'paket', 'pulsa', 'kena', 'scroll', 'tiktok', 'kuota', 'kemakan', 'pulsanya', 'lumayan', 'makasih', 'udh', 'korup', '']</t>
  </si>
  <si>
    <t>['klaim', 'hadiah', 'check', 'hadiah', 'terklaim', 'otomatis', 'pulsa', 'habis', 'dri', 'rb', 'habis', 'paket', 'data', 'kali', 'tlfn', 'call', 'center', 'jga', 'perbaiki', 'blg', 'karna', 'maps', 'maps', 'nyalakan', 'pas', 'paket', 'data', 'cma', 'kali', 'habis', 'pulsa', 'isi', 'pls', 'kartu', 'telkomsel', 'krna', 'habis']</t>
  </si>
  <si>
    <t>['pas', 'beli', 'paket', 'udah', 'tanda', 'berhasil', 'pas', 'datanya', 'dihidupkan', 'paketnya', 'belom', 'aktif', 'melayang', 'pulsa', 'puluhan', 'ribuku', 'kecewa', 'banget', 'telkomsel']</t>
  </si>
  <si>
    <t>['telkomsel', 'bangkrut', 'seakan', 'telkomsel', 'raja', 'sombong', 'karna', 'percaya', 'kecepatan', 'sinyal', 'mudah', 'tpi', 'seakan', 'menipu', 'masyarakat', 'percaya', 'sinyal', 'nggak', 'stabil', 'hidup', 'kota', 'surabaya', 'sleman', 'jogja', 'kuota', 'mahal', 'murah', 'unlimited', 'tpi', 'kuota', 'utama', 'terpakai', 'habis', 'ngga', 'lag', 'pertanyaannya', 'dimana', 'unlimited', 'njinc', '']</t>
  </si>
  <si>
    <t>['', 'sya', 'menang', 'undian', 'menang', 'menerima', 'hadiah', 'telkomsel', 'sya', 'kasih', '']</t>
  </si>
  <si>
    <t>['sinyal', 'bar', 'status', 'full', 'giliran', 'searching', 'lelet', 'tulisan', 'offline', 'sinyal', 'telkomsel', 'memburuk', 'orang', 'bagus', '']</t>
  </si>
  <si>
    <t>['telkomsel', 'ahhh', 'plsss', 'sinyal', 'beli', 'kuota', 'mahal', 'mengecewakan', 'gini', 'mahal', 'bagus', 'sinyalnya', 'cepat', 'harga', 'barang', 'mahal', 'doang', 'sinyal', 'gampang', 'ilang', '']</t>
  </si>
  <si>
    <t>['', 'pekerja', 'pekerjaan', 'mempertaruhkan', 'nyawa', 'gue', 'resiko', 'pekerja', 'petugas', 'gue', 'pengguna', 'pekerja', 'tugas', 'melayani', 'pengguna', 'kuota', 'gue', 'gb', 'sinyal', 'kayak', 'babi', '']</t>
  </si>
  <si>
    <t>['orang', 'tua', 'ndak', 'pakai', 'aplikasinya', 'menu', 'pakai', 'bahasa', 'inggris', 'aplikasi', 'anak', 'negri', 'indonesia', 'ndak', 'dikasih', 'default', 'bahasa', 'indonesia']</t>
  </si>
  <si>
    <t>['maaf', 'harga', 'mahal', 'sebanding', 'kualitasnya', 'sinyal', 'lemot', 'mati', 'lampu', 'sinyal', 'mati', 'disuruh', 'upgrade', 'aplikasi', 'diupgrade', 'harga', 'paket', 'untk', 'kelancaran', 'komunikasi', 'internet', 'telegram', 'please', 'merampok', 'customer', 'perbaiki', 'kualitasnya', 'beralih', 'operator']</t>
  </si>
  <si>
    <t>['jaringan', 'jelek', 'aplikasi', 'ngaco', 'robot', 'admin', 'darting', 'beli', 'paket', 'kuota', 'kegunaannya', 'kepotong', 'kuota', 'utamanya', 'program', 'promo', 'kuota', 'detail', 'untung', 'ruginya', 'konsumen', 'angin', 'surga', 'hembuskan', 'butuh', 'admin', 'hapal', '']</t>
  </si>
  <si>
    <t>['tolong', 'telkomsel', 'harga', 'jual', 'voucer', 'data', 'mahal', 'isi', 'belajar', 'anak', 'rumah', 'covid', 'berjuang', 'beli', 'paket', 'data', 'anak', 'anak', 'belajar', 'rumah', '']</t>
  </si>
  <si>
    <t>['kuota', 'mahal', 'sii', 'gua', 'dapet', 'combo', 'sakti', 'trus', 'gua', 'pengen', 'kuota', 'gimna', 'sii', 'mkin', 'mahal', 'ajj', 'kuota', 'jaringan', 'ajj', 'kaya', 'laen', 'org', 'beli', 'kuota', 'dipake', 'payah']</t>
  </si>
  <si>
    <t>['ratting', 'menunjukan', 'kualitas', 'sebulan', 'signal', 'ilang', 'harga', 'mahal', 'kualitas', 'ancurrr', 'malu', 'nama', 'pelanggan', 'kecewa', 'berat', 'ibukota', 'berasa', 'hutan', 'belantara', 'ampun', 'deh', 'telkomsell', 'biaya', 'doank', 'skr', 'paket', 'mahal', 'iya', 'paket', 'pembagian', 'paket', 'multimedia', 'berguna', 'bener', 'kacau', 'provider']</t>
  </si>
  <si>
    <t>['bagus', 'versi', 'virsi', 'manfaatnya', 'apliksi', 'jelek', '']</t>
  </si>
  <si>
    <t>['app', 'mendukung', 'pengguna', 'sel', 'terkadang', 'promo', 'ditawarkan', 'reddem', 'point', 'selebihnya', 'good', 'work', '']</t>
  </si>
  <si>
    <t>['isi', 'paket', 'terkadang', 'susah', 'sinyal', 'mohon', 'perhatiannya', 'pembelian', 'paket', 'harga', 'mohon', 'diperbaiki', 'harga', 'disesuaikan', '']</t>
  </si>
  <si>
    <t>['paket', 'data', 'unlimited', 'dipake', 'jaringan', 'jelek', 'kuota', 'buka', 'app', 'loding', 'mulu', 'game', 'sinyal', 'jelek', 'kaya', 'sinyal', '']</t>
  </si>
  <si>
    <t>['aplikasinya', 'bagus', 'banget', 'beli', 'pulsa', 'pas', 'duit', 'point', 'combo', 'saktinya', 'dikasih', 'knp', 'beda', 'beli', 'pulsa', 'combo', 'sakti', 'murah', '']</t>
  </si>
  <si>
    <t>['menu', 'lock', 'pulsa', 'pulsa', 'terpakai', 'telefon', 'sms', 'terpakai', 'data', 'sms', 'komersial', '']</t>
  </si>
  <si>
    <t>['setia', 'telkomsel', 'daerah', 'lemot', 'jaringannya', 'tepatnya', 'daerah', 'nusa', 'tenggara', 'timur', 'tolong', 'benerin', 'kecewa', 'telkomsel']</t>
  </si>
  <si>
    <t>['dear', 'telkomsel', 'mohon', 'butuh', 'eskalasi', 'sinyal', 'team', 'pelaporan', 'pindah', 'kartu', 'hallo', 'merasakan', 'perubahan', 'berfikiran', 'kartu', 'hallo', 'berasa', 'promote', 'doank', 'prioritas', 'buka', 'story', 'rendering', 'berjam', 'jam', 'sumpah', 'gila', '']</t>
  </si>
  <si>
    <t>['aplikasi', 'datean', 'terbaru', 'keren', 'bahasa', 'gampang', 'mengerti', 'utama', 'penasaran', 'program', 'buka', 'penawaran', 'mampir', 'aplikasi', '']</t>
  </si>
  <si>
    <t>['kartu', 'aman', 'aman', 'penawaran', 'kartu', 'halo', 'kesal', 'banget', 'tagihan', 'sampe', 'kartu', 'hangus', 'bangking', 'akses', 'gara', 'gara', 'kartu', 'janji', 'kartu', 'mending', 'kartu', 'tri', 'bro', 'murah', 'aman', 'sinyal', 'kuat']</t>
  </si>
  <si>
    <t>['kasih', 'bintang', 'aplikasi', 'kali', 'pulsa', 'terpotong', 'poin', 'hilang', 'paket', 'batal', 'telkomsel', 'mengecewakan', 'kedepannya', 'ganti', 'provider', '']</t>
  </si>
  <si>
    <t>['paket', 'swadaya', 'gojek', 'paket', 'nelpon', 'kaga', 'suara', 'telpon', 'telpon', 'kastamer', 'suara', 'driver', 'terkirim', 'kastamer', 'seakan', 'handphone', 'eror', 'murah', 'sepaket', 'kualitasnya', 'murahan', 'namamu', 'kualitas', 'rendah', 'maaf', 'kecewa', 'paket', 'swadaya', 'paket', 'telpon', 'nyambung', 'suara', 'korupt', 'bug', 'perbaikan', 'berbulan', 'sepadan']</t>
  </si>
  <si>
    <t>['udh', 'telkomsel', 'udh', 'setahun', 'telokomsel', 'pelayanan', 'jelek', 'paketnyapun', 'mahal', 'kartu', 'pakek', 'yok', 'pindah', 'provider', 'sebelaha', 'guys', 'jaringan', 'bagus', 'harga', 'kouta', 'murah']</t>
  </si>
  <si>
    <t>['sesuai', 'inovasi', 'tampilan', 'dri', 'telkomsel', 'ditambah', 'tersedia', 'hadiah', 'daily', 'check', 'komplain', 'pesen', 'mohon', 'diperhatikan', 'keluhan', 'konsumen', 'boyband', 'bts', 'pendengarnya', 'puas', 'telkomsel', 'tolong', 'contoh', 'tsb', 'sukses', 'kedepannya', 'maju', 'bumn', 'indonesia', '']</t>
  </si>
  <si>
    <t>['', 'linkaja', 'poin', 'telkomsel', 'ditukar', 'saldo', 'linkaja', 'senilai', 'poin', 'telkomsel', 'ditukar', 'saldo', 'linkaja', 'kenyataannya', 'siang', 'lihat', 'harganya', 'poin', 'tsel', 'ditukar', 'saldo', 'linkaja', 'sungguh', 'php']</t>
  </si>
  <si>
    <t>['keluarga', 'pelanggan', 'setia', 'telkomsel', 'puluhan', 'masuk', 'telkomsel', 'priority', 'langganan', 'majalahnya', 'gtw', 'telkomsel', 'burik', 'sangatt', 'kecewa', 'ganti', 'provider', 'terima', 'kasih', '']</t>
  </si>
  <si>
    <t>['gua', 'bingung', 'telkom', 'korup', 'bet', 'njir', 'gua', 'beli', 'pulsa', 'kuota', 'gua', 'sengaja', 'gua', 'nyetok', 'pulsa', 'kuota', 'abis', 'beli', 'aplikasi', 'pulsa', 'abis', 'njir', 'gua', 'blm', 'make', 'karna', 'gua', 'nyalain', 'data', 'seluler', 'kannamasih', 'pulsa', 'hadeh', 'rugi', '']</t>
  </si>
  <si>
    <t>['yth', 'telkomsel', 'tolong', 'permurah', 'harga', 'kuota', 'pelajar', 'kesulitan', 'beli', 'kuota', 'desa', 'jaringan', 'telkomsel', 'semoga', 'komentar', 'dibaca', 'telkomsel', 'terima', 'kasih', '']</t>
  </si>
  <si>
    <t>['mantap', 'telkomsel', 'paket', 'unlimitit', 'fup', 'membantu', 'dipedesaan', 'pedalaman', 'aceh', 'takengon', 'sulit', 'jaringan', 'sulit', 'signal', 'alhamdullilah', 'semoga', 'dpt', 'pertahankan', 'mudah', 'harga', 'paketnya', 'turun', 'perbulannya', 'thq', 'salam', 'tiang', 'kota', 'kopi', 'negeri', 'diatas', 'awan', 'zona', 'padat', 'qouta', '']</t>
  </si>
  <si>
    <t>['aplikasinya', 'jaringannya', 'paket', 'udah', 'mahal', 'jaringannya', 'kesini', 'bobrok', 'telkomsel', 'tolonglah', 'maintenance', 'jaringannya', 'bagus', 'terimakasih']</t>
  </si>
  <si>
    <t>['bener', 'bener', 'berubah', 'paket', 'diatas', 'harga', 'rb', 'dibawahnya', 'jaringan', 'buruk', 'kemarin', 'diluar', 'kota', 'jaringan', 'lambat', 'pas', 'udah', 'kota', 'jaringan', 'normal', 'tolong', 'sesuaikan', 'paketan', 'mahal', 'sinyal', 'buruk', 'bohong', 'mikir', 'mikir', '']</t>
  </si>
  <si>
    <t>['sinyal', 'main', 'game', 'buruk', 'penawaran', 'unlimited', 'berubah', 'sinyal', 'down', 'harga', 'pindah', 'operator', 'harga', 'mahal', 'kualitas', 'buruk', 'kualitas', 'buruk', 'pelanggan', 'lari', 'bintang', 'dibawah', 'udah', 'klik', '']</t>
  </si>
  <si>
    <t>['buka', 'aplikasi', 'telkomsel', 'boros', 'kuota', 'kaya', 'download', 'buka', 'telkomsel', 'cepet', 'abis', 'kuotanya', 'tolong', 'diperhatikan', 'buka', 'gitu', 'data', '']</t>
  </si>
  <si>
    <t>['ribet', 'telkomsel', 'pengguna', 'kartu', 'berubah', 'susah', 'menghubungi', 'telkomsel', 'kendala', 'wajib', 'lgsg', 'grapari', 'layanan', 'langsung', 'bicara', 'keluhan', 'bot', 'walupun', 'email', 'nomor', 'buang', 'kartu', 'tolong', 'layanan', 'call', 'adakan', '']</t>
  </si>
  <si>
    <t>['beli', 'kuota', 'ketengan', 'instagram', 'udah', 'aktif', 'instagraman', 'kepake', 'kuota', 'utamanya', 'gimana', 'kak', 'udah', 'kali', 'gitu', 'tolong', 'perbaiki', 'gimana']</t>
  </si>
  <si>
    <t>['tolong', 'telkomsel', 'perusahaan', 'telekomunikasi', 'terbesar', 'indonesia', 'kecewa', 'kualitas', 'jaringan', 'internet', 'telkomsel', 'memainkan', 'game', 'online', 'masuk', 'reconek', 'dapatkan', 'harga', 'mahal', 'harga', 'kuota', 'provider', 'murah', 'jaringan', 'stabil', 'pelangan', 'setia', 'berlari', 'provider', '']</t>
  </si>
  <si>
    <t>['tulisannya', 'memiliki', 'kuota', 'multimedia', 'realita', 'kuota', 'utama', 'terpakai', 'habis', 'kuota', 'utama', 'isi', 'kuota', 'ditampilkan', 'kuota', 'multimedia', 'ambigu', 'terimakasih']</t>
  </si>
  <si>
    <t>['nyesel', 'beli', 'kartu', 'perdana', 'telkomsel', 'nggk', 'apk', 'maketin', 'nggk', 'pftt', 'rugi', 'ganti', 'mah', 'gpp', 'duitnya', 'telkomsel', 'liat', 'dlu', 'deh', 'udah', 'nggk', 'kaya', '']</t>
  </si>
  <si>
    <t>['mending', 'gausah', 'pakai', 'telkomsel', 'pakai', 'provider', 'bagus', 'telkomsel', 'jaringan', 'jelek', 'harga', 'kuota', 'mahal', 'sesuai', 'harga', 'mahal', 'jaringan', 'jelek', 'bubar', 'jualan', 'nasi', 'goreng']</t>
  </si>
  <si>
    <t>['jaringannya', 'down', 'teroos', 'telkomsel', 'dimanapun', 'sinyal', 'skrng', 'sulit', 'karna', 'nomernya', 'komunikasi', 'relasi', 'udah', 'ganti', 'provide', 'sebelah']</t>
  </si>
  <si>
    <t>['jaringan', 'telkomsel', 'buruk', 'selamat', 'ulang', 'simpati', 'semoga', 'bangkrut', 'perusahaan', 'jaringan', 'telkomsel', 'ancur', 'bnget']</t>
  </si>
  <si>
    <t>['update', 'beli', 'paketan', 'promosi', 'nggak', 'trs', 'promosinya', 'hilang', 'uninstall', 'install', 'tolong', 'perbaiki', 'terima', 'kasih', '']</t>
  </si>
  <si>
    <t>['aplikasi', 'oke', 'bagus', 'cuman', 'koneksi', 'jaringannya', 'kesini', 'stabil', 'suka', 'kesel', 'maen', 'mobile', 'legend', 'ping', 'merah', 'turun', 'ganti', 'jaringan', 'provider', '']</t>
  </si>
  <si>
    <t>['aplikasi', 'telkomsel', 'closing', 'sinyal', 'telkomsel', 'lemot', 'mentang', 'mentang', 'upgrade', 'pelayanannya', 'menurun', 'sesuai', 'biaya', 'keluarkan', 'beli', 'paketan', 'mahal', 'kuota', 'terima', 'dikit', '']</t>
  </si>
  <si>
    <t>['aplikasi', 'bikinan', 'anak', 'negri', 'beli', 'negeri', 'bahasanya', 'asing', 'aka', 'semoga', 'koreksi', '']</t>
  </si>
  <si>
    <t>['semoga', 'mamamu', 'meninggal', 'masuk', 'neraka', 'jaringan', 'ngeleg', 'banget', 'datanya', 'mahal', 'aneh', 'banget', 'harga', 'ngaruh', 'jelek', 'semoga', 'masuk', 'neraka']</t>
  </si>
  <si>
    <t>['rumah', 'jarak', 'menara', 'bts', 'telkomsel', 'meter', 'bar', 'sinyal', 'bar', 'sinyal', 'bar', 'sinyal', 'aman', 'bar', 'sinyal', 'telkomsel', 'mohon', 'dibantu', 'terimakasih', 'the', 'best', 'for', 'telkomsel', 'pokoknya', '']</t>
  </si>
  <si>
    <t>['update', 'vivo', 'apk', 'dipake', 'karna', 'perangkat', 'kompetibel', 'versi', 'donlot', 'anak', 'redmi', 'note', 'login', 'krna', 'kartu', 'vivo', 'yaaa', 'kaalliii', 'emaknya', 'ganti', 'donlot', 'apk', '']</t>
  </si>
  <si>
    <t>['sinyalnya', 'jelek', 'banget', 'malem', 'minggu', 'lemotnya', 'parah', 'kabupaten', 'pasuruan', 'mohon', 'kualitas', 'jaringannya', 'ditingkatkan', 'dahulukan', 'peningkatan', '']</t>
  </si>
  <si>
    <t>['', 'pke', 'telkomsel', 'knpa', 'ahir', 'kreta', 'isi', 'hri', 'hilang', 'ktanya', 'kreta', 'habis', 'pdhl', 'make', 'pling', 'buka', 'tiktok', 'anaknya', 'hilang', 'bgtu', 'udang', 'bakwan', 'tolong', 'jujur', 'nmbah', 'maju', 'bgini', 'trus', 'terusan', 'mba', 'ngk', 'rutin', 'rakyat']</t>
  </si>
  <si>
    <t>['tlng', 'developer', 'menyediakan', 'mode', 'gelap', 'tampilan', 'silau', 'btw', 'harga', 'paket', 'datanya', 'mahal', 'murah', 'pilihan', 'menarik']</t>
  </si>
  <si>
    <t>['kecewa', 'jaringan', 'muter', 'muter', 'karuan', 'paketan', 'internet', 'dipasang', 'banting', 'korban', 'kekesalan', 'jaringan', 'telkomsel']</t>
  </si>
  <si>
    <t>['gimana', 'gua', 'beli', 'paket', 'gb', 'saldo', 'pas', 'pembelian', 'udh', 'berhasil', 'katanx', 'diproses', 'pembayaran', 'udh', 'ditunggu', 'pulsanya', 'berkurang', 'mainin', 'pelanggan', 'telkomsel', 'mohon', 'kek', '']</t>
  </si>
  <si>
    <t>['link', 'verifikasi', 'email', 'masuk', 'email', 'klik', 'error', 'gimana', 'verifikasi', 'emailnya', 'donk', 'error', 'gitu', '']</t>
  </si>
  <si>
    <t>['kecewa', 'telkomsel', 'introspeksi', 'kecewa', 'sms', 'trus', 'jaringan', 'parah', 'untung', 'rmh', 'first', 'media', 'kedepan', 'off', 'kartu', 'kartu', 'kartu', 'telkomsel', 'sisa', 'telfon', 'telkomsel', 'jempol', 'bkn', 'bintang', 'moga', 'telkomsel', 'baca']</t>
  </si>
  <si>
    <t>['mempermudah', 'mengkses', 'daa', 'mendafar', 'layanan', 'internet', 'telepon', 'sms', 'harapannya', 'bnyk', 'promo', 'murah', 'pengguna', 'terbebani', 'biaya', '']</t>
  </si>
  <si>
    <t>['', 'telkomsel', 'harga', 'paketan', 'sesuai', 'kebutuhan', 'pengguna', 'memaksa', 'pengguna', 'harga', 'mahal', 'diimbangi', 'kekuatan', 'sinyal', 'kadang', 'beli', 'paketan', 'berhasil', 'masuk', 'bad', 'services', 'disappointed', 'with', 'telkomsel', 'balasan', 'komplain', 'isinya', 'diarahkan', 'media', 'sosial', 'perusahaan', 'jawabanya', 'diimbangi', 'perbaikan', 'layanan', '']</t>
  </si>
  <si>
    <t>['kuota', 'belajar', 'gigamax', 'kuota', 'bnayak', 'pemakainnya', 'penjelasannya', 'susah', 'fahami', 'masyarakat', 'contoh', 'beli', 'kuota', 'perdana', 'gb', 'tertulis', 'kuota', 'utaam', 'gb', 'terpakai', 'iming', 'iming', 'pembodohan', 'tolong', 'pisahkan', 'perdana', 'kuota', 'game', 'maxt', 'reguler', 'masyarakat', 'bebankan', 'dibutuhkan', 'aneh', 'kuota', 'belajar', 'brosw', 'chat', 'cari', 'materi', 'browsing', 'signal', 'hilng']</t>
  </si>
  <si>
    <t>['minggu', 'sinyal', 'jaringan', 'stabil', 'jelek', 'main', 'game', 'jaringan', 'hilang', '']</t>
  </si>
  <si>
    <t>['woooiii', 'telkomsel', 'mentang', 'mentang', 'pakai', 'perusahaan', 'sombong', 'perbaiki', 'sistem', 'pengisian', 'pulsa', 'voucher', 'kemarin', 'ngisi', 'voucher', 'harga', 'mahal', 'harga', 'voucher']</t>
  </si>
  <si>
    <t>['beli', 'ketengan', 'youtube', 'unlimited', 'minggu', 'akses', 'youtube', 'mobile', 'bohong', 'udah', 'gitu', 'sinyal', 'full', 'speed', 'internet', 'jelek', 'ngelag', 'bumn', 'kualitas', 'gini', 'gimana', 'bersaing', 'pantes', 'sahamnya', 'jalan', '']</t>
  </si>
  <si>
    <t>['bug', 'mytelkomsel', 'beli', 'paket', 'internet', 'dpt', 'notif', 'pembelian', 'berhasil', 'tpi', 'pulsa', 'terpotong', 'kuota', 'masuk', 'dicoba', 'bbrp', 'kali', 'ttp', 'pas', 'dial', 'lanjay']</t>
  </si>
  <si>
    <t>['tolong', 'semenjak', 'update', 'susah', 'beli', 'paketan', 'keseringan', 'erorr', 'gagal', 'kaya', 'cepet', 'ribet', 'udh', 'gtu', 'jaringannya', 'jelek', 'sedih', 'banget', 'sumpah']</t>
  </si>
  <si>
    <t>['kuota', 'data', 'habis', 'pulsanya', 'diserap', 'kuota', 'data', 'and', 'pulsa', 'kepentingan', 'jngan', 'kompair', 'nelpon', 'pulsa', 'habis', 'terserap', 'krna', 'data', 'online', 'aktif', 'kecewa', 'dngan', 'vitur', 'telkomsel', 'skrng', 'payah', '']</t>
  </si>
  <si>
    <t>['terbaiklah', 'telkomsel', 'cek', 'paket', 'data', 'mudah', 'pisahkan', 'paket', 'data', 'perbulan', 'mingguan', 'harian', 'paket', 'internet', 'malam', 'mudah', 'sisa', 'kuota', 'berbeda', 'aktifnya', '']</t>
  </si>
  <si>
    <t>['layanan', 'aplikasi', 'memuaskan', 'menyulitkan', 'pelanggan', 'darurat', 'aplikasi', 'telkomsel', 'mensuport', 'penggunaan', 'akses', 'kuota', '']</t>
  </si>
  <si>
    <t>['tagihan', 'berlebih', 'ganti', 'paket', 'non', 'aktivkan', 'kartu', 'pertma', 'regrister', 'digrapari', 'kebijakan', 'berubah', 'memberatkan', 'pelangan', '']</t>
  </si>
  <si>
    <t>['gabisa', 'buka', 'telkomsel', 'send', 'link', 'ber', 'jam', 'jam', 'muncul', 'notif', 'sms', 'email', 'kali', 'masuk', 'applikasi', 'mesti', 'send', 'link', '']</t>
  </si>
  <si>
    <t>['paketan', 'mahal', 'otak', 'temen', 'paketan', 'murah', 'daerah', 'kota', 'alamat', 'bedanya', 'jarang', 'isi', 'pulsa', 'suka', 'isi', 'pulsa', 'sengaja', 'banget', 'dibikin', 'mahal']</t>
  </si>
  <si>
    <t>['tolong', 'jaringan', 'perkuat', 'kota', 'minim', 'jaringan', 'jaringan', 'baja', 'jaringan', '']</t>
  </si>
  <si>
    <t>['telkomsel', 'speed', 'hahaha', 'sampah', 'customer', 'udah', 'komplain', 'jaringan', 'langsung', 'perbaikin', 'nunggu', 'hubungi', 'customer', 'niat', 'kerja', '']</t>
  </si>
  <si>
    <t>['beli', 'kouta', 'via', 'wallet', 'menyusahkan', 'udah', 'beli', 'pakai', 'link']</t>
  </si>
  <si>
    <t>['keren', 'tekniknya', 'ngasih', 'bonus', 'kuota', 'gataunya', 'pulsa', 'abis', 'karna', 'pas', 'dpt', 'jaringan', 'ambil', 'pulsa', 'aneh', 'bin', 'ajaib', 'tersadar', 'mengganti', 'operator']</t>
  </si>
  <si>
    <t>['maaf', 'beralih', 'provider', 'paket', 'internet', 'kecewa', 'signal', 'stabil', 'imbang', 'harga', 'paketnya', 'terima', 'kasih', '']</t>
  </si>
  <si>
    <t>['', 'kartuas', 'tidur', 'slot', 'sim', 'indosat', 'im', 'paket', 'internet', 'murah', 'tanggal', 'juni', 'harga', 'paket', 'ribu', 'gb', 'combo', 'bertahan', 'aktifkan', 'kartuas', 'simpati', 'murah', 'ribu', 'ribu', 'hilangkan', 'hadirkan', 'duanya', 'tinggal', 'konsumen', 'milih', 'standby', 'slot', 'sim', 'sok', 'keren', 'kartuas', 'skrng', 'slot', 'sim', 'combo', 'sakti', '']</t>
  </si>
  <si>
    <t>['aplikasi', 'scam', 'tercantum', 'paket', 'ceria', 'gb', 'seharga', 'rb', 'diaktivasi', 'pulsa', 'kecewa', '']</t>
  </si>
  <si>
    <t>['berat', 'buka', 'loading', 'harga', 'paketan', 'mahal', 'murah', 'hiburan', 'berguna', '']</t>
  </si>
  <si>
    <t>['pulsa', 'pakai', 'berkurang', 'habis', 'ngambil', 'tolong', 'telkomsel', 'curang', 'kartu', 'hubungi', 'telegram', 'pas', 'chat', 'admin', 'nyambung', 'kecewa', 'banget', 'telkomsel', 'pelayanan', '']</t>
  </si>
  <si>
    <t>['kebanyakan', 'update', 'layanan', 'cepat', 'lemot', 'malam', 'minggu', 'lemot', 'susah', 'buka', 'aplikasinya', 'aneh', 'update', 'kebanyakan', 'updatenya', 'maaf', 'kuota', 'data', 'giga', 'multi', 'media', 'tetep', 'data', 'utama', 'pakenya', 'pakai', 'combo', 'paket']</t>
  </si>
  <si>
    <t>['asli', 'parah', 'pulsa', 'hilang', 'paket', 'data', 'puluan', 'pulsa', 'kesedot', 'dihitung', 'sampe', 'ratusan', 'ribu', 'pulsa', 'kesedot', 'ulangin', 'paket', 'data', 'puluan', 'pulsa', 'kesedot', 'mohon', 'diperbaiki']</t>
  </si>
  <si>
    <t>['tolong', 'pulsa', 'berkurang', 'pdhal', 'pembelian', 'apapun', 'data', 'seluler', 'matikan', 'pulsa', 'berkurang', 'habis', 'tolong', 'gimana', 'ngatasinya']</t>
  </si>
  <si>
    <t>['bagus', 'enak', 'internetnya', 'lancar', 'beli', 'kuota', 'promo', 'harga', 'murah', 'tifak', 'berhasil', 'membeli', 'paket']</t>
  </si>
  <si>
    <t>['pascabayar', 'prabayar', 'pelayananya', 'bilangnya', 'limit', 'pas', 'pembayaran', 'sampe', 'kadang', 'pakai', 'pembayaran', 'nyampe', 'cek', 'layanan', 'digital', 'pakai', 'berselancar', 'sosmed', 'janjikan', 'rb', 'perbulan', 'bohong', 'telkomsel']</t>
  </si>
  <si>
    <t>['mengecewakan', 'buruk', 'promo', 'berkualitas', 'kuota', 'utama', 'kuota', 'siput', 'ngesot', '']</t>
  </si>
  <si>
    <t>['kasih', 'bintang', 'jaringan', 'puas', 'paket', 'data', 'harganya', 'mahal', 'promo', 'menarik', 'paket', 'kartu', 'giliran', 'promo', 'dapatnya', 'ratusan', 'kartu', 'mahal', 'menggunakannya', '']</t>
  </si>
  <si>
    <t>['', 'bingung', 'kartu', 'dipake', 'topup', 'game', 'cust', 'service', 'hasil', 'ribet', 'alias', 'kaga', 'dianya', 'alasan', 'dianya', '']</t>
  </si>
  <si>
    <t>['apk', 'dikasih', 'bintang', 'mudah', 'mengerti', 'jaringan', 'deh', 'jarangannya', 'suka', 'ilng', 'kuota', 'unlimited', 'udh', 'lambat', 'kadang', 'ilang', 'sinyalnya', 'ngegame', 'susah', 'tolong', 'jaringannya', 'perbaiki', 'memperbaiki', 'sinyal', 'butuh', 'perbaikan', 'kalah', 'jaringan', 'dengen', 'harga', 'kuota', 'murah', 'tolong', 'bpk']</t>
  </si>
  <si>
    <t>['udah', 'kali', 'iya', 'pulsa', 'kepotong', 'isi', 'pulsa', 'udah', 'hilang', 'paket', 'data', 'pasang', 'barusan', 'isi', 'ribu', 'tinggal', 'seribu', 'perak', 'paket', 'kepasang', 'telkomsel', 'makan', 'uang', 'haram', 'iya', 'hem']</t>
  </si>
  <si>
    <t>['enak', 'browsing', 'kuota', 'internet', 'habis', 'notifikasi', 'langsung', 'maen', 'potong', 'pulsa', 'utama', 'operator', 'maen', 'jujur', 'langsung', 'off', 'internet', 'kuota', 'habis', 'telkomsel', 'sungguh', 'keren', '']</t>
  </si>
  <si>
    <t>['siang', 'tukar', 'poin', 'kuota', 'giga', 'dipake', 'nonton', 'disney', 'hotstar', 'belom', 'udah', 'habis', 'buka', 'instagram', 'doang', 'kuota', 'unlimited', 'social', 'media', 'gimana', 'sistem', 'parah', '']</t>
  </si>
  <si>
    <t>['kecewa', 'disaat', 'paket', 'melambat', 'membeli', 'paket', 'internet', 'berharap', 'kuita', 'internet', 'cepat', 'paket', 'aktif', 'paket', 'dinon', 'aktifkan', 'telkomsel', 'call', 'center', 'est', 'jam', 'signal', 'internet', 'melambat', 'mohon', 'diperbaiki', 'dibuatkan', 'pilihan', 'non', 'aktif', 'paket', 'aplikasi', 'telkomsel', 'pengguna', 'mudah', 'menonaktifkan', 'paket', 'hbs', '']</t>
  </si>
  <si>
    <t>['update', 'loadingnya', 'tampilannya', 'doang', 'bagus', 'ribet', 'makainya', 'bagus', 'simpel', 'mudah', 'simpel', 'top', 'transaksi', 'pembayaranya', 'via', 'bank', 'virtual', 'account', 'pembayaran', 'via', 'virtual', 'account', '']</t>
  </si>
  <si>
    <t>['pantesan', 'jaringan', 'wilayah', 'error', 'telkomsel', 'korupsi', 'menutupi', 'kerugiannya', 'telkomsel', 'menaikan', 'harga', 'kuota', 'sayangkan', 'kualitas', 'jaringan', 'hancur', 'parah', 'mudah', 'mudahan', 'jaringan', 'sebelah', 'menandingi', 'melambung', 'telkomsel', 'pemakai', 'setia', 'telkomsel', 'kecewa', 'harganya', 'mahal', 'jaringannya', 'hancur', 'parah']</t>
  </si>
  <si>
    <t>['kartu', 'keunggulan', 'murah', 'beli', 'paket', 'dpt', 'bonus', 'klu', 'disamakan', 'kartu', 'kartu', 'sakti', 'pelanggan', 'telkom', 'kecewa', '']</t>
  </si>
  <si>
    <t>['aplikasi', 'brp', 'gan', 'ane', 'jual', 'mobil', 'bekas', 'toyota', 'kijang', 'innova', 'diesel', 'dunia', 'kota', 'pandeglang', 'banten', 'jakarta', 'dki', 'jakarta', 'joko', 'widodo', 'basuki', 'tjahaja', 'purnama', 'sari', 'simorangkir', 'tubuh', 'manusia', 'jenis', 'mengenal', 'kopi', 'pagi', 'dingin', 'utama', 'perhatikan', 'jakarta', 'surabaya', 'jawa', 'timur', 'geblek', 'dunia', 'foto', 'film', '']</t>
  </si>
  <si>
    <t>['terkadang', 'suka', 'lost', 'conection', 'susah', 'sinyal', 'pinggiran', 'kota', 'pelosok', 'kecewa', 'banget', 'provider', 'kinerjanya', 'bagus', 'kecewa', 'telkomsel', 'saran', 'sinyal', 'stabil', 'terfokus', 'memperbaiki', 'sinyal', 'kota', 'stabil', 'perhatikan', 'daerah', 'pelosok', 'sulit', 'sinyal', 'pelosok', 'kota', 'bayar', 'mohon']</t>
  </si>
  <si>
    <t>['', 'customer', 'servis', 'level', 'kampung', 'sopan', 'niat', 'ngasih', 'hadiah', 'daily', 'check', 'adain', 'php', 'orang', 'sakit', 'bos', 'balesanya', 'akhirat', 'claim', 'udah', 'ilang', 'share', 'udah', 'kali', 'kek', 'gini']</t>
  </si>
  <si>
    <t>['komentar', 'ilang', 'diperbarui', 'lelet', 'bermain', 'game', 'update', 'update', 'lelet', 'main', 'game', 'harga', 'mahal', 'udahlah', 'paket', 'mahal', 'sinyal', 'hancur', '']</t>
  </si>
  <si>
    <t>['kesini', 'paketnya', 'mahal', 'milik', 'negara', 'murah', 'mahal', 'jaman', 'corona', 'gini', '']</t>
  </si>
  <si>
    <t>['tolong', 'pembayaranya', 'diperjelas', 'beli', 'kuota', 'via', 'shopeepay', 'ngga', 'giliran', 'diisi', 'pulsa', 'beli', 'pulsa', 'pulsanya', 'langsung', 'kesedot', 'gara', 'ngga', 'matiin', 'data', 'kuota', 'kesedot', 'pulsanya', 'tolonglah', 'telkomsel', 'untungnya', 'pembayaran', 'visa', 'dana', 'ovo', 'shopeepay', 'dll', 'diperjelas', 'kadang', 'kadang', 'ngga', 'emosi']</t>
  </si>
  <si>
    <t>['kesini', 'jaringan', 'jelek', 'pelanggan', 'telkomsel', 'daerah', 'perkotaan', 'sinyal', 'turun', 'kadang', 'hilang', 'berharap', 'secepatnya', 'diperbaiki', '']</t>
  </si>
  <si>
    <t>['terimakasih', 'telkomsel', 'murahin', 'harga', 'paket', 'yaa', 'pulsa', 'dibawah', 'riburupiah', 'beli', 'paket', 'internet', 'oke', 'tambahin', 'bintang', 'paket', 'internet', 'gigabytes', 'dibawah', 'harga', 'riburupiah', 'terimakasih', 'telkomsel', '']</t>
  </si>
  <si>
    <t>['update', 'susah', 'login', 'enak', 'versi', 'aplikasi', 'mohon', 'benahi', 'cepet', 'login', '']</t>
  </si>
  <si>
    <t>['kualitas', 'sinyal', 'telkomsel', 'semangkin', 'buruk', 'jaringan', 'stabil', 'jaringan', 'coba', 'tingkat', 'daerah', 'kabupaten', 'karawang', 'kecamatan', 'klari', 'desa', 'walah', 'kampung', 'jatimulya', 'klw', 'jaringan', 'terpaksa', 'sya', 'beralih', 'kecewa', 'kualitas', 'jaringan', 'telkomsel', '']</t>
  </si>
  <si>
    <t>['kecewa', 'sistem', 'sibuk', 'memasukan', 'voucher', 'aktivasi', 'saran', 'update', 'fitur', 'isi', 'ulang', 'voucher', 'terima', 'kasih', '']</t>
  </si>
  <si>
    <t>['tolong', 'aplikasinya', 'diperbaiki', 'sistemnya', 'beli', 'paket', 'kuota', 'pulsa', 'mencukupi', 'knp', 'butuh', 'banget', 'tolonglah', 'tampilan', 'diupgrade', 'sistemnya', 'diupgrade', 'udah', 'gitu', 'sinyalnya', 'jelek', 'banget', 'parah', '']</t>
  </si>
  <si>
    <t>['susah', 'kayak', 'mudah', 'sekaran', 'membingungkan', 'susah', 'mengerti', 'tolong', 'beda', 'dikit', 'kayak', 'semoga', 'cepat', 'ubah']</t>
  </si>
  <si>
    <t>['telkomsel', 'parah', 'jaringan', 'harga', 'paket', 'mahal', 'kualitas', 'turun', 'perbaiki', 'harga', 'paket', 'data', 'kualitas', 'jaringan', 'seimbangin']</t>
  </si>
  <si>
    <t>['suka', 'muka', 'interface', 'tampilan', 'informasi', 'menarik', 'mudah', 'dipahami', 'tolong', 'jaringannya', 'diperbaharui', 'kecepatan', 'jaringan', 'menurun', 'minggu', 'terimakasih']</t>
  </si>
  <si>
    <t>['telkomsel', 'kek', 'babbbi', 'kau', 'jual', 'pulsa', 'rb', 'paket', 'rb', 'licik', 'kau', 'licik', 'berbisnis', 'konsumen', 'terpaksalah', 'beli', 'rb', 'nutupin', 'rb', 'pemerasan', 'namanya', 'anzingg', 'manager', '']</t>
  </si>
  <si>
    <t>['speed', 'download', 'minus', 'speed', 'upload', 'minus', 'lantency', 'minus', 'konektivitas', 'minum', 'harga', 'plus', 'perbaikan', 'kacau', 'coba', 'sehari', 'aje', 'kagak', 'user', 'ngeluh', 'jaringan', 'bar', 'sinyal', 'full', 'urusin', 'keluhan', 'user', 'operator', 'kagak', 'berkualitas', 'kek', 'gini', 'sekian', 'terima', 'kasih', '']</t>
  </si>
  <si>
    <t>['bintang', 'kecewa', 'telkomsel', 'mengeluh', 'pembelian', 'paket', 'internet', 'telkomsel', 'sesuai', 'telkomsel', 'mohon', 'perbaiki', 'sistemnya', 'terima', 'kasih']</t>
  </si>
  <si>
    <t>['update', 'mahal', 'murah', 'paket', 'combo', 'sakti', 'rb', 'minggu', 'unlimited', 'udh', 'lgi', 'udah', 'kondisi', 'kaya', 'gini', 'lgi', 'susah', 'nyari', 'duit', 'paketan', 'ngikut', 'mahal', 'ganti', 'kartu', 'internet', 'bagus', 'dirmh', 'tolong', 'adakan', 'lgi', 'paket', 'combo', 'sakti', 'murah', 'kemarin']</t>
  </si>
  <si>
    <t>['beneran', 'parah', 'udah', 'make', 'sya', 'ngerasain', 'gimana', 'parahnya', 'sinyal', 'telkomsel', 'skarang', 'driver', 'ojek', 'online', 'udah', 'kjadian', 'pas', 'anter', 'pesanan', 'planggan', 'bgitu', 'sampe', 'lokasi', 'sinyal', 'hilang', 'skali', 'nggak', 'telepon', 'nggak', 'kirim', 'chat', 'nggak', 'lihat', 'alamat', 'planggan', 'karna', 'internet', 'off', 'sampe', 'jam', 'kaya', 'gitu', 'pelanggan', 'membentak', 'karna', 'planggan', 'memaklumi', 'planggan', 'membentak', 'fixed', 'lgsg', 'pindah', 'provider']</t>
  </si>
  <si>
    <t>['segi', 'kuota', 'mahal', 'sebanding', 'kualitas', 'jaringannya', 'tinggal', 'daerah', 'kota', 'lancar', 'jaringan', 'sinyalnya', 'keluhan', 'satupun', 'berubah', 'memperbaiki', 'kekurangannya', 'tolong', 'admin', 'konsumen', 'pelayanan', 'puaskan', 'perhatikan', 'kualitas', 'jaringan', 'sebanding', 'harga', 'mahal', '']</t>
  </si>
  <si>
    <t>['maaf', 'telkomsel', 'sudan', 'perhatikan', 'cek', 'kuota', 'nntn', 'loading', 'banget', 'pengalaman', 'rasakan', 'jaringan', 'mantul', 'banget', 'knp', 'skrg', 'bermasalah', 'harap', 'telkomsel', 'cepat', 'memparbaiki', 'secepatnya', 'pelanggan', 'kecewa', 'berpindah', 'jaringan']</t>
  </si>
  <si>
    <t>['uda', 'jaman', 'bocil', 'make', 'telkom', 'sinyalnya', 'skrng', 'drop', 'game', 'dapet', 'stabil', 'ms', 'dapet', 'susah', 'kali', 'slalu', 'trus', 'kadang', 'sinyal', 'pas', 'game', 'gada', 'koneksi', 'heran', 'kadang', 'paketnya', 'lbh', 'mahal', 'koneksi', 'masi', 'gni', 'trus', 'mnding', 'beralih', 'kecewa', 'parah']</t>
  </si>
  <si>
    <t>['parah', 'banget', 'telkomsel', 'beli', 'paket', 'internet', 'ribu', 'dapet', 'kuota', 'utama', 'gb', 'kuota', 'sosmed', 'music', 'games', 'gb', 'buka', 'sosmedku', 'kuota', 'sosmed', 'berkurang', 'blas', 'trus', 'tlp', 'cs', 'nunggu', 'kuota', 'utama', 'abis', 'kepake', 'kuota', 'sosmed', 'parah', 'banget', 'njebaknya', 'gini', 'telkomsel', 'pdhl', 'langganan', 'thn']</t>
  </si>
  <si>
    <t>['tanggap', 'ngeluh', 'instagram', 'balas', 'fast', 'respon', 'komen', 'instagram', 'nonaktifkan', 'mengeluhkan', 'kualitas', 'sinyal', 'telkomsel', 'perbaikan', 'listrik', 'pln', 'tanggal', 'juni', 'anjlok', 'hape', 'terima', 'sinyal', 'hape', 'rumah', 'istri', 'gadget', 'sinyalnya', 'blank', 'tolonglah', 'produk', 'pemerintah', 'gini', 'iklan', 'promosi', 'sms', 'sesuai', 'kenyataan', 'aplikasi', 'dll']</t>
  </si>
  <si>
    <t>['update', 'ringan', 'mudah', 'dipahami', 'tampilannya', 'menarik', 'semoga', 'kedepannya', 'daerah', 'pedesaan', 'tercover', 'jaringan', 'telkomsel', 'semoga', 'harga', 'bersahabat', '']</t>
  </si>
  <si>
    <t>['beli', 'kuota', 'pas', 'refresh', 'beranda', 'kebeli', 'beli', 'susah', 'suka', 'kesel', 'beli', 'tolong', 'donk', 'perbaiki', 'nanyak', 'veronika']</t>
  </si>
  <si>
    <t>['udah', 'beli', 'paket', 'knpa', 'pulsa', 'tersedot', 'kemananya', 'isi', 'ulang', 'pulsa', 'beli', 'kuota', 'tpi', 'pulsanya', 'ketiga', 'beli', 'pulsa', 'berkurang', 'kmn', 'beli', 'pulsa', 'beli', 'paket', 'gini', 'rugi', 'pdahal', 'beli', 'paket', 'rb', 'knpa', 'mkin', 'ksini', 'paket', 'mahal', 'jaringan', 'lemot', 'disaat', 'mkin', 'murah', 'bagus', 'bobrok', 'semoga', 'perbaikan', 'terima', 'kasih']</t>
  </si>
  <si>
    <t>['jaringan', 'telkomsel', 'menurun', 'kualitasnya', 'dlu', 'pakai', 'telkomsel', 'karen', 'kenceng', 'stabil', 'sinyalnya', 'suka', 'ngadat', 'area', 'trmasuk', 'area', 'kota', 'kalah', 'sinyal', 'provider', 'murah', 'biaya', 'kuota', 'perbulan', 'sumpah', 'emosi', 'pakai', 'telkomsel', '']</t>
  </si>
  <si>
    <t>['susah', 'membeli', 'paket', 'gangguan', 'paket', 'muncul', 'paket', 'kuota', 'keluarga', 'paket', 'susah', 'dibeli', 'versi', 'terbarupun', 'paket', 'beli', 'dibeli']</t>
  </si>
  <si>
    <t>['gimana', 'dapet', 'promo', 'murah', 'jaman', 'smp', 'thun', 'dpt', 'promo', 'murah', 'temen', 'sebelah', 'kossan', 'dapet', 'gb', 'ribu', '']</t>
  </si>
  <si>
    <t>['kesini', 'parah', 'jaringan', 'internet', 'telkomsel', 'bandung', 'jalan', 'gunung', 'batu', 'massa', 'kuat', 'kuota', 'mahal', 'doang', 'beli', 'kuota', 'kualitas', 'kesini', 'bagus', 'menurun', 'harga', 'naikin']</t>
  </si>
  <si>
    <t>['telkomsel', 'meningkat', 'jaringan', 'mala', 'lemot', 'ngak', 'permasalahi', 'paket', 'diambil', 'operator', 'mahal', 'kebanding', 'operator', 'emang', 'kualitas', 'operator']</t>
  </si>
  <si>
    <t>['kecewa', 'telkomsel', 'paketan', 'mahal', 'jaringan', 'lelet', 'bermutu', 'kartu', 'bagus', 'bagus', 'apanya', 'bagus', 'leletnya', 'tolong', 'jaringan', 'dipercepat', 'kalah', 'sma', 'axiz', 'im', 'kecea', 'bngt', 'pakai', 'telkomsel', 'jringan', 'busuk']</t>
  </si>
  <si>
    <t>['kualitas', 'internet', 'telkomsel', 'membaik', 'jelek', 'gua', 'papa', 'harga', 'kouta', 'mahal', 'kualitasnya', 'emang', 'bagus', 'ditengah', 'kota', 'berasa', 'kaya', 'tinggal', 'pedesaan', 'susah', 'sinyal', 'butuh', 'jaringan', 'jaringan', 'stabil', 'doang', '']</t>
  </si>
  <si>
    <t>['beli', 'paket', 'promo', 'gb', 'sisa', 'pulsa', 'sampe', 'habis', 'kena', 'dipake', 'nntn', 'youtube', 'download', 'aplikasi', 'karna', 'jalan', 'motor', 'sampe', 'rumah', 'makan', 'pulsa', 'aneh', 'telkomsel', 'seneng', 'nipu', 'pengguna']</t>
  </si>
  <si>
    <t>['jaringan', 'internet', 'desa', 'krikilan', 'kec', 'kalijambe', 'kab', 'sragen', 'jelek', 'sinyal', 'ful', 'jaringan', 'internet', 'buruk', 'minggu', 'jaringan', 'stabil', 'tanggapan', 'telkomsel', 'sungguh', 'mengecewakan', 'pelanggan', 'pekerjaan', 'terhambat', 'hiburan', 'main', 'game', 'youtube', 'instagram', 'terganggu', 'pendidikan', 'anak', 'kamipun', 'terganggu', 'tolong', 'perbaiki', '']</t>
  </si>
  <si>
    <t>['kartu', 'asku', 'dpt', 'paket', 'internet', 'mahal', 'iri', 'orng', 'kartu', 'tergolong', 'tpi', 'dpt', 'promo', 'kouta', 'murah', 'sedihnya', 'ganti', 'kartu', 'tpi', 'syang', 'nomor', '']</t>
  </si>
  <si>
    <t>['fitur', 'update', 'fitur', 'login', 'ribet', 'dipermudaj', 'buka', 'aplikasi', 'verifikasi', 'nomor', 'orang', 'tinggal', 'pedalaman', 'susah', 'sinyal', 'membuka', 'aplikasi', 'menunggu', 'link', 'verifikasi', 'jam', 'muncul', 'pesan', 'otomatis', 'kadaluarsa', 'mohon', 'dipertimbangkan', 'ganti', 'ikon', 'aplikasi']</t>
  </si>
  <si>
    <t>['telkomsel', 'apl', 'ganti', 'logo', 'kasihan', 'tua', 'bingung', 'pakai', 'bahasa', 'indonesia', 'aplikasinya', 'kayak', 'terimakasih', '']</t>
  </si>
  <si>
    <t>['kya', 'beli', 'kuotan', 'unlimited', 'cuman', 'buka', 'whatsapp', 'main', 'game', 'ngelag', 'udah', 'semingu', 'main', 'game', 'ngelag', 'tolong', 'pengertian', '']</t>
  </si>
  <si>
    <t>['sumpah', 'sonyal', 'jelek', 'pelajar', 'kesulitan', 'ulangan', 'hilang', 'sinyalnya', 'sulit', 'mengumpulkan', 'tugas', 'google', 'classroom', 'sinyal', 'jelek', 'tenggat', 'pengumpulannya', 'memengaruhi', 'nilai', 'bagimana', 'mensuport', 'pelajar', 'indonesia', 'nilai', 'turun', 'pemerintah', 'menerapkan', 'pembelajaran', 'darin']</t>
  </si>
  <si>
    <t>['mohon', 'cek', 'email', 'sms', 'paket', 'combo', 'sakti', 'klik', 'link', 'tautan', 'promo', 'males', 'isi', 'pulsa', 'gini', 'tolong', 'pakde']</t>
  </si>
  <si>
    <t>['poin', 'mendingan', 'buang', 'program', 'poin', 'telkomsel', 'poin', 'bsa', 'tukarkan', 'langsung', 'saldo', 'pulsa', 'program', 'taik']</t>
  </si>
  <si>
    <t>['paket', 'internet', 'ditawarkan', 'sakit', 'kepala', 'butuh', 'full', 'data', 'butuh', 'paket', 'buang', 'uang', 'telkom', 'tawarkan', 'jujur', 'kecewa', 'berat', 'perusahaan', 'cari', 'keuntungan', 'perduli', 'kebutuhan', 'konsumen', '']</t>
  </si>
  <si>
    <t>['', 'telkomsel', 'suka', 'telkomsel', 'paket', 'data', 'murah', 'telkomsel', 'hadiah', 'telkomsel', 'poin', 'undi', 'minggu', 'mudah', 'mudahan', 'hadiah', 'utamanya', 'unit', 'mobil', 'berkembang', 'telkomsel', 'sukses', 'sejuta', 'manfaat', 'rakyat', 'indonesia', 'telkomsel', 'kartu', 'primadonaku', 'semoga', 'allah', 'kesuksesan', 'dunia', 'akhirat', 'tim', 'telkomsel', 'kebaikan', 'diniatkan', 'amiiinnnnnn', 'love', 'telkomsel', '']</t>
  </si>
  <si>
    <t>['pas', 'pakai', 'kartu', 'sakti', 'senang', 'paket', 'murah', 'stlah', 'pakai', 'paket', 'dihilangkan', 'niat', 'nama', 'kartu', 'sakti', 'sakti', 'bener', 'hilang', 'paket', 'murah', 'selamat', 'menghilangkan', 'kepercayaan', 'pengguna', 'telkomsel', '']</t>
  </si>
  <si>
    <t>['jaringan', 'telkomsel', 'susah', 'bangettrs', 'promo', 'unlimited', 'harganya', 'mahal', 'telkomsel', 'riwayat', 'pembeliannya', 'pembelian', 'stabil', 'trs', 'ntr', 'pakai', 'kuota', 'unlimited', 'hrs', 'beli', 'kuota', 'ribu', 'kesini', 'mahal', 'jaringan', 'susah', '']</t>
  </si>
  <si>
    <t>['telkomsel', 'promo', 'emang', 'perubahan', 'tolong', 'beritahu', 'ubah', 'trus', 'kasih', 'sms', 'promonya', 'ceria', 'promo', 'tanggal', 'juli', 'beli', 'beli', 'tolong', 'pemberitahuan', 'simpen', 'niat', 'kaga', 'uda', 'lemot', 'mahal', 'promo', 'sesat']</t>
  </si>
  <si>
    <t>['apk', 'jelek', 'mengganggu', 'apk', 'berfungsi', 'ponsel', 'restart', 'membuka', 'apk', 'telkomsel', 'mohon', 'admin', 'memperbaiki', 'apk', 'mencari', 'kelemahannya', 'janga', 'cari', 'untung', 'pemperhatikan', 'keluhan', 'pwlanggan', 'blm', 'apk', 'bagus', 'mending', 'menyusahkan', 'pemakainya', '']</t>
  </si>
  <si>
    <t>['kode', 'voucher', 'huruf', 'pas', 'masukan', 'kode', 'voucher', 'tpi', 'nyesal', 'download', 'apk', 'pokok', 'apk', 'bagus', '']</t>
  </si>
  <si>
    <t>['', 'pelanggan', 'dikasih', 'mahal', 'niat', 'jual', 'jaringan', 'lemmot', 'mendadak', 'provider', 'bertanggung', 'nyesel', 'pakai', 'telkomsel', 'doakan', 'semoga', 'bangkrut', 'provider', 'amin']</t>
  </si>
  <si>
    <t>['membantu', 'pembelian', 'data', 'harapkan', 'promo', 'paket', 'internet', 'telkomsel', 'harga', 'murah', 'meria', 'diharapkan', 'jaringan', 'lancar', 'daerah', 'terpencil']</t>
  </si>
  <si>
    <t>['suer', 'tsel', 'jelek', 'kali', 'sampe', 'tower', 'ngga', 'ngapain', 'tower', 'pemancar', 'ngga', 'bagusan', 'provider', 'sinyal', 'batang', 'ttp', 'lancar', 'udah', 'mahal', 'jaringan', 'jelek', 'kali', 'tower', 'tiamg', 'listrik', 'ngga', 'balas', 'admin', 'brrti', 'jaringan', 'tsel', 'skrng', 'bobrok', 'kali', 'namanya', '']</t>
  </si>
  <si>
    <t>['aplikasinya', 'bagus', 'banget', 'yahaha', 'hayunk', '']</t>
  </si>
  <si>
    <t>['telkomsel', 'update', 'paketan', 'murah', 'mahal', 'asalnya', 'beli', 'gb', 'gaada', 'pilihannya', 'pilihan', 'combo', 'sakti', 'gb', 'tolong', 'telkomselll', 'kembalikan', 'combo', 'sakti', 'sayaaaa', 'duluuuu', '']</t>
  </si>
  <si>
    <t>['tampilan', 'ringkas', 'kemarin', 'segi', 'performa', 'membuka', 'aplikasi', 'ringan', 'skrng', 'saran', 'mohon', 'update', 'tampilan', 'ringkas', 'warna', 'terang']</t>
  </si>
  <si>
    <t>['kecewa', 'update', 'mudah', 'pembayaran', 'shopeepay', 'gagal', 'harga', 'paketnya', 'mahal', 'ngotak', 'tolonglah', 'telkomsel', 'pelit', '']</t>
  </si>
  <si>
    <t>['ekspek', 'banget', 'update', 'terbaru', 'syg', 'perubahan', 'kuota', 'disediakan', 'terkesan', 'mahal', 'telkomsel', 'paketnya', 'murah', 'gb', 'pakaiannya', 'puas', 'jaringannya', 'dipapua', 'kencang']</t>
  </si>
  <si>
    <t>['pulsa', 'hilang', 'pemberitahuan', 'masi', 'kuota', 'trus', 'app', 'lola', 'ngga', 'gini']</t>
  </si>
  <si>
    <t>['kali', 'masuk', 'login', 'pakai', 'sms', 'nmr', 'pilihan', 'login', 'terbatas', 'facebook', 'twitter', 'org', 'twitter', 'pakai', 'user', 'name', 'psw', 'login', 'mobile', 'banking', 'pakai', 'sms', 'otp', 'validasi', 'transaksi', 'login', 'doang', 'simple', 'kayak', 'ovo', 'pakai', 'finger', 'print', 'login', 'praktis', 'update', 'beli', 'link', 'lemot']</t>
  </si>
  <si>
    <t>['napa', 'internet', 'kadang', 'kadang', 'perusahaan', 'telkomsel', 'internet', 'cepat', 'telkomsel', 'internet', 'cepat']</t>
  </si>
  <si>
    <t>['telkomsel', 'bagus', 'sinyal', 'parah', 'dibanggain', 'sinyal', 'bagus', 'banget', 'skrng', 'kalah', 'provider', '']</t>
  </si>
  <si>
    <t>['heh', 'toll', 'orang', 'bermain', 'game', 'tolonglah', 'kayak', 'gini', 'sumpah', 'semenjak', 'kartu', 'kek', 'taik', 'lag', 'mulu', 'kesel', 'udah', 'reset', 'kek', 'taik', 'bagusnya', 'kek', 'gini', 'udah', 'mahal', 'lag', '']</t>
  </si>
  <si>
    <t>['ngisi', 'voucher', 'tolong', 'diperbaiki', 'diperbaiki', 'pengguna', 'kecewa']</t>
  </si>
  <si>
    <t>['suka', 'apk', 'hadian', 'check', 'minggu', 'pas', 'ngumpulin', 'stempel', 'hadiahnya', 'klaim', 'insuficient', 'balance', 'mengecewakan']</t>
  </si>
  <si>
    <t>['aplikasinya', 'bagus', 'banget', 'membantu', 'telkomsel', 'paket', 'statusnya', 'always', 'mengikuti', 'aktif', 'kartu', 'pengalaman', 'beli', 'paket', 'kuota', 'ukuran', 'diakhir', 'sisa', 'lumayan', 'keesokan', 'harinya', 'udah', 'hangus', 'aktif', 'ditunggu', 'inovasinya', '']</t>
  </si>
  <si>
    <t>['pengguna', 'setia', 'telkomsel', 'kesini', 'jaringan', 'susah', 'stabil', 'tolong', 'perbaiki', 'jaringannya', '']</t>
  </si>
  <si>
    <t>['oke', 'aplikasinya', 'suka', 'simpel', 'mudah', 'dipahami', 'kualitas', 'jaringan', 'ngerti', 'hangusnya', 'kuota', 'internet', 'jaringannya', 'stabil', 'kali', 'udah', 'pas', 'isi', 'kuota', 'lancar', 'mohon', 'dibaca', 'telkomsel', 'terima', 'kasih', '']</t>
  </si>
  <si>
    <t>['pakai', 'paket', 'utama', 'doang', 'selebihnya', 'pakdt', 'multimedia', 'pakai', 'alasannya', 'paket', 'reguler', 'halah', 'bener', 'telkomsel', 'licik']</t>
  </si>
  <si>
    <t>['alhamdulillah', 'membantu', 'pilihan', 'paket', 'murah', 'meriah', 'terimakasih', 'telkomsel', 'semoga', 'jaya', 'promo', '']</t>
  </si>
  <si>
    <t>['memakai', 'pulsa', 'rp', 'akses', 'internet', 'non', 'paket', 'cek', 'kuota', 'beli', 'paket', 'tsel', 'tsel', 'mengakses', 'internet', 'tarif', 'non', 'paket', 'info', 'tsel', 'data', 'tarif', 'hemat', 'beli', 'paket', 'internet', 'tsel', 'ngeeh', 'telkomsel', 'suka', 'banhet', 'nyedot', 'pulsa', 'paket', 'habis', 'tolong', 'konfirmasi', 'namanya', 'orang', 'kadang', 'suka', 'lupa', 'paketnya', 'habis', 'tarik', 'pulsa', 'menyebalkan', 'etika', 'dimana', '']</t>
  </si>
  <si>
    <t>['update', 'kayak', 'gini', 'beli', 'jga', 'aneh', 'takut', 'ngk', 'unlimited', 'pnya', 'temen', 'gue', 'msh', 'apk', 'telkomsel', 'gue', 'buka', 'update', 'beli', 'jga', 'ngk', 'tulisan', 'unlimited', 'gue', 'ganti', 'kartu', 'telkomsel', 'resah', 'kartu', 'aneh', 'telkomsel', 'kaya', 'buriq']</t>
  </si>
  <si>
    <t>['tampilan', 'oke', 'oke', 'mahal', 'mahal', 'harga', 'paket', 'cocok', 'nomor', 'telkomsel', 'jadikan', 'nomor', 'cadangan', 'utama', '']</t>
  </si>
  <si>
    <t>['kasih', 'ulasan', 'telkomnyet', 'ngakak', 'telkomsel', 'sinyal', 'daerah', 'down', 'mikir', 'butuh', 'jaringan', 'gini', 'mending', 'milih', 'axis', 'telkomsel', 'telkomsel', 'mahal', 'sinyal', 'down', 'ngurusin', 'kendala', 'gara', 'kendala', 'upgrade', 'costumer', 'gejala', 'daerah', 'mah', 'angin', 'hujan', 'hilang', 'mulu', 'jaringan', 'down', 'parah', 'main', 'game', '']</t>
  </si>
  <si>
    <t>['harga', 'kouta', 'mahal', 'paket', 'combo', 'sakti', 'udh', 'pny', 'pemerintah', 'harganya', 'merakyat', 'jan', 'gitu', 'kek', 'harganya', 'keatas', 'pdhl', 'make', 'udh', 'kecewa', '']</t>
  </si>
  <si>
    <t>['buka', 'kesempatan', 'mytelkomsel', 'tampilan', 'segar', 'berwarna', 'telkomsel', 'prabayar', 'kebutuhan', 'digitalmu', 'mudahnya', 'atur', 'layanan', 'pascabayar', 'telkomsel', 'halo', 'daily', 'check', 'berhadiah', 'gb', 'lancar', 'perbaikan', 'bug', '']</t>
  </si>
  <si>
    <t>['kesini', 'buruk', 'kualitas', 'jaringan', 'kuota', 'unlimited', 'lemot', 'batasan', 'penggunaan', 'harian', 'melebihi', 'maksimal', 'jakarta', 'kualitas', 'jaringan', 'desa', 'terpencil', 'buruk', 'udah', 'mending', 'pindah', 'operator', 'murah', 'jaringan', 'jelek', 'telkomsel', 'udah', 'mahal', 'buruk', 'kualitas', 'jaringan', 'kecewa', '']</t>
  </si>
  <si>
    <t>['', 'ngerti', 'unlimitied', 'nonton', 'ytb', 'and', 'all', 'social', 'media', 'dibatasi', 'batasan', 'paket', 'tsb', 'abis', 'kecepatan', 'kaya', 'jaringan', 'edge', 'gue', 'rasq', 'kaya', 'edge', 'gprs', 'apk', 'kadang', 'suka', 'ngelag', 'eror', 'mati', 'buka', 'apk', 'kadang', 'suka', 'log', 'out', 'aplikasi', 'entar', 'pending', 'logika', 'ram', 'iya', 'lemot', 'bye', 'telkom', 'ganti']</t>
  </si>
  <si>
    <t>['bintang', 'kartu', 'hallo', 'pascabayar', 'rubah', 'kartu', 'prabayar', '']</t>
  </si>
  <si>
    <t>['jaringannya', 'kacau', 'niat', 'ngurus', 'udah', 'dilanjutkan', 'kasian', 'kecewa', 'paket', 'murah', 'jaringan', 'kayak', 'siput']</t>
  </si>
  <si>
    <t>['kurangi', 'harga', 'unlimited', 'mahal', 'zaman', 'murah', 'zaman', 'skrg', 'teknologi', 'komunikasi', 'utama', '']</t>
  </si>
  <si>
    <t>['tolong', 'ditingkatkan', 'kualitas', 'jaringan', 'lemot', 'udah', 'harga', 'mahal', 'kecewa', 'pengguna', 'telkomsel', 'new', 'tolong', 'kak', 'udah', 'coba', 'lemot', 'disaat', 'bermain', 'game', 'tolong', 'kak', 'gini', 'pindah', 'operator', '']</t>
  </si>
  <si>
    <t>['sumpah', 'ngerti', 'gua', 'jaringan', 'buruk', 'gua', 'nyaman', 'pakai', 'telkomsel', 'gua', 'ganti', 'kartu', 'tolong', 'diperhatikan', 'jaringan', 'ditingkatkan', 'iya', 'kalah', 'orang', 'jaringan', 'bgs', 'indonesia', 'jaringan', 'menurun', '']</t>
  </si>
  <si>
    <t>['lemott', 'jaringan', 'sekeluarga', 'telkomsel', 'udah', 'seminggu', 'merasakan', 'jaringan', 'hebatlemott', 'ntuk', 'driver', 'online', 'smakin', 'sulit', 'orderan', 'ntuk', 'mendownload', 'aplikasi', 'belanja', 'online', 'butuh', 'jam', '']</t>
  </si>
  <si>
    <t>['paketnya', 'mahal', 'udah', 'bgtu', 'promonya', 'pas', 'diturunin', 'harga', 'paketnya', 'ehhh', 'kali', 'lipat', 'harga', 'terima', 'kasih', '']</t>
  </si>
  <si>
    <t>['lambang', 'logonya', 'tampilan', 'keren', 'paketnya', 'keren', 'unlimited', 'youtube', 'galau', 'nonton', 'tampilan', 'upgrade', 'paket', '']</t>
  </si>
  <si>
    <t>['mohon', 'paket', 'unlimited', 'adakan', 'butuh', 'banget', 'pelajar', 'beli', 'unlimited', 'batas', 'sampe', 'sebulan', 'tolong', 'adakan', '']</t>
  </si>
  <si>
    <t>['buruk', 'banget', 'pulsa', 'ambil', 'rb', 'beli', 'paket', 'internet', 'tlp', 'sedangjan', 'paket', 'internet', 'byk', '']</t>
  </si>
  <si>
    <t>['baguss', 'tolong', 'tolong', 'kasi', 'promo', 'murah', 'kah', 'mahal', 'corona', '']</t>
  </si>
  <si>
    <t>['update', 'tmbah', 'buruk', 'nyesel', 'update', 'jdi', 'hilang', 'paket', 'combo', 'sakti', 'unlimited', 'paket', 'kuota', 'mahal', 'jaringan', 'tmbah', 'jelek', '']</t>
  </si>
  <si>
    <t>['parah', 'telkomsel', 'jaringan', 'bagus', 'buktinya', 'pembaruan', 'segini', 'udh', 'lemot', 'kebuka', 'pisan', 'eror', 'mulu', 'eror', 'mulu', 'kecewa', 'kaya', 'gini', 'mah', 'bagus', 'ancur', '']</t>
  </si>
  <si>
    <t>['aplikasi', 'bagus', 'jarang', 'nge', 'bug', 'tampilannya', 'bingung', 'simpel', 'dikit', 'gitu', 'ngga', 'user', 'friendly', 'pulsa', 'bingung', 'nyari', 'nyari', 'menu', 'dimana', 'aplikasi', 'sebelah', 'gampang', 'gitu', 'beli', 'paket', 'internet', 'kirim', 'pulsa', 'kuota', 'ketengan', 'sya', 'cek', 'bolak', 'maaf', 'berbelit', 'belit']</t>
  </si>
  <si>
    <t>['harga', 'mahal', 'jaringan', 'jelek', 'tolong', 'min', 'perbaiki', 'masak', 'beli', 'mahal', 'jaringan', 'lancar', 'ulasan', 'setuju', 'hak', 'sekian', 'terima', 'gaji', '']</t>
  </si>
  <si>
    <t>['kak', 'skrng', 'jaringan', 'telkomsel', 'down', 'sich', 'turun', 'hujan', 'hujan', 'lgsng', 'dech', 'down', 'jaringan', 'tolong', 'donk', 'kak', 'perbaiki', 'nyman', 'menjelajah', 'dunia', 'maya']</t>
  </si>
  <si>
    <t>['sms', 'telkomsel', 'promo', 'combo', 'sakti', 'kuota', 'gb', 'harga', 'rb', 'aktif', 'cek', 'telkomsel', 'promo', 'combo', 'sakti', 'gb', 'rb', 'nggak', 'mempermainkan', 'konsumen', 'gimana', 'tolong', 'kejelasan', 'paket', 'combo', 'sakti', 'gb', 'rb', 'emang', 'nggak', 'kasih', 'php', 'konsumen', '']</t>
  </si>
  <si>
    <t>['aplikasinya', 'kebanyakan', 'online', 'shop', 'kayak', 'fokus', 'aplikasi', 'telkomsel', 'isi', 'ulang', 'kuota', 'internet', 'kemudahan', 'promo', 'internet', '']</t>
  </si>
  <si>
    <t>['beli', 'pulsa', 'masuknya', 'sesuai', 'applikasi', 'beli', 'rb', 'masuknya', 'salah', 'gimana', 'internalnya', 'paket', 'data', 'mati', 'pakai', 'wifi', 'berkurang', 'pulsa', '']</t>
  </si>
  <si>
    <t>['kuota', 'harga', 'mahal', 'kuota', 'kasih', 'harga', 'rb', 'dpt', 'gb', 'kuota', 'habisa', 'unlimited', 'sosmed', 'dll', 'harga', 'rb', '']</t>
  </si>
  <si>
    <t>['adain', 'daily', 'check', 'giliran', 'claim', 'dapet', 'balasan', 'category', 'program', 'jaringannya', 'berkurang', 'performanya', 'udah', 'mah', 'harga', 'paketan', 'internet', 'sesuai', 'kecepatan', 'jaringannya']</t>
  </si>
  <si>
    <t>['fiks', 'bnyak', 'banget', 'kritikan', 'orang', 'setidak', 'bnyak', 'pengguna', 'ditingkatkan', 'jaringan', 'lelet', 'aplikasi', 'berat', 'coba', 'mnding', 'kyak', 'dlu', 'simpel', 'mudah', 'beli', 'paket', 'skrang', 'udah', 'mahal', 'berat', 'apk', '']</t>
  </si>
  <si>
    <t>['upgrate', 'ngaco', 'mahal', 'paket', 'hilang', 'ganti', 'rb', 'gb', 'kapok', 'make', 'kartu', 'telkomsel', 'upgrate', 'mahal', 'mending', 'ganti', 'kartu', 'irit', '']</t>
  </si>
  <si>
    <t>['kali', 'download', 'bnr', 'knpa', 'klamaan', 'buka', 'aplikasi', 'memuat', 'ulang', 'jaringan', 'bagus', 'kuota', 'tolong', 'perbaiki', '']</t>
  </si>
  <si>
    <t>['', 'telkomsel', 'penukaran', 'poin', 'pulsa', 'poin', 'dikumpulin', 'tukar', 'pulsa', 'menyuruh', 'membeli', 'paket', 'data', 'poin', 'bayar', 'pulsa', 'konsumen', 'menikmati', 'hadiah', 'paket', 'gratis', 'tukar', 'poin', 'admin', 'developer', 'mending', 'hilangin', 'poinnya', 'suruh', 'bayar', 'pulsa', 'menipu', 'konsumen', '']</t>
  </si>
  <si>
    <t>['buka', 'aplikasinya', 'lelet', 'diperbaharui', 'perbaikan']</t>
  </si>
  <si>
    <t>['versi', 'beli', 'paket', 'ribet', 'pulsa', 'keterangannya', 'pulsa', 'mencukupi', 'ngisi', 'pulsa', 'rb', 'beli', 'paket', 'harga', 'rb', 'trus', 'pulsa', 'kepotong', 'pulsa', 'rb', 'lenyap', 'kuota', 'data', 'gb', 'tanggung', 'telkomsel', 'konsumen', 'dirugikan', '']</t>
  </si>
  <si>
    <t>['telkomsel', 'kartu', 'mahal', 'jaringan', 'udah', 'kaya', 'sip', 'sipan', 'minggu', 'pagi', 'sampe', 'malm', 'sinyal', 'buruk', 'minggu', 'magrib', 'sampe', 'pagi', 'sinyal', 'jelek', 'kecewa']</t>
  </si>
  <si>
    <t>['parah', 'kena', 'korona', 'kali', 'jelekk', 'error', 'muat', 'ulang', 'kesalahan', 'apk', 'penguasa', 'sinyal', 'kaya', 'gini', 'log', 'verifikasi', 'ngambil', 'pulsa', 'kuota', 'lelet', 'muter', 'muter', 'teruss', 'loading', 'benerin', 'deh', 'malu', 'maluin', 'parah', 'design', 'aplikasi', 'dibagusin', 'sinyal', 'parah']</t>
  </si>
  <si>
    <t>['', 'beli', 'paket', 'hrga', 'rb', 'gb', 'plus', 'kuota', 'tlp', 'mnt', 'minggu', 'kuota', 'tlp', 'habis', 'memotong', 'pulsa', 'reguler', 'pdhl', 'jrg', 'tlp', 'pakai', 'gsm', 'kesini', 'mahal', 'pelayanan', 'memuaskan', 'pdhl', 'pakai', 'telkomsel']</t>
  </si>
  <si>
    <t>['login', 'klik', 'link', 'sms', 'nomor', 'dipake', 'perangkat', 'gps', 'mending', 'ganti', 'kartu', 'deh', 'gps', 'nyusahin']</t>
  </si>
  <si>
    <t>['jaringan', 'bagus', 'berkurang', 'aplikasi', 'undian', 'tukar', 'point', 'hasil', 'tukar', 'kadarluasa', 'aman', '']</t>
  </si>
  <si>
    <t>['update', 'kuota', 'combo', 'sakti', 'hilang', 'update', 'paket', 'mahal', 'sinyal', 'terkadang', 'buruk', 'tolong', 'pihat', 'telkomsel', 'memperbaiki', 'keluhan', 'paket', 'combo', 'sakti', 'pindah', 'operator', 'terjangkau', 'sinyal', 'bagus', 'sekian', 'terima', 'kasih', '']</t>
  </si>
  <si>
    <t>['memakai', 'telkomsel', 'nomer', 'berharga', 'rupiah', 'memakai', 'urusan', 'telkomsel', 'handal', 'dimana', 'salut', '']</t>
  </si>
  <si>
    <t>['pulsa', 'beli', 'shopee', 'statusnya', 'berhasil', 'aplikasi', 'paket', 'youtube', 'unlimited', 'beli', 'dipakai', 'batas', 'paket', '']</t>
  </si>
  <si>
    <t>['isi', 'pulsa', 'hilang', 'habis', 'pulsa', 'jam', 'beli', 'pulsa', '']</t>
  </si>
  <si>
    <t>['telkomsel', 'error', 'gimana', 'beli', 'paket', 'susah', 'udah', 'gitu', 'pulsanya', 'ketarik', 'paket', 'aktif', 'tolong', 'perbaiki', 'merugikan', 'pelanggan']</t>
  </si>
  <si>
    <t>['akui', 'telkomsel', 'sinyal', 'juaranya', 'harga', 'internet', 'relatif', 'mahal', 'saran', 'koment', 'mengembalikan', 'nomer', 'pakai', 'expired', 'grapari', 'diproses', '']</t>
  </si>
  <si>
    <t>['lakukan', 'update', 'terbaru', 'hilang', 'paket', 'internet', 'combo', '']</t>
  </si>
  <si>
    <t>['', 'telkomsel', 'gua', 'isi', 'pulsa', 'berlaku', 'kartu', 'nambah', 'sengaja', 'menjebak', 'orang', 'ngisi', 'pulsa', 'kaya', 'gini']</t>
  </si>
  <si>
    <t>['paket', 'combo', 'sakti', 'unlimitidnya', 'dinaikin', 'harganya', 'diubah', 'isi', 'paketannya', 'unlimitid', 'pakai', 'embel', 'unlimitid', 'skalian', 'paket', 'khusus', 'orang', 'kaya', 'khusus', 'orang', 'miskin', '']</t>
  </si>
  <si>
    <t>['maless', 'skrng', 'telkomsel', 'kuota', 'gua', 'msh', 'mb', 'ditinggal', 'tidur', 'tbtb', 'habis', 'trus', 'pulsa', 'gua', 'sisa', 'doangg', 'anjgg', 'mikir', 'gua', 'ngumpulin', 'pulsanya', 'susah', 'apasih', 'bgtt', 'berulang', 'kali', 'kaya', 'gitu', 'besok', 'ganti', 'kartu', 'sorry', 'kasar', 'kali', 'bnr', 'bnr', 'muak', '']</t>
  </si>
  <si>
    <t>['upgrade', 'kartu', 'cdma', 'gsm', 'kartu', 'jaringannya', 'rasakan', 'optimal', 'bandingkan', 'kartu', 'sempati', 'kartu', 'keluarin', 'prepoder', 'sempati', '']</t>
  </si>
  <si>
    <t>['kanjut', 'mahal', 'saran', 'adakan', 'paket', 'internet', 'telp', 'sms', 'maxstream', 'apalah', 'bandung', 'lag', 'gas', 'ganti', 'kartu', '']</t>
  </si>
  <si>
    <t>['dapet', 'promo', 'umur', 'kartu', 'mengisi', 'pulsa', 'daper', 'point', 'gimana', 'claim', 'hadiah', 'log', 'poin', 'nambah', 'isi', 'pulsa']</t>
  </si>
  <si>
    <t>['puas', 'koneksi', 'internet', 'telkomsel', 'sinyal', 'penuh', 'internet', 'lemot', 'lag', 'game', 'tolong', 'telkomsel', 'diperbaiki', 'koneksi', 'internetnya', '']</t>
  </si>
  <si>
    <t>['signal', 'susah', 'bertahun', 'pakai', 'telkomsel', 'signal', 'stabil', 'signal', 'hilang', 'merepotkan', 'pekerjaan']</t>
  </si>
  <si>
    <t>['bayar', 'mahal', 'sinyal', 'buruk', 'lemot', 'banget', 'gmana', 'kasih', 'bintang', 'bnr', 'bnr', 'sinyal', 'telkomsel', 'super', 'super', 'jelek', '']</t>
  </si>
  <si>
    <t>['pulsa', 'kepotong', 'cek', 'pemakaian', 'biaya', 'internet', 'bla', 'bla', 'bla', 'paket', 'internet', 'telkomsel', 'hubungin', 'tsel', 'via', 'line', 'telegram', 'chat', 'bot', 'veronika', 'keseeel', '']</t>
  </si>
  <si>
    <t>['udah', 'bagus', 'top', 'beli', 'kuota', 'besok', 'besok', 'pas', 'masuk', 'log', 'out', 'pas', 'log', 'uang', 'hilang', 'kesel', 'banget', '']</t>
  </si>
  <si>
    <t>['macan', 'telkom', 'combo', 'sakti', 'combo', 'sakti', 'combo', 'combo', 'harga', 'mahal', 'sesuai', 'paket', 'wajar', 'paket', 'harga', 'melangit', 'combo', 'harga', 'nominal', 'paket', 'telkom', '']</t>
  </si>
  <si>
    <t>['tampilan', 'home', 'sulit', 'dibaca', 'sulit', 'dipahami', 'balikin', 'versi', 'pahami', 'user', 'experience', 'ngapain', 'diganti', 'design', 'sulit', 'pahami', 'gini', 'asli', 'anak', 'design', 'pemula', 'suka', 'ngadi', 'permasalahan', 'user', 'sebenernya', '']</t>
  </si>
  <si>
    <t>['pulsa', 'kepotong', 'langganan', 'apapun', 'parahhh', 'tolong', 'perbaiki', 'pelayanannya', 'cmn', 'kepotong', 'dikit', 'lumayan', '']</t>
  </si>
  <si>
    <t>['kuota', 'ketengan', 'gb', 'youtube', 'jelek', 'dipakai', 'youtube', 'blank', 'putih', 'tanda', 'lingkaran', 'merah', 'muter', 'muter', '']</t>
  </si>
  <si>
    <t>['senang', 'memakai', 'telkomsel', 'memudahkan', 'pembelian', 'pulsa', 'tinggalnya', 'kampung', 'atm', 'conter', 'mempermudah', 'pembeliannya', 'terimakasih', 'telkomsel', '']</t>
  </si>
  <si>
    <t>['sesuai', 'janji', 'promo', 'bohong', 'disuruh', 'isi', 'pulsa', 'dapet', 'bonus', 'taunya', 'bohong', 'udahlah', 'mahal', 'aktif', 'sebentar', 'promonya', 'php', '']</t>
  </si>
  <si>
    <t>['pulsa', 'sebulan', 'gara', 'gara', 'masuk', 'aplikasi', 'berkurang', 'kebawah', 'dapet', 'sebulan', 'seminggu', 'ampun', 'jaringannya', 'parah', 'banget', 'daritadi', 'malem', 'gabisa', 'masuk', 'apk', 'giliran', 'pagi', 'langsung', 'berkurang', 'pulsa', '']</t>
  </si>
  <si>
    <t>['sinyal', 'parah', 'perluas', 'deh', 'desa', 'terpencil', 'jelek', 'parah', 'jaringan', 'trluas', 'indonesia', '']</t>
  </si>
  <si>
    <t>['sialan', 'provider', 'telkomsel', 'pakai', 'nomor', 'nomor', 'paket', 'gb', 'harga', 'rb', 'nomor', 'paket', 'gb', 'harga', 'rb', 'fufufu', '']</t>
  </si>
  <si>
    <t>['apk', 'morotin', 'saldo', 'beli', 'paket', 'ketengan', 'masuk', 'kuota', 'tulisan', 'paket', 'gagal', 'diaktifkan', 'saldo', 'gopay', 'tetep', 'kepotong', 'kemarin', 'beli', 'paket', 'ketengan', 'pulsa', 'harga', 'paket', 'ketengan', 'pulsa', 'habis', 'beli', 'paket', 'pulsa', 'kosong', 'hilang', 'kemana', 'pulsa', 'mengecewakan', 'apk', 'telkomsel']</t>
  </si>
  <si>
    <t>['bukannnya', 'bagus', 'susah', 'akses', 'konfirmasi', 'magiclink', 'susah', 'ampun', 'apknya', 'jelek', 'tolong', 'perbaikin', 'bugnya', 'iya', 'gue', 'kartu', 'udah', 'mahal', 'apknya', 'keluhan', 'payah']</t>
  </si>
  <si>
    <t>['haduh', 'unlimited', 'max', 'udah', 'beli', 'mahal', 'unlimited', 'aplikasi', 'gitu', 'batas', 'wajar', 'buka', 'youtube', 'lite', 'lemot', 'kayak', 'nyesel', 'beli', 'kuata', 'mahal', 'ampas', 'gini', 'mending', 'batas', 'harian', 'ajah', 'zonk', 'lancar', 'kuata', 'doang', '']</t>
  </si>
  <si>
    <t>['aplikasi', 'burik', 'loading', 'disuruh', 'update', 'nulis', 'rating', 'maaf', 'bla', 'bla', 'bla', 'blah', 'silahkan', 'bla', 'bla', 'bla', 'perubahan', '']</t>
  </si>
  <si>
    <t>['jaringan', 'berubah', 'pulsa', 'langsung', 'potong', 'paket', 'data', 'operator', 'maling', 'sumpahin', 'ngk', 'berkah', 'keuntungan', 'gaji', '']</t>
  </si>
  <si>
    <t>['hai', 'admin', 'aplikasi', 'semenjak', 'update', 'terbaru', 'knp', 'lemot', 'yak', 'trus', 'lihat', 'posisi', 'kuota', 'paket', 'abis', 'prepare', 'tgl', 'tolong', 'optimal', 'donk', 'aplikasinya']</t>
  </si>
  <si>
    <t>['aplikasinya', 'log', 'out', 'pelayanannya', 'jelek', 'internet', 'lambat', 'kecewa', 'mahal', 'doang', 'harga', 'kuotanya', 'jelek', '']</t>
  </si>
  <si>
    <t>['', 'perkuat', 'jaringannya', 'kota', 'nelpon', 'putus', 'nelpon', 'operator', 'astaga', 'buruk', '']</t>
  </si>
  <si>
    <t>['tolong', 'beli', 'kuota', 'main', 'game', 'terbaru', 'pas', 'beli', 'login', 'beli', 'kuota', 'axistod', 'tolonglah', 'kuota', 'game', 'perbaiki', 'login', 'game']</t>
  </si>
  <si>
    <t>['kesini', 'sinyal', 'parah', 'jelek', 'bngt', 'streaming', 'sinyal', 'hilang', 'bngt', 'parah', 'iklan', 'bnyk', 'sinyal', 'jelek', '']</t>
  </si>
  <si>
    <t>['paket', 'data', 'berubah', 'diisi', 'kuota', 'beli', 'paket', 'unlimited', 'kuotanya', 'lancar', 'dipakai', 'chat', 'gamenya', 'loadingnya', 'parah', 'ditungguin', 'sejam', 'gabisa', 'udh', 'tetep', 'ktnya', 'batas', 'pemakaian', 'wajar', 'udh', 'unlimited', 'kuota', 'utama', 'abis', 'kuota', 'unlimited', 'gb', 'isi', 'keterangan', 'paket', 'rugi']</t>
  </si>
  <si>
    <t>['', 'telkomsel', 'pertma', 'bagus', 'kartu', 'hilang', 'ganti', 'kartu', 'data', 'nyedot', 'sekahrusnya', 'paket', 'kepake', 'minggu', 'parah', 'paket', 'harga', 'sebulan', 'parah', 'telkomsel', '']</t>
  </si>
  <si>
    <t>['bertahun', 'pakai', 'aplikasi', 'telkomsel', 'fitur', 'aplikasi', 'menu', 'poin', 'ditukar', 'reward', 'kesempatan', 'menang', 'hadiah', 'mobil', 'motor', 'jutaan', 'pulsa', 'lupa', 'beli', 'paket', 'kuota', 'internet', 'aplikasi', 'telkomsel', 'murah', 'ayo', 'bergabung', 'telkomsel', '']</t>
  </si>
  <si>
    <t>['senang', 'aplikasi', 'terbaru', 'mytelkomsel', 'beli', 'paket', 'malam', 'subuh', 'panas', 'matahari', 'hujan', 'jam', 'beli', 'dimanapun', 'lokasi', 'teman', 'teman', 'mendukung', 'jaringan', 'telkomsel', 'promosi', 'terbaru', 'sobat', 'sobat', 'kesempatan', 'menukar', 'poin', 'berkesempatan', 'memenangkan', 'undian', 'mytelkomsel', 'ayo', 'teman', 'teman', 'download', 'aplikasinya', 'play', 'store', '']</t>
  </si>
  <si>
    <t>['kartu', 'rusak', 'dara', 'jga', 'beli', 'murah', 'mahal', 'sinyalnya', 'kaya', 'serasa', 'make', 'jadul', 'kecewa', 'gyss', 'game', 'aduhh', 'tolong', 'perbaiki', 'sinyal', 'ngak', 'ganti', 'kartu', 'sebelah', 'bgs', 'mon', 'maf', 'salah', 'tolong', 'maaf', 'okee', 'pelampiasan', 'maen', 'game', 'trs', 'sinyal', 'jlk']</t>
  </si>
  <si>
    <t>['egk', 'bener', 'aplikasi', 'masak', 'ego', 'bayar', 'pkk', 'dana', 'rugi', 'isi', 'dana', 'beli', 'paket', 'trus', 'egk', 'pilihan', 'dana', 'aplikasi', 'jelek', 'jelek', 'masak', 'pkk', 'dana', 'egk', 'udh', 'hapus']</t>
  </si>
  <si>
    <t>['apk', 'udah', 'bagus', 'cuman', 'daily', 'chek', 'tolong', 'batas', 'seminggu', 'eman', 'kuotanya', 'berlakunya', 'sebentar', 'kadang', 'nggak', 'diklaim', 'hadiah', 'daily', 'check', 'udah', 'penuh', 'stampnya', 'web', 'dunia', 'gamesnya', 'lumayan', 'bagus', 'seru', 'rada', 'lemot', 'thanks', '']</t>
  </si>
  <si>
    <t>['nmr', 'telkomsel', 'tdinya', 'biaya', 'pulsa', 'kesesama', 'telkomsel', 'nmr', 'bermasalah', 'komplain', 'telkomsel', 'care', 'knpa', 'biaya', 'pulsa', 'kartu', 'satunya', 'ttp', 'aneh']</t>
  </si>
  <si>
    <t>['kecewa', 'update', 'tampilan', 'nda', 'coba', 'uninstal', 'download', 'tampilan', '']</t>
  </si>
  <si>
    <t>['berbulan', 'hilang', 'jaringan', 'kompensasi', 'pelanggan', 'update', 'aplikasi', 'fitur', 'pembelian', 'menghilang', 'rugi', 'donk', 'beli', 'paket', 'murah', 'dimunculkan']</t>
  </si>
  <si>
    <t>['telkomsel', 'parah', 'cape', 'cape', 'chek', 'giliran', 'claim', 'hadiah', 'mb', 'dibatasin', 'orang', 'klaim', 'kaya', 'udah', 'kemarin', 'chekin', 'dapet', 'data', 'hah', 'telkomsel', 'ngasi', 'hadiah', 'orang', 'adil', 'pelit', 'kaya', 'kecewa', 'berat']</t>
  </si>
  <si>
    <t>['sinyal', 'lemot', 'parah', 'buru', 'buru', 'urgent', 'masuk', 'situs', 'internet', 'banget', 'gangguan', 'tolong', 'perbaiki', 'donk', 'sekelas', 'telkom', 'sinyal', 'lemot', 'gangguan']</t>
  </si>
  <si>
    <t>['mantap', 'min', 'sinyalnya', 'udah', 'stabil', 'stabilkan', 'sinyalnya', 'belajar', 'main', 'game', 'streaming', 'ngelag']</t>
  </si>
  <si>
    <t>['maaf', 'youtube', 'unlimited', 'knp', 'gag', 'dipakai', 'sinyal', 'jaringannya', 'lambat', 'konsumen', 'kecewa', 'harga', 'kuota', 'turunin', 'harganya', 'mahal', '']</t>
  </si>
  <si>
    <t>['beli', 'voucher', 'kuota', 'kesalahan', 'jaringan', 'coba', 'pas', 'ngehubungin', 'suru', 'nunggu', 'jam', 'aktif', 'voucher', 'aktif', 'kartu', 'tolong', 'perbaiki', '']</t>
  </si>
  <si>
    <t>['nyesel', 'beli', 'kartu', 'simpati', 'tulisan', 'gratis', 'games', 'youtube', 'nyata', 'buka', 'youtube', 'buka', 'mode', 'grtis', 'usa', 'beli', 'kartu', 'simpati']</t>
  </si>
  <si>
    <t>['kecewa', 'telkomsel', 'makai', 'kartu', 'masi', 'promo', 'kouta', 'harga', 'kuota', 'nyesal', 'pakai', 'telkomsel']</t>
  </si>
  <si>
    <t>['mytelkomsel', 'payment', 'pembayaran', 'membeli', 'pulsa', 'paket', 'dana', '']</t>
  </si>
  <si>
    <t>['aplikasi', 'min', 'login', 'gabisa', 'akun', 'facebook', 'twitter', 'google', 'tetep', 'gabisa', 'knp', 'min', 'tolong', 'perbaiki', 'apps']</t>
  </si>
  <si>
    <t>['telkomsel', 'kayak', 'sampe', 'gb', 'beli', 'unlimitid', 'batas', 'nama', 'unlimitid', 'batas', 'pemakaian', 'suka', 'telkomsel', 'tolong', 'kembalikan', 'paket', 'unlimitidnya', 'terima', 'kasih', '']</t>
  </si>
  <si>
    <t>['logonya', 'keren', 'knapa', 'aplikasinya', 'buka', 'ganti', 'logo', 'normal', 'knapa', 'berat', 'payah', 'memalukan', 'sekelas', 'telkomsel', 'pro', 'hadeh', '']</t>
  </si>
  <si>
    <t>['tolong', 'jaringan', 'telkomsel', 'perbaiki', 'telkomsel', 'beda', 'pengguna', 'telkomsel', 'th', 'kekuatan', 'jaringannya', 'menurun', '']</t>
  </si>
  <si>
    <t>['sadar', 'oknum', 'merasakan', 'lag', 'patah', 'patah', 'bermain', 'game', 'menonton', 'telkomsel', 'provider', 'percayain', 'jujur', 'pengguna', 'telkomsel', 'bersyukur', 'internet', 'sekencang', 'intinya', 'maafkan', 'telkomsel', 'lag', 'mari', 'memaklumi']</t>
  </si>
  <si>
    <t>['tolonglah', 'perbaiki', 'iya', 'paket', 'internet', 'bangett', 'pulsa', 'berkurang', 'kali', 'giniin', 'parah', '']</t>
  </si>
  <si>
    <t>['telkomsel', 'mmg', 'pukiiii', 'baiknya', 'kaya', 'kaya', 'msh', 'ambil', 'kuota', 'org', 'tgl', 'kuota', 'msh', 'gb', 'download', 'film', 'sengaja', 'lambat', 'spy', 'download', 'pikirlah', 'jeng', 'zaman', 'lemot', 'topeng', 'isinya', 'ttp', 'dasar', 'pikiran', 'kkn', 'ttp', 'maju', '']</t>
  </si>
  <si>
    <t>['membantu', 'daftar', 'paket', 'masi', 'bnyak', 'tertera', 'aplikasi', 'perjelas', 'daftar', 'paket', '']</t>
  </si>
  <si>
    <t>['kasih', 'bintang', 'sinyal', 'udah', 'jos', 'mantab', 'kukasih', 'but', 'semoga', 'bergantinya', 'gambar', 'apknya', 'telkomsel', 'mengecewakan', 'aamiin']</t>
  </si>
  <si>
    <t>['nomor', 'aktif', 'taun', 'kasih', 'paket', 'combo', 'kartu', 'aktif', 'alias', 'kartu', 'paket', 'tolong', 'telkomsel', 'manjakan', 'pemakai', 'kartu', 'aktif', 'kasih', 'promo', 'donk', 'tlong', 'min', 'kpd', 'telkomselnya', 'tks']</t>
  </si>
  <si>
    <t>['kecewa', 'banget', 'telkomsel', 'kesini', 'lelet', 'belajar', 'ngirim', 'tugas', 'bagus', 'banget', 'jelek', 'tolong', 'perbaiki', 'belajar', 'dirumah', 'lancar', 'diperbaiki', 'sinyalnya', 'lancar', 'kasih', 'bintang']</t>
  </si>
  <si>
    <t>['telp', 'telkomsel', 'mempromosikan', 'paket', 'halo', 'janji', 'kecepatan', 'cepat', 'kartu', 'simpati', 'pindah', 'halo', 'astaga', 'super', 'super', 'super', 'lemot', 'cacat', 'klu', 'setuju', 'telp', 'mahal', 'lambat']</t>
  </si>
  <si>
    <t>['beli', 'paket', 'unlimited', 'pas', 'tinggal', 'kuota', 'unlimitednya', 'asli', 'lemot', 'parah', 'udah', 'beli', 'kuota', 'sisa', 'pulsa', 'pulsanya', 'kepotong', 'udah', 'kuota', 'masak', 'pulsanya', 'kepotong', 'tolong', 'telkomsel', 'perbaiki']</t>
  </si>
  <si>
    <t>['sinyal', 'telkomsel', 'lelet', 'upgrade', 'kenceng', 'lelet', 'bohong', 'kenceng', 'sinyalnya', 'lelet', 'kaya', 'sinyal', 'beli', 'paketan', 'rb', 'sinyal', 'memuaskan', '']</t>
  </si>
  <si>
    <t>['harga', 'paketan', 'mahal', 'sinyal', 'kek', 'taik', 'sedesa', 'make', 'kartu', 'laris', 'busuk', 'emang', 'gabisa', 'ngasi', 'sinyal', 'naikin', 'harga', 'paketan', 'busuk', 'mending', 'pindah', 'ngelag', 'sebusuk', 'telkomsel', 'nglagnya', 'jujur', 'suka', 'telkomsel', 'kali', 'pindah', 'sayonara', 'telkomsel', 'busuk', '']</t>
  </si>
  <si>
    <t>['nanya', 'knp', 'pulsa', 'habis', 'nsp', 'sms', 'tlpn', 'knp', 'harinya', 'berkurang', 'habis', 'ambil', 'operatornya', 'isi', 'pulsa', 'gtu', 'mending', 'pindah', 'sebelah']</t>
  </si>
  <si>
    <t>['semenjak', 'corona', 'kemarin', 'sinyal', 'ngaco', 'banget', 'telkomsel', 'daerahku', 'jijik', 'sumpah', 'kompetitor', 'jdi', 'bagus', 'banget', 'auto', 'pindah', 'operatol', 'orang', 'daerah', 'pindah']</t>
  </si>
  <si>
    <t>['pelanggan', 'setia', 'telkomsel', 'udah', 'tpi', 'knp', 'telkomsel', 'udah', 'andalkn', 'sinyal', 'parah', 'kaya', 'knpa', 'paket', 'ceria', 'harganya', 'jdi', 'lipat', 'tpi', 'sinyal', 'tetep', 'perubahan', 'rubah', 'harganya', 'jdi', 'rb', 'jdi', 'rb', '']</t>
  </si>
  <si>
    <t>['', 'telkomsel', 'kau', 'perbaiki', 'system', 'loe', 'yak', 'telkomsel', 'uda', 'brp', 'masak', 'isi', 'pulsa', 'masuk', 'dipaketin', 'sampe', 'berkali', 'pulsanya', 'tulisan', 'transaksi', 'sukses', 'pulsa', 'berkurang', 'paketan', 'nambah', 'bloon', 'bloon', 'mahal', 'kualitas', 'zonk', '']</t>
  </si>
  <si>
    <t>['kecewa', 'pengguna', 'harga', 'paketnya', 'mahal', 'unlimited', 'max', 'balikin', 'kayak', 'pas', 'habis', 'kuota', 'utama', 'batasannya', 'udah', 'harganya', 'mahal', 'dikasih', 'batasan', 'gimana', '']</t>
  </si>
  <si>
    <t>['eror', 'berat', 'aplnya', 'tarif', 'internet', 'mahal', 'klu', 'indah', 'unistal', 'ajalah', 'berguna', 'undian', 'poin']</t>
  </si>
  <si>
    <t>['jaringan', 'daerah', 'lamandau', 'kalimantan', 'jelek', 'lemot', 'gangguan', 'harganya', 'udah', 'mahal', 'dibanding', 'provider', 'kecewa', 'tolong', 'dibenahi']</t>
  </si>
  <si>
    <t>['sampe', 'pegel', 'telkomsel', 'sinyal', 'ilang', 'jaringannya', 'sumpah', 'komen', 'bagus', 'karyawannya', '']</t>
  </si>
  <si>
    <t>['paket', 'promo', 'internet', 'telpon', 'dibeli', 'masuk', 'masuk', 'promo', 'termurah', 'dibeli', 'masuk', '']</t>
  </si>
  <si>
    <t>['apalah', 'telkomsel', 'udah', 'beli', 'paket', 'mytelkomsel', 'proses', 'udah', 'jam', 'masuk', 'masuk', 'promo', 'udah', 'habis', 'hilangkan', 'aplikasi', 'kau', 'letak', 'disitu', '']</t>
  </si>
  <si>
    <t>['tolong', 'telkomsel', 'knp', 'kesini', 'hancur', 'signal', 'gnya', 'tolong', 'perbaikannya', 'pemakai', 'setia', 'telkomsel', 'thnan', 'skrg', 'signal', 'buruk', 'puas', 'memakainya', 'tolong', 'perbaikannya', 'konsumen', 'pindah', 'provider']</t>
  </si>
  <si>
    <t>['min', 'gangguan', 'beli', 'paket', 'tertulis', 'pulsa', 'pas', 'nominalnya', 'pulsa', 'suka', 'kesedot', 'dipakai', 'gini', 'rugi', '']</t>
  </si>
  <si>
    <t>['internet', 'indonesia', 'tergolong', 'lambat', 'dunia', 'seharusny', 'penyedia', 'internet', 'terbaik', 'indonesia', 'seharus', 'menjaga', 'kekuatan', 'kestabilan', 'sinyal', 'semoga', 'ditingkatkan', '']</t>
  </si>
  <si>
    <t>['huh', 'kecewa', 'telkomsel', 'pulsa', 'pulsa', 'habis', 'kuota', 'paket', 'tarif', 'non', 'data', 'sungguh', 'menggangu', 'tolong', 'dihilangkan', '']</t>
  </si>
  <si>
    <t>['mengecewakan', 'poin', 'redeem', 'make', 'pulsa', 'alasan', 'sibuk', 'krmarin', 'pulsa', 'isi', 'paket', 'gabisa', 'karna', 'pulsa', 'pakai', 'wifi', 'pulsa', 'kesedot', 'mengecewakan']</t>
  </si>
  <si>
    <t>['jaringan', 'telkomsel', 'kota', 'padang', 'buruk', 'driver', 'gojek', 'dirugikan', 'telkomsel', 'harga', 'paket', 'udh', 'mahal', 'jaringan', 'jelek', '']</t>
  </si>
  <si>
    <t>['paket', 'internetnya', 'murah', 'murah', 'aplikasinya', 'suka', 'bermasalah', 'pembelian', 'paket', 'internet', 'only', 'for', 'fokus', 'penstabilan', 'server']</t>
  </si>
  <si>
    <t>['jaringan', 'entot', 'massa', 'kaya', 'gb', 'hadeh', 'niat', 'kerja', 'niat', 'kerja', 'jaringan', 'betulin', 'tambahin', 'tower', 'kek', 'kek', 'gitu', 'lancar', 'masi', 'ngelag', 'awas', 'mendingan', 'pindah', 'kartu', 'laen', 'mendingan']</t>
  </si>
  <si>
    <t>['sinyal', 'lemot', 'harga', 'mahal', 'protes', 'kelemotan', 'maaf', 'maaf', 'maaf', 'klok', 'maaf', 'sinyal', 'bagus', 'anjirt', 'tolong', 'maaf', 'lakukan', 'lho', 'lakukan', 'memperbaiki', 'jaringan', 'dll', '']</t>
  </si>
  <si>
    <t>['update', 'paket', 'combo', 'omg', 'gb', 'rb', 'rb', 'admin', 'pandemi', 'covid', 'harga', 'normal', 'murah', 'skrng', 'mahal', 'paket', 'internet', '']</t>
  </si>
  <si>
    <t>['menyayangkan', 'koneksi', 'internet', 'dulunya', 'bagus', 'jelek', 'bintang', 'kecewa', 'telkomsel']</t>
  </si>
  <si>
    <t>['mahal', 'sinyal', 'jelek', 'mifi', 'mending', 'jaringan', 'mifi', 'bagus', 'kadang', 'susah', 'ampun', '']</t>
  </si>
  <si>
    <t>['sumpah', 'kaga', 'bermutu', 'point', 'telkomsel', 'sampe', 'bnyk', 'banget', 'udah', 'sinyalnya', 'kemari', 'jelek', 'sumpah', 'mending', 'operator', 'sebelah', 'lbh', 'canggih', 'point', 'ditukar', 'kuota', 'bye', 'bye', 'telkomsel', '']</t>
  </si>
  <si>
    <t>['koment', 'kuota', 'kuota', 'utama', 'habis', 'buka', 'aplikasi', 'cover', 'kuotanya', 'enak', 'karna', 'realitanya', 'kuota', 'utama', 'habis', 'sisa', 'kuota', 'khusus', 'aplikasi', 'buka', 'muter', 'doank', 'emosi', 'darah', 'imun', 'turun', 'mudah', 'kena', 'covid', 'mohon', 'dengar', '']</t>
  </si>
  <si>
    <t>['maaf', 'cuman', 'knapa', 'jaringan', 'telkomsel', 'lemot', 'gini', 'tolong', 'benerin', 'sinyalnya', 'sayang', 'kuota', 'kepake', 'masi', 'habis', 'sia', 'sia', 'berlakunya', 'habis', 'tolong', 'usahakan', 'sinyalnya', 'lancar', 'telkomsel', '']</t>
  </si>
  <si>
    <t>['sinyal', 'telkomsel', 'bapuk', 'alias', 'jelek', 'banget', 'harga', 'paketnya', 'mahal', 'paket', 'kuota', 'bulanan', 'udah', 'butuh', 'disney', 'star', 'buang', 'paket', 'gitu', 'ganti', 'paket', 'normal']</t>
  </si>
  <si>
    <t>['aplikasi', 'berjalan', 'semestinya', 'bug', 'beli', 'pulsa', 'terpotong', 'paketan', 'masuk', 'aktif', 'ngaco', 'useless']</t>
  </si>
  <si>
    <t>['kecewa', 'telkomsel', 'semena', 'mena', 'membalas', 'sms', 'paket', 'darurat', 'sejenisnya', 'isi', 'pulsa', 'pulsa', 'langsung', 'terpotong', 'alasan', 'paket', 'darurat']</t>
  </si>
  <si>
    <t>['telkomsel', 'kuontol', 'ngelek', 'cok', 'main', 'game', 'ngeleg', 'banget', 'kuota', 'jaringan', 'tolong', 'perbaiki', 'kek', '']</t>
  </si>
  <si>
    <t>['telkomsel', 'sinyal', 'taik', 'tolong', 'perbaiki', 'sinyal']</t>
  </si>
  <si>
    <t>['menyesalkan', 'jaringan', 'telkomsel', 'menghilang', 'melaksanakannya', 'prosesi', 'wisuda', 'daring', 'jaringan', 'internet', 'hilang', 'terhenti', 'ditengah', 'prosesi', 'moment', 'berharga', 'mengisikan', 'kuota', 'acara', 'kerugian', 'menyenangkan', 'rate', 'telkomsel']</t>
  </si>
  <si>
    <t>['berpikir', 'jaringan', 'benerin', 'kualitas', 'udah', 'jaringan', 'patah', 'kadang', 'hilang', 'parah', 'habis', 'pelanggan', 'suruh', 'bot', 'pimpinan', 'jwb', 'trims']</t>
  </si>
  <si>
    <t>['telkomsel', 'berbeda', 'paketan', 'kemarin', 'paket', 'tlp', 'seharian', 'harga', 'paketnya', 'kecewa']</t>
  </si>
  <si>
    <t>['udh', 'member', 'sliver', 'gold', 'platinum', 'diamond', 'udah', 'gitu', 'sinyal', 'stabil', 'langganan', 'udh', 'males', 'deh']</t>
  </si>
  <si>
    <t>['telkomsel', 'beli', 'paketan', 'bulanan', 'gb', 'keterangannya', 'tpi', 'pas', 'udah', 'dibeli', 'paketnya', 'keterangan', 'harinya', 'tanggal', 'pembelian', 'gtu', 'motong', 'gimana', 'tolong', 'perbaiki', 'updatenya', 'pulsa', 'suka', 'nyedot', 'sndiri', 'pas', 'kuota', 'internet', 'habis', 'pulsa', 'habis', 'bru', 'muncul', 'notifikasi', 'kuota', 'internet', 'hbs', 'internet', 'non', 'paket', 'nyedot', 'pulsa', 'cari', 'cuan', 'gini', '']</t>
  </si>
  <si>
    <t>['beli', 'paket', 'telkomsel', 'bagus', 'kecewa', 'telkomsel', 'minggu', 'kuota', 'sms', 'tertulis', 'tarif', 'internet', 'not', 'paket', 'pulsa', 'berkurang', 'ribu', 'tgl', 'juni', 'tgl', 'juni', 'total', 'pulsa', 'berkurang', 'ribu', 'kuota', 'internet', 'kecewa', 'telkomsel', 'krna', 'kesalahan', 'penggantian', 'dana', 'telkomsel', '']</t>
  </si>
  <si>
    <t>['mengecewakan', 'pembelian', 'paket', 'susah', 'proses', 'pulsa', 'pulsa', 'hilang', 'penjelasan', 'paket', 'data', 'pelanggan', 'telkomsel', 'mengecewakan', '']</t>
  </si>
  <si>
    <t>['kecewa', 'paket', 'beli', 'hilang', 'menemukan', 'paket', 'cocok', 'berdasarkan', 'lokasi', 'tolong', 'perbaiki', '']</t>
  </si>
  <si>
    <t>['isi', 'pulsa', 'rb', 'kondisi', 'wifi', 'beli', 'paket', 'data', 'buka', 'aplikasi', 'tinggal', 'rb', 'parah', 'min', 'rb', 'kemana', 'kesel', 'banget', 'telkomsel', 'pulsa', 'sedot', 'berkali', 'habis', 'pulsa', 'paket', 'habis', 'kyk', 'provider', 'donk', 'habis', 'paket', 'sedot', 'pulsa', 'kyk', 'drakula', 'habis', 'mulu', 'pulsa', 'maaf', 'admin', 'penilaian', 'jujur', 'pengguna', 'telkomsel', '']</t>
  </si>
  <si>
    <t>['butuh', 'tingkatkan', 'kualitas', 'sinyal', 'disetiap', 'wilayah', 'jaringan', 'stabil', 'hilang', 'timbul', '']</t>
  </si>
  <si>
    <t>['internet', 'lancar', 'mengecewakan', 'paket', 'internetnya', 'tergantung', 'tanggal', 'kadaluwarsanya', 'pemakaian', 'saran', 'paket', 'dibeli', 'tanggal', 'kadaluwarsanya', 'terpendek', 'operator', 'sebelah', 'rugi', 'pelanggan', 'beli', 'paket', 'mesti', 'sisa', 'kali', 'dijumlah', 'gb', 'kebuang', 'gini', 'pelanggan', 'ganti', 'operator', '']</t>
  </si>
  <si>
    <t>['bagus', 'pakai', 'kendala', 'paket', 'kuota', 'murah', 'meriah', 'membantu', 'banget', 'lgsg', 'kuota', 'gratis', 'mah', 'bintang', 'telkomsel', 'you', 'know', 'number', 'right', 'you', 'know', 'what', 'mean', 'undian', 'kali', 'udah', 'habisin', 'poin', 'undian', '']</t>
  </si>
  <si>
    <t>['mytelkomsel', 'milik', 'indonesia', 'negara', 'bahasa', 'aplikasinya', 'bahasa', 'inggris', 'heran', 'bahasa', 'persatuan', 'indonesia', 'milik', 'imdonesia']</t>
  </si>
  <si>
    <t>['aplikasi', 'mengecewakan', 'transaksi', 'malam', 'berhasil', 'pagi', 'coba', 'jualan', 'pisang', 'goreng', 'operator', 'bengek']</t>
  </si>
  <si>
    <t>['heran', 'paketnya', 'beli', 'paket', 'telkomsel', 'beli', 'minggu', 'paket', 'unlimetid', 'beli', 'paket', 'games', 'buka', 'buka', 'buka', 'games', 'paketnya', 'maunya', 'telkomsel', 'menyesal', 'beli', 'kartunya', 'paketnya', 'tolong', 'konfirmasinya', 'jaringannya']</t>
  </si>
  <si>
    <t>['telkomsel', 'licik', 'konsumen', 'paket', 'combo', 'telkomsel', 'gb', 'harganya', 'karna', 'telkomsel', 'strategi', 'marketing', 'dimana', 'menambah', 'harga', 'paket', 'rb', 'konsumen', 'membeli', 'pulsa', 'karna', 'nggak', 'kategori', 'isi', 'pulsa', 'konter', 'alfamart', 'gopay', 'ovo', 'dll', 'telkomsel', 'mengutamakan', 'keuntungan', 'konsumen', 'keuntungan']</t>
  </si>
  <si>
    <t>['paket', 'mahal', 'harga', 'bulshitt', 'pengguna', 'telkomsel', 'udah', 'thun', 'menang', 'sinyal', 'doang']</t>
  </si>
  <si>
    <t>['disaat', 'buka', 'aplikasinya', 'nomor', 'terdaftar', 'aplikasi', 'login', 'ulang', 'kesel', 'karna', 'selebihnya', 'lancar', 'jaya']</t>
  </si>
  <si>
    <t>['parah', 'sinyal', 'sknrg', 'sumpah', 'kyak', 'dlu', 'dlu', 'mlem', 'ngebut', 'jaringan', 'lahh', 'skrng', 'astagfirullah', 'ksini', 'suka', 'telkomsel']</t>
  </si>
  <si>
    <t>['telkomsel', 'mahal', 'saratnya', 'pembagian', 'pilihan', 'penentuan', 'zona', 'bergeser', 'harga', 'berubah', 'sesuai', 'harga', 'tertera', 'pilihan', 'thn', 'indonesia', 'merdeka', 'rakyat', 'komunikasi', 'mahal', 'semoga', 'kejayaan', 'telkomsel', 'membawa', 'berkah', 'negeri', 'rakyatnya', '']</t>
  </si>
  <si>
    <t>['kecewa', 'talkomsel', 'udah', 'jelak', 'jaringan', 'lag', 'lag', 'adeh', 'udah', 'telkomsel', 'udah', 'tidah', 'perbarui', 'ilangkan', 'kartu', 'telkomsel', '']</t>
  </si>
  <si>
    <t>['tlong', 'kak', 'jaringan', 'telkomsel', 'perbaiki', 'jdi', 'pengikut', 'telkomsel', 'kahir', 'main', 'game', 'jaringan', 'stabil', 'blg', 'jlek', 'banget', 'sumpah', 'cewa', 'sma', 'telkomsel']</t>
  </si>
  <si>
    <t>['jaringan', 'buruk', 'beli', 'kuota', 'mahal', 'klu', 'hasilnya', 'jelek', 'pas', 'rmh', 'telkomsel', 'sinyal', 'dikota', 'kalah', 'jaringan', 'exix', 'jaringan', 'rubah', 'ganti', 'jaringannya', 'gitu', 'sinyal', 'telkomsel', 'bagus', 'pokonya', 'dimana', 'jaringan', 'buruk']</t>
  </si>
  <si>
    <t>['telkomsel', 'sinyal', 'jelek', 'paketan', 'murah', 'jelek', 'sinyal', 'bagus', 'bangkrut', 'kah', 'telkom', 'gini', 'pindah', 'jaringan']</t>
  </si>
  <si>
    <t>['melaporkan', 'keluhan', 'aplikasinya', 'sinyal', 'telkomsel', 'hilang', 'ngelag', 'karna', 'susah', 'mengirim', 'dokumen', 'berkas', 'berlangganan', 'telkomsel', 'sekrang', 'tolong', 'sinyalnya', 'perbaiki']</t>
  </si>
  <si>
    <t>['telkomsel', 'parah', 'banget', 'suka', 'nyedot', 'pulsa', 'pulsanya', 'pakai', 'berkurang', 'hadehhh', 'pindah', 'provider', 'disedot', 'pulsanya']</t>
  </si>
  <si>
    <t>['aplikasi', 'buruk', 'kali', 'pulsa', 'reguler', 'makan', 'habis', 'akibat', 'tersedot', 'internet', 'paket', 'karenakan', 'mengikuti', 'program', 'daily', 'chekin', 'aplikasi', 'chekin', 'reward', 'klaim', 'langsung', 'masuk', 'notifikasi', 'via', 'sms', 'paket', 'gratis', 'klaim', 'ehh', 'paket', 'internet', 'kena', 'pulsa', 'reguler', 'reward', 'aplikasinya', 'kasih', '']</t>
  </si>
  <si>
    <t>['', 'telkomsel', 'login', 'aplikasi', 'game', 'online', 'langsung', 'drop', 'sinyal', 'aneh', 'rumah', 'byu', 'sinyal', 'byu', 'normal', 'udang', 'batu', 'internal', 'musuh', 'selimut', 'perusahan', 'telkomsel', 'logout', 'sinyal', 'langsung', 'normal', 'sya', 'beli', 'kuota', 'paki', 'uang', 'emang', 'paki', 'main', 'game', 'online', 'mash', 'bnyak', 'optator', 'kartu', 'simpati']</t>
  </si>
  <si>
    <t>['nge', 'lag', 'terooooooooos', 'thank', 'you', 'telkomsel', 'nge', 'lag', 'woyy', 'sadarrr', 'enak', 'kuota', 'mahal', 'mohon', 'perbaiki', '']</t>
  </si>
  <si>
    <t>['kasih', 'bintang', 'oke', 'ngak', 'oke', 'oke', 'orang', 'takkan', 'kecewa', 'gitu', 'bro']</t>
  </si>
  <si>
    <t>['beli', 'paket', 'mahal', 'mahal', 'giliran', 'udah', 'paketin', 'jaringannya', 'lemotnya', 'ampun', 'sinyal', 'kuat', 'trus', 'kayak', 'jaringanya', 'sumpah', 'kesel', 'tolonglah', 'telkomsel', 'udah', 'beli', 'paket', 'mahal', 'mahal', 'pengguna', 'telkomsel', 'beralih', 'operator', 'kyak', 'gini', 'stengah', 'jaringan', 'buruk', 'bnget', 'asliii', 'parahh', 'yok', 'yok', 'beralih', 'operator']</t>
  </si>
  <si>
    <t>['fitur', 'menu', 'aplikasi', 'kuoata', 'terkadang', 'gangguan', 'telkomsel', 'jaringannya', 'tolong', 'diperbaiki', 'karna', 'telkomsel', 'sesuai', 'harga', 'sesuai', 'kualitas', '']</t>
  </si>
  <si>
    <t>['kecewa', 'telkomsel', 'kualitas', 'jaringan', 'menurun', 'beralih', 'kartu', 'karna', 'puas', 'kualitas', 'jaringan', '']</t>
  </si>
  <si>
    <t>['setia', 'pakai', 'telkomsel', 'karna', 'jaringannya', 'bagus', 'kecewa', 'karna', 'jaringannya', 'gangguan', 'stabil', 'mati', 'lampu', 'mati', 'signalnya', 'kyak', 'ttangga', 'sebelah', 'nyaman', 'turunkan', 'rating', 'beralih', '']</t>
  </si>
  <si>
    <t>['udh', 'diupdate', 'ttp', 'notif', 'aplikasi', 'berhenti', 'aplikasi', 'aman', 'kayak', 'gitu', 'diupdate', 'sampe', 'udh', 'diupdate', 'ttp', 'gitu', '']</t>
  </si>
  <si>
    <t>['kecewa', 'telkomsel', 'dullu', 'memaklumi', 'mahal', 'jaringannya', 'indo', 'harga', 'mahal', 'jaringannya', 'kalah', 'operator', 'murah', 'lancar', '']</t>
  </si>
  <si>
    <t>['perbaiki', 'jaringan', 'riau', 'indragiri', 'hulu', 'lubuk', 'batu', 'jaya', 'jaringan', 'buruk', 'kali', 'kalah', 'jaringan', 'pengguna', 'telkomsel', 'ngeluh', 'dunia', 'telkomsel', 'jelek', 'jaringan', 'terimakasih', '']</t>
  </si>
  <si>
    <t>['kecewa', 'telkomsel', 'bener', 'kacau', 'jaringannya', 'main', 'game', 'streaming', 'film', 'lancar', 'muter', 'harga', 'kuota', 'kualitas', 'internetnya', 'bertolak', 'belaka']</t>
  </si>
  <si>
    <t>['telkomsel', 'nomor', 'hrs', 'buka', 'link', 'pokoknya', 'tpi', 'membantu', 'mengecek', 'promo', 'murah', '']</t>
  </si>
  <si>
    <t>['telkomsel', 'lemot', 'kecewa', 'banget', 'telkomsel', 'pindah', 'harga', 'jaringan', 'buruk']</t>
  </si>
  <si>
    <t>['woiii', 'telkomsel', 'jaringan', 'lelet', 'woii', 'beli', 'paket', 'mahal', 'mahal', 'woi', 'woi', 'hai', 'buiii', 'peujeut', 'bak', 'ureung', 'gasin', 'peugoet', 'lage', 'nyoe', 'paket', 'meuhai', 'jaringan', 'lage', 'ase', 'woiii', 'woiii', '']</t>
  </si>
  <si>
    <t>['kesini', 'jaringan', 'buruk', 'kalah', 'provider', 'paket', 'harga', 'mahal', 'sesuai', 'harapkan', 'lemot', 'ketulungan']</t>
  </si>
  <si>
    <t>['kuota', 'unlimited', 'harga', 'dihilangkan', 'susah', 'orang', 'orang', 'miskin', 'kuota', 'telkomselll', 'parah', 'kau', 'upgradee', 'sialannn', '']</t>
  </si>
  <si>
    <t>['kesini', 'apk', 'telkomsel', 'ribet', 'jaringan', 'stabil', 'rumah', 'kota', 'bagus', 'jaringan', 'kecewa', 'telkomsel', 'tolong', 'diperbaiki']</t>
  </si>
  <si>
    <t>['langganan', 'internet', 'tergantung', 'lokasi', 'udah', 'pindah', 'ujung', 'ujung', 'kasi', 'paketan', 'gitulah', '']</t>
  </si>
  <si>
    <t>['langganan', 'kuota', 'telepon', 'menit', 'menit', 'tersisa', 'tertulis', 'tertulis', 'pemberitahuan', 'kuota', 'telepon', 'habis', 'pulsa', 'kemakan', 'habis']</t>
  </si>
  <si>
    <t>['buka', 'tertulis', 'muat', 'ulang', 'paket', 'maxstrem', 'tertera', 'situ', 'beli', 'paket', 'maxstrem', 'beli', 'paket', 'kecewa']</t>
  </si>
  <si>
    <t>['kecewa', 'telkomsel', 'leletnya', 'ampun', 'udah', 'langganan', 'sinyal', 'sampe', 'gini', 'pindah', 'operator']</t>
  </si>
  <si>
    <t>['susah', 'dibukanya', 'kebuka', 'update', 'muncul', 'aplikasinya', 'aplikasinya', 'kebuka', 'kak', 'gimana', 'ngehubungi', 'blank', 'seminggu', 'dimana', 'akses', '']</t>
  </si>
  <si>
    <t>['kasi', 'bintang', 'karna', 'udah', 'poin', 'tukarkan', 'pulsa', 'top', 'telkomsel', 'cek', 'top', 'game', 'sekian', 'terima', 'kasih']</t>
  </si>
  <si>
    <t>['pemebelian', 'paket', 'mudah', 'tolong', 'perbaiki', 'buka', 'aplikasi', 'pengguna', 'menunggu', 'loading', 'memuat', 'ulang', 'kondisi', 'jaringan', 'sinyal', 'full']</t>
  </si>
  <si>
    <t>['telkomsel', 'muak', 'pelanggan', 'murah', 'promo', 'paket', 'internet', 'mahal', 'gini', 'mending', 'pindah', 'paket', 'internet', 'stabil', 'ngga', 'mulu', 'kayak', 'telkomsel']</t>
  </si>
  <si>
    <t>['batas', 'wajar', 'kuota', 'aplikasi', 'habis', 'dikenakan', 'penyesuaian', 'kecepatan', 'internet', 'cek', 'kuota', 'beli', 'paket', 'tsel', 'tsel', 'waaaaawwww', 'hebat', 'udah', 'beli', 'paket', 'unlimited', 'mahal', 'kyk', 'gini', 'anjim', 'banget']</t>
  </si>
  <si>
    <t>['keluarga', 'pelanggan', 'setia', 'telkomsel', 'tawari', 'beralih', 'kartu', 'halo', 'internet', 'unlimited', 'kecepatan', 'mbps', 'gila', 'kecewa', 'banget', 'dipake', 'jaringannya', 'berubah', 'ngga', 'dipake', 'gimana', 'pikir', 'berlangganan', 'edit', 'kadang', 'kayak', 'gini']</t>
  </si>
  <si>
    <t>['telkomsel', 'buruk', 'beralih', 'kartu', 'karna', 'mahal', 'jaringannya', 'stabil', 'sya', 'pengguna', 'telkomsel', 'bertahun', 'kecewa', 'telkomsel', 'ingi', 'beralih', 'kartu', 'telkomsel', 'ramah', '']</t>
  </si>
  <si>
    <t>['dikirim', 'link', 'masuk', 'telkomsel', 'link', 'invalid', 'dicoba', 'kali', 'lrbih', 'tete', 'gitu', 'masuk', 'telkomsel', 'gitu', 'masuknya', 'repot', 'isi', 'pulsa', 'telkomsel', 'udah', 'ribet', 'mahal', 'kendala', 'akhit', 'kecewa', 'banget']</t>
  </si>
  <si>
    <t>['sinyal', 'hilang', 'telepon', 'regular', 'pengguna', 'kartu', 'halo', 'fasilitas', 'telepon', 'menit', 'terpakai', 'sinyal', 'down', 'telkomsel', 'tagihan']</t>
  </si>
  <si>
    <t>['knp', 'beli', 'pulsa', 'kuota', 'gagal', 'trs', 'aplikasinya', 'susah', 'beliin', 'paket', 'kuota', 'tolong', 'donk', 'beli', 'trs', 'kartu', 'telkomsel', 'knp', 'jelek', 'gada', 'bagus', 'trs', 'pas', 'maen', 'game', 'knp', 'suka', 'putus', 'sinyal', 'ganti', 'kartu', 'mohon']</t>
  </si>
  <si>
    <t>['parah', 'ngerasa', 'dikadalin', 'sinyal', 'stabil', 'jdnya', 'motong', 'pulsa', 'habis', 'klaim', 'bonus', 'internet', 'taunya', 'pas', 'dibawa', 'jalan', 'sinyal', 'ngedrop', 'pas', 'liat', 'sms', 'isinya', 'pemakaian', 'pulsa', 'akses', 'internet', 'mengakses', 'internet', 'tarif', 'non', 'paket', 'lgs', 'buru', 'matiin', 'data', 'seluler', 'ngecek', 'sisa', 'kouta', 'wifi', 'msh', 'pulsa', 'rban', 'berubah', 'tinggal', 'rb', 'bener', '']</t>
  </si>
  <si>
    <t>['aplikasi', 'telkomsel', 'tulisan', 'aplikasi', 'optimalkan', 'penyebabnya', 'mohon', 'pencerahannya', '']</t>
  </si>
  <si>
    <t>['kecewa', 'harga', 'mahal', 'gpp', 'jaringan', 'buruk', 'sekalii', 'sinyalnya', 'main', 'game', 'merah', 'sinyalnya', 'haduhhh', '']</t>
  </si>
  <si>
    <t>['kartu', 'tsel', 'terbaca', 'bawa', 'grapari', 'kota', 'batu', 'data', 'pdhl', 'kartu', 'dftr', 'nik', 'nomor', 'trdaftar', 'gojek', 'tidka', 'login', 'gojek', 'kartu', 'ndak', 'replace', 'kartu', 'operator', 'mudah', 'telkomsel', 'provider', 'persulit', 'akun', 'gojek', 'cimb', 'niaga', 'skrg', 'tolong', 'dibantu', 'nomor', 'persulit', 'orang', '']</t>
  </si>
  <si>
    <t>['kesal', 'app', 'hpus', 'app', 'masuk', 'app', 'susah', 'coba', 'sms', 'susahnz', 'mending', 'pindah', 'paket', '']</t>
  </si>
  <si>
    <t>['aplikasi', 'kaya', 'gini', 'buka', 'telkomsel', 'stuck', 'finder', 'one', 'play', 'store', 'crash', 'force', 'closed', 'niat', 'aplikasi', '']</t>
  </si>
  <si>
    <t>['sinyal', 'telkomsel', 'wilayah', 'tegal', 'alur', 'kamal', 'kalideres', 'buruk', 'kuota', 'gb', 'jam', 'main', 'game', 'online', 'mobile', 'lagend', 'dsb', 'lag', 'tolong', 'diperbaiki', '']</t>
  </si>
  <si>
    <t>['jaringannya', 'lemot', 'kaya', 'udah', 'percaya', 'ama', 'telkomsel', 'beli', 'paket', 'mending', 'murah', 'lemot']</t>
  </si>
  <si>
    <t>['pesan', 'sms', 'telkomsel', 'rp', 'dapatkan', 'kuota', 'ketengan', 'youtube', 'unlimited', 'seharian', 'nonton', 'sepuasnya', 'batas', 'giga', 'speed', 'aktifkan', 'tsel', 'ketenganunlimited', 'check', 'sms', 'penipuan', 'spam', '']</t>
  </si>
  <si>
    <t>['sinyal', 'telkomsel', 'buruk', 'daerah', 'kota', 'sinyal', 'pedalaman', 'telfon', 'whatsapp', 'menghubungkan', 'putus', 'putus', 'mohon', 'perbaiki', 'pengguna', 'telkomsel', 'lari', 'jaringan', 'mengecewakan', 'pelanggan']</t>
  </si>
  <si>
    <t>['mohon', 'telkomsel', 'memperbaiki', 'koneksi', 'internet', 'kartu', 'simpati', 'lemot', 'susah', 'pelajar', 'pandemi', 'sekolah', 'liburkan', 'pelajar', 'membutuhkan', 'koneksi', 'internet', 'pengalaman', 'kartu', 'simpati', 'buruk', 'sinyall', 'penuh', 'lemot', 'banget', 'gara', 'telat', 'mengumpulkan', 'tugas', 'mohon', 'perbaiki', 'koneksi', 'pulau', 'daerah', 'madura', '']</t>
  </si>
  <si>
    <t>['provider', 'tolong', 'main', 'mlbb', 'knp', 'sinyal', 'merah', 'haaa', 'provider', 'mahal', 'bagus', 'main', 'game', 'jaringan', 'merah', 'udh', 'beli', 'mahal', 'kalah', 'gara', 'jaringan', 'doang', 'kyk', 'gini', 'udh', 'berkali', 'kali', 'tolonglah', 'perbaiki']</t>
  </si>
  <si>
    <t>['mengejar', 'keuntungan', 'tingkatkatkan', 'kepuasan', 'pelanggan', 'sinyalnya', 'bagusin', 'mati', 'lampu', 'sinyalnya', 'kmana', 'ayo', 'telkomsel', 'benahi', 'bts', 'daya', 'cadanganya', '']</t>
  </si>
  <si>
    <t>['telkomsel', 'jaman', 'pulsa', 'kepotong', 'jaringan', 'internet', 'paket', 'data', 'mengisi', 'pulsa', 'kepotong', 'internet', 'mending', 'bye', 'bye', '']</t>
  </si>
  <si>
    <t>['udah', 'setia', 'telkomsel', 'sampe', 'skrg', 'beli', 'paket', 'mahalan', 'dikit', 'gpp', 'pnting', 'internetan', 'lancar', 'koq', 'skrg', 'jaringan', 'kek', 'asw', 'hancur', 'bener', 'jaringan', 'turun', 'ngilang', 'pngen', 'pindah', 'deh']</t>
  </si>
  <si>
    <t>['beli', 'paket', 'darurat', 'ribu', 'pengembalian', 'dipotong', 'pulsa', 'pengisian', 'klik', 'paket', 'nampak', 'paket', 'darurat', 'gb', 'harganya', 'ribu', 'dipotong', 'pengisian', 'pulsa', 'pulsa', 'ribu', 'habis', 'ngisi', 'ribu', 'dipotong', 'ribu', 'pengembalian', 'pulsa', 'darurat', 'klik', 'pulsa', 'darurat', 'tekor', 'ribu', 'kali', 'rbu', 'tulisannya', 'paket', 'darurat', 'ribu', 'dipotong', 'pengisian', 'pulsa']</t>
  </si>
  <si>
    <t>['', 'aplikasi', 'tolol', 'banget', 'belajar', 'deh', 'bener', 'menegernya', 'menyetujui', 'applikasi', 'cacat', 'kayak', 'gini', '']</t>
  </si>
  <si>
    <t>['udah', 'update', 'aplikasi', 'logo', 'yaa', 'logo', 'aplikasi', 'min', 'kendala', 'kah', 'aplikasinya', '']</t>
  </si>
  <si>
    <t>['aduuuuh', 'tolong', 'benerin', 'aplikasi', 'gangguan', 'parah', 'hubungkan', 'aplikasi', 'kasi', 'dana', 'beli', 'paket', 'data', 'tolong']</t>
  </si>
  <si>
    <t>['kuota', 'mahal', 'kota', 'siang', 'kgak', 'angin', 'kgak', 'ujan', 'jaringan', 'doang', 'kuota', 'mahal', 'tpi', 'provider', 'terbesar', 'indo', 'tpi', 'jaringan', 'lemot', 'harga', 'doang', 'mahal', 'niat', 'mending', 'bangkruf']</t>
  </si>
  <si>
    <t>['sya', 'harga', 'mahal', 'telefon', 'kuota', 'menjamin', 'kepuasan', 'pengguna', 'jaringan', 'tersebar', 'luas', 'indonesia', 'jaringannya', 'lemah', '']</t>
  </si>
  <si>
    <t>['sungguh', 'mengerikan', 'kau', 'telkomsel', 'mengambil', 'untung', 'buka', 'aplikasi', 'mytelkomsel', 'sebentar', 'menit', 'kau', 'potong', 'beli', 'paket', 'combo', 'sungguh', 'dirimu', 'telkomsel', '']</t>
  </si>
  <si>
    <t>['pelanggan', 'setia', 'telkomsel', 'telkomsel', 'jaringan', 'bagus', 'banget', 'kartu', 'perdana', 'sultan', 'jelek', 'banget', 'jaringannya', 'beli', 'paket', 'data', 'gb', 'khusus', 'games', 'main', 'games', 'tolong', 'kembalikan', 'telkomsel', 'kayak', 'kartunya', 'sultan', 'jaringan', 'terbaik', 'indonesia', '']</t>
  </si>
  <si>
    <t>['kecewa', 'bagus', 'banget', 'aplikasi', 'mengecewakan', 'dibuka', 'giliran', 'downlot', 'login', 'mll', 'login', 'mll', 'buka', 'aplikasinya', 'kecewa', 'aplikasi', 'kecewa', 'sinyale', 'internet']</t>
  </si>
  <si>
    <t>['abis', 'kuotanya', 'gua', 'buang', 'kartu', 'ngapain', 'nge', 'ganggu', 'browsing', 'internet', 'internet', 'pikir', 'gua', 'bocah', 'gua', 'beli', 'kuota', 'ngatur', 'ngatur', 'duit', 'duit', 'gua', 'kecewa', 'gua', 'browser', 'block', 'telkomsel']</t>
  </si>
  <si>
    <t>['telkomsel', 'jaringannya', 'memuaskan', 'jelek', 'unlimited', 'sosmed', 'lelet', 'buka', 'sosmed', 'lancar', 'tolong', 'diperbaiki', 'jaringannya', 'karna', 'keluhan', 'semoga', 'ditindaklanjuti', '']</t>
  </si>
  <si>
    <t>['kacau', 'simpati', 'maksudnya', 'nomor', 'tenggang', 'kaga', 'kaga', 'maen', 'matiin', 'pas', 'udah', 'isi', 'pulsa', 'paket', 'bulanan', 'nomor', 'dimatiin', 'konfirmasi', 'sialan']</t>
  </si>
  <si>
    <t>['beli', 'pulsa', 'dapet', 'bokis', 'banget', 'min', 'download', 'aplikasi', 'dpet', 'pulsa', 'gtu', 'hahaha', 'pinter', 'bnget', 'strategi', 'pemasarannya', 'kesini', 'parah', 'jaringannya', 'provider', 'urutan', 'jangkauan', 'sinyal', 'indonesia', 'tpi', 'giliran', 'masuk', 'pedesaan', 'ilang', 'sinyal', 'wkwkwk', 'msa', 'kalah', 'sma', 'provider', 'urutan', 'ketiga', 'jaringannya', 'bagus', 'msalah', 'harga', 'paketan', 'mahal', 'loe', 'jual', 'gue', 'beli', 'mah', 'kgak', 'pyah', 'telkom', 'skrang', 'nyari', 'untung', 'doang', '']</t>
  </si>
  <si>
    <t>['kali', 'beli', 'pulsa', 'paket', 'telkomsel', 'tpi', 'tuhh', 'dapet', 'kuota', 'gratis', 'gb', 'beli', 'pulsa', 'paket', 'telkomsel', 'dapet', 'kuota', 'gratis', 'gb', 'mna', 'kuota', 'gratis', 'dapet', 'dapet', 'kuota', 'gratis']</t>
  </si>
  <si>
    <t>['apikasi', 'error', 'pemakaian', 'menit', 'notif', 'aplikasi', 'cepat', 'panas', 'mohon', 'diperbaiki', 'terima', 'kasih', '']</t>
  </si>
  <si>
    <t>['komplain', 'aplikasi', 'bot', 'pilih', 'menu', 'sapa', 'customer', 'servis', 'bot', 'cuman', 'makasih', 'julid', 'pelanggan', 'raja', 'remeh', 'tanggung', 'penyedia', 'jasa', 'konsumennya', 'yasudahlah', 'gimana', '']</t>
  </si>
  <si>
    <t>['maaf', 'kasih', 'bintang', 'membeli', 'paket', 'internet', 'bulanan', 'telkomsel', 'grapari', 'terdekat', 'alasan', 'kartu', 'nunggu', 'minimal', 'tolong', 'telkomsel', 'penjelasan', 'terimakasih']</t>
  </si>
  <si>
    <t>['telkomsel', 'jelek', 'sinyal', 'pelit', 'beli', 'kuota', 'unlimited', 'ribu', 'harga', 'kuota', 'herannya', 'beli', 'kuota', 'dapet', 'sms', 'isi', 'pulsa', 'beli', 'kuota', 'masuk', 'masuk', 'telkomsel', 'sms', 'sinyal', 'lancar', 'awur', 'awuran', 'diatasi', 'telkomsel', 'sepi', 'peminat', 'kedepannya']</t>
  </si>
  <si>
    <t>['menurutku', 'kartu', 'sekelas', 'telkomsel', 'lemot', 'karna', 'telkomsel', 'penggunanya', 'kartu', 'buktinya', 'pas', 'kemah', 'susah', 'sinyal', 'operator', 'dipake', 'sinyal', 'kecuali', 'telkomsel', 'dapet', 'bar', 'kecepatan', 'mbps', 'lumayan', 'internetan', 'operator', 'joss', 'tingkatkan', 'telkom', '']</t>
  </si>
  <si>
    <t>['prabayar', 'telkomsel', 'lancar', 'udah', 'kacau', 'internetnya', 'kacau', 'berharap', 'ubah', 'pasca', 'bayar', 'taunya', 'zonk', 'prabayar', 'nomornya', '']</t>
  </si>
  <si>
    <t>['app', 'menarik', 'susah', 'loadingnya', 'ditekan', 'tombol', 'back', 'home', 'app', 'alhasil', 'klik', 'ulang', 'menu', 'menunya', 'kasih', 'tawaran', 'pas', 'diklik', 'galat', 'promo', 'ridak', 'tersedia', 'nge', 'prank', '']</t>
  </si>
  <si>
    <t>['telkomsel', 'jaringan', 'lelet', 'mending', 'ganti', 'kartu', 'pulsa', 'hilang', 'dimakan', 'setan', '']</t>
  </si>
  <si>
    <t>['aplikasinya', 'berat', 'banget', 'cuman', 'nyoba', 'tmn', 'karna', 'penasaran', 'karna', 'emng', 'tmn', 'berat', 'aplikasi', 'suka', 'dipencet', 'kadang', 'slow', 'respon', 'kadang', 'ngeheng', 'kadang', 'layar', 'item', 'pokoknya', 'berat', 'deh', 'buka', 'aplikasi', 'gatau', 'knp', 'buka', 'myxl', 'lancar', 'jaya', 'kendala', 'perbaiki', 'karna', 'suka', 'ksl', 'buka', 'kayak', 'gitu']</t>
  </si>
  <si>
    <t>['oke', 'bagus', 'mengembangkan', 'apresiasi', 'lupain', 'lemah', 'terhitung', 'kota', 'cimanggis', 'depok', 'jawa', 'barat']</t>
  </si>
  <si>
    <t>['buruk', 'melakukkan', 'transaksi', 'banking', 'pulsa', 'masuk', 'saldo', 'atm', 'terpotong', 'bantuan', 'tertulis', 'melakukkan', 'transaksi', 'bukti', 'transaksi', 'banking', 'kecewa', 'kejadian', '']</t>
  </si>
  <si>
    <t>['jaringan', 'internet', 'kartu', 'halo', 'parah', 'sinyal', 'full', 'kecepatannya', 'smartphone', 'realme', 'pro', 'ram', 'gb', 'sesuai', 'dijanjiin', 'penawaran', 'konsumen', 'jaringan', 'internet', 'cepat', 'baca', 'berita', 'buka', 'toko', 'online', 'lambat', 'streamingan', 'main', 'game', 'hancur', 'parah', 'udh', 'hub', 'customer', 'care', 'perbaikan', 'tetep', 'hancur', 'jaringan', 'internetnya', 'bayar', 'mahal', 'jaringan', 'hancur', '']</t>
  </si>
  <si>
    <t>['gimana', 'beli', 'pulsa', 'beli', 'paket', 'adh', 'sisa', 'ribu', 'engak', 'udh', 'gitu', 'paket', 'dipake', 'gimana', '']</t>
  </si>
  <si>
    <t>['', 'bangga', 'memakai', 'telkomsel', 'sinyal', 'bagus', 'paketan', 'internet', 'terjangkau', 'pokoky', 'top', 'telkomsel', 'maju', 'telkomsel']</t>
  </si>
  <si>
    <t>['komentar', 'dihapus', 'asli', 'lelet', 'kali', 'daera', 'rumahku', 'main', 'patah', 'buka', 'status', 'mutar', 'mulu', 'uda', 'thn', 'kyk', 'gini', 'bagus', 'tolong', 'perbaiki', 'kota', 'binjai', 'kec', 'binjai', 'timur', 'kel', 'mencirim', 'jln', 'merak', 'sumatera', 'utara', 'semoga', 'cepat', 'perbaiki', '']</t>
  </si>
  <si>
    <t>['sinyal', 'down', 'main', 'game', 'ping', 'mengecewakan', 'maaf', 'edit', 'bintang', 'thanks']</t>
  </si>
  <si>
    <t>['barusan', 'beli', 'paket', 'internet', 'youtube', 'unlimited', 'aktifnya', 'tipu', 'tolong', 'kembalikan', 'uang']</t>
  </si>
  <si>
    <t>['tolong', 'tambahin', 'fitur', 'pengunci', 'pulsa', 'pulsa', 'sembarangan', 'data', 'hidup', 'suka', 'hilang', 'trus', 'pas', 'masuk', 'aplikasinya', 'hidupin', 'datanya', 'gaa', 'masuk', 'datanya', 'hidup', 'mulu', 'pas', 'udah', 'masuk', 'maketin', 'udah', 'berkurang', 'pulsanya', 'tolong', 'admin', 'buatin', 'fitur']</t>
  </si>
  <si>
    <t>['kecewa', 'telkomsel', 'jaringan', 'udah', 'halo', 'prabayar', 'nunggak', 'browsing', 'lelet', 'patut', 'benahi', 'mengecewakan', 'pelanggan', 'telkomsel']</t>
  </si>
  <si>
    <t>['mohon', 'perbaiki', 'pulsa', 'terpotong', 'tampa', 'pemberitahuan', 'mohon', 'perbaiki', 'pengguna', 'puas', 'mohon', 'tanggapanya', 'aplikasi', 'uninstal', 'karna', 'mengecewakan', 'perbaiki', 'komentar', 'user', 'bagus', 'instal']</t>
  </si>
  <si>
    <t>['wilayah', 'cianjur', 'kecamatan', 'bojongpicung', 'desa', 'jati', 'buruk', 'jaringan', 'wiffi', 'jaringan', 'performanya', 'perbaiki']</t>
  </si>
  <si>
    <t>['paket', 'kuota', 'belajar', 'hapus', 'paket', 'internet', 'unlimited', 'sosmed', 'batasi', 'unlimited', 'gitu', 'pindah', 'gini', 'mahasiswa', 'butuh', 'kuota', 'pandemi', 'kebiasaan', 'tsel', 'pengguna', 'meningkat', 'penghapusan', 'pengurangan', 'paket', 'kuota', 'internet', 'kualitas', 'jaringan', 'menurun', 'minggu', 'daerah', 'rumah', 'sayang', 'penuh', 'mala', 'titik', '']</t>
  </si>
  <si>
    <t>['aplikasinya', 'bagus', 'sayang', 'beli', 'paket', 'mahal', 'bangat', 'kayak', 'indosat', 'mahal', 'banget', 'telkomsel', 'murah', 'paketnya', 'mahal', 'kebangetan', 'kasih', 'bintang', 'habis', 'kecewa', 'liat', 'harganya', 'beli', 'paket']</t>
  </si>
  <si>
    <t>['telkomsel', 'habis', 'ujan', 'lemot', 'beli', 'paket', 'rbu', 'game', 'lancar', 'gatau', 'lemot', 'jaringan', 'luas', 'parah', 'perbaiki', 'mind', 'beda', 'kaya', 'dapet', 'pulsa', 'paket', 'data', 'gratis', 'isi', 'pulsa', 'ribu', 'udah', 'dapet', 'gratis', 'kouta', 'data', 'beli', 'paket', 'mahal', 'beli', 'pls', 'mahal', 'dapet']</t>
  </si>
  <si>
    <t>['memelihara', 'jaringan', 'kaya', 'gini', 'tolong', 'developer', 'perbaiki', 'jaringan', 'developer', 'mementingkan', 'customer', 'kuota', 'jaringan', 'gimana', 'kuotanya', 'kemaren', 'hilang', 'kepakai', 'kuota', 'jaringan', 'gimana', 'kaya', 'gini', 'kah', 'tolong', 'upgrade', 'jaringan']</t>
  </si>
  <si>
    <t>['udah', 'mahal', 'doang', 'sinyal', 'macet', 'macet', 'ganggu', 'banget', 'rekomend', 'banget', 'telkomsel', 'cuaca', 'buruk', 'dikit', 'udah', 'keganggu', 'sinyal', 'perangkat', 'ngga', 'buruk', 'perbaiki', 'gajelas', '']</t>
  </si>
  <si>
    <t>['mohon', 'diperbaiki', 'sistem', 'beli', 'paket', 'ceria', 'paket', 'darurat', 'aktif', 'udah', 'kali', 'coba', 'beli', 'paket', 'ceria', 'aktif', 'paket', 'darurat', 'kecewa', 'telkomsel', 'telkomsel', 'berbeda', 'kualitasnya', 'minim', '']</t>
  </si>
  <si>
    <t>['halooooo', 'telokmsellllll', 'jaringan', 'internetmu', 'busuk', 'beli', 'paket', 'signaknya', 'brekele', 'jualan', 'product', 'pelayanan', 'internetnya', 'woooiii', 'sibuk', 'korupsi', 'pade', 'bangsattttttttt', '']</t>
  </si>
  <si>
    <t>['lelet', 'jaringan', 'tinggalnya', 'dikota', 'pakai', 'telkomsel', 'kesini', 'parah', '']</t>
  </si>
  <si>
    <t>['asli', 'sinyal', 'jelek', 'banget', 'kartu', 'sekelas', 'telkomsel', 'leletnya', 'ampun', 'upgrade', 'sinyl', 'bagus', 'jelek', 'kalah', 'ama', 'lancar', 'sinyal', 'sesuai', 'harga', 'sumpah', 'ganti', 'kartu', 'kali', '']</t>
  </si>
  <si>
    <t>['unlimited', 'max', 'gb', 'all', 'net', 'kouta', 'lokaldan', 'disney', 'hotstar', 'batam', 'anak', 'mohon', 'info', 'habis', 'busa', 'notif', 'masuk']</t>
  </si>
  <si>
    <t>['trima', 'kasih', 'telkomsel', 'apk', 'memudahkan', 'daftar', 'gratis', 'paket', 'data', 'telpon', 'prmo', 'menarik', 'game', 'menyukainya', 'kuharap', 'kedepanya', 'dikejutkan', 'fitur', 'menarik']</t>
  </si>
  <si>
    <t>['', 'good', 'aplikasi', 'memudahkan', 'pengguna', 'transaksi', 'seputar', 'pembelian', 'pulsa', 'paket', 'internet', 'trimakasih', 'telkomsel', '']</t>
  </si>
  <si>
    <t>['assalamualaikum', 'terimakasih', 'telkomsel', 'senang', 'layanan', 'telkomsel', 'love', 'you', 'telkomsel', 'indonesia', '']</t>
  </si>
  <si>
    <t>['tolong', 'emank', 'gagal', 'pembelian', 'paketnya', 'pulsanya', 'jangn', 'ambil', 'banget', 'kya', 'gni', 'sumpah', 'gua', 'iklas', 'dunia', 'akhirat', 'ngotak', 'kekurangan', 'uang', 'telkomsel', 'kartu', 'ngambil', 'uang', 'orang', 'tunggu', 'pertanggung', 'jawabin', 'diakhirat', 'ketemu', 'akhirat', 'debat', '']</t>
  </si>
  <si>
    <t>['hai', 'sinyal', 'udah', 'beres', 'keringanan', 'tolong', 'harga', 'paket', 'internet', 'murahin', 'harga', 'paket', 'kartu', 'mahal', 'ampun', 'tolong', 'murah', 'ngk', 'nyaman', 'mahal', 'kaya', 'gini', '']</t>
  </si>
  <si>
    <t>['selamat', 'malam', 'min', 'beli', 'kuota', 'unlimited', 'max', 'pakai', 'internet', 'lokal', 'gabisa', 'pakai', 'internet', 'nonton', 'pulsa', 'habis', 'tersedot', 'aktif', 'kuotanya', 'juli', 'tolong', 'penjelasannya', 'kendala', 'min', 'terimakasih']</t>
  </si>
  <si>
    <t>['internet', 'bermain', 'game', 'mohon', 'telkom', 'perbaiki', 'konsume', 'telkomsel', 'nyaman', 'maaf', 'sopan', '']</t>
  </si>
  <si>
    <t>['jaringannya', 'jelek', 'mulu', 'unlimited', 'mahal', 'mahal', 'berkurang', 'paket', 'unlimited', 'plis', 'mohon', 'perbaiki', 'paket', 'unlimited', 'dikit', 'sekian', 'makasih']</t>
  </si>
  <si>
    <t>['habis', 'update', 'beli', 'paket', 'data', 'aplikasi', 'panas', 'sistem', 'mengalami', 'bug', 'sistem', 'kadang', 'force', 'close', 'restart', 'hasilnya', 'mohon', 'diperbaiki', 'terimakasih', '']</t>
  </si>
  <si>
    <t>['telkomsel', 'tutup', 'aplikasinya', 'login', 'telkomsel', 'langsung', 'tutup', 'aplikasi', 'jelekkk', 'sekalii', 'telkomsel', '']</t>
  </si>
  <si>
    <t>['gimana', 'siii', 'min', 'isi', 'pulsa', 'otomatis', 'beli', 'paket', 'internet', 'beli', 'langganan', 'paket', 'combo', 'sakti', 'jujur', 'kecewa', 'min', '']</t>
  </si>
  <si>
    <t>['asli', 'telkomsel', 'terbaik', 'tolong', 'permudahkan', 'membeli', 'paket', 'tambahkan', 'menu', 'asikkk', 'tetapkan', 'donk', 'rubah', 'rubah', 'menunya', 'paketannya', 'slalu', 'promo', 'tpi', 'promonya', 'ilang', 'timbul', '']</t>
  </si>
  <si>
    <t>['tolong', 'telkomsel', 'gimana', 'beli', 'paket', 'combo', 'pulsa', 'perak', 'langsung', 'dapet', 'notif', 'operatornya', 'skrg', 'pulsa', 'mencukupi', 'dibeli', 'berkali', 'paketanya', 'internetnya', 'diproses', 'heran', 'telkomsel', 'niat', 'jualan', '']</t>
  </si>
  <si>
    <t>['telkomsel', 'gua', 'beli', 'kartu', 'pelanggan', 'telkomsel', 'sinyal', 'buka', 'akes', 'internet', 'gimna', 'tolong', 'perbaiki', 'secepatnya', 'pelanggan', 'nyaman', 'kek', 'gua', 'tolong', 'perbaiki', 'secepatnya', 'sekian', 'terima', 'kasih']</t>
  </si>
  <si>
    <t>['provider', 'kacau', 'tarif', 'mahal', 'jaringan', 'bapuk', 'jaringan', 'rumah', 'kamar', 'teras', 'dapet', 'dalem', 'rumah', 'internet', 'connection', 'kali', 'komunikasi', 'lancar', 'rumah', '']</t>
  </si>
  <si>
    <t>['telkomsel', 'bermutu', 'malu', 'bumn', 'kualitasnya', 'jaringan', 'lemot', 'sinyal', 'lemah', 'biaya', 'kota', 'mahal', 'biaya', 'nelpon', 'mahal', 'biaya', 'sms', 'mahal', 'pegawai', 'telkomsel', 'kerja', 'makan', 'gaji', 'buta', 'kerja', 'karna', 'rakyat', 'protes', 'abaikan', 'cepat', 'diperbaiki', 'jaringan', 'sinyal', 'lancar', 'komunikasi', '']</t>
  </si>
  <si>
    <t>['pelayanan', 'terbaik', 'pelanggan', 'setia', 'telkomsel', 'harga', 'tertera', 'sesuai', 'redem', 'maju', 'jaya', 'beselancar', 'udara', '']</t>
  </si>
  <si>
    <t>['susah', 'masuknya', 'update', 'sms', 'link', 'masuknya', 'verifikasi', 'sms', 'cepat', 'pakai', 'metode', 'capek', 'deh']</t>
  </si>
  <si>
    <t>['aplikasi', 'bagus', 'lengkap', 'mudah', 'praktis', 'promo', 'paket', 'data', 'murah', 'meriah', 'tambahin', 'telkomsel', 'pelanggan', 'open', 'aplikasi', 'nyedot', 'paket', 'data', 'pulsa', 'yap', 'sukses', 'telkomsel', 'provider', 'kebanggaan', 'anak', 'bangsa', 'buruan', 'download', '']</t>
  </si>
  <si>
    <t>['tolong', 'jaringan', 'dikondisikan', 'memakai', 'telkomsel', 'karna', 'jaringan', 'bagus', 'kemarin', 'iseng', 'pakai', 'telkomsel', 'perubahan', 'berhenti', 'memakai', 'telkomsel', 'beralih', 'tolong', 'ditingkatkan', 'pakai', 'telkomsel', 'jarang', 'pakai', 'telkomsel']</t>
  </si>
  <si>
    <t>['kartunya', 'berguna', 'masak', 'ngisi', 'pulsa', 'langsung', 'ambil', 'detik', 'pulsa', 'langsung', 'mengambil', 'paket', 'apapun', 'menelpon', 'lainya', 'sinyal', 'ngoncat', 'gue', 'sial', 'mengunakan', 'kartu', 'beli']</t>
  </si>
  <si>
    <t>['isi', 'pulsa', 'tersedot', 'data', 'aktif', 'ngutang', 'operator', 'main', 'sedot', 'sinyal', 'bagus', 'kelaluan', 'buruk', 'maap', 'komentar', 'gampang', 'dahlah', 'telkomsel', 'semoga', 'kasih', 'pencerahan', 'serakah']</t>
  </si>
  <si>
    <t>['jaringannya', 'buruk', 'banget', 'suka', 'sampe', 'merah', 'pingnya', 'main', 'pubg', 'nyaman', 'dilobby', 'ping', 'hijau', 'game', 'ping', 'merah', 'sampe', 'ms', 'sosmed', 'suka', 'jelek', 'sinyalnya', 'kalah', 'kartu', 'harganya', 'murah', 'sinyalnya', 'kenceng', 'banget']</t>
  </si>
  <si>
    <t>['gimana', 'min', 'beli', 'kartu', 'perdana', 'udah', 'register', 'beli', 'paket', 'unlimitedmax', 'gb', 'gb', 'kuato', 'nonton', 'gb', 'kuota', 'lokal', 'cuman', 'gb', 'alnet', '']</t>
  </si>
  <si>
    <t>['lumyan', 'lahk', 'bagus', 'kuota', 'promo', 'beli', 'apk', 'hatga', 'murah', 'kuota', 'permasalahan', 'transaksi', 'transaksi', 'plis', 'lahk', 'sinyal', 'ditingkatkan', 'urusan', 'game', 'auto', 'login', 'sekianterimakasih', 'one', 'gatot', 'add', 'melehoy', '']</t>
  </si>
  <si>
    <t>['udah', 'harga', 'mahal', 'jaringan', 'lelet', 'trus', 'udah', 'ulasin', 'suruh', 'twitterlah', 'apalah', 'tanggapan', 'tolong', 'pakai', 'telkomsel', 'miris', 'lelet', 'semoga', 'perubahan', 'kedepan']</t>
  </si>
  <si>
    <t>['aplikasi', 'telkomsel', 'mempermudah', 'mempercepat', 'dlm', 'informasih', 'pulsa', 'kartu']</t>
  </si>
  <si>
    <t>['paaaaaraaaaaaaaaah', 'jelek', 'udh', 'simpati', 'bertahun', 'spesial', 'signal', 'bkn', 'panas', 'jelek', 'thn', 'telkomsel', 'bagus', 'signal', 'mahal', 'doang', '']</t>
  </si>
  <si>
    <t>['', 'ngerti', 'kendala', 'sinyal', 'tetep', 'perbaikan', 'youtube', 'sosmed', 'lag', 'game', 'pengguna', 'kuota', 'unlimited', 'harganya', 'nambah', 'bagus', 'lag', 'gini', 'mudah', 'han', 'kantor', 'telkomsel', 'kebakaran', '']</t>
  </si>
  <si>
    <t>['neck', 'pakek', 'telkomsel', 'jaringan', 'lemot', 'harga', 'paket', 'mahal', 'sayang', 'daerah', 'operator', 'ganti', 'simcard', 'telkomsel', 'coba', 'pantau', 'sinyal', 'plosok', 'duduk', 'diam', 'tunggu', 'laporan']</t>
  </si>
  <si>
    <t>['update', 'uninstal', 'sampe', 'download', 'apk', 'tetep', 'masuk', 'sms', 'banget', 'masuknya', 'detik', 'berjam', 'masuk', 'sms', 'susah', 'masuk', 'akunku', 'gimana', 'login', '']</t>
  </si>
  <si>
    <t>['data', 'multemedia', 'pakai', 'data', 'internet', 'utama', 'tambahan', 'data', 'multimedia', 'pakai', 'data', 'utana', 'habis', 'data', 'utama', 'habis', 'akses', 'internet', 'isi', 'isi', 'data', 'multi', 'pakai', 'gunanya', 'dmana', '']</t>
  </si>
  <si>
    <t>['knp', 'telkomsel', 'jaringan', 'parah', 'banget', 'paketan', 'harga', 'mahal', 'main', 'mobile', 'legend', 'sinyal', 'ancur', 'sinyal', 'provider', 'lancar', 'parah']</t>
  </si>
  <si>
    <t>['kecewa', 'udah', 'kesekian', 'kalinya', 'isi', 'pulsa', 'kepotong', 'rb', 'berani', 'komplen', 'karna', 'emang', 'meminjam', 'pulsa', 'darurat', 'isi', 'pulsa', 'slalu', 'potongan', 'tolong', 'cari', 'cuan', 'berkah', 'nipu']</t>
  </si>
  <si>
    <t>['mahal', 'doang', 'kualitas', 'buruk', 'kecewa', 'jaringan', 'telkomsel', 'pakai', 'mengecewakan', '']</t>
  </si>
  <si>
    <t>['apk', 'bagus', 'emang', 'bagus']</t>
  </si>
  <si>
    <t>['biarkan', 'bintang', 'berbicara', 'aplikasi', 'bagus', 'ditambah', 'bintang', 'tolong', 'donk', 'tingkatkan', 'fitur', 'upgrade', 'kartu', 'jaringan', 'disabilitas', 'grapari', 'upgrade', 'kartu', 'jaringan', 'terimakasih', 'mytelkomsel', 'apps', '']</t>
  </si>
  <si>
    <t>['mohon', 'jaringan', 'diusahakan', 'stabil', 'kencang', 'karna', 'harga', 'paket', 'data', 'mahal', 'pengguna', 'rugi', 'kasih', 'bintang', 'smoga', 'penurunan', 'harga', 'paket', 'data']</t>
  </si>
  <si>
    <t>['jaringan', 'telkom', 'tsel', 'stabil', 'support', 'telkom', 'tsel', 'terbaik', 'pelanggan', 'setia', 'harapan', 'kedepannya', 'telkom', 'tsel', '']</t>
  </si>
  <si>
    <t>['telkomsel', 'bagus', 'mrngecewakan', 'terbukti', 'muncul', 'sms', 'telkomsel', 'paket', 'sakti', 'kuota', 'sms', 'nelponnya', 'diaktifkan', 'pulsa', 'cadangan', 'simcard', 'disedot', 'habis', 'jahat', 'banget', '']</t>
  </si>
  <si>
    <t>['bilangnya', 'musikmax', 'kuota', 'wesing', 'wesing', 'kuota', 'utama', 'kepotong', 'kuota', 'musikmax', 'tetep', 'segitu', 'penipuankah', '']</t>
  </si>
  <si>
    <t>['pilihan', 'unlimited', 'nomor', 'mahal', 'nomor', 'simpati', 'keluarga', 'unlimited', 'pilihan', 'beda', 'nomor', 'simpati', 'bro', 'aneh']</t>
  </si>
  <si>
    <t>['pindah', 'kartuhalo', 'mei', 'jaringan', 'telkomsel', 'lelet', 'putus', 'putus', 'internetnya', 'komplain', 'diperbaiki', 'perubahan', 'malu', 'pakai', 'kartuhalo', 'jaringan', 'putus', 'putus', 'telp', 'emosi', 'teman', 'ditawari', 'migrasi', 'kartuhalo', 'diperbaiki', 'jaringannya', 'kasih', 'bintang', 'telkomsel', 'bener', 'denny', 'siregar', 'layanan', 'telkomsel', 'payah', '']</t>
  </si>
  <si>
    <t>['poin', 'trus', 'reedem', 'pas', 'redem', 'langsung', 'dapet', 'sms', 'mohon', 'maaf', 'sistem', 'sibuk', 'coba', 'poin', 'dikembalikan', 'terima', 'kasih', 'hapus', 'poin', 'reedem']</t>
  </si>
  <si>
    <t>['beli', 'kuota', 'gratis', 'kuota', 'multimedia', 'berguna', 'mending', 'gratis', 'pengguna', 'aplikasi', 'telkomsel', 'mending', 'uninstal', '']</t>
  </si>
  <si>
    <t>['mohon', 'bantuan', 'aktifkan', 'ulang', 'kartu', 'terblokir', 'isi', 'ulang', 'pulsa', 'faktor', 'kehilangan', 'dpt', 'cek', 'kartunya', 'terblokir', '']</t>
  </si>
  <si>
    <t>['sedih', 'tenggangnya', 'habis', 'tanggal', 'isi', 'pulsa', 'tanggal', 'adminnya', 'terdaftar', 'alias', 'aktifnya', 'habis', 'ganti', 'adminnya', 'slow', 'respon', 'banget', 'bales', 'tweet', 'orang', 'cepet', 'cdm', 'udah', 'twt', 'yaudahlah', 'alhamdulillah', 'dibales', 'makasih', '']</t>
  </si>
  <si>
    <t>['jaringan', 'buruk', 'tolong', 'diperbaiki', 'paketan', 'jaringan', 'buruk', 'terkadang', 'pas', 'malam', 'dipake', 'kayak', 'habis', 'paketan', 'ngisi', 'kecewa', 'banget', 'telkomsel']</t>
  </si>
  <si>
    <t>['tolong', 'perbaiki', 'sinyal', 'daerah', 'khusus', 'indragiri', 'hulu', 'karna', 'jaringan', 'stabil', 'bermain', 'game', 'online', 'kartu', 'mahal', 'sesuai', 'performanya', '']</t>
  </si>
  <si>
    <t>['telkomsel', 'jelek', 'game', 'mobile', 'legend', 'ping', 'naek', 'turun', 'hijau', 'langsung', 'kemerah', 'heran', 'paketan', 'data', 'hitungan', 'mahal', 'kartu', 'tolong', 'perbaiki', 'permasalah', 'ping', 'stabil', 'terima', 'kasih']</t>
  </si>
  <si>
    <t>['paket', 'doang', 'mahal', 'jaringan', 'buruk', 'jam', 'malam', 'bener', 'maen', 'game', 'mening', 'pakai', 'paket', 'murah', 'stabil', '']</t>
  </si>
  <si>
    <t>['paket', 'sakti', 'harga', 'seribu', 'beli', 'pulsanya', 'hufff', 'tolong', 'kembalikan', 'harganya', 'ditambahin', 'seribu', 'males', 'maketinnya', 'maaf', 'kurangi', 'bintangnya']</t>
  </si>
  <si>
    <t>['payah', 'koneksinya', 'jaringan', 'lelet', 'nonton', 'video', 'download', 'video', 'udah', 'jaman', 'koneksi', 'internet', 'payah', 'asuh', 'update', 'lancar', 'giliran', 'internetan', 'payah', 'kontolllll']</t>
  </si>
  <si>
    <t>['telkomsel', 'bgtt', 'nyabut', 'pulsa', 'dipake', 'udah', 'bgttt', 'kali', 'gitu', 'paket', 'ceria', 'gb', 'gada', 'paket', 'murah', 'plis', '']</t>
  </si>
  <si>
    <t>['tolong', 'harga', 'kuota', 'telkomsel', 'turunkan', 'kota', 'murah', 'pelosok', 'desa', 'mahal', 'tolong', 'harga', 'kuota', 'telkomsel', 'turunkan', '']</t>
  </si>
  <si>
    <t>['tolong', 'harga', 'paket', 'internet', 'udah', 'mahal', 'sinyal', 'sebanding', 'harga', 'paketnya', 'main', 'game', 'sinyal', 'merah', 'kuning', 'tolong', 'perbaiki', 'kekuatan', 'sinyal', '']</t>
  </si>
  <si>
    <t>['mohon', 'maaf', 'beli', 'paket', 'data', 'telkomsel', 'mahal', 'kualitas', 'jaringan', 'sesuai', 'harga', 'tolong', 'telkomsel', 'pengguna', 'telkomsel', 'bertahun', 'buruk', 'kualitas', 'jaringan', 'kuota', 'menonton', 'buffering', 'tonton', 'buka', 'goggle', 'lemotnya', 'ampun', 'tolong', 'tanggapi', 'trmksh']</t>
  </si>
  <si>
    <t>['telkomsel', 'sinyalnya', 'ilang', 'muncul', 'seringan', 'ilangnya', 'youtube', 'buka', 'crome', 'ama', 'siput', 'kenceng', 'siput', 'jalannya', 'astagaaaaa', 'data', 'mahal', 'heran', 'ama', 'telkomsel', '']</t>
  </si>
  <si>
    <t>['jaringan', 'telkomsel', 'pelosok', 'bagus', 'skrang', 'lelet', 'tolong', 'perbaiki', 'pln', 'mati', 'mati', 'sinyal', 'telkomsel', 'kalah', 'operator', 'sebelah', 'kenceng', 'mati', 'lampu', 'pakai', 'nomor', 'telkomsel', 'puluhan', 'kecewa', '']</t>
  </si>
  <si>
    <t>['bagus', 'mahal', 'sekaliiiiiiiiiii', 'tolong', 'kah', 'masyarakat', 'samakan', 'masyarakat', 'mahal', 'beli', 'masyarakat', 'apalah', 'daya', 'beli', 'mahal', 'isi', 'paket', 'data', 'apklikasi', 'mytelkomsel', 'data', 'anak', 'pendidikan', 'online', 'giga', 'ribu', 'habis', 'zoom', 'pendidikan', 'susah', 'paya', 'carinya', 'makan', 'rb', 'sudh', 'tolong', 'kah', 'menejemen', 'telkomsel', 'program', 'sbg']</t>
  </si>
  <si>
    <t>['telkomsel', 'udah', 'internet', 'jaringan', 'internet', 'suka', 'putus', 'gara', 'fokus', 'kau', 'abaikan', '']</t>
  </si>
  <si>
    <t>['aplikasi', 'bagus', 'aplikasi', 'membantu', 'sisa', 'quota', 'pulsa', 'ketik', 'ketik', 'plus', 'ganti', 'hadiah', 'kit', 'mobil', 'gadget', 'tukar', 'poin', 'syaa', 'allah', 'mobil', '']</t>
  </si>
  <si>
    <t>['kuota', 'daily', 'ceckin', 'kadang', 'setabil', 'jaringannya', 'jaringan', 'datanya', 'jaringan', 'sinyal', 'full', 'emang', 'gratisan', 'tampilan', 'berubah', 'update', 'coba', 'menyetabilkan', 'aplikasi', 'bug', 'bug', '']</t>
  </si>
  <si>
    <t>['membeli', 'paket', 'internet', 'ribu', 'rupiah', 'pulsa', 'tersedot', 'paket', 'internet', 'aktif', 'tolong', 'perbaiki', 'kesalahan', 'merugikan', 'org', '']</t>
  </si>
  <si>
    <t>['tdak', 'internet', 'telkomsel', 'jaringannya', 'hancur', 'harga', 'paket', 'mahal', 'sesuai', 'harapan', 'internet', 'telkomsel', 'ampunlah', '']</t>
  </si>
  <si>
    <t>['kecewa', 'telkomsel', 'thn', 'setia', 'telkomsel', 'kendala', 'alami', 'harga', 'paketan', 'mahal', 'ampun', 'kendalanya', 'jaringan', 'kecewa', 'buffering', 'youtube', 'google', 'harga', 'mahal', 'update', 'tolong', 'perbaiki', 'kenyaman', 'pelanggan', 'pelanggan', 'pindah', '']</t>
  </si>
  <si>
    <t>['halo', 'min', 'andri', 'perihal', 'kartu', 'halo', 'blokir', 'membayarnya', 'aktif', 'menunggu', 'jam', 'chat', 'veronika', 'balasannya', 'menunggu', 'jam', 'menunggu', '']</t>
  </si>
  <si>
    <t>['telkomsel', 'pulsa', 'paket', 'data', 'mahal', 'coba', 'harga', 'diperbaharui', 'orang', 'beli', 'pulsa', 'paket', 'data', 'mahal', 'butuh', 'terimakasih', '']</t>
  </si>
  <si>
    <t>['layanan', 'bagus', 'cuman', 'paket', 'unlimited', 'nonton', 'youtube', 'vidio', 'streaming', 'memuaskan', 'minggu', 'itupun', 'bonus', 'pakenya', 'browsing', 'youtube', '']</t>
  </si>
  <si>
    <t>['telkomsel', 'buruk', 'masak', 'sinyal', 'kalah', 'provider', 'ribuan', 'harga', 'paket', 'mahal', 'tolong', 'dibenahi', '']</t>
  </si>
  <si>
    <t>['paket', 'data', 'malam', 'mahal', 'gb', 'sinyal', 'kirim', 'pesan', 'liat', 'kuota', 'bales', 'bales', 'turunin', 'kuota', 'malam', '']</t>
  </si>
  <si>
    <t>['jelek', 'masuk', 'aplikasi', 'sms', 'verifikasi', 'kirim', 'kecewa', 'kasih', 'bintang', 'perubahan', 'kedepan', 'hijrah', 'ajalah', 'alias', 'ganti', 'kartu', '']</t>
  </si>
  <si>
    <t>['kali', 'disaat', 'genting', 'kesal', 'kualitas', 'menurun', 'ditengah', 'perkotaan', 'sinyal', 'kadang', 'loss', 'connection', 'kadang', 'mengganggu', 'aktivitas', 'nyaman', 'mohon', 'memperbaiki', 'kualitas', 'org', 'mempercayakan', 'telkomsel', 'sbg', 'produk', 'bumn', 'plg', 'smg', 'koreksi', 'telkomsel', 'pelayanan', 'thx']</t>
  </si>
  <si>
    <t>['udah', 'korupsi', 'jaringan', 'udh', 'jelek', 'masi', 'sisa', 'pulsa', 'ilang', 'beli', 'paketan', 'harganya', 'pulsa', 'kembaliannya', 'ilang', 'bener']</t>
  </si>
  <si>
    <t>['saran', 'syaa', 'update', 'akun', 'telkomsel', 'log', 'out', 'beli', 'gagal', 'udh', 'ketipu', 'udh', 'uang', 'balikin', 'nipu', 'stayy', 'halal', 'guys']</t>
  </si>
  <si>
    <t>['tolong', 'lelet', 'banget', 'cek', 'kuota', 'pulsa', 'nunggu', 'jam', 'pas', 'isi', 'pulsa', 'lamaaaa', 'pelanggan', 'keluarin', 'lho', 'jelek', 'banget', 'pelayanannya', 'telkomsel', 'menang', 'mahal', '']</t>
  </si>
  <si>
    <t>['oke', 'telkomsel', 'harap', 'ditingkatkan', 'tinggal', 'jakbar', 'mengalami', 'sinyal', 'down', 'didalam', 'kantor', 'smoga', 'next', 'mantab', 'bravo', 'telkomsel', '']</t>
  </si>
  <si>
    <t>['semoga', 'pemenang', 'rendem', 'hadiah', 'asiiiiiiiiiiiiiiiiiiiiiiiiiiiiiiiiiiiiiiiiiiiiiiiiiiiiiiiiiiiiiiiiiiiiiiiiiiiiiiiiiiiiiuuuiiiiuiiuiuuuuuuuiuuuiiiiiiiiiiiiiiiiiiiiiiiiiiiiikkkkkkkkkkkkkkkkkkkkkikkkkkkkkk']</t>
  </si>
  <si>
    <t>['telkomsel', 'jaringannya', 'setara', 'indonesia', 'kenyataannya', 'jaringan', 'papua', 'sorong', 'bagus', 'bandingkan', 'jaringan', 'jawa', 'sukomoro', 'nganjuk', 'fikir', 'jaringan', 'jawa', 'jarusnya', 'setara', 'jaringan', 'sorong', 'papua', 'jaringan', 'telkomsel', 'jawa', 'parah', 'bandingkan', 'jaringan', 'telkomsel', 'papua', 'harap', 'telkomsel', '']</t>
  </si>
  <si>
    <t>['paket', 'data', 'telkomsel', 'paket', 'telp', 'aemua', 'operator', 'sebulan', 'sehabis', 'telp', 'info', 'pemakaian', 'pulsa', 'berkurang', 'berharap', 'isi', 'penjelasan', 'berkurangnya', 'mohon', 'penjelasannya', 'kecewa', '']</t>
  </si>
  <si>
    <t>['kmprt', 'niat', 'ngasih', 'unlimited', 'gausah', 'dikasih', 'ngasih', 'unlimited', 'batas', 'wajarnya', 'gb', 'namany', 'bkn', 'unlimited', 'cmn', 'aplikasi', 'aplikasi', 'kgk', 'emosi', 'maen', 'game', 'gitu', 'buka', 'youtube', 'gitu', 'tiktokan', 'gitu', '']</t>
  </si>
  <si>
    <t>['isi', 'pulsa', 'gopay', 'masuk', 'gopay', 'sukses', 'beli', 'kuota', 'promo', 'bayar', 'pakai', 'gopay', 'masuk', 'kuotanya', '']</t>
  </si>
  <si>
    <t>['kesini', 'gangguan', 'mengganggu', 'merugikan', 'kendala', 'membeli', 'paket', 'spesial', 'alih', 'alih', 'something', 'wrong', 'maaf', 'gangguan', 'email', 'respon', 'perbaikan', 'intinya', 'kecewa', '']</t>
  </si>
  <si>
    <t>['sinyalnya', 'woy', 'sinyalnya', 'whatsapp', 'lancar', 'youtube', 'ngelag', 'banget', 'udah', 'ganti', 'apn', 'karna', 'apn', 'bawaan', 'gag', 'tenaganya', 'main', 'game', 'lancar', 'sinyalnya', 'berubah', 'harga', 'paket', 'mahal', 'sinyalnya', 'tempatku', 'tower', 'telkomsel', 'mohon', 'dibenahi', 'perihal', 'sinyal', 'berubah', 'hujan', 'operator', 'kuat', 'hujan', 'telkomsel', 'lambat']</t>
  </si>
  <si>
    <t>['aplikasi', 'telkomsel', 'cek', 'kuota', 'beli', 'paket', 'tukar', 'poin', 'bermangfaat', 'suka', 'senang', 'mytelkomsel', 'sukses', 'cinta', 'telkomsel', 'telkomsel', '']</t>
  </si>
  <si>
    <t>['males', 'point', 'isi', 'ulang', 'pulsa', 'reedem', 'min', 'tolong', 'tinggal', 'pedesaan', 'harga', 'paket', 'telkomsel', 'mahal', 'nuker', 'point', 'jadiin', 'pulsa', 'min', 'kecewa', 'banget']</t>
  </si>
  <si>
    <t>['beli', 'paketnya', 'saldo', 'terpotong', 'paletnya', 'gal', 'masuk', 'masuk', 'tolong', 'updat', 'bagus', 'burik', '']</t>
  </si>
  <si>
    <t>['mytelkomsel', 'gimana', 'pas', 'beli', 'paket', 'internet', 'udah', 'paketnya', 'pulsa', 'berkurang', 'perbaiki']</t>
  </si>
  <si>
    <t>['diperdesaan', 'jaringan', 'lemot', 'diperkotaan', 'streaming', 'lancar', 'abis', 'semoga', 'lancar', 'maju', 'kalangan', 'kaum', 'muda', 'kaum', 'tua']</t>
  </si>
  <si>
    <t>['telkomsel', 'paket', 'internet', 'gb', 'ttep', 'pulsa', 'kemakan', 'internet', 'nonpaket', 'gunanya', 'maketin', 'gb', 'gini', 'udah', 'mengecewakan', '']</t>
  </si>
  <si>
    <t>['paket', 'kembangin', 'mahal', 'kualitas', 'sinyal', 'buruk', 'woiii', 'iming', 'in', 'migrasi', 'pascabayar', 'sinyal', 'bagus', 'ancooorr', 'hancuur', 'lebuur', 'terjebak', 'pascabayar', 'paket', 'mahal', 'gabisa', 'diberentiin', 'kecepatan', 'mbps', 'kirim', 'gambar', 'mah', 'kasi', 'liat', 'orng', 'liat', 'komplen', 'berpuluh', 'kali', 'gaada', 'tindakan', 'pastiin', 'telkomsel', 'viralin', 'sosmed', 'pelayanan', 'jaringan', '']</t>
  </si>
  <si>
    <t>['tinggal', 'suak', 'kec', 'sidomulyo', 'lampung', 'selatan', 'lampung', 'sinyal', 'full', 'lambat', 'jaringan', 'internet', 'dibawah', 'kbps', 'pengguna', 'telkomsel', 'tolong', 'diperbaiki', 'kualitas', 'internetnya', 'min']</t>
  </si>
  <si>
    <t>['kali', 'update', 'bukanya', 'mudah', 'akses', 'masuk', 'mlh', 'bulet', 'ribet', 'ndak', 'simple', 'spt', 'cek', 'data', 'tlp', 'pencet', 'balikin', 'spt', 'woi', 'mati', 'lampu', 'sinyal', 'busuk', '']</t>
  </si>
  <si>
    <t>['paket', 'drastis', 'paket', 'mb', 'harga', 'harga', 'tolong', 'turunin', 'harga', 'kuotanya', '']</t>
  </si>
  <si>
    <t>['pengalaman', 'wilayah', 'telkomsel', 'sosmed', 'youtube', 'app', 'app', 'sinyalnya', 'kct', 'key', 'chang', 'token', 'mohon', 'telkomsel', 'perkuat', 'sinyalnya', '']</t>
  </si>
  <si>
    <t>['sinyal', 'berubah', 'udah', 'kek', 'gini', 'terpaksa', 'makai', 'kartu', 'sinyal', 'telkomsel', 'kota', 'pedalaman', 'papua']</t>
  </si>
  <si>
    <t>['tolong', 'telkomsel', 'beli', 'kuota', 'motif', 'maaf', 'gangguan', 'sistem', 'coba', 'habis', 'tunggu', 'tunggu', 'gabisa', 'sampe', 'pulsa', 'kesedot', 'nsp', 'tolong', 'mohon', 'perbaikan']</t>
  </si>
  <si>
    <t>['masukannya', 'tolong', 'speednya', 'naikin', 'stabilkan', 'pengguna', 'nyaman', 'pemakaian', 'upload', 'download', 'gaming', 'stabil', 'tujuannya', 'pengguna', 'nyaman', 'terimakasih', '']</t>
  </si>
  <si>
    <t>['kasih', 'bintang', 'udah', 'telkomsel', 'mah', 'ngga', 'bintang', 'mah', 'gua', 'kasih', 'bintang', 'payahhhh', 'paket', 'mahal', 'sinyal', 'bapuk', 'naikkan', 'limit', 'kartu', 'halo', 'ngga', 'bayar', 'tagihan', 'gua', 'udah', 'bayar', 'tagihannya', 'trus', 'pemakaian', 'gua', 'pakai', 'halo', 'udah', 'ngechat', 'admin', 'mah', 'ngga', 'solusi', 'bobrok', 'pindah', 'provider', 'gua', 'makai', 'telkomsel', 'udah', 'pakai', 'nomor']</t>
  </si>
  <si>
    <t>['coba', 'tukar', 'poin', 'pulsa', 'fitur', 'menarik', 'download', 'poin', 'mcm', 'pot', 'bunga', 'tukar', 'data', 'karna', 'sesuai', 'lokasi', 'papua', 'tukar', 'poin', 'data', 'tambahan', 'pulsa', 'poin', 'krna', 'poin', 'mytelkomsel', 'sukses', 'bnyak', 'download', 'event', 'bagus', '']</t>
  </si>
  <si>
    <t>['android', 'pakai', 'telkomsel', 'telkomsel', 'memperhatikan', 'pengguna', 'reward', 'bos', 'petinggi', 'perusahaan', 'memakai', 'telkomsel', 'memudahkan', 'koordinasi', 'komunikasi', 'bisnis', 'terima', 'kasih']</t>
  </si>
  <si>
    <t>['berlangganan', 'kartu', 'telkomsel', 'sinyal', 'rumah', 'stabil', 'kesal', 'bermain', 'game', 'lag', 'sinyal', 'pindah', 'kartu', 'keluarga', 'pakek', 'kartu', 'telkomsel', 'semoga', 'dibaca', 'admin', 'segerah', 'tindak', 'lanjuti', 'semampir', 'cerme', 'gresik', '']</t>
  </si>
  <si>
    <t>['update', 'aplikasi', 'telkomsel', 'versi', 'tukar', 'poin', 'dapet', 'update', 'kemaren', 'ilang', 'tukar', 'poin', 'gimana', 'ubah', 'versi', 'dapet', 'tukar', 'poin', 'dapet', 'gb', '']</t>
  </si>
  <si>
    <t>['reedem', 'poin', 'kumulatif', 'langsung', 'tukar', 'poin', 'klik', 'memudahkan', 'konsumen', 'membuang', 'poin', 'peduli', 'poin', 'hadiah', 'undi', 'terpenting', 'signal', 'bagus', 'internet', 'lancar', 'harga', 'diturunkan', 'terpaut', 'operator', '']</t>
  </si>
  <si>
    <t>['kekurangan', 'aplikasi', 'kirim', 'hadiah', 'muncul', 'harga', 'mahal', 'mahal', 'paket', 'combo', 'sakti', 'muncul', 'deh', 'kirim', 'hadiah', 'telkomsel', 'berbagi', 'pulsa', 'gartis', 'mahal', '']</t>
  </si>
  <si>
    <t>['membantu', 'terkadang', 'sinyal', 'hilang', 'harga', 'kuota', 'lumayan', 'mahal', 'mah', 'rbu', 'berani', 'pakai', 'paket', 'rbu', 'mending', 'isi', 'pulsa', 'ajh', 'kebutuhan', 'tlpn', 'sms', 'rb', 'msih', 'betah', 'pakai', 'males', 'ajh', 'ganti', 'mah', 'gkn', 'ganti', 'jdi', 'halo', 'tetep', 'pengen', 'simpati', 'ajh', 'pascabayar', 'mah', 'keberatan', 'jdi', 'beban', 'mending', 'prabayar', 'ajh', '']</t>
  </si>
  <si>
    <t>['plat', 'merah', 'harga', 'ngotak', 'unlimited', 'fup', 'udah', 'gitu', 'protes', 'pln', 'bisnis', 'internet', 'ngotak', 'mending', 'pln', 'harga', 'masuk', 'akal', 'kapitalis', 'plat', 'merah']</t>
  </si>
  <si>
    <t>['', 'telkomsel', 'skrng', 'efisien', 'banget', 'suka', 'lelet', 'trus', 'pulsa', 'sya', 'kepotong', 'mulu', 'ganti', 'axis', 'pembelian', 'app', 'gagal', 'memotong', 'pulsa', 'app', 'mengecewakan', 'costumer', 'salam', 'penuh', 'kecewa']</t>
  </si>
  <si>
    <t>['paket', 'mahal', 'kmrin', 'beli', 'combo', 'tuk', 'pemakaian', 'skrg', 'paket', 'mahal', 'bnyak', 'tolong', 'harga', 'terjangkau', '']</t>
  </si>
  <si>
    <t>['gua', 'player', 'free', 'fire', 'gua', 'pelanggan', 'telkomsel', 'parah', 'jaringan', 'stabil', 'game', 'reconect', 'gua', 'kecewa', 'parah', 'sekelas', 'telkomsel', 'kalah', 'temen', 'gua', 'kartu', 'mahal', 'doang', 'kualitas', 'buruk', 'kalah', 'sma', 'murah', 'tolong', 'tingkatkan', 'maximalka', 'kinerja', 'stabilitas', 'membaik', 'trimakasih', '']</t>
  </si>
  <si>
    <t>['turunkan', 'bintang', 'karna', 'apl', 'menjanjikan', 'terbukti', 'telkomsel', 'poin', 'berhadiah', 'karna', 'tel', 'poin', 'menyenggol', 'nomer', '']</t>
  </si>
  <si>
    <t>['tolong', 'perbaiki', 'sinyal', 'telkomsel', 'diciledug', 'sinyal', 'dihutan', 'pakai', 'telkomsel', 'maen', 'game', 'online', 'sinyal', 'merahhh', 'mulu', 'maen', 'didaerah', 'gandaria', 'pondok', 'indah', 'pondok', 'pinang', 'dll', 'sinyal', 'lancar', 'sinyal', 'telkomsel', 'bermasalah', 'didaerah', 'ciledug']</t>
  </si>
  <si>
    <t>['login', 'ber', 'redeem', 'point', 'tulisan', 'category', 'program', 'mengecewakan', 'ditambah', 'beli', 'kuota', 'malam', 'nggak', 'sinyal', 'emang', 'eror', 'emang', 'efek', 'kuota', 'murah', 'aktifnya', 'habis', 'kepake', 'mengecewakan', 'penghasilan', 'uang', '']</t>
  </si>
  <si>
    <t>['tolong', 'telkomsel', 'pulsa', 'sya', 'pulsa', 'sedot', 'trus', 'profesional', 'data', 'mati', 'pakai', 'sya', 'sisakan', 'pulsa', 'tpi', 'skarang', 'sengaja', 'daftar', 'paket', 'jdi', 'pulsa', 'ngendap', 'potong', 'pdahal', 'bwt', 'tolong', 'telkomsel', 'knapa', '']</t>
  </si>
  <si>
    <t>['komplain', 'jaringan', 'lemot', 'paket', 'masuk', 'hubungi', 'suruh', 'restar', 'restar', 'jaringan', 'mode', 'pesawat', 'cabut', 'kartu', 'anak', 'bego', 'kesel', 'gituin', 'ajaaay', '']</t>
  </si>
  <si>
    <t>['bingung', 'notif', 'aktif', 'habis', 'jaringan', 'jelek', 'ribet', 'jenis', 'paket', 'udah', 'beliin', 'kuota', 'gede', 'auto', 'perpanjang', 'kuota', 'habis', 'makan', 'pulsa', '']</t>
  </si>
  <si>
    <t>['pulsa', 'berkurang', 'otomatis', 'terusmen', 'erus', 'habis', 'memakai', 'sms', 'menelpon', 'mohon', 'penjelasanya', 'program', 'apaun', 'pulsa', '']</t>
  </si>
  <si>
    <t>['knpa', 'telkomsel', 'ribet', 'lgi', 'jaringannya', 'susah', 'main', 'game', 'buka', 'status', 'kesalahan', 'jaringannya', '']</t>
  </si>
  <si>
    <t>['min', 'tolong', 'perbaiki', 'knp', 'sinyal', 'jaringgan', 'telkomsel', 'hilang', 'pdhl', 'tmn', 'kartunya', 'telkomsel', 'bgus', 'bgus', 'sekalinya', 'sinyal', 'kuotanya', 'pke', 'mohon', 'perbaiki', 'sudh', 'perbaiki', 'kasih', 'bintang']</t>
  </si>
  <si>
    <t>['kuota', 'games', 'max', 'main', 'gamenya', 'jaringan', 'keputus', 'sampe', 'ngerusak', 'ping', 'game', 'this', 'really', 'bad', 'niatan', 'baikin', 'gitu', 'ping', 'keputus', 'gitu', 'why', 'annoyed', '']</t>
  </si>
  <si>
    <t>['harga', 'paket', 'internet', 'jaringan', 'anjlok', 'promosilah', 'iklanlah', 'bohongan', 'jaringannya', 'turun', 'ganti', 'kartu', 'nambahin', 'dosa', 'telkomsel', 'ngomong', 'pusing', 'lihatnya', '']</t>
  </si>
  <si>
    <t>['sinyal', 'burik', 'telkomsel', 'down', 'bener', 'gencar', 'sampe', 'kaya', 'sampah', 'gini', 'emang', 'telkomsel', 'bacot', 'bagus', 'pelayanan', 'burik', 'kaya', '']</t>
  </si>
  <si>
    <t>['telkomsel', 'skrng', 'sinyal', 'jelek', 'dimusim', 'hujan', 'parah', 'paraaaaah', 'maen', 'game', 'online', 'lag', 'nyesel', 'pke', 'telkomsel', 'pke', 'telkomsel', 'leg', 'maen', 'game', '']</t>
  </si>
  <si>
    <t>['jaringan', 'telkomsel', 'ngapa', 'main', 'game', 'senang', 'emosi', 'pengguna', 'kartu', 'halo', 'jelek', 'jaringan', 'jaringan', 'prioritas', 'kaya', 'gini', 'hedeh']</t>
  </si>
  <si>
    <t>['ampun', 'pakai', 'telkomsel', 'signal', 'timbul', 'tenggelam', 'orang', 'hanyut', 'kuota', 'internet', 'plus', 'unlimited', 'berasa', 'kuota', 'menang', 'harga', 'paket', 'mahal', 'perbaikin', 'ntar', 'pelanggan', 'kabur', 'berpindah', 'hati', 'paket', 'beli', 'iya', 'pengemis', 'jaringan', '']</t>
  </si>
  <si>
    <t>['telkosel', 'keluarga', 'telkosel', 'bener', 'nyata', 'jaringan', 'pelosok', 'perkampungan', '']</t>
  </si>
  <si>
    <t>['harga', 'paket', 'mahal', 'dikota', 'menang', 'tower', 'sinyal', 'bagus', 'jam', 'malam', 'sampe', 'jam', 'pagi', 'cocok', 'harganya', 'hadeh', 'telkomsel', 'update', 'rekomended', 'udah', 'minggu', 'sinyal', 'jelek', 'mode', 'jaringan', 'masak', 'lancarnya', 'jam', 'malam', 'sampe', 'jam', 'pagi', 'ayolah', 'telkomsel', 'jarak', 'tower', 'puluh', 'meter', 'dimari', '']</t>
  </si>
  <si>
    <t>['telkomsel', 'sinyal', 'jelek', 'banget', 'jamred', 'beli', 'paket', 'mahal', 'kesel', 'sampe', 'banting', 'sinyal', 'gila', 'kepuasan', 'pelanggan']</t>
  </si>
  <si>
    <t>['yaa', 'kuota', 'unlimited', 'telkomsel', 'gabisa', 'kuota', 'unlimited', 'harganya', 'jaringan', 'stabil', 'beli', 'kuota', 'unlimited', 'kuotanya', 'unlimited']</t>
  </si>
  <si>
    <t>['paket', 'ceria', 'kagak', 'beli', 'pembelian', 'ketiga', 'kalinya', 'beli', 'tulisannya', 'eror', 'mohon', 'min', 'perbaiki', '']</t>
  </si>
  <si>
    <t>['memblokir', 'pop', 'kelas', 'menganggu', 'asik', 'main', 'game', 'muncul', 'berulang', 'ulang', 'menyebabkan', 'force', 'close', 'gemenya', 'bener', 'jengkel', 'iklan', 'kelas', 'solusinya', 'mending', 'ganti', 'provider']</t>
  </si>
  <si>
    <t>['telkomsel', 'telkomsel', 'kesel', 'gua', 'nge', 'rank', 'jaringan', 'merah', 'mulu', 'bayar', 'mahal', 'jaringan', 'jelek', 'mah', 'rugiiii', '']</t>
  </si>
  <si>
    <t>['bagus', 'jaringan', 'cepat', 'lemot', 'dimanapun', 'semoga', 'promo', 'unlimited', 'dikembalikan', 'membantu', 'pelajar', 'tambahan', 'beli', 'kartu', 'sebelah', 'warna', 'kuning', 'beli', 'kuning', 'buang', 'duit']</t>
  </si>
  <si>
    <t>['sinyal', 'full', 'bar', 'kuota', 'akses', 'game', 'online', 'browsing', 'play', 'youtube', 'lambat', 'download', 'bener', 'kecewa']</t>
  </si>
  <si>
    <t>['aplikasi', 'buruk', 'promo', 'kecewa', 'indonesia', 'pokoknya', 'menginstal', 'aplikasi', 'kebaikan', '']</t>
  </si>
  <si>
    <t>['telkomsel', 'harga', 'kuota', 'termahal', 'indonesia', 'raya', 'internetnya', 'boro', 'main', 'game', 'online', 'ngadat', 'tolonglah', 'perbaiki', 'pelayanannya', '']</t>
  </si>
  <si>
    <t>['telcomsel', 'paket', 'jaringan', 'bermasalah', 'paket', 'kurangin', 'beli', 'paket', 'klw', 'gini', 'ngeselin', '']</t>
  </si>
  <si>
    <t>['terimakasih', 'telkomsel', 'aplikasi', 'membantu', 'semoga', 'aplikasi', 'bermanfaat', 'orang', 'orang', 'aplikasi', 'telkkmsel', 'terimakasih']</t>
  </si>
  <si>
    <t>['woi', 'kartu', 'mahal', 'kualitasnya', 'receh', 'jncok', 'ngotak', 'pikir', 'otak', 'internet', 'lemot', 'bengak', 'emng', 'udh', 'fix', 'rating', 'full', 'star', 'kek', 'babi', 'lose', 'streak', 'main', 'gara', 'lag', 'jaringan', 'tolong', 'perbaiki', 'salah', 'pengguna', 'puas', 'salam', 'kecewa', '']</t>
  </si>
  <si>
    <t>['promo', 'kecuali', 'kecuali', 'promonya', 'terbatas', 'iming', 'iming', '']</t>
  </si>
  <si>
    <t>['cape', 'gini', 'download', 'cepat', 'lemot', 'banget', 'update', 'gb', 'menit', 'nunggu', 'jam', 'user', 'unlimited', 'bawa', 'bawa', 'jelek', 'sinyal', 'beli', 'mahal', 'mahal', 'lemot', 'banget', 'suka', 'drop', 'pulak', 'mohon', 'kerja', '']</t>
  </si>
  <si>
    <t>['harga', 'kuota', 'mahal', 'sinyal', 'jelek', 'banget', 'main', 'game', 'online', 'bagusin', 'sinyal', 'ambil', 'keuntungan', 'manfaatin', 'masyarakat']</t>
  </si>
  <si>
    <t>['dapet', 'gratis', 'kuota', 'gb', 'tukar', 'poin', 'ngapa', 'in', 'indikator', 'signalnya', 'nonton', 'yutub', 'iklan', 'jalan', 'mending', 'gratisan', '']</t>
  </si>
  <si>
    <t>['beli', 'paket', 'data', 'telkomsel', 'tersambung', 'internet', 'paket', 'data', 'habis', 'buka', 'buka', 'telkomsel', 'paket', 'data', 'mengurangi', 'pulsa', '']</t>
  </si>
  <si>
    <t>['beli', 'kartu', 'telkom', 'kali', 'chat', 'kendala', 'lag', 'dll', 'bermain', 'game', 'telkom', 'internet', 'terburuk']</t>
  </si>
  <si>
    <t>['kak', 'knp', 'telkomsel', 'jdi', 'kyk', 'gini', 'jaringan', 'sya', 'kgk', 'buka', 'apk', 'kaya', 'pdhl', 'beli', 'paket', 'unlimited', 'unlimited', 'dipake', 'apk', 'paket', 'internet', 'gimana', 'beli', 'paket', 'unlimited', 'ama', 'paket', 'unlimited', 'udh', 'batas', 'wajar', 'sya', 'pelajar', 'kak', 'sya', 'paket', 'gitu', 'pandemi', 'beli', 'mytelkomsel', 'server', 'error', 'perbaiki', '']</t>
  </si>
  <si>
    <t>['kirain', 'diisi', 'kuota', 'lancar', 'bln', 'nanya', 'knp', 'masuk', 'game', 'sinyal', 'berubah', 'trus', 'ilang', 'sinyal', 'bar', 'ngilang', 'nyari', 'untung', 'bae', 'luh', 'jaringan', 'lemot', '']</t>
  </si>
  <si>
    <t>['assalamualaikum', 'selamat', 'malam', 'hadiah', 'honda', 'mobilio', 'redeem', 'poin', 'berhasil', 'tunggu', 'tanggal', 'juli', 'gala', 'alkausar', 'kabupaten', 'bima', 'kecamatan', 'bolo', 'desa', 'timu', 'hadiah', 'hadiah', 'mobilio', 'hasil', 'hasil', 'terima', '']</t>
  </si>
  <si>
    <t>['jaringan', 'buruk', 'buruk', 'tolong', 'perbaiki', 'sesuaikan', 'harga', 'kualitas', 'harga', 'mahal', 'kualitas', 'buruk', '']</t>
  </si>
  <si>
    <t>['', 'telkomsel', 'daerah', 'gaada', 'sinyal', 'parah', 'mohon', 'perbaiki', 'lokasi', 'jakarta', 'timur', 'ujung', 'krawang', 'internet', 'mahal', 'mahal', 'sinyal', 'kayak', 'murahan', 'tolong', 'perbaiki', 'udah', 'sinyal', 'blank', 'hilang', 'hilang', 'haduh', 'parah', '']</t>
  </si>
  <si>
    <t>['paket', 'data', 'kuota', 'utama', 'abis', 'pindah', 'kuota', 'unlimited', 'app', 'udh', 'mengikuti', 'kecepatan', 'batas', 'minimum', 'pemakaian', 'kuota', 'unlimited', 'app', 'abis', 'blum', 'batas', 'kuotanya', '']</t>
  </si>
  <si>
    <t>['', 'telkomsel', 'lock', 'pulsa', 'pulsa', 'kepotong', 'rbu', 'beli', 'paket', 'kouta', 'game', 'apknya', 'nyedot', 'pulsa', 'emg', 'kura', 'cnggih', 'apknya', 'kaya', 'axis', 'udh', 'fitur', 'lock', 'pulsa', 'aman', 'data', 'nyala', 'mending', 'buang', 'kartunya', 'solusi', 'adminya', '']</t>
  </si>
  <si>
    <t>['brp', 'kuota', 'telkomsel', 'stabil', 'jaringan', 'kuota', 'gua', 'gb', 'buka', 'foto', 'whatsapp', 'main', 'game', 'ancur', 'parah', 'jaringan', 'gara', 'fokus', '']</t>
  </si>
  <si>
    <t>['mohon', 'maaf', 'telkomsel', 'pakai', 'telkomsel', 'jaringan', 'kuat', 'area', 'tinggal', 'buruk', 'kuliah', 'pilih', 'operator', 'maaf', 'telkomsel', 'semoga', 'kedepan', 'jaringannya', 'bagus', '']</t>
  </si>
  <si>
    <t>['pembaruan', 'bnyk', 'berubah', 'poin', 'banykin', 'jenis', 'tukar', 'hadiah', 'lgsgnya', 'drpd', 'diundi', '']</t>
  </si>
  <si>
    <t>['beli', 'paket', 'cek', 'pulsa', 'terpotong', 'kali', 'cek', 'pulsa', 'tersedot', 'sampe', 'costumer', 'dirugikan', '']</t>
  </si>
  <si>
    <t>['kaka', 'telkomsel', 'gimana', 'ngisi', 'pulsa', 'beli', 'paket', 'kuota', 'habis', 'pulsa', 'mengecewakan', 'tolong', 'diperbaiki', 'ketiga', 'kalinya', 'pulsa', 'hangus', 'maaff', 'telkomsel', 'kasi', 'bintang', '']</t>
  </si>
  <si>
    <t>['jaringan', 'luas', 'kecepatan', 'jaringan', 'rendah', 'download', 'maksimum', 'bagus', 'seluas', 'telkomsel', 'konsisten', 'mengutamakan', 'kecepatan', 'jaringan', '']</t>
  </si>
  <si>
    <t>['sumpah', 'allah', 'kesini', 'telkomsel', 'beli', 'voucher', 'mlbb', 'diamond', 'pas', 'dihubungi', 'hapus', 'pesan', 'kecewa', 'telkomsel', 'jaringan', 'lelet', 'kecewa', 'berat', '']</t>
  </si>
  <si>
    <t>['', 'mengecewakan', 'membantu', 'menyelesaikan', 'kesel', 'beli', 'kuota', 'bulanan', 'berlaku', 'kuota', 'ekstra', 'unlimited', 'mengikuti', 'berlaku', 'kuota', 'bulanan', 'bagus', 'mengecewakan']</t>
  </si>
  <si>
    <t>['bangsad', 'jaringan', 'jls', 'harga', 'kuota', 'mahal', 'sesuai', 'lhh', 'woi', 'jaringan', 'jls', 'banget', 'doang', 'bagus', 'jaringan', 'rusak', 'gua', 'liat', 'gua', 'nerima', 'permintaan', 'maaf', 'telkomsel', 'jaringan', 'blm', 'bagus', '']</t>
  </si>
  <si>
    <t>['ampe', 'bosen', 'tukar', 'poin', 'dpt', 'jaringanmu', 'wilayah', 'sumsel', 'lemot', 'tolong', 'hentikan', 'aplikasi', 'otomatis', 'berlangganan', 'giliran', 'stop', 'suruh', 'tlp', 'operator', 'jngn', 'kecewa', 'ganti', 'kartu', 'kebiru', 'sayang', 'karna', 'simpati', 'semoga', 'telkomsel', 'terbaik', '']</t>
  </si>
  <si>
    <t>['pengguna', 'telkomsel', 'telkomsel', 'progam', 'php', 'khusus', 'klik', 'reedem', 'paketan', 'zonk', 'alias', 'kecewa', 'polll', 'auto', 'bintang', 'thx']</t>
  </si>
  <si>
    <t>['sinyal', 'telkomsel', 'buruk', 'burik', 'kayak', 'siput', 'beli', 'kuota', 'ehh', 'pas', 'main', 'game', 'sinyal', 'merah', 'kuning', 'kayak', 'lancar', 'jaya', 'lelet', 'pindah', 'fup', 'unlimitednya']</t>
  </si>
  <si>
    <t>['mahal', 'deh', 'mahal', 'gapapa', 'jaringannya', 'bagus', 'hahaha', 'inii', 'udah', 'mahal', 'jaringan', 'lemot', 'males', 'deh', 'kayak', 'aplikasi', 'sebelah', 'tetep', 'murah', 'jaringan', 'stabil', '']</t>
  </si>
  <si>
    <t>['aplikasi', 'telkomsel', 'tlng', 'donk', 'dikonfirmasi', 'sblmnya', 'paket', 'mengajukan', 'penambahan', 'paket', 'kuota', 'ribu', 'bln', 'januari', 'knp', 'pembayaran', 'ribu', '']</t>
  </si>
  <si>
    <t>['telkomsel', 'jaringan', 'jelek', 'kendala', 'apapun', 'jaringan', 'skrng', 'udah', 'kek', 'makasih', 'prihatinnya', 'pengguna', 'tolong', 'upgrade', 'jaringan', 'lgi', '']</t>
  </si>
  <si>
    <t>['paan', 'sinyalnya', 'kadang', 'bagus', 'kadang', 'hilang', 'parahnya', 'sinyal', 'hilang', 'mendadak', 'macet', 'gabisa', 'scroll', 'skali', 'udah', 'payah', 'telkomsel']</t>
  </si>
  <si>
    <t>['tolong', 'admin', 'perbaiki', 'sinyal', 'beli', 'kuota', 'unlimited', 'tpi', 'sinyal', 'lemot', 'udh', 'sinyal', 'full', 'kaya', 'gini', 'skarang', 'lemot', 'buka', 'lemot', 'dlu', 'paket', 'unlimited', 'batas', 'skrng', 'batas', 'pemakaian', 'wajar', 'sma', 'unlimited', 'tolong', 'perbaiki', 'lgi', '']</t>
  </si>
  <si>
    <t>['harga', 'paketnya', 'berlangganan', 'kartu', 'paket', 'harga', 'beda', 'selangit', 'promo', 'mahal', 'nama', 'promo', 'mahal', 'kecewa', 'telkomsel', 'terima', 'kasih']</t>
  </si>
  <si>
    <t>['yth', 'telkomsel', 'minggu', 'internet', 'telkomsel', 'lambat', 'wilayah', 'rawamangun', 'jakarta', 'timur', 'sisa', 'kuota', 'tolong', 'diperbaiki', 'semoga', 'ditingkatkan', 'pelayanan', 'penggunanya', '']</t>
  </si>
  <si>
    <t>['suruh', 'tukar', 'poin', 'gb', 'kejutan', 'poin', 'nyata', 'paket', 'ribu', 'pulsa', 'bisah', 'gb', 'paket', 'data', 'skrng', 'hnnya', 'gb', 'data', 'parah', 'skrng', 'udah', 'ribu', 'telkomsel', 'memeras', 'membantu', 'masyarakat', '']</t>
  </si>
  <si>
    <t>['komplain', 'pulsa', 'tersedot', 'data', 'internet', 'kuota', 'unlimited', 'max', 'pulsa', 'menyedot', 'data', 'seluler', 'maksud', 'nyari', 'untung', 'sinyal', 'kadang', 'ilang', 'memohon', 'operator', 'ttp', 'laporkan', 'ceo', 'telkomsel', 'mohon', 'penjelasannya', 'perbaikilah', 'sistem', 'untung', 'beli', 'mahal', 'mahal', 'tipu']</t>
  </si>
  <si>
    <t>['kesini', 'tsel', 'mengecewakan', 'nunggu', 'sampe', 'gaada', 'perbaikan', 'signal', 'fiz', 'ganti', 'provider', 'mahal', 'menjamin', 'buluk', 'mending', 'provider', 'murah', 'murahan']</t>
  </si>
  <si>
    <t>['tolong', 'yaa', 'aplikasi', 'mytsel', 'promo', 'ceria', 'gb', 'dibeli', 'pencet', 'tombol', 'beli', 'pulsa', 'terpotong', 'paket', 'promo', 'masuk', 'tolong', 'bantuannya', 'karna', 'butuh', 'paket', '']</t>
  </si>
  <si>
    <t>['biaya', 'tarif', 'transfer', 'pulsa', 'dinaikkan', 'pulsa', 'gimana', 'sistemnya', 'beli', 'pulsa', 'kena', 'tarif', 'telkomsel', 'transfer', 'kena', 'tarif', 'what', 'kedepannya', 'pulsa', 'terobosan', 'pembayaran', 'digital', '']</t>
  </si>
  <si>
    <t>['gegara', 'salah', 'isi', 'plz', 'terpaksa', 'internet', 'tsel', 'kirain', 'bagus', 'susah', 'udh', 'mah', 'tarif', 'mahal', 'perasaan', 'murah', 'internet', 'lancar', 'jaya', 'kendala', 'bolak', 'sim', 'sim']</t>
  </si>
  <si>
    <t>['telkomsel', 'mohon', 'balas', 'sinyal', 'semenjak', 'ultah', 'telkomsel', 'sinyal', 'membaik', 'buruk', 'staf', 'telkomsel', 'liburan', '']</t>
  </si>
  <si>
    <t>['sangt', 'kecewa', 'jaringan', 'kesal', 'posisi', 'kota', 'pelosok', 'tolonh', 'tingkatkan', 'masak', 'kalah', 'jaringan', 'axis']</t>
  </si>
  <si>
    <t>['aplikasi', 'mytelkomsel', 'membantu', 'mudah', 'pemakaian', 'sisa', 'quota', 'reward', 'menguntungkan', 'customer', '']</t>
  </si>
  <si>
    <t>['tolong', 'perbaiki', 'sinyal', 'ngegame', 'lag', 'mulu', 'pdhal', 'sinyal', 'bagus', 'tolong', 'lahhh', 'msih', 'bertahan', 'sma', 'kartu', 'telkomsel', 'tolong', 'perbaiki', '']</t>
  </si>
  <si>
    <t>['kartu', 'telkomsel', 'membingungkan', 'kali', 'beli', 'paket', 'data', 'kuota', 'utama', 'mb', 'nyampe', 'mb', 'udah', 'nyedot', 'pulsa', 'sebentar', 'ehh', 'ilang', 'kadang', 'nyampe', 'pusing', 'beli', 'pulsa', 'udah', 'habis', 'tolong', 'diperbaikiiiii', '']</t>
  </si>
  <si>
    <t>['keren', 'banget', 'aplikasi', '']</t>
  </si>
  <si>
    <t>['maaf', 'kasih', 'bintang', 'mohon', 'perbaiki', 'apknya', 'kemaren', 'download', 'apk', 'pas', 'daftar', 'kuota', 'langsung', 'ilang', 'mohon', 'perbaiki', 'udah', 'kasih', 'bintang', '']</t>
  </si>
  <si>
    <t>['paket', 'kuota', 'utama', 'internet', 'lbh', 'dibandingkan', 'paket', 'internet', 'multimedia', 'jaringan', 'sinyal', 'sbgai', 'andalan', 'ammmpppuuuunnnn', 'blm', 'kuota', 'internet', 'multimedia', 'menyita', 'kuota', 'internet', 'utamanya', '']</t>
  </si>
  <si>
    <t>['ulasan', 'dihapus', 'min', 'mon', 'maaf', 'buruk', 'banget', 'jaringannya', 'udah', 'menang', 'nama', 'kualitas', 'jaringan', 'merosot', 'seimbang', 'bagus', 'nama', 'bagus', 'kualitas', 'serba', 'lelet', 'ngeleg']</t>
  </si>
  <si>
    <t>['membeli', 'pulsa', 'pulsanya', 'masuk', 'coba', 'bali', 'masuk', 'nomornya', 'bener', 'gini', 'rugi', 'balikin', 'uang']</t>
  </si>
  <si>
    <t>['lumayan', 'bagus', 'mohon', 'diperjelas', 'pelanggan', 'berhak', 'promo', 'pilihan', 'paket', 'iklan', 'notifikasi', 'muncul', 'berhak', 'iklannya', 'trims']</t>
  </si>
  <si>
    <t>['kali', 'login', 'feedback', 'feedbacknya', 'mengganggu', '']</t>
  </si>
  <si>
    <t>['telkomsel', 'carik', 'untung', 'yaa', 'kali', 'nyedot', 'pulsa', 'sembarangan', 'padalan', 'paket', 'msih', 'bnyak', 'liat', 'mkin', 'mkin', 'kebiasaan', 'woooiii', 'pakek', 'otakkk', '']</t>
  </si>
  <si>
    <t>['', 'telkomsel', 'memudahkan', 'reward', 'penawaran', 'menarik', 'telkomsel', 'memanjakan', 'pengguna', 'kartu', 'telkomsel', '']</t>
  </si>
  <si>
    <t>['kwalitas', 'jaringan', 'area', 'tercover', 'luas', 'terima', 'kasih', 'telkomsel', 'membantu', 'kuat', 'jaringan', 'salam', 'sejahtera', 'bumn', 'indonesia', 'tercinta', '']</t>
  </si>
  <si>
    <t>['ngak', 'gmn', 'muji', 'telkomsel', 'terbaik', 'pokok', 'terbaik', 'nyusahin', 'masyarakat', 'zaman', 'pandemi', 'bnyk', 'phk', 'lbh', 'berwirausha', 'mengunakan', 'internet', 'kuota', 'mahalin', 'tolong', 'kemanusiaa', 'adil', 'berabad', 'sblm', 'naro', 'harga', 'paketan', 'paketan', 'mahal', 'boros', 'indonesia', 'dubai', 'sultan']</t>
  </si>
  <si>
    <t>['nice', 'suka', 'tampilan', 'fresh', 'cocok', 'android', 'nyaman', 'dipandang', 'tingkatkan', 'telkomsel', '']</t>
  </si>
  <si>
    <t>['buruk', 'beli', 'pulsa', 'aktifin', 'data', 'buka', 'aplikasi', 'beli', 'data', 'kesedot', 'sampe', 'payaah', 'kejadianya', 'berulang', 'kali', 'system', 'app', 'telokm', 'ngga', 'perubahan', 'tolong', 'perbaiki', 'membuka', 'aplikasi', 'tolong', 'kenakan', 'data', 'anjeeengg', 'kecewa', 'telkomsel']</t>
  </si>
  <si>
    <t>['update', 'susah', 'masuk', 'aplikasi', 'logut', 'login', 'susah', 'masuk', 'masuk', 'layar', 'aplikasi', 'menampilkan', 'menu', 'paket', 'data', 'paket', 'nelpon', 'dll', 'mohon', 'perbaiki', 'tanda', 'notofikasi', 'pesan', 'masuk', 'baca', 'tanda', 'pesan', 'baca', 'sepele', 'sisa', 'paket', 'diakumalasi', 'tolong', 'perbaiki', 'bugsnya', '']</t>
  </si>
  <si>
    <t>['kecewa', 'pulsa', 'main', 'disedot', 'paket', 'pulsa', 'sedot', 'ehhh', 'paket', 'disedot', 'kecewa', '']</t>
  </si>
  <si>
    <t>['pakai', 'telkomsel', 'telkomsel', 'milik', 'indonesia', 'spt', 'operator', 'indo', 'dijual', 'meg', 'dijual', 'diam', 'colongan', 'singapore', 'izin', 'rakyat', 'indonesia', '']</t>
  </si>
  <si>
    <t>['telkomsel', 'signal', 'mati', 'terputus', 'telkomsel', 'jelek', 'tolong', 'diperbaiki', 'beralih', '']</t>
  </si>
  <si>
    <t>['jaringan', 'aman', 'jelek', 'banget', 'buka', 'aplikasi', 'lemotnya', 'parah', 'coba', 'beli', 'paket', 'berulang', 'ulang', 'kali', 'bilangnya', 'diproses', 'paketannya', 'aktif', 'aktif', 'ampun']</t>
  </si>
  <si>
    <t>['kemarin', 'beli', 'paket', 'unlimited', 'youtube', 'beli', 'paket', 'gb', 'youtube', 'putar', 'youtube', 'kecewa', 'banget', 'ama', 'paket', 'youtube', 'telkomsel', '']</t>
  </si>
  <si>
    <t>['', 'bar', 'full', 'tetep', 'lola', 'cacat', 'produksi', 'garong', 'paket', 'mahal', 'kalu', 'lemot', 'mending', 'ganti', 'kartu', 'harga', 'murah', 'lemot', 'wajar', 'udah', 'ganti', 'lemot', 'emang', 'cacat', 'paket', 'mahal', 'sinya', 'bosok']</t>
  </si>
  <si>
    <t>['telkomtod', 'telkomsel', 'ngentod', 'kpd', 'yth', 'staf', 'telkomsel', 'pengguna', 'telkomsel', 'puas', 'denagan', 'jaringan', 'superrrrrrrrrrrr', 'lelet', 'sinyal', 'siput', 'beli', 'kuota', 'udah', 'mahal', 'sinyal', 'bagus', 'mash', 'rame', 'pelanggan', 'tolong', 'diperbaiki', 'jangn', 'cuman', 'naekin', 'harga', 'beli', 'kuota', 'mahal', 'sinyal', 'kek', 'ngentod', 'orang', 'make', 'telkomsel', 'nyaman', 'malh', 'resah', 'campur', 'emosi', 'perbaikin', 'napa', '']</t>
  </si>
  <si>
    <t>['buset', 'ancur', 'signal', 'ditangsel', 'dipake', 'bareng', 'isat', 'kalah', 'kapal', 'terbang', 'kalah', 'ama', 'isat', 'gerimis', 'kalah', 'ama', 'isat', 'pusing', 'pusing', 'rugi', 'kesehatan', 'mah', 'darah', 'ting', 'ting', '']</t>
  </si>
  <si>
    <t>['ulasan', 'dihapus', 'rating', 'rendah', 'performa', 'perbaiki', 'main', 'kayak', 'tikus', 'bertahun', 'make', 'keluarin', 'uang', 'kuota', 'berharap', 'jaringan', 'stabil', 'kayak', 'taik', 'telkomsel', 'jaringan', 'termahal', 'operator', 'pasang', 'harga', 'sesuai', 'kualitas', 'jaringan', '']</t>
  </si>
  <si>
    <t>['kualitas', 'sinyal', 'jelek', 'tpi', 'paketan', 'mahal', 'main', 'game', 'online', 'ping', 'turun', 'hujan', 'gede', 'suka', 'ilang', 'beda', 'provider', 'tolong', 'donk', 'perkuat', 'jaringan', 'jaringan', '']</t>
  </si>
  <si>
    <t>['wey', 'bener', 'donggg', 'jelek', 'paketan', 'mahalin', 'bagus', 'sinyal', 'bobrok', 'engga', 'malu', 'konsumen', 'maluu', 'provider', 'bagusin', 'sinyal', 'bodoh', '']</t>
  </si>
  <si>
    <t>['paket', 'berlangganan', 'hapuskan', 'rp', 'rb', 'gb', 'nelp', 'unlimited', 'udah', 'berlangganan', 'hapuskan', 'mank', 'zona', 'naikkan', 'hrga', 'hapus', 'asli', 'kecewa', 'mentang', 'daerah', 'papua', 'pedalaman', 'provider', 'cumn', 'telkomsel', 'maen', 'enak', 'salam', 'anak', 'perantau', 'tolong', 'perbaiki', '']</t>
  </si>
  <si>
    <t>['pelanggan', 'setia', 'telkomsel', 'kecewa', 'kualitas', 'sinyal', 'buruk', 'parah', 'sinyal', 'susah', 'koneksi', 'kayak', 'siput', 'jalanya', 'mundur', 'papa', 'lelet', 'mahallllllllllllllll', '']</t>
  </si>
  <si>
    <t>['gimana', 'beli', 'pket', 'data', 'pulsa', 'aplikasinya', 'buka', 'ajha', 'warna', 'cuman', 'putih', 'polos', 'mulu', 'anehnya', 'kuota', 'unlimitidnya', 'kuota', 'regulernya', 'abis', 'tolong', 'jelasin', 'min', 'gitu', 'bayar', 'pke', 'duit', 'bukn', 'pke', 'daun', '']</t>
  </si>
  <si>
    <t>['tolong', 'loadingnya', 'percepat', 'hadiah', 'chechkinya', 'paket', 'data', 'pulsa', 'voucer', 'shopee', 'lainya', 'terpakai', 'sia', 'sia', '']</t>
  </si>
  <si>
    <t>['beli', 'internet', 'murni', 'pembagian', 'ribet', 'cocok', 'kebutuhan', 'dibikin', 'kuota', 'seakan', 'pemaksaan', 'customer', 'menu', 'pilihan', 'operator', 'sesuai', 'kebutuhan', 'customer', 'semoga', 'ribet', 'kayak', 'gini', '']</t>
  </si>
  <si>
    <t>['kecewa', 'parah', 'beli', 'kuota', 'youtube', 'unlimited', 'tiktok', 'voucher', 'gb', 'youtube', 'tik', 'tok', 'abis', 'gb', 'gb', 'habis', 'ngebugg', 'nggk', 'maketin', 'unlimited', 'youtube', 'tik', 'tok', 'coba', 'beli', 'ulnlimited', 'mahal', 'php', 'parahnya', 'sinyalnya', 'masalllaaaaah', 'muluuuu', 'pusing', 'kecewa', 'kecewa', 'kecewa', 'paraaaah', 'mending', 'beli', 'indosat', 'murah', 'jaringa', 'jaringan', 'stabil']</t>
  </si>
  <si>
    <t>['pesan', 'spam', 'telkomsel', 'nggak', 'jaga', 'privasi', 'tolong', 'perbaiki', 'orang', 'mudah', 'nomor', '']</t>
  </si>
  <si>
    <t>['sumpah', 'lelet', 'banget', 'telkomsel', 'boro', 'ngap', 'ngap', 'amit', 'amit', 'tolong', 'benahi', 'kualitasnya', 'telkomsel', 'udah', 'bolak', 'komplen', 'maaf', 'mulu', 'peningkatan', 'mulu', 'pindah', 'kelain', 'hati', 'kaya', 'gini', 'sumpah', 'sebel', 'mah', '']</t>
  </si>
  <si>
    <t>['keisini', 'kualitas', 'layanan', 'buruk', 'top', 'susah', 'banget', 'dapetin', 'pesan', 'verivikasi', 'akun', 'telkomsel', 'andai', 'akun', 'verivikasi', 'sel', 'gapake', 'telkomsel', 'layanan', 'sprti']</t>
  </si>
  <si>
    <t>['hmmm', 'paketan', 'mahal', 'jaringan', 'ganti', 'provider', 'sayang', 'kartunya', 'tolong', 'diperbaiki', 'sesuai', 'harga', 'paket', 'kualitas', 'jaringan']</t>
  </si>
  <si>
    <t>['alah', 'paket', 'doang', 'mahal', 'provider', 'terkenal', 'dunia', 'sinyal', 'tolong', 'benarin', 'sinyal', 'sebagi', 'pemakai', 'dirugikan', 'tolong', 'kualitas', 'sesuai', 'harga']</t>
  </si>
  <si>
    <t>['dear', 'admin', 'aplikasi', 'berat', 'bget', 'ram', 'gb', 'jaringan', 'abis', 'kuota', 'cma', 'masuk', 'halaman', 'beranda', 'tolong', 'perbaiki']</t>
  </si>
  <si>
    <t>['dikampung', 'jaringan', 'telkomsel', 'tersedia', 'itupun', 'lelet', 'tower', 'pembelian', 'paket', 'data', 'mahal', 'telkomsel', 'indonesia', 'memampaatkan', 'karna', 'jangkauan', 'mohonlah', 'telkomsel', 'irit', 'membantu', 'orang', 'pengguna', 'telkomsel', 'nikmati', 'orang', 'uang', '']</t>
  </si>
  <si>
    <t>['sinyal', 'telkomsel', 'daerah', 'kelurahan', 'ulu', 'kecamatan', 'seberang', 'ulu', 'kota', 'palembang', 'mengecewakan', 'berlangganan', 'pindah', 'provider', '']</t>
  </si>
  <si>
    <t>['min', 'signal', 'telkom', 'kesini', 'jelek', 'februari', 'bagus', 'dsni', 'mah', 'pke', 'telkom', 'temn', 'sya', 'dsni', 'pke', 'telkom', 'skrng', 'telkom', 'jelek', 'jdinya', 'gnti', 'indosat']</t>
  </si>
  <si>
    <t>['sinyal', 'parah', 'banget', 'ancur', 'sinyal', 'telkomsel', 'tolonglah', 'perbaiki', 'jaringan', 'harga', 'paket', 'doang', 'mahal', 'sinyal', 'buruk', '']</t>
  </si>
  <si>
    <t>['telkomsel', 'jaringan', 'ter', 'let', 'terburuk', 'paket', 'mahal', 'beralih', 'sebelah', 'paket', 'murah', 'jaringan', 'kuat', 'kecewa', 'penguna', 'telkomsel', 'sekian', '']</t>
  </si>
  <si>
    <t>['semenjak', 'diupdate', 'buruk', 'kualitasnya', 'nyesel', 'udah', 'update', 'sorry', 'terpaksa', 'kurangin', 'bintangnya', 'karna', 'jujur', 'emang', 'suka', 'aplikasi', '']</t>
  </si>
  <si>
    <t>['kadang', 'kere', 'mahal', 'banget', 'suka', 'sedih', 'liat', 'paket', 'temen', 'perdana', 'gua', 'mahal', '']</t>
  </si>
  <si>
    <t>['telkomsel', 'sinyal', 'paket', 'buka', 'internet', 'lemotnya', 'ampun', 'harap', 'perbaiki', 'bagus', 'upgrade', 'bintang', '']</t>
  </si>
  <si>
    <t>['sinyal', 'telkomsel', 'hilang', 'kalah', 'provider', 'sebelah', 'senior', 'mantap', 'sinyalnya', 'melempem', 'dipakai', 'internetan', 'kayak', 'setan', 'tiada', 'pelanggan', 'kecewa']</t>
  </si>
  <si>
    <t>['paket', 'mahal', 'sinyal', 'kek', 'bangke', 'koneksi', 'internet', 'lemot', 'lokasi', 'kota', 'semarang', 'kerjanya', 'trus', 'ngapain', 'woyy', 'gituu', '']</t>
  </si>
  <si>
    <t>['pembritahuan', 'mndapat', 'pulsa', 'gratis', 'tpi', 'tdak', 'bsa', 'diklaim', 'berlaku', 'tdak', 'bsa', 'diklaim', '']</t>
  </si>
  <si>
    <t>['parah', 'telkomsel', 'jaringan', 'internetnya', 'lemot', 'parah', 'kartu', 'halo', 'kuota', 'melimpah', 'jaringan', 'lemot', 'gimana', 'telkomsel', 'berantakan', 'kerjaan', 'terganggu', 'kecewa', 'normal', '']</t>
  </si>
  <si>
    <t>['beli', 'paket', 'ceria', 'pulsa', 'beli', 'notifikasi', 'pulsa', 'mencukupi', 'tolong', 'perbaiki', 'pulsa', 'potong', 'pakai', 'nelpon', 'terima', 'kasih']</t>
  </si>
  <si>
    <t>['ngelek', 'ngelek', 'jaringan', 'telkomsel', '']</t>
  </si>
  <si>
    <t>['telkomsel', 'tolong', 'tingkatan', 'sinyall', 'daerah', 'khusus', 'daerah', 'pegunungan', 'kel', 'sayar', 'tanjung', 'ilir', 'kota', 'serang', 'banten', 'daerah', 'susah', 'sinyal', 'jaringan', 'stabil', 'mohon', 'tingkatan', 'khualitas', 'sinyall', '']</t>
  </si>
  <si>
    <t>['jaringan', 'udah', 'mantap', 'harga', 'paket', 'unlimited', 'max', 'diturunin', 'pandemi', 'kek', 'gini', 'cari', 'duit', 'susah', 'tolonglahh', 'min', 'turunkan', 'harganya', '']</t>
  </si>
  <si>
    <t>['nama', 'doang', 'paket', 'mahal', 'mutu', 'jaringan', 'sinyal', 'buruk', 'malu', 'operator', 'paket', 'murah', 'kuota', 'jaringan', 'top']</t>
  </si>
  <si>
    <t>['kecewa', 'telkomsel', 'paket', 'internet', 'abis', 'cepat', 'telan', 'bumi', 'untungnya', 'dobel', 'bayar', 'hak', 'kasih', 'full', 'jngan', 'blm', 'data', 'intrnet', 'habis', 'telan', 'bumi', 'semoga', 'balaskan', 'setimpal', 'lakukan', 'amin']</t>
  </si>
  <si>
    <t>['telkomsel', 'mah', 'beli', 'paket', 'gb', 'pas', 'tanggal', 'juni', 'tanggal', 'juni', 'gb', 'gabisa', 'tolong', 'penjelasan']</t>
  </si>
  <si>
    <t>['tipu', 'situ', 'tulisanya', 'unlimited', 'beli', 'kgk', 'unlimited', 'beli', 'gb', 'gb', 'doang', 'unlimited', 'kecepatanya', 'kbs', '']</t>
  </si>
  <si>
    <t>['suka', 'sms', 'pinjol', 'penipuan', 'sms', 'kartu', 'telkomsel', 'kartu', 'sms', 'gitu', '']</t>
  </si>
  <si>
    <t>['jaringan', 'telkomsel', 'lelet', 'banget', 'bru', 'beli', 'promo', 'dri', 'telkomsel', 'tpi', 'kecewa', 'menikmati', 'tolong', 'perbaiki', 'kinerja', 'telkomsel', '']</t>
  </si>
  <si>
    <t>['transaksi', 'mytelkomsel', 'send', 'gift', 'pembayaran', 'shopeepay', 'saldo', 'kepotong', 'notifikasi', 'berhasil', 'mytelkomsel', 'sukses', 'pulsa', 'masuk', 'hubungi', 'minggu', 'dibalikin', 'shopeepay', 'juni', 'transaksi', 'hubungi', 'bayangin', 'ratus', 'juta', 'orang', 'transaksi', 'masuk', 'hubungi', 'saran', 'hilangkan', 'fitur', 'sendgift', 'emosi', 'meninggalkan', 'telkomsel', 'bagus', '']</t>
  </si>
  <si>
    <t>['temanin', 'ayah', 'migrasi', 'kartu', 'selesai', 'kasih', 'ktp', 'langsung', 'oper', 'salesnya', 'dikenai', 'biaya', 'ganti', 'kartu', 'ganti', 'kartu', 'migrasi', 'kartu', 'rusak', 'hilang', 'kena', 'biaya', 'kecewa', 'berat', 'grapari', 'prabumulih']</t>
  </si>
  <si>
    <t>['mohon', 'perbaiki', 'jaringan', 'internet', 'nyaa', 'membeli', 'perubahan', 'lemot', 'pindah', 'provider']</t>
  </si>
  <si>
    <t>['tolonglah', 'telkomsel', 'terhormat', 'perbaiki', 'jaringan', 'daerah', 'jakarta', 'selatan', 'khusus', 'daerah', 'mampang', 'prapatan', 'knapa', 'jaringan', 'parah', 'hilang', 'jaringannya', 'menjengkelkan', 'maen', 'game', 'online', 'mengalami', 'lag', 'akibat', 'jaringan', 'bermasalah', 'terhormat', 'tolong', 'dengarkan', 'suara', 'data', 'mahal', 'jaringan', 'stabil', 'telkomsel', 'terhormat', '']</t>
  </si>
  <si>
    <t>['parah', 'keluhan', 'susah', 'hubungi', 'chat', 'sllu', 'bls', 'komputer', 'nyesel', 'sumpah', 'pulsa', 'aplikasi', 'slow', 'respon', 'bos', 'chat', 'bls', 'mesin', 'mah', 'anak', 'kerja', 'telkomsel']</t>
  </si>
  <si>
    <t>['adakah', 'paket', 'kuota', 'internet', 'habis', 'kuota', 'memakan', 'pulsa', 'cari', 'provider', 'internetan', 'beli', 'paket', 'kuota', 'internet', 'lihat', 'sisa', 'kuota', 'khawatir', 'pulsa', 'tersedot', '']</t>
  </si>
  <si>
    <t>['jaringan', 'telkomsel', 'perbaiki', 'mahal', 'doang', 'sinyal', 'penuh', 'loading', 'trus', 'beli', 'kuota', 'sampe', 'gb', 'pke', 'maen', 'game', 'garis', 'merah', 'mulu', 'alias', 'jelek']</t>
  </si>
  <si>
    <t>['fitur', 'chat', 'otomatis', 'sistem', 'membantu', 'chat', 'slow', 'respon', 'paketannya', 'macem', 'sebenernya', 'butuh', 'udah', 'sepaket', 'beli', '']</t>
  </si>
  <si>
    <t>['mudah', 'simple', 'semoga', 'tolong', 'sinyal', 'diperbaiki', 'kaki', 'gunung', 'ciremai', 'terimakasih']</t>
  </si>
  <si>
    <t>['parah', 'telkomsel', 'jelek', 'gini', 'koneksi', 'telkomsel', 'kartu', 'udah', 'pandang', 'bagus', 'orang', 'skrng', 'jelek', 'gini', 'min', 'tolong', 'harga', 'kouta', 'kau', 'naikan', 'sinyal', 'jelek', 'nyaman', 'gini', 'telkomsel']</t>
  </si>
  <si>
    <t>['hoy', 'telkom', 'kau', 'sampahnya', 'kartu', 'telkomsel', 'sinyal', 'kartumu', 'bermasalah', 'kuota', 'pulsanya', 'pengen', 'beli', 'kuota', 'ceria', 'gb', 'belinya', 'telkomsel', 'takut', 'pulsa', 'tersedot', 'pas', 'beli', 'kartu', 'pulsa', 'emosi', 'memutuskan', 'membeli', 'langsung', 'telkomsel', 'alangkah', 'terkejutnya', 'pulsa', 'hilang', 'membuka', 'apk', 'telkomsel', 'ganti']</t>
  </si>
  <si>
    <t>['tolong', 'telkomsel', 'program', 'kartu', 'halo', 'emang', 'pengen', 'berhenti', 'berlangganan', 'kartu', 'halo', 'nomor', 'ganti', 'tolong', 'udh', 'kecewa', 'telkomsel', 'gara', 'gara', 'kartu', 'halo']</t>
  </si>
  <si>
    <t>['tolong', 'adakan', 'fitur', 'berhenti', 'berlangganan', 'kartu', 'halo', 'aplikasi', 'orang', 'tinggal', 'perkotaan', 'kepentingan', 'mendesak', 'langganan', 'telkomsel', 'semoga', 'secepatnya', 'diadakan', 'fitur', 'berhenti', 'berlangganan', 'kartu', 'halo', 'terima', 'kasih']</t>
  </si>
  <si>
    <t>['sumpah', 'pkek', 'telkomsel', 'darah', 'udah', 'paket', 'mahal', 'mahal', 'sixal', 'buruh', 'ayolah', 'uang', 'kedepanin', 'sixal', 'perbaiki', 'seandainya', 'rumah', 'kartu', 'enak', 'pakek', 'kartu', 'ketimbang', 'telkomsel']</t>
  </si>
  <si>
    <t>['beli', 'paketan', 'masuk', 'yaa', 'pas', 'harga', 'tertera', 'aplikasi', 'jdi', 'rugi', 'gara', 'aplikasi', 'tolong', 'mohon', 'perbaiki', 'lgi', 'aplikasinya']</t>
  </si>
  <si>
    <t>['sinyal', 'halo', 'telkomsel', 'buruk', 'buruk', 'bosok', 'ampuun', 'kapok', 'telkomsel', 'bayar', 'bulanan', 'mahal', 'sinyal', 'hancur', 'bayar', 'mahal', 'harapannya', 'hancur', 'ganti', 'provider', 'laen', 'lancar', 'jaya', '']</t>
  </si>
  <si>
    <t>['preovider', 'pemerintah', 'terhormat', 'tolong', 'kualitas', 'sinyal', 'perbaiki', 'kecawakan', 'pelanggan', 'sinyal', 'jelek', 'pelanggan', 'beralih', 'provider']</t>
  </si>
  <si>
    <t>['hai', 'min', 'pulsa', 'gua', 'terkuras', 'kali', 'lho', 'pdhl', 'paketan', 'tlg', 'donk', 'min', 'pulsa', 'gua', 'balikin', 'jang', 'ambil', 'donk', 'gua', 'belom', 'beli', 'rugi', 'lho', '']</t>
  </si>
  <si>
    <t>['min', 'tolong', 'baca', 'ulasan', 'menyarankan', 'fitur', 'top', 'game', 'aplikasi', 'praktis', 'gitu', 'min', 'salam', 'btw', 'nama', 'sandi', 'salam', 'bacaaa', 'yahhhhh', 'thanksssssss', 'love', 'you', 'telkomselllll', 'lupa', 'adain', 'event', 'kuota', 'gratis', 'hehheheh', 'sehat', 'dahhh', '']</t>
  </si>
  <si>
    <t>['tolong', 'layanan', 'publik', 'diperhatikan', 'pilih', 'menu', 'help', 'center', 'chat', 'veronika', 'cuman', 'sistem', 'tunggu', 'lanjutan']</t>
  </si>
  <si>
    <t>['makinnn', 'wajar', 'kemarin', 'isi', 'ulang', 'app', 'tsel', 'bayar', 'pakai', 'shopeepay', 'masuk', 'trus', 'skarang', 'isi', 'ulang', 'appnya', 'masuk', 'sii', 'tpi', 'berkurang', 'berlangganan', 'apapun', 'pemakain', 'data', 'nyesel', 'pengguna', 'telkomsel', 'ruginya', 'dri', 'pda', 'untungnya']</t>
  </si>
  <si>
    <t>['sinyal', 'parah', 'bumn', 'kualitas', 'terburuk', 'sejarah', 'komplain', 'bohong', 'dibenerin', 'kualitas', 'jaringan', 'nanya', 'mentri', 'bumn', 'mengadakan', 'evaluasi', 'bumn', 'pembersihan', 'besaran', 'internal', 'telkom', 'telkomsel', 'menghasilkan', 'kualitas', 'orang', 'korupsi', 'disana', 'kualitas', 'jaringan', 'buruk', 'terburuk', 'jaringan', '']</t>
  </si>
  <si>
    <t>['jaringan', 'lelet', 'telkomsel', 'telepon', 'jelek', 'banget', 'tolong', 'perbaiki', 'jaringan', 'daerah', 'acehh', 'cpek', 'beli', 'paketnya', 'kayak', 'ngak', 'paket', 'klau', 'ngak', 'sanggup', 'ngak', 'buka', 'cabang', 'cabang']</t>
  </si>
  <si>
    <t>['aplikasinya', 'bagus', 'cuman', 'sinyal', 'daerah', 'ntb', 'kadang', 'bagus', 'tpi', 'banding', 'dngan', '']</t>
  </si>
  <si>
    <t>['kartu', 'kuota', 'mahal', 'internet', 'stabil', 'udah', 'magrib', 'leletnya', 'kek', 'indosat', 'game', 'ping', 'ancur', 'parah', 'sinyal', 'game', 'ngelag', 'mulu', 'dasar', 'kartu', 'pegawainya', 'koruptor', 'gimana', 'dengerin', 'konsumen', 'tolol']</t>
  </si>
  <si>
    <t>['jelek', 'banget', 'kadang', 'isi', 'kuota', 'saldo', 'link', 'udah', 'kepotong', 'status', 'berhasil', 'kuota', 'masuk', 'banget', 'pura', 'pura', 'bego', 'muter', 'tetep', 'masuk', 'kuota']</t>
  </si>
  <si>
    <t>['paketan', 'telkomsel', 'berubah', 'parah', 'kuota', 'harian', 'utama', 'pulsa', 'kesedot', 'gajelas', 'blm', 'buka', 'aplikasi', 'pulsa', 'udah', 'habis', 'muak']</t>
  </si>
  <si>
    <t>['jaringannya', 'lalot', 'lemah', 'kecepatan', 'jaringan', 'panas', 'lalod', 'paket', 'data', 'mahal', 'sesuai', 'kualitas', 'jaringannya', 'jaringan', 'telkomsel', 'daerah', 'gowa', 'sulawesi', 'selatan', 'skalian', 'dihilangkan', '']</t>
  </si>
  <si>
    <t>['bagus', 'aplikasinya', 'update', 'yaa', 'tampilan', 'menarik', 'kekinian', 'aplikasi', 'wallet']</t>
  </si>
  <si>
    <t>['puas', 'kasih', 'langsung', 'bintang', 'kali', 'kasih', 'promo', 'pelanggan', 'setianya', 'tolong', 'perhatikan', 'kualitas', 'jaringan', 'internet', 'bts', 'karna', 'lokasi', 'jaringan', 'internetnya', 'lemot', 'lokasi', 'rmh', 'btw', 'terima', 'kasih', 'telkomsel', '']</t>
  </si>
  <si>
    <t>['dear', 'telkomsel', 'tolong', 'telkomsel', 'kuota', 'malam', 'kuota', 'ketengan', 'nambahnya', 'tolong', 'mikir', 'telkomsel', 'udah', 'ngumpulin', 'uang', 'beli', 'kuota', 'pulsa', 'pas', 'beli', 'kuota', 'malam', 'trus', 'pulsa', 'orang', 'pelit', 'pelit', 'ganti', 'kartu', 'diubah', 'harganya', 'iya', 'emang', 'sisa', 'pulsa', 'nelpon', 'dll', 'udah', 'namanya', '']</t>
  </si>
  <si>
    <t>['kalah', 'saing', 'provider', 'masak', 'negri', 'jaringan', 'lemot', 'lag', 'susah', 'cek', 'paket', 'dll', 'tolong', 'kasih', 'kejelasan', 'servis', 'customer', '']</t>
  </si>
  <si>
    <t>['beli', 'pulsa', 'ribu', 'berhasil', 'pilih', 'paket', 'harga', 'ribu', 'berhasil', 'pulsa', 'kepotong', 'ribu', 'rugi', 'udah', 'paket', 'kepotong', 'pulsa', 'ribu', 'ganti']</t>
  </si>
  <si>
    <t>['benerin', 'signal', 'tolol', 'buruk', 'signal', 'pelanggan', 'nyaman', 'gunaain', 'telkomsel', '']</t>
  </si>
  <si>
    <t>['dibaca', 'kog', 'twitter', 'ulasannya', 'ditanggapi', 'kinerja', 'telkomsel', 'sinyal', 'internet', 'wilayah', 'madura', 'buruk', 'pantes', 'pengguna', 'telkomsel', 'wilayah', 'madura']</t>
  </si>
  <si>
    <t>['poin', 'poin', 'tukar', 'pulsa', 'poin', 'woe', 'suruh', 'tukar', 'poin', 'app', 'pulsa', 'nollll', 'mahal', 'iya', 'boros', 'iya', 'mending', 'poin', 'hapus', 'kagak', 'ppppppppppooooooooooiiiiiiiiiiiinnnnnnnnnnnnnnnn', 'ggggggggggaaaaaaaaakkkkkkkkk', 'ggggggguuuuuuuuuuunnnnnnnnnaaaaaaaaaaaaaaaaa', '']</t>
  </si>
  <si>
    <t>['tolong', 'baca', 'aplikasi', 'gua', 'aplikasi', 'banget', 'bug', 'kdang', 'suka', 'eror', 'akun', 'log', 'out', 'tolong', 'perbaikin', '']</t>
  </si>
  <si>
    <t>['udah', 'beli', 'paket', 'mahal', 'download', 'aplikasi', 'playstore', 'doang', 'mb', 'menitan', 'udah', 'bosan', 'hujat', 'kau', 'kesini', 'jaringanya', 'jelek', 'sungguh', 'saangaat', 'jelek', 'jaringanya', 'rekomendasi', 'pakai', 'telkomsel', 'jaringanya', 'jelek', 'kasih', 'bintanng', 'dasar', 'sinyal', 'telkomsel', 'sampah', '']</t>
  </si>
  <si>
    <t>['halo', 'telkomsel', 'jaringan', 'perusahaan', 'wifi', 'murahyg', 'pasang', 'bts', 'tower', 'jaringan', 'jelek', 'sinyal', 'terpasang', 'tower', 'jaringan', 'pemancar', 'sinyal', 'wifi', 'murah', 'sinyal', 'bagus', 'zoom', 'bwt', 'anak', 'sekolah', 'mantap', 'zoom', 'sinyal', 'susah', 'knp', '']</t>
  </si>
  <si>
    <t>['bingung', 'beli', 'paket', 'new', 'omg', 'aktifasi', 'dapet', 'sms', 'pembayaran', 'belom', 'berhasil', 'pembayaran', 'shoope', 'saldo', 'shoope', 'kepotong', 'paket', 'internet', 'belom', 'keisi', 'tolong', 'respon', '']</t>
  </si>
  <si>
    <t>['habis', 'beli', 'paket', 'malam', 'gb', 'saldo', 'ovo', 'kepotong', 'paket', 'masuk', 'kecewa', 'masuk', 'sms', 'check', 'restriction', 'saldo', 'hilang', 'paket', 'harga', 'paket', 'kalah', 'provider', 'seharus', 'telkomsel', 'bagus', 'pelayanan', 'jaringan', 'harga', 'bersaing', 'provider', '']</t>
  </si>
  <si>
    <t>['membeli', 'paket', 'internet', 'shopee', 'pay', 'metode', 'pembayaran', 'dimana', 'app', 'mytelkomsel', 'pembayaran', 'berhasil', 'internet', 'masuk', 'uang', 'akun', 'shopee', 'pay', 'terpotong', 'transaksi', 'dinyatakan', 'berhasil', 'mohon', 'dibantu']</t>
  </si>
  <si>
    <t>['beli', 'paket', 'kouta', 'internet', 'sebulan', 'pemakaian', 'paket', 'menyesal', 'membeli', 'paket', 'internet', 'aplikasi', 'telkomsel', 'tolong', 'servernya', 'pulihkan', '']</t>
  </si>
  <si>
    <t>['isi', 'kuota', 'combo', 'sakti', 'unlimited', 'rb', 'tanggal', 'juni', 'tanggal', 'juni', 'kuota', 'hilang', 'nol', 'kuota', 'lokal', 'habis', 'kuota', 'unlimited', 'habis', 'tolong', 'telkomsel', 'kembalikan', 'kuota', 'dirugikan', 'kuota', 'gb', 'habis', 'mendadak', '']</t>
  </si>
  <si>
    <t>['menerima', 'sms', 'spam', 'pengajuan', 'gubris', 'orang', 'tua', 'tertipu', 'mohon', 'sms', 'spam', 'dihentikan', 'melaporkan']</t>
  </si>
  <si>
    <t>['harga', 'paket', 'mahal', 'memperbaiki', 'sinyal', 'bertahun', 'tsel', 'penawaran', 'mahal', 'sinyal', 'tbtb', 'drop', 'ilang', 'sesuain', 'sma', 'harga', 'paket', 'gila', 'harganya', 'boss', 'thx']</t>
  </si>
  <si>
    <t>['nanya', 'kuota', 'utama', 'kuota', 'lokal', 'bedanya', 'kuota', 'utama', 'habis', 'kuota', 'lokal', 'buka', 'google', 'youtube', 'jelasin', 'min', 'minsyal', 'mimin', 'udh', 'ngejelasin', 'kalis', 'bintang', 'janji', '']</t>
  </si>
  <si>
    <t>['paket', 'mahal', 'udah', 'greget', 'ngomongin', 'sinyal', 'lupa', 'lep', 'turun', 'main', 'game', 'lag', 'benahin', 'donk', 'fitur', 'kayak', 'provider', 'safe', 'pulsa', '']</t>
  </si>
  <si>
    <t>['peningkatan', 'sistem', 'mati', 'sinyalnya', 'maen', 'tingkat', 'tingkatkan', 'becus', 'penanganannya', 'ganti', 'provider', 'kek', 'nyesel', 'banget', 'beli', 'paket', 'kunjung', 'dapet', 'uda', 'kepotong', 'pulsa']</t>
  </si>
  <si>
    <t>['pas', 'buka', 'aplikasi', 'lemot', 'udh', 'pke', 'jaringan', 'wifi', 'ram', 'gb', 'paketnya', 'aneh', 'beda', 'tmn', 'gua', 'pengguna', 'simpati', 'pas', 'cek', 'aplikasi', 'harga', 'paketnya', 'beda', 'aneeeehhh', 'berpindah', '']</t>
  </si>
  <si>
    <t>['data', 'internet', 'eror', 'paket', 'unlimited', 'youtube', 'paket', 'unlimited', 'game', 'unlimited', 'tiktok', 'telkomsel', 'bagus']</t>
  </si>
  <si>
    <t>['kecewa', 'kartu', 'daftar', 'paket', 'unlimitid', 'facebook', 'paket', 'data', 'ambil', 'berkali', 'kali', 'sperti', 'ber', 'pakai', 'tolong', 'telkomsel', 'konsumen', 'terbodohi', 'promo', 'paket', 'gitu', 'mlah', 'promo', 'hilangkan', 'mahalkan', '']</t>
  </si>
  <si>
    <t>['maaf', 'ragu', 'undian', 'penukaran', 'poin', 'undian', 'unum', 'pegawai', 'telkomsel', 'pengundiannya', 'transparan', 'menilai', 'akal', 'akalan', 'undian', 'telkomsel', 'poin', '']</t>
  </si>
  <si>
    <t>['kecewa', 'kualitas', 'produk', 'service', 'telkomsel', 'skrg', 'paket', 'internetnya', 'mahal', 'sinyal', 'internetnya', 'lemot', 'parah', 'sbg', 'pelanggan', 'setia', 'telkomsel', 'thn', 'kecewa', 'service', 'telkomsel', 'ganti', 'provider', 'sinyalnya', 'bagus', 'tarif', 'paket', 'internetnya', 'kantong', 'bolong', '']</t>
  </si>
  <si>
    <t>['semenjak', 'kartu', 'ganti', 'pascabayar', 'kartu', 'hallo', 'gini', 'iya', 'kuota', 'langsung', 'habis', 'gitu', 'limit', 'blm', 'nyampe', 'kuota', 'habis', 'iya', 'nunggu', 'tanggal', 'beli', 'kuota', 'mohon', 'pengertian', 'jga', 'koin', 'tuker', 'gini', 'mending', 'ganti', 'prabayar', 'ribet']</t>
  </si>
  <si>
    <t>['telkomsel', 'parah', 'banget', 'jaringan', 'koneksi', 'lemot', 'abis', 'maintenence', 'terkadang', 'koneksi', 'internet']</t>
  </si>
  <si>
    <t>['kecewe', 'telkomsel', 'knapa', 'beli', 'paket', 'combo', 'sakti', 'ribu', 'ribu', 'knapa', 'cek', 'pulsa', 'pulsa', 'dipotong', 'tolong', 'data', 'seluler', 'hidup', 'sengaja', 'pulsa', 'langsung', 'habis', 'tolong', 'telkomsel']</t>
  </si>
  <si>
    <t>['notifikasi', 'paket', 'combo', 'sakti', 'lumayan', 'murah', 'harga', 'nnya', 'pas', 'pencet', 'muncul', 'paket', 'cari', 'tersedia', 'kang', 'php', 'emang', '']</t>
  </si>
  <si>
    <t>['lahh', 'paket', 'ketengan', 'youtube', 'dipake', 'kuota', 'utamanya', 'udh', 'beli', 'kuota', 'utamanya', 'pas', 'ngeyoutube', 'kesedot', 'kuota', 'utamanya', 'kuota', 'youtube', 'gimana', 'nihh', 'telkomsel', '']</t>
  </si>
  <si>
    <t>['baca', 'komen', 'mending', 'pindah', 'operator', 'telkomsel', 'memberlakukan', 'pembatasan', 'kuota', 'gunain', 'kuota', 'unlimited', 'sesuka', 'hati', 'pindah', 'drpd', 'rugi', 'beli', 'paket', 'telkomsel', 'mahal', '']</t>
  </si>
  <si>
    <t>['gimana', 'telkomsel', 'harga', 'paket', 'isi', 'paket', 'sesuai', 'pembelian', 'kecewa', 'lihat', 'telkomsel', 'sesuai', 'fakta', 'data', 'paket', 'pembohong', 'publik', 'kecewa', 'telkomsel']</t>
  </si>
  <si>
    <t>['payah', 'kesini', 'internetnya', 'telkomsel', 'lemot', 'embel', 'embel', 'paket', 'combo', 'kuotanya', 'dipake', 'tetep', 'kuota', 'utama', 'kena', 'coba', 'aktif', 'paket', 'mengikuti', 'aktif', 'nomer', 'kadang', 'dirumah', 'pakai', 'wifi', 'terkadang', 'sisa', 'terkadang', 'kuota', 'pas', 'diluar', 'paket', 'habis', 'kena', 'pulsa', 'utama', 'hamsyong', 'nomer', 'telkomsel', 'udah', 'th', 'ganti', 'skrg', 'kecewa', 'berat', '']</t>
  </si>
  <si>
    <t>['sinyal', 'telkom', 'anjlok', 'knpa', 'ngegame', 'suka', 'ilang', 'trus', 'patah', 'mohon', 'perbaiki', 'ping', 'jgan', 'paket', 'mahal', 'kualitas', 'sinyal', 'jelek', 'pengguna', 'telkom', 'kecewa', 'trmksh', '']</t>
  </si>
  <si>
    <t>['lihat', 'ulasan', 'negatif', 'gmana', 'telkomsel', 'kaya', 'gini', 'kartu', 'dianggap', 'terbaik', 'burik', 'jaringan']</t>
  </si>
  <si>
    <t>['tolonglah', 'sinyal', 'internet', 'telkomsel', 'perbaiki', 'cek', 'data', 'aplikasi', 'telkomsel', 'loading', 'gagal', 'sinyal', 'pakai', 'kecepatannya', 'tutup', 'mata', 'telinga', 'hai', 'telkomsel', 'pelangggan', 'kecewa', 'pelayanan', '']</t>
  </si>
  <si>
    <t>['cari', 'untung', 'gini', 'kali', 'harga', 'paketan', 'jaringan', 'busuk', 'mendingan', 'gulung', 'tikar', 'harga', 'paket', 'sesuai', 'kualitas', 'jaringan']</t>
  </si>
  <si>
    <t>['harga', 'paket', 'internet', 'bulanan', 'mahal', 'mahal', 'pilihan', 'kualitas', 'jaringan', 'stabil', 'semoga', 'operator', 'cepat', 'maju', 'tinggalkan', 'telkomsel', 'selamnya', '']</t>
  </si>
  <si>
    <t>['jaringan', 'telkomsel', 'hujan', 'parah', 'bener', 'sinyal', 'full', 'dipake', 'main', 'game', 'parah', 'bener', 'kaya', 'sinyal', 'putus', '']</t>
  </si>
  <si>
    <t>['kecelwa', 'telkomsel', 'aktifin', 'data', 'beli', 'paket', 'internet', 'apk', 'telkomsel', 'kepotong', 'aktif', 'datanya', 'pesan', 'pemberitahuan', 'pulsa', 'terpotong', 'langsung', 'masuk', 'data', 'aktifkan', 'detik', 'itupun', 'login', 'apknya', 'tolong', 'buatkan', 'pengaman', 'pulsa', 'terpotong', 'data', 'internet', 'aktif', '']</t>
  </si>
  <si>
    <t>['promo', 'pengguna', 'langganan', 'telkomsel', 'teman', 'teman', 'pengguna', 'jarang', 'telkomsel', 'promo', 'paketan', 'serba', 'murah']</t>
  </si>
  <si>
    <t>['jaringan', 'bagus', 'lemot', 'browsing', 'main', 'game', 'telkomsel', 'signal', 'lemah', 'kuota', 'terkuras', 'habis', 'sesuai', 'pemakaian', '']</t>
  </si>
  <si>
    <t>['beli', 'telkomsel', 'paket', 'unlimited', 'kuota', 'utamanya', 'udah', 'habis', 'jaringannya', 'bagus', 'buka', 'sosmed', 'tiktok', 'dll', 'kuota', 'utamanya', 'udah', 'habis', 'cuman', 'doang', 'udah', 'ngk', '']</t>
  </si>
  <si>
    <t>['gatau', 'kesini', 'buruk', 'jaringannya', 'tempatku', 'deket', 'tower', 'streaming', 'ditempat', 'lancar', 'kadang', 'delay', 'kayak', 'harga', 'datanya', 'nambah', 'nggak', 'koreksi', 'trouble', 'harga', 'iya', 'bagus']</t>
  </si>
  <si>
    <t>['jelek', 'banget', 'masuk', 'susah', 'klik', 'link', 'kunjung', 'muncul', 'sms', 'pas', 'gini', 'malesin', 'banget', 'beli', 'paket', 'kaya', 'sebelah', 'gampang', 'ganti', 'kartu', 'malesin', '']</t>
  </si>
  <si>
    <t>['jaringan', 'unlimited', 'game', 'lambat', 'banget', 'main', 'kalah', 'gegara', 'sinyalnya', 'down', 'rugi', 'mending', 'unlimited', 'kesel', 'tolong', 'diperbaiki', 'jaringan', 'unlimited', 'game', '']</t>
  </si>
  <si>
    <t>['memakai', 'telkomsel', 'telkomsel', 'dimana', 'kwalitas', 'jaringan', 'memuaskan', 'kasih', 'saran', 'pelanggan', 'combo', 'sakti', 'unlimited', 'harganya', 'koq', 'mohon', 'dimudahkan', 'donk', 'min', '']</t>
  </si>
  <si>
    <t>['menyukai', 'terbaik', 'telkomsel', 'jaringan', 'terbaik', 'menurun', 'kualitas', 'sinyal', 'jaringan', 'mahal', 'paket', 'data', 'jaringan', 'telkomsel', 'memburuk', '']</t>
  </si>
  <si>
    <t>['lost', 'connection', 'tolonglah', 'telkom', 'ranked', 'afk', 'gara', 'sinyal', 'hilang', 'mengecewakan', '']</t>
  </si>
  <si>
    <t>['telkomsel', 'istighfar', 'bagus', 'jaringan', 'jelek', 'gue', 'rekomendasi', 'bingung', 'nyari', 'kartu', 'fixs', 'nikartu', 'ganti', 'kartu', 'munkin', 'saanya', 'ganti', 'kartu', 'berkualitas', 'cuman', 'mikir', 'ditinggalkan', 'bintang', 'kukasih', 'bintang', 'berkualitas', 'kartu', 'axis', 'tri', 'bagus']</t>
  </si>
  <si>
    <t>['kehabisan', 'kuata', 'bingung', 'cari', 'kemana', 'mudah', 'ringan', 'jaringan', 'stabil', 'pool', 'pokoknya', 'max', 'banget']</t>
  </si>
  <si>
    <t>['kwota', 'cepat', 'habis', 'ngasih', 'iklas', 'ditambah', 'sekian', 'kali', 'isi', 'pulsa', 'rb', 'dikasih', 'poin', 'klw', 'dikasih', 'sich', 'takut', 'takut', 'kartu', 'murah', '']</t>
  </si>
  <si>
    <t>['telkomsel', 'provider', 'ternyekek', 'ksm', 'kalangan', 'harga', 'paketan', 'ekonomi', 'melemah', 'telkomsel', 'menyiksa', '']</t>
  </si>
  <si>
    <t>['aplikasinya', 'bagus', 'memudahkan', 'transaksi', 'pembelian', 'paket', 'komunikasi', 'butuhkan', 'request', 'pribadi', 'nelfon', 'operator', 'diadain', 'paket', 'data', 'internet', 'komplit', 'pembelian', 'sukses', 'telkomsel', 'team']</t>
  </si>
  <si>
    <t>['susah', 'buka', 'aplikasi', 'kebuka', 'suka', 'aplikasinya', 'gini', 'aplikasinya', 'gerangan', 'mohon', 'penjelasan', 'perbaiki', 'sistem']</t>
  </si>
  <si>
    <t>['sampah', 'jaringan', 'dipakai', 'ngelag', 'memuaskan', 'pelanggan', 'kuotanya', 'mahal', 'ngga', 'dinikmati', 'pindah', 'stabil', 'murah', 'kuotanya', 'telkomtod', 'asw', '']</t>
  </si>
  <si>
    <t>['orang', 'ngasih', 'bintang', 'ulasannya', 'knp', 'ratingnya', 'penipuan', 'gmn', 'aplikasinya', 'lelet', 'mohon', 'diperbaiki', '']</t>
  </si>
  <si>
    <t>['bismilah', 'assalamu', 'alaikum', 'warahmatullah', 'wabarakatuh', 'pengguna', 'member', 'telkomsel', 'setia', 'terpenuhi', 'apresiasi', 'hadiah', 'utama', 'hadiah', 'lainya', 'semoga', 'kali', 'beruntung', 'hadiah', 'tsb', 'membahagiakan', 'keluarga', 'aamiin', 'robball', 'alamiin', '']</t>
  </si>
  <si>
    <t>['kenap', 'telkomsel', 'beli', 'paket', 'promo', 'gb', 'hati', 'langsung', 'aktif', 'coba', 'ber', 'kali', 'tetep', 'giliran', 'beli', 'paket', 'emng', 'telkomsel', 'pajangan', 'mending', 'apus', 'sistem', 'nyedot', 'pulsa', 'nyalain', 'data', 'pas', 'paket', '']</t>
  </si>
  <si>
    <t>['update', 'bingung', 'chek', 'stempel', 'hadiah', 'mb', 'chek', 'terklaim', 'kuota', 'dapet', 'mundur', 'telkomsel', '']</t>
  </si>
  <si>
    <t>['semoga', 'layanan', 'jaringan', 'bagus', 'telkomsel', 'jaringan', 'telkomsel', 'bagus', 'bagus', 'promosi', 'promosi', 'terimakasih', 'telkomsel']</t>
  </si>
  <si>
    <t>['', 'php', 'woii', 'sukanya', 'kirim', 'sms', 'paket', 'internet', 'murah', 'dicoba', 'ngga', 'combo', 'sakti', 'sms', 'tarifnya', 'ngaktifin', 'paketnya', 'sms', 'paket', 'data', 'spesial', 'gb', 'dicoba', 'dosa', 'php', '']</t>
  </si>
  <si>
    <t>['paket', 'multimedia', 'gimana', 'nge', 'game', 'lambatnya', 'ampun', 'telkomsel', 'pelanggan', 'resah', 'gini', 'mending', 'beli', 'paket', 'kartu', '']</t>
  </si>
  <si>
    <t>['payah', 'paket', 'internet', 'malam', 'beli', 'dihilangkan', 'aplikasi', 'telkomsel', 'kasih', 'besok', 'udah', 'muncul', 'diperbaiki', 'penilaian', 'bintangnya', '']</t>
  </si>
  <si>
    <t>['oeeeeeee', 'telkomsel', 'gila', 'luuuuu', 'mahal', 'luuuuu', 'haaaa', 'tolong', 'mahal', 'mahal', 'kasian', 'orang', 'miskin', 'naikin', 'seribu', 'ngisih', 'pulsa', 'ribu', 'gb', 'uang', 'ribu', 'kembalinya', 'ribu', 'seribu', 'ribu', 'gb', 'nggak', 'isi', 'ribu', 'uangnya', 'ribu', 'ribu', 'kemahalan', 'mohon', 'pengertiannya', 'wahaii', 'orang', 'tksl', '']</t>
  </si>
  <si>
    <t>['udah', 'isi', 'pulsa', 'gamasuk', 'udah', 'bayar', 'gopay', 'saldo', 'gopay', 'berkurang', 'coba', 'isi', 'via', 'gojek', 'masuk', 'tolong', 'pulsa', 'knya', 'dimasukin', 'balikin', 'deh', 'saldonya', 'gopay']</t>
  </si>
  <si>
    <t>['sedot', 'pulsa', 'makan', 'uang', 'usaha', 'pertanggung', 'jawabkan', 'perbuatan', 'diakhirat', 'hati', 'hati', 'org', 'kb', 'rp', 'screenshot', 'sblm', 'cek', 'udah', 'tempel', 'rp', 'kuota', 'habis', 'matiin', 'jaringan', 'main', 'comot', 'pulsa', 'kmarin', 'nikmatin', 'uang', 'usaha', 'luuu', 'thank', 'pelayanan', 'semangat', 'lanjutkan', 'usahanya']</t>
  </si>
  <si>
    <t>['telkomsel', 'jaringan', 'suka', 'hilang', 'buruk', 'emang', 'ngga', 'perhatikan', 'keluhan', 'pengguna', 'udah', 'harga', 'mahal', 'bagus', 'hancur', 'liat', 'pengguna', 'telkomsel', 'pindah', 'provider', 'peduli', 'keluhan', 'pengguna', 'rasakan', '']</t>
  </si>
  <si>
    <t>['', 'allah', 'telkomsel', 'jaringannya', 'buruk', 'jaringan', 'terputus', 'kali', 'mati', 'data', 'nyalakan', 'buruk']</t>
  </si>
  <si>
    <t>['jaringan', 'telkom', 'kntol', 'diandalkan', 'mahal', 'paket', 'unlimited', 'ngelag', 'bisnis', 'kayak', 'kntol', 'anjggg', 'sesukses', 'org', 'make', 'elu', 'mudah', 'ketemu', 'jatuh', 'rasain', 'gimana', 'pengguna', 'puas']</t>
  </si>
  <si>
    <t>['sebulan', 'jaringan', 'stabil', 'kadang', 'kadang', 'internet', 'jalan', 'paket', 'data', 'support', 'jaringan', 'parah']</t>
  </si>
  <si>
    <t>['pelanggan', 'setia', 'telkomsel', 'paket', 'mahal', 'bak', 'sultan', 'beli', 'org', 'hebat', 'telkomsel', 'rasain', 'daerah', 'turun', 'jaringan', 'ber', 'expetasi', 'kecewa', 'game', 'terganggu', 'kerja', 'keganggu', 'pas', 'santai', 'ganggu', 'gara', 'gara', 'jaringan', 'lemot', 'luncurin', 'bkn', 'bagus', 'lemot', 'bersyukur', 'banget', 'posting', 'ulasannya', 'mengeluh']</t>
  </si>
  <si>
    <t>['woy', 'telkomsel', 'tolong', 'perbaiki', 'jaringan', 'sumpah', 'gua', 'kesel', 'banget', 'sinyal', 'telkomsel', 'jaman', 'udah', 'maju', 'gini', 'sinyalnya', 'nggak', 'nambah', 'bagus', 'jelek', 'udah', 'harga', 'kuota', 'dinaikan', 'kekuatan', 'sinyalnya', 'nambah', 'buruk', 'dasar', 'telkomsel', 'telkomsel', 'bisanya', 'manfaatin', 'udh', 'pandemi', 'daring', 'sinyalnya', 'jelek', 'menganggu', 'pelajar', '']</t>
  </si>
  <si>
    <t>['kadang', 'udah', 'paket', 'masak', 'pulsa', 'utama', 'paket', 'nelpon', 'udah', 'aktif', 'bgtu', 'kadang', 'beli', 'paket', 'internet', 'kuota', 'masi', 'pulsa', 'kesedot', 'kecewa', 'udah', 'tsel', 'jaringan', 'kadang', 'stabil', 'skrg', 'sperti']</t>
  </si>
  <si>
    <t>['gimanasih', 'telkomsel', 'berkali', 'habis', 'ngisi', 'pulsa', 'paket', 'internet', 'unlimited', 'dpt', 'tlp', 'sms', 'pulsa', 'sisa', 'selang', 'jam', 'pulsa', 'nol', 'dipakai', 'tlp', 'tolong', 'telkomsel', 'gitu', 'perbaiki', 'layanannya']</t>
  </si>
  <si>
    <t>['telkomsel', 'wilayah', 'jabar', 'jaringan', 'buruk', 'banget', 'kualitas', 'sprti', 'buruk', 'normal', 'sebulan', 'kemaren', 'sinyal', 'gpp', 'skarang', 'lemot', 'banget', 'parah', 'pkonya', 'kecewa', 'sumpah']</t>
  </si>
  <si>
    <t>['matap', 'banget', 'telkomsel', 'semoga', 'kedepan', 'bagus', 'pelayanan', 'salut', 'telkomsel', 'semoga', 'undian', 'telkomsel', 'poin', 'amin', 'amin', 'amin', '']</t>
  </si>
  <si>
    <t>['bgusss', 'apliksinya', 'cuman', 'jaringan', 'telkomsel', 'sebagus', 'masak', 'mati', 'listrik', 'jringan', 'hilang', 'total', 'khusus', 'kota', 'pekanbaru', 'jaringan', 'baikin', 'pelanggan', 'tdak', 'kecewa', 'memakai', 'telkomsel', 'thanks']</t>
  </si>
  <si>
    <t>['scroll', 'tiktok', 'buka', 'you', 'tube', 'main', 'game', 'behhhhhhhhhhhhhh', 'parah', 'jaringan', 'tolong', 'gimana', 'nihhh', 'gua', 'buli', 'goblk', 'oon', 'bodoh', 'pdhl', 'jaringan', 'heduhhhhhhhh', 'gimana', 'yak', 'jelasin', 'knp', 'gitu', '']</t>
  </si>
  <si>
    <t>['telkomsel', 'terhormat', 'jaringan', 'internet', 'parah', 'sehabis', 'magrib', 'sampe', 'jam', 'malam', 'main', 'game', 'streaming', 'youtube', 'dll', 'tolong', 'benerin', 'pengen', 'untungnya', 'doang', 'pengguna', 'simpati', 'udah', 'harga', 'paketnya', 'mahal', 'kualitas', 'jaringannya', 'bener', 'buruk', 'buruk', 'mengecewakan', 'lokasi', 'pandeglang', 'banten', 'indonesia', '']</t>
  </si>
  <si>
    <t>['pelayanan', 'telkomsel', 'merosot', 'jaringan', 'down', 'kecewa', 'membeli', 'kuota', 'memiliki', 'pulsa', 'mengaktifkan', 'data', 'pulsa', 'tersedot', 'membeli', 'kuota', 'telkomsel', 'tolong', 'bug', 'mohon', 'perbaiki', 'sgt', 'nyaman', '']</t>
  </si>
  <si>
    <t>['penukaran', 'poin', 'kayaknya', 'penukaran', 'poin', 'kupon', 'voucher', 'gag', 'terkirim', 'penukaran', 'poin', 'voucher', 'kupon', 'dikirimkan', 'zonk', '']</t>
  </si>
  <si>
    <t>['extra', 'kuota', 'harian', 'gb', 'rb', 'sehari', 'berkurang', 'gg', 'kecewa', 'kasih', 'bintang', '']</t>
  </si>
  <si>
    <t>['wilayah', 'pekon', 'talagening', 'kec', 'kota', 'agung', 'barat', 'kab', 'tanggamus', 'prov', 'lampung', 'mohon', 'sinyalnya', 'perbaiki', 'karna', 'sinyal', 'telkomsel', 'error', 'berdekatan', 'tower', 'telkomsel', 'tks', '']</t>
  </si>
  <si>
    <t>['hallo', 'telkomsel', 'kecewa', 'telkomsel', 'pulsa', 'berkurang', 'paket', 'data', 'jaringan', 'paketin', 'tlp', 'gratis', 'operator', 'menit', 'gratis', 'tlp', 'pulsa', 'pakai', 'bwt', 'tlp', 'sms', 'atw', 'data', 'kemana', 'pulsa', 'hilang', 'trus', 'pencuri', 'tolong', 'perbaiki', 'telkomsel', '']</t>
  </si>
  <si>
    <t>['memperpanjang', 'aktif', 'kartu', 'telkomsel', 'isi', 'pulsa', 'kasi', 'saran', 'udah', 'beli', 'voucher', 'telkomsel', 'enak', 'udh', 'aktif', 'isi', 'pulsa', 'terkadang', 'duit', 'menipis', 'konter', 'kuota', 'beli', 'mahal', 'harganya', 'tolong', 'udah', 'isi', 'kuota', 'voucher', 'udh', 'aktif', 'kasi', 'bintang', 'deh', 'tolong', 'tanggepin', 'ubah', 'peraturan', '']</t>
  </si>
  <si>
    <t>['kecewa', 'menyesal', 'telkomsel', 'telkomsel', 'buruk', 'buruk', 'beli', 'kuota', 'mahal', 'mahal', 'taunya', 'jaringannya', 'parah', 'bandingkan', 'kartu', 'menutur', 'telkomsel', 'buruk']</t>
  </si>
  <si>
    <t>['telkom', 'baby', 'ngelek', 'indihome', 'ngaco', 'telkom', 'telkom', 'ngaco', 'indihome', 'perbaiki', 'kantor', 'bakar', 'merugikan', 'orang', 'syaa', 'bayan', 'rb', 'pulsa', 'game', 'stuck', 'jelek']</t>
  </si>
  <si>
    <t>['beli', 'paket', 'promo', 'pulsa', 'udah', 'pas', 'gagal', 'pulsa', 'lebihin', 'dikit', 'gagal', 'sampe', 'pulsa', 'berkurang', 'tolong', 'telkomsel', 'niat', 'ngasih', 'promo', 'ditampilkan', 'ngabis', 'in', 'pulsa']</t>
  </si>
  <si>
    <t>['harga', 'paketnya', 'gb', 'omg', 'rb', 'rb', 'rb', 'sekalinya', 'langsung', 'drastis', 'harganya', 'rekomen', '']</t>
  </si>
  <si>
    <t>['sinyal', 'lemot', 'parah', 'udh', 'kaya', 'simpati', 'udh', 'koment', 'menumpuk', 'buktinnya', 'respon', 'cmn', 'memperbaiki', 'gangguan', 'alami', 'login', 'game', 'ngerespon', 'sinyal', 'udh', 'bagus', 'edit', 'ulasan', '']</t>
  </si>
  <si>
    <t>['kartu', 'simpati', 'kuota', 'internet', 'dab', 'aktif', 'internet', 'pulss', 'reguler', 'terpotong', '']</t>
  </si>
  <si>
    <t>['hallo', 'telkomsel', 'bgus', 'jringannya', 'kecewa', 'telkomsel', 'beli', 'paket', 'mahal', 'jringan', 'susah', 'unlimated', 'jringan', 'stabil', 'susah', 'gerangan', 'telkomsel', '']</t>
  </si>
  <si>
    <t>['signal', 'parah', 'banget', 'dipaksakan', 'promo', 'pas', 'klik', 'promonya', 'hilang', 'php', '']</t>
  </si>
  <si>
    <t>['parah', 'kli', 'udah', 'skrng', 'telkomsel', 'udah', 'mahal', 'unlimited', 'sampe', 'tgl', 'juli', 'abis', 'masi', 'tgl', 'gabis', 'abis', 'unlimited', 'kek', 'gitu', 'rugi', 'murah', 'harga', 'gamau', 'lgi', 'nyesal', 'sumpah', 'mudah', 'org', 'cari', 'duit', 'kau', '']</t>
  </si>
  <si>
    <t>['knp', 'paket', 'data', 'nggak', 'digunain', 'nonton', 'beli', 'unlimited', 'multimedia', 'aktif', 'paket', 'gangguan', 'telkomsel', 'nggak', 'buka', 'youtube']</t>
  </si>
  <si>
    <t>['jaringan', 'memadai', 'kecewa', 'telkomsel', 'korupsinya', 'kartu', 'jaringan', 'corot', 'bagusankartu', 'sumpah', 'kecewa', 'telkomsel', 'bangsad']</t>
  </si>
  <si>
    <t>['telkomsel', 'pulsa', 'ambil', 'ama', 'telkomsel', 'gue', 'ngutang', 'pulsa', 'telkomsel', 'pas', 'gue', 'sisain', 'pulsa', 'pas', 'gue', 'liat', 'sisa', 'halah', 'dasar', 'telkomsel', '']</t>
  </si>
  <si>
    <t>['aplikasi', 'bagus', 'membeli', 'paket', 'sesuai', 'tpi', 'tolong', 'aplikasi', 'perbaiki', 'karna', 'paket', 'beli', 'tpi', 'terpenuhi']</t>
  </si>
  <si>
    <t>['jujur', 'kecewa', 'telkomsel', 'kali', 'terkena', 'pemotongan', 'pulsa', 'cuman', 'ribu', 'sampe', 'ribu', 'uang', 'segitu', 'uang', 'segitu', 'susah', 'nyari', 'padhal', 'syaa', 'berhutang', 'pulsa', 'membeli', 'paket', 'apapun', 'pulsa', 'otomatis', 'potong', 'mohon', 'developer', 'telkomsel', 'tindak', 'lanjuti', 'karna', 'rakyat', 'susah', 'mencari', 'nafkah']</t>
  </si>
  <si>
    <t>['kuota', 'belajar', 'dipakai', 'nanya', 'layanan', 'telkomsel', 'pakai', 'kuota', 'utama', 'isi', 'habis', 'kuota', 'belajar', 'kepakai', 'nipu', 'eror', 'intinya', 'kuota', 'belajar', 'dipakai', 'kuota', 'utama', 'ludes']</t>
  </si>
  <si>
    <t>['bebrapa', 'mencoba', 'membeli', 'paket', 'internet', 'telkomsel', 'mengecewakan', 'paket', 'hidupin', 'cepet', 'kali', 'comot', 'pulsa', 'mohon', 'perbaiki', 'mohon', 'perhatikan', 'keluhan', 'pelanggan', '']</t>
  </si>
  <si>
    <t>['kecewa', 'telkomsel', 'drumah', 'maen', 'game', 'enak', 'skrg', 'ping', 'sinyal', 'buruk', 'emosi', 'makee', 'telkomsel', 'dirumah', 'main', 'game', 'gamer', 'make', 'telkomsel', 'daerah', 'auot', 'losssssssssssssss']</t>
  </si>
  <si>
    <t>['bintang', 'sinyal', 'terkadang', 'lemot', 'nonton', 'live', 'streaming', 'aplikasi', 'loading', 'pertahankan', 'bintang', '']</t>
  </si>
  <si>
    <t>['kombo', 'sakti', 'anlimitit', 'kecewa', 'beli', 'paket', 'rela', 'hutang', 'iklan', 'tampa', 'hambatan', 'mhon', 'perbaikanya', 'konsumen', 'memakai', 'telkomsel', 'trimakasih', '']</t>
  </si>
  <si>
    <t>['masyaallah', 'beli', 'pulsa', 'kepake', 'beli', 'kuota', 'ceria', 'sisa', 'ribu', 'hilang', 'gmna', 'udah', 'kali', 'klau', 'ribu', 'gamasalah', 'ribu', 'krisis', 'gini', 'gmna', 'fiks', 'telkomsel', '']</t>
  </si>
  <si>
    <t>['jaringan', 'telkomsel', 'udh', 'parah', 'banget', 'asik', 'main', 'game', 'kadang', 'hilang', 'jaringannya', 'teman', 'complain', 'jaringan', 'telkomsel', 'udh', 'mahal', 'jaringannya', 'udh', 'bagus']</t>
  </si>
  <si>
    <t>['memuaskan', 'paketan', 'ditawarkan', 'multimedia', 'kepakai', 'paketan', 'internetnya', 'cepat', 'habis', 'terpaksa', 'bintang', 'bintang', 'uninstall']</t>
  </si>
  <si>
    <t>['paketan', 'byk', 'promo', 'kalah', 'provider', 'sebelah', 'sinyal', 'bagus', 'sinyal', 'jaringan', 'internet', 'duh', 'mesti', 'ditingkatkan', 'pengguna', 'tsel', 'udah', 'semoga', 'depannya', 'dapet', 'promo', 'murah', 'murah', 'kartu', 'sinyal', 'inetnya', 'kemajuan', '']</t>
  </si>
  <si>
    <t>['jaringan', 'internet', 'parahhh', 'enak', 'main', 'game', 'signal', 'hilang', 'bnget', 'kyk', 'gini', 'buang', 'duit', 'beli', 'paket', 'habisin', 'paket', 'udh', 'trlnjur', 'kebeli', 'syang', 'hbis', 'gnti', 'operator', 'cape', 'deehhh', '']</t>
  </si>
  <si>
    <t>['unlimited', 'terbatas', 'online', 'shop', 'lemot', 'banget', 'pengen', 'pindah', 'operator', 'telkomsel', 'tower', 'sedih', '']</t>
  </si>
  <si>
    <t>['sependapat', 'teman', 'jaringan', 'internet', 'menjengkelkan', 'kartu', 'msh', 'sarankan', 'upgrade', 'jaringanya', 'kuat', 'upgrade', 'sesuai', '']</t>
  </si>
  <si>
    <t>['kenpa', 'pakai', 'pulsa', 'darurat', 'tpi', 'pas', 'isi', 'pulsa', 'pulsanya', 'lgsung', 'ambil', 'dapet', 'sms', 'melunasi', 'paket', 'darurat', 'tpi', 'pakai', 'pulsa', 'darurat', 'nyaa', 'eror', 'gmna', '']</t>
  </si>
  <si>
    <t>['paket', 'gb', 'ribu', 'ribu', 'mahal', 'kecepatannya', 'bertambah', 'udh', 'banget', 'beli', 'pindah', 'deh']</t>
  </si>
  <si>
    <t>['sinyalmu', 'jlek', 'msuk', 'mytelkomsel', 'kuat', 'ngalami', 'udh', 'ragu', 'kasih', 'bintang', 'krena', 'bnykny', 'bintang', 'akn', 'mreka', 'berbenah', 'bls', 'komentar', 'cma', 'chatbot', '']</t>
  </si>
  <si>
    <t>['paket', 'combo', 'sakti', 'unlimeted', 'ribu', 'multimedia', 'gb', 'sisanya', 'kuota', 'normal', 'sayangnya', 'kuota', 'multimedia', 'kepake', 'kuota', 'utama', 'alhasil', 'sebulan', 'habis', 'kuota', 'utama', 'kuota', 'multimedia', 'kepake', 'untung', 'bnyak', 'telkomsel', 'emang', 'kasih', 'koota', 'multimedia', 'pakai', 'aplikasi', 'multimedia', 'otomatis', 'kuota', 'multimedia', 'kuota', 'utama', 'gini', 'pelanggan', 'ngrasa', 'rugi', 'nggak', 'salah', 'ksih', 'rvie', 'jlek']</t>
  </si>
  <si>
    <t>['', 'error', 'gagal', 'loading', 'skrg', 'aman', 'sya', 'pnya', 'paket', 'tlpon', 'msh', 'pnjang', 'dftar', 'pket', 'pndek', 'lma', 'dftar', 'pket', 'knpa', 'terpakai', 'msh', 'bru', 'dipaketin', 'pdhl', 'paket', 'msh', '']</t>
  </si>
  <si>
    <t>['combo', 'udah', 'langganan', 'bulanya', 'diadakan', 'combo', 'pengganti', 'paket', 'nelpon', 'separonya', 'menit', 'mengecewakan', 'harga', 'papa', 'kuotanya', 'kurangi', 'dooong']</t>
  </si>
  <si>
    <t>['eror', 'telkomsel', 'gua', 'udh', 'daftar', 'paket', 'data', 'nunggu', 'notifikasi', 'banget', 'paket', 'data', 'masuk', 'pulsa', 'habis', 'rupiah', 'tolong', 'benarin', 'sperti', 'jaringan', 'lemot', 'jdi', 'kyak', 'kartu', 'murahan', 'ngapa', 'ngapain', 'pending', 'parah', 'jaringan', 'terputus', '']</t>
  </si>
  <si>
    <t>['tolong', 'diperbaiki', 'terkait', 'rentan', 'pembayaran', 'penerimaan', 'kuota', 'notifikasinya', 'pembayaran', 'diambil', 'cepat', 'notifikasi', 'berjam', 'jam', 'aplikasi', 'kuotanya', 'bertambah', 'paket', 'data', 'dinyalakan', 'pulsa', 'terambil', 'terima', 'kasih', '']</t>
  </si>
  <si>
    <t>['kemaren', 'tgl', 'tgl', 'beli', 'paket', 'aplikasi', 'maintenance', 'bintang']</t>
  </si>
  <si>
    <t>['harga', 'kuota', 'gb', 'rp', 'rampok', 'bank', 'telkomsel', 'simpati', 'gimana', 'beli', 'kuota', 'belajar', '']</t>
  </si>
  <si>
    <t>['dibanding', 'provider', 'telkomsel', 'sinyalnya', 'ancur', 'dipusat', 'kota', 'bandung', 'masuk', 'ruangan', 'lngsng', 'kdang', 'edge', 'knpa', 'pengiritan', 'smpai', 'nunggu', 'ditinggal', 'pelanggan', '']</t>
  </si>
  <si>
    <t>['', 'aplikasi', 'telkomsel', 'membeli', 'paket', 'data', 'internet', 'paket', 'conference', 'pendidikan', 'paket', 'internet', 'malam', '']</t>
  </si>
  <si>
    <t>['ngak', 'asik', 'telkomselnya', 'teman', 'combo', 'sakti', 'murah', 'murah', 'udah', 'langganan', 'kecewa', '']</t>
  </si>
  <si>
    <t>['beli', 'paket', 'internet', 'telkomsel', 'pulsa', 'koneksi', 'disitu', 'keterangannya', 'sistem', 'sibuk', 'berkali', 'kali', 'coba', 'tolong', 'perbaiki', 'karna', 'cuman', 'telkomsel', 'paket', 'gb', 'memakai', 'pulsa']</t>
  </si>
  <si>
    <t>['tukar', 'poin', 'saldo', 'link', 'kog', 'aplikasinya', 'banget', 'point', 'kaga', 'berfaidah', 'ultah', 'nyusahin', 'org', 'point', 'bagus', 'ditukar', 'ditukar', 'error', 'alasan', 'alibi', 'promo', 'berguna', 'ngerti', '']</t>
  </si>
  <si>
    <t>['woy', 'provider', 'anak', 'bangsa', 'boong', 'gua', 'providernya', 'orang', 'elite', 'gtu', 'sma', 'strata', 'elite', 'napa', 'ngasih', 'paket', 'bener', 'gua', 'beli', 'gamemax', 'khusus', 'taunya', 'down', 'mode', 'pesawat', 'dlu', 'bru', 'lancar', 'game', 'membodohi', 'masyarakat', 'say', 'gua', 'untung', 'gaji', 'karyawan', 'gini', 'jugalah', 'sinyalnya', 'coba', 'dlu', 'perluas', 'sinyalnya', 'daerah', 'terpencil', 'laju', 'gua', 'rugi', 'beli', 'paket', 'benerin', 'sinyal', 'elite', 'tpi', 'gni']</t>
  </si>
  <si>
    <t>['jaringan', 'minggu', 'jelek', 'main', 'game', 'pubg', 'jaringan', 'putus', 'lag', 'parah', 'padah', 'tinggl', 'kota', 'tolong', 'perbaiki']</t>
  </si>
  <si>
    <t>['bru', 'isi', 'saldo', 'link', 'masuk', 'telkomsel', 'langsung', 'masuk', 'mnt', 'masuk', 'error', 'app', 'link', 'app', 'telkomsel', '']</t>
  </si>
  <si>
    <t>['benerin', 'sinyal', 'udah', 'paket', 'mahal', 'sinyal', 'burik', 'harga', 'kualitas', 'proriritas', 'sinyal', 'paket', 'doang', 'mahal', '']</t>
  </si>
  <si>
    <t>['mohon', 'maaf', 'telkomsel', 'mengalami', 'gangguan', 'nyatana', 'make', 'telkomsel', 'mengalami', 'harga', 'paketan', 'termahal', 'provaider', 'hak', 'berbeda', 'contohnya', 'membeli', 'paket', 'dngn', 'harga', 'ribu', 'temen', '']</t>
  </si>
  <si>
    <t>['lemot', 'jaringannya', 'percumah', 'beli', 'paket', 'gede', 'sma', 'mahal', 'langganan', 'kepake', 'doang', 'youtube', 'sma', 'gaming', 'lemotnya', 'ampun', 'tolong', 'prbaiki', 'jngn', 'kecewa', 'planggan', '']</t>
  </si>
  <si>
    <t>['sebenernya', 'niat', 'aplikasi', 'plis', 'kouta', 'mahal', 'apah', 'nyengkek', 'rakyat', 'ganti', 'kartu', 'telkomsel', 'sinyal', 'problem', 'kouta', 'nyengkek', 'rakyat', '']</t>
  </si>
  <si>
    <t>['mohon', 'bantuannya', 'daerah', 'bumi', 'harta', 'way', 'kandis', 'kecamatan', 'tanjung', 'senang', 'kota', 'bandarlampung', 'susah', 'sinyal', 'telkomsel', 'daerah', 'kota', 'madya', 'bandar', 'lampung', 'buruk', 'sinyal', 'pelayanan', 'telkomsel']</t>
  </si>
  <si>
    <t>['kuota', 'unlimited', 'dibatasi', 'beli', 'unlimited', 'sepuas', 'batasi', 'unlimited', 'engga', 'sepuas', 'tolong', 'kembalikan', 'kek', 'pelanggan', 'puas', 'gegara', 'paket', 'unlimited', 'terima', 'kasih', 'min']</t>
  </si>
  <si>
    <t>['nanya', 'nomor', 'hilang', 'nomor', 'nomor', 'terdaftar', 'memakai', 'nik', 'tolong', 'dikonfirmasi', 'grafari', 'gabisa', 'nomor', 'diproduksi', 'kocak', 'kegunaan', 'daftar', 'pakai', 'nik', 'nyuri', 'data', '']</t>
  </si>
  <si>
    <t>['beli', 'kuota', 'mahal', 'pas', 'kuota', 'lag', 'cuman', 'striming', 'trs', 'kualitas', 'videonya', 'cuman', 'giliran', 'download', 'apk', 'sinyal', 'nyampe', 'mpb', 'kae', 'gini', 'mending', 'pindah', 'smartfren', '']</t>
  </si>
  <si>
    <t>['telkomsel', 'karuan', 'kualitasnya', 'bener', 'lemot', 'sinyal', 'suka', 'ilang', 'terbaik', 'dannn', 'harga', 'paket', 'kuota', 'tolong', 'diperhatikan', 'masak', 'pengguna', 'kartu', 'dikasih', 'harga', 'mahal', 'ketimbang', 'anehh', 'banget', 'deh', 'telkomsel', 'setia', 'telkomsel', 'pengguna', 'dikasih', 'harga', 'mahal', '']</t>
  </si>
  <si>
    <t>['harga', 'kuotanya', 'merepotkan', 'konsumen', 'rb', 'rb', 'rb', 'tersedia', 'banking', 'pecahan', 'segitu', 'musti', 'beli', 'rb', 'rb', 'rb', 'marketing', 'gitu']</t>
  </si>
  <si>
    <t>['kebiasaan', 'sinyal', 'jelek', 'maen', 'sedot', 'pulsa', 'ngga', 'suka', 'isi', 'pulsa', 'maketin', 'internet', 'mesti']</t>
  </si>
  <si>
    <t>['kali', 'ganti', 'paket', 'mohon', 'pemberitahuan', 'yaa', 'mass', 'pakek', 'combo', 'unlimited', 'gb', 'pas', 'daftarin', 'udah']</t>
  </si>
  <si>
    <t>['jaringan', 'telkomsel', 'lumayan', 'buruk', 'promo', 'paket', 'murah', 'beli', 'paket', 'sebulan', 'unlimited', 'ytbe', 'tiktokdll', 'skrg', 'liat', 'youtube', 'paket', 'data', 'berkurang', 'pdhl', 'tertulis', 'unlimited', 'mengecewakan', 'tlg', 'penjelasanya']</t>
  </si>
  <si>
    <t>['bagus', 'penukaran', 'point', 'tanda', 'point', 'donasikan', 'cepat', 'mudah', 'penukar', 'point', 'donasi', 'undian', 'sekian', 'terimakasih']</t>
  </si>
  <si>
    <t>['beli', 'paket', 'disney', 'hotstar', 'gagal', 'jaringan', 'bagus', 'pulsa', 'beli', 'paket', 'hotstar', 'tulisan', 'sistem', 'sibuk', 'tolong', 'perbaiki', 'kayak', 'gini', 'kualitas']</t>
  </si>
  <si>
    <t>['tolong', 'min', 'tambahin', 'fitur', 'aplikasinya', 'apk', 'sebelah', 'fitur', 'dimana', 'ngunci', 'pulsa', 'paket', 'data', 'udah', 'habis', 'pulsanya', 'kesedot', 'ttp', 'aman', 'kehilangan', 'pulsa', 'paket', 'data', 'abis', 'semoga', 'ditambahin', 'beneran', 'pulsa', 'hilang', 'tts', '']</t>
  </si>
  <si>
    <t>['cintai', 'produk', 'dlm', 'negeri', 'mahalnya', 'ampun', 'ampun', 'deh', 'pindah', 'sebelah', 'byr', 'ovo', 'link', 'kemarin', 'lhoo', '']</t>
  </si>
  <si>
    <t>['astaga', 'buka', 'aplikasinya', 'pas', 'buka', 'layarnya', 'putih', 'signal', 'apapun', 'wifi', 'paket', 'internet', 'los', 'dibiarin', 'aplikasinya', 'ketutup', 'force', 'close', 'gitu', 'coba', 'perbaikin', 'kasih', 'update', 'gimana', 'sistem', 'android', 'gini', 'masak', 'iya', 'pembaruan', 'sistem', 'android', 'diperbaharui', 'kah', 'mengalami', 'kejadian', 'kek', 'gini', 'ganggu', 'banget', 'sumpah', 'woyy', '']</t>
  </si>
  <si>
    <t>['suka', 'banget', 'mytelkomsel', 'penawaran', 'paket', 'simpati', 'penawaran', 'paket', 'beda', 'bedain', 'paket', 'combo', 'sakti', 'murah', 'combo', 'omg', 'mahal', 'cepet', 'abis', 'beli', 'sesuai', 'zonasi', 'dapet', 'sinyal', 'bagus', 'bagus', '']</t>
  </si>
  <si>
    <t>['telkomsel', 'sinyalmu', 'hatiku', 'pilu', 'muter', 'melulu', 'ngga', 'jls', 'sedih', 'hatiku', 'telkomsel', 'sinyalmu', 'dlu', 'engkau', 'berubah', '']</t>
  </si>
  <si>
    <t>['pindah', 'jaringan', 'telkomsel', 'jaringan', 'taik', 'udah', 'bangrut', 'kah', 'mengatasi', 'jaringan', 'udah', 'mahal', 'taik', 'jaringan']</t>
  </si>
  <si>
    <t>['tolong', 'buatkan', 'mode', 'kunci', 'pulsa', 'pulsanya', 'kepake', 'paket', 'datanya', 'habis', 'dilapak', 'sebelah', 'promo', 'diskon', 'gede', 'gedean', 'minat', 'semoga', 'direspon']</t>
  </si>
  <si>
    <t>['jaringan', 'bagus', 'kasih', 'harga', 'mahal', 'main', 'game', 'udah', 'kagak', 'support', 'jaringan', 'telkomsel', 'sarani', 'tutup', 'udah', 'telkomsel', 'jaringan', 'bagus', 'apalah', '']</t>
  </si>
  <si>
    <t>['pas', 'pembelian', 'kouta', 'kouta', 'pas', 'internet', 'lancar', 'koutanya', 'beli', 'beli', 'pulsa', 'tolong', 'perbaikin', 'promonya', '']</t>
  </si>
  <si>
    <t>['paket', 'internet', 'kelas', 'telkomsel', 'loop', 'murah', 'jaringan', 'internetnya', 'miris', 'buruknya', 'sebanding', 'dng', 'harganya', 'aplikasi', 'telkomsel', 'lemot', 'kali', 'dibuka', 'udah', 'tahunan', 'langganan', 'mahal', 'kualitas', 'internet', 'buruk', 'next', 'ganti', 'provider', '']</t>
  </si>
  <si>
    <t>['sinyal', 'kampung', 'buaran', 'jarak', 'desa', 'bonisari', 'jelek', 'banget', 'simpati', 'tolong', 'perbaiki', 'malu', 'maluin', 'perusahaan', 'yng', 'ternama', 'sinyal', 'terluas', 'internet', 'lemot', 'bar', 'malu', 'iklan', 'terimakasih', 'semoga', 'kedepannya']</t>
  </si>
  <si>
    <t>['beli', 'paket', 'isi', 'ulang', 'unlimited', 'kyk', 'batas', 'wajar', 'batas', 'wajar', 'sosmed', 'game', 'dll', 'buka', 'mah', 'lancar', '']</t>
  </si>
  <si>
    <t>['jaringan', 'jelek', 'pindah', 'paket', 'hallo', 'kick', 'unlimited', 'bagus', 'jaringannya', 'jelek', 'tingkatkan', 'qualitas', 'jaringannya', 'merata', 'penjuru', 'daerah', 'qualitas', 'jaringan', 'jelek', '']</t>
  </si>
  <si>
    <t>['mohon', 'perbaiki', 'wilayah', 'surakarta', 'sinyal', 'jelek', 'sesuai', 'biaya', 'lipat', 'pembelian', 'kuota', 'gb', 'sebulan', 'kuota', 'bg', 'sesuai', 'pelayanan', 'gangguan', 'error', 'harga', 'kwalitas', 'jaga']</t>
  </si>
  <si>
    <t>['mohon', 'maaf', 'tolong', 'login', 'aplikasinya', 'nunggu', 'dikirim', 'link', 'sms', 'didaerah', 'sinyal', 'susah', 'login', 'sms', 'linknya', 'sampe']</t>
  </si>
  <si>
    <t>['telkomsel', 'masak', 'mengaktifkan', 'paket', 'darurat', 'aktif', 'ngisi', 'pulsa', 'otomatis', 'pulsa', 'langsung', 'kesedot', 'rb', 'kena', 'ginian', 'payah', 'payah', 'payaaaaah', 'merugikan', 'pelanggan', 'terusan', 'kayak', 'gini', 'pelanggan', 'kabur', 'lho', 'pindah', 'hati', 'pelanggan', 'telkomsel', 'kayak', 'gini', 'males', '']</t>
  </si>
  <si>
    <t>['aktifkan', 'paket', 'murah', 'ketimbang', 'telkomsel', 'harga', 'paket', 'harian', 'telkomsel', 'tertera', 'promo', 'promo', 'murah', 'mahal', 'mytelkomsel', 'penukaran', 'poin', 'susah', 'tukar', 'mohon', 'perbaiki', 'ditindak', 'pengguna', 'langganan', 'kecewa', 'terimakasih', '']</t>
  </si>
  <si>
    <t>['kecewa', 'aplikasi', 'sya', 'penipuan', 'kemarin', 'sya', 'dpt', 'sms', 'bgini', 'selamat', 'paket', 'pulsa', 'rp', 'aktif', 'berlaku', 'tgl', 'pkl', 'wib', 'cek', 'status', 'berhenti', 'berlangganan', 'telkomsel', 'apps', 'hub', 'info', 'pas', 'sya', 'daftar', 'plsa', 'dasarnya', 'lgi', 'habis', '']</t>
  </si>
  <si>
    <t>['tolong', 'telkomsel', 'sya', 'udah', 'sekli', 'kartu', 'telkomsel', 'daerah', 'sya', 'sngt', 'bgus', 'sinyal', 'kadang', 'pas', 'hujan', 'bagus', 'tpi', 'skrng', 'mlah', 'gini', 'angin', 'hujan', 'pas', 'bermain', 'game', 'ngelagg', 'ngelag', 'gini', 'trus', 'pengguna', 'telkomsel', 'mersa', 'nyaman', 'termsuk', 'tolong', 'perbaiki']</t>
  </si>
  <si>
    <t>['telkomsel', 'pakai', 'nokia', 'hitam', 'putih', 'pertamakali', 'skarang', 'ganti', 'nomor', 'beruntung', 'undian', 'hadiah', 'telkomsel', 'serasa', '']</t>
  </si>
  <si>
    <t>['telkomsel', 'ngeselinn', 'auto', 'ganti', 'kartu', 'beli', 'kuota', 'pendidikan', 'kuotanya', 'buka', 'ruang', 'guru', 'buka', 'cakap', 'buka', 'zoom', 'buka', 'widia', 'edu', 'mahal', 'beli', 'kuota', 'buang', 'duit', 'aplikasinya', 'lemot', 'banget', '']</t>
  </si>
  <si>
    <t>['jaringan', 'kacauu', 'layanan', 'kartu', 'halo', 'jaringan', 'prioritas', 'jaringan', 'suka', 'nge', 'lag', 'tibatiba', 'gabisa', 'buka', 'buka', 'aplikasi', 'zoom', 'masuk', 'karna', 'jaringan', 'main', 'game', 'lag', 'parah', 'jaringan', 'tarif', 'doang', 'mahal', 'sesuai', 'jaringan', 'jaringan', 'prioritas', 'embel', 'embel', 'taunya', 'kaya', 'kartu', 'prabayar', 'telkomsel', '']</t>
  </si>
  <si>
    <t>['aplikasi', 'telkomsel', 'hemat', 'kartu', 'unlimited', 'max', 'kuota', 'bln', 'harga', 'rb', 'biarpun', 'kuota', 'hbs', 'sblm', 'tgl', 'msh', 'akses', 'youtube', 'tiktok', '']</t>
  </si>
  <si>
    <t>['upgrade', 'simpati', 'halo', 'jaringan', 'prioritas', 'hilang', 'sinyal', 'kadang', 'jaringan', 'lemot', 'prabayar', 'ehh', 'ditawarin', 'via', 'tlp', 'marketing', '']</t>
  </si>
  <si>
    <t>['jaringan', 'tolong', 'diperbaiki', 'malam', 'main', 'game', 'lag', 'lemot', 'lag', 'jaringan', 'hilang', 'timbul', 'buka', 'browsing', 'lambat', 'stabil', 'telkomsel', 'kouta']</t>
  </si>
  <si>
    <t>['telkomsel', 'kartu', 'sultan', 'kualitas', 'pelayanan', 'buruk', 'baca', 'ulasan', 'kolom', 'komen', 'rasakan', '']</t>
  </si>
  <si>
    <t>['aplikasinya', 'jelek', 'sekelas', 'telkomsel', 'aplikasi', 'lelet', 'kayak', 'gini', 'sinyal', 'bagus', 'lelet', 'kentang', 'kentang', 'sinyal', 'jelek', 'hadehhhhhh', 'harga', 'kualitas', 'terbelakang']</t>
  </si>
  <si>
    <t>['parah', 'telkomsel', 'poin', 'gwe', 'menu', 'tukar', 'poin', 'kuota', 'gb', 'pas', 'tukar', 'maaf', 'sistem', 'sibuk', 'lebi', 'nunjukin', 'menu', 'tukar', 'poin', 'php']</t>
  </si>
  <si>
    <t>['jaringan', 'busuk', 'hilang', 'paket', 'mahal', 'harga', 'paket', 'sesuai', 'kualitas', 'jaringan', 'otw', 'pindah', 'kartu', 'tanggapi', 'bot', 'jaringan', 'sampe', 'perubahan', 'tetep', 'busuk', '']</t>
  </si>
  <si>
    <t>['beli', 'kartu', 'unlimited', 'sebulan', 'gb', 'lupa', 'harga', 'minggu', 'whsap', 'cht', 'kecewa', 'banget', 'sampe', 'gini', 'gini', 'beli', 'hedeh']</t>
  </si>
  <si>
    <t>['terimaksih', 'telkomsel', 'jaringan', 'perbaiki', 'kuat', 'berbelanja', 'kuota', 'permudah', 'permurah', 'terimakasih', 'the', 'bast', 'lahh', 'tingkatkan', 'developernya', '']</t>
  </si>
  <si>
    <t>['beli', 'paket', 'mahal', 'jaringan', 'jelek', 'pagi', 'siang', 'malem', 'beda', 'tetep', 'jelek', 'kartu', 'lancar', 'daerah', 'tolong', 'perbaiki', 'gini', 'pelanggan', 'pindah']</t>
  </si>
  <si>
    <t>['', 'sudh', 'grapari', 'telkomsel', 'sya', 'berhenti', 'berlangganan', 'pascabayar', 'tpi', 'nmornya', 'pkai', 'hrus', 'berlangganan', 'itupun', 'sruh', 'ambil', 'pket', 'termurah', 'emang', 'gitu', '']</t>
  </si>
  <si>
    <t>['daftar', 'paket', 'ngomongnya', 'kuota', 'tambahan', 'gb', 'daftarnya', 'jam', 'jam', 'udah', 'ilang', 'mah', 'cuman', 'jam', 'bos', 'gatau', 'aturannya', 'pindah', 'kuota', 'tambahan', 'ilang', '']</t>
  </si>
  <si>
    <t>['simpati', 'sinyalnya', 'lemot', 'kaya', 'keong', 'mohon', 'diperbaiki', 'kualitas', 'jaringannya', 'mahalnya', 'pakai', 'halo', 'jaringannya', 'jelek', 'banget', 'rugi', 'konsumen', 'jaringan', 'dipakai', 'bayar', '']</t>
  </si>
  <si>
    <t>['beli', 'kartu', 'ngisi', 'pulsa', 'masuk', 'sms', 'paket', 'aktif', 'pas', 'lihat', 'pulsa', 'habis', 'total', 'maaf', 'rugi', 'tolong', 'perbaiki', 'benahi', 'makan', 'gaji']</t>
  </si>
  <si>
    <t>['gimana', 'ngisi', 'sisa', 'masuk', 'akal', 'banget', 'kuota', 'abisnya', 'nelepon', 'aneh', 'tolong', 'jelaskanlah']</t>
  </si>
  <si>
    <t>['kirim', 'pulsa', 'kena', 'biaya', 'admin', 'ditambah', 'sisain', 'saldo', 'gilaa', 'benerr', 'org', 'pas', 'duit', 'pas', 'ngebantu', 'bangett', 'ditambah', 'sisain', 'saldo', 'kepotong', 'dikit', 'bukit', 'pulsa', 'mahal', 'paket', 'mahal', 'negara', 'kasih', 'free', 'internet', 'msh', 'bayar', 'mahal', 'main', 'potong', 'pulsa', 'org', 'sinyal', 'angot', 'korupsi', 'duit', 'pulsa', 'nyesekkk', 'bangett', '']</t>
  </si>
  <si>
    <t>['kasih', 'bintang', 'lumayan', 'bagus', 'jaringannya', 'telkomsel', 'adil', 'tarif', 'telpon', 'internet', 'perbedaan', 'tarif', 'jawa', 'indonesia', 'timur', 'papua', 'tarifnya', 'beda', 'dibanding', 'jawa', 'telkomsel', 'berlaku', 'adil', 'pertamina', 'menyamakan', 'harga', 'bbm', 'jawa', 'papua', '']</t>
  </si>
  <si>
    <t>['pulsa', 'tersedot', 'paket', 'berlangganan', 'apapun', 'tersedot', 'mengaktifkan', 'paket', 'habis', 'pulsa', 'terpakai', 'paket']</t>
  </si>
  <si>
    <t>['udh', 'voucher', 'mahal', 'sinyal', 'kek', 'babi', 'voucher', 'mahal', 'sinyal', 'kek', 'babi', 'sumpah', 'kecewa', 'temen', 'kecewa', 'smua', 'percaya', 'telkom', '']</t>
  </si>
  <si>
    <t>['telkomsel', 'emang', 'udah', 'bagus', 'bagusnya', 'jaringan', 'harga', 'ancurr', 'paraaahhhh', 'oke', 'harga', 'problem', 'jaringan', 'sumpah', 'lemotnya', 'ampun', 'zaman', 'zaman', 'internetan', 'wait', 'edan', 'emang', 'telkomsel', 'payaahhhh']</t>
  </si>
  <si>
    <t>['jaringan', 'gangguan', 'mahal', 'doang', 'sinyal', 'bermasalah', 'melulu', 'ganti', 'provider', 'udah', 'setahun', 'alasannya', 'ganguan', 'sistem', 'perbaikan', 'kelar', 'anehhhhh']</t>
  </si>
  <si>
    <t>['kecewa', 'paket', 'telkomsel', 'jaringannya', 'bagus', 'dipakai', 'buka', 'sosmed', 'muter', 'muter', 'dipakai', 'nge', 'game', 'ancur', 'jaringan', 'buka', 'youtube', 'parah', 'muternya', 'tolong', 'diperbaiki', 'kualitas', 'jaringannya', 'harga', 'paketnya', 'mahal', 'sebanding', 'kualitas', 'jaringannya', '']</t>
  </si>
  <si>
    <t>['paket', 'data', 'mahal', 'jaringan', 'jelek', 'papua', 'jawa', 'bagus', 'jaringan', 'jawa', 'sok', 'sok', 'benerin', 'gnya', '']</t>
  </si>
  <si>
    <t>['paket', 'tertera', 'tertulis', 'sukses', 'paketnya', 'dipake', 'telpon', 'paketan', 'penawaran', 'tersedia', 'telpon', 'csnya', 'gunanya', 'aplikasi', '']</t>
  </si>
  <si>
    <t>['tolong', 'diperbaiki', 'kesetabilanny', 'tempet', 'deket', 'tower', 'knp', 'lelet', 'pelanggan', 'setia', 'kasi', 'bintang', '']</t>
  </si>
  <si>
    <t>['provider', 'terkenal', 'harga', 'paketan', 'mahal', 'paket', 'sultan', 'gtu', 'doang', 'sinyal', 'beehhhhhhh', 'ngenes', 'cepat', 'semut', 'lari', 'masukan', 'telkomsel', 'cari', 'untung', 'doang', 'kualitas', 'sinyalnya', 'perbaiki', 'malu', 'provider', '']</t>
  </si>
  <si>
    <t>['beli', 'kuota', 'bayar', 'seharga', 'dibayar', 'isi', 'pulsa', 'pagi', 'udah', 'isi', 'pulsa', 'kepotong', 'kepotong', 'terpotong', 'masuk', 'pemberitahuan', 'melunasi', 'utang', 'pulsanya', 'gimana', 'metode', 'pembayaran', 'dirugikan', '']</t>
  </si>
  <si>
    <t>['menyesal', 'memilih', 'kartu', 'telkomsel', 'jaringan', 'buruk', 'telkomsel', 'jaringan', 'buruk', '']</t>
  </si>
  <si>
    <t>['paket', 'data', 'mahal', 'sinyal', 'buruk', 'burik', 'data', 'internet', 'tlp', 'sms', 'lambat', 'masuk', 'mending', 'pindah', 'kartu', 'bey', 'telkomsel']</t>
  </si>
  <si>
    <t>['setuju', 'membuka', 'telkomsel', 'kuota', 'pelanggan', 'membukanya', 'membeli', 'kuota', 'terima', 'kasih', 'telkomsel', 'kebijakan']</t>
  </si>
  <si>
    <t>['pengguna', 'buruk', 'kwalitas', 'jaringannya', 'trus', 'songong', 'respek', 'keluhan', 'pelanggan', 'nyesel', 'pelanggan', 'telkomsel', 'udah', 'jalan', 'jaringannya', 'lemoy', 'moy', '']</t>
  </si>
  <si>
    <t>['kembalikan', 'kuota', 'unlimited', 'kek', 'udah', 'beli', 'mahal', 'udah', 'diatas', 'nonton', 'youtube', 'dll', 'lemot', 'kecuali', 'geme', 'nyaman', 'kecewa', 'berat', 'mending', 'semartfen', 'lancar', 'buka', 'youtube', 'dll']</t>
  </si>
  <si>
    <t>['tarif', 'paket', 'beda', 'beda', 'kartu', 'telkomsel', 'adil', 'banget', 'kartu', 'promo', 'jga', 'ttep', 'harga', 'segitu', 'males', 'kartu', 'telkomsel', 'nggak', 'kartu', 'telkomsel', 'ogah', 'kartu', 'payah']</t>
  </si>
  <si>
    <t>['jaringan', 'telkomsel', 'jelek', 'pas', 'mendung', 'hujan', 'ulasan', 'tulis', 'dihapus', 'tolong', 'dihapus', 'ulasan']</t>
  </si>
  <si>
    <t>['kesini', 'jelek', 'layanannya', 'nomor', 'pulsa', 'darurat', 'daftar', 'paket', 'rb', 'isi', 'ulang', 'masak', 'konsumennya', 'daftar', 'kartu', 'dikasih', 'lgi', 'coba', '']</t>
  </si>
  <si>
    <t>['paket', 'gb', 'mahal', 'harganya', 'berlangganan', 'hbis', 'thu', 'hbis', 'thu', 'semenjak', 'jaringan', 'hilang', 'muncul', '']</t>
  </si>
  <si>
    <t>['kecewa', 'telkomsel', 'jaringan', 'ditempat', 'buruk', 'perkotaan', 'niat', 'ganti', 'provider', 'akun', 'mobile', 'banking', 'google', 'udah', 'ditautin', 'nomor', 'nyesel', 'banget', '']</t>
  </si>
  <si>
    <t>['telkomsel', 'provider', 'nasional', 'jaringan', 'internet', 'bermutu', 'terbaik', 'kualitas', 'jaringan', 'merosot', 'kualitas', 'jaringannya', 'ditempat', 'jaringan', 'bagus', 'sekedar', 'saran', 'mohon', 'perhatikan', 'keluhan', 'customer', 'berpindah', 'provider', 'telkomsel', 'tolonglah', 'dibalas', 'pakai', 'robot', 'kali', 'developernya', 'cek', 'ulasan', 'customer', 'keluhan', 'keluhannya', 'setia']</t>
  </si>
  <si>
    <t>['akreditas', 'salam', 'sekolah', 'menengah', 'sinyal', 'sistem', 'telekomunikasi', 'perluaskan', 'teluk', 'irian', 'jaya', 'semoga', 'telkomsel', 'jaya']</t>
  </si>
  <si>
    <t>['udh', 'bener', 'infonya', 'paket', 'yutub', 'gratis', 'unlimited', 'stiap', 'buka', 'yutub', 'kuota', 'utama', 'berkurang', 'mah', 'nipu', 'namanya', 'info', 'gratis', 'kualitas', 'layananny', 'diperbaki']</t>
  </si>
  <si>
    <t>['sinyal', 'buruk', 'sinyal', 'sekalai', 'kuota', 'terpakai', 'mengecewakan', 'dihubungi', 'veronica', 'bantuan', 'telkomsel', 'suruh', 'memasukan', 'salah', 'memasukan', 'kontak', 'suruh', 'menunggu', 'menit', 'chat', 'tolong', 'dipersulit', 'sistem', 'bantuan', 'otomatis', 'pengguna', 'sinyal', 'pergunakan', 'simpati', 'beralih', '']</t>
  </si>
  <si>
    <t>['telkomsel', 'suka', 'ambil', 'pulsa', 'orang', 'pelan', 'isi', 'pulsa', 'aktifin', 'nomer', 'dipake', 'abiiss', 'sya', 'jarang', 'paket', 'internet', 'telkomsel', 'lola', 'sya', 'beli', 'pulsa', 'aktifin', 'nomer', 'tpi', 'diembat', 'tnpa', 'pemberitauan', 'gimana', '']</t>
  </si>
  <si>
    <t>['beli', 'paket', 'unlimited', 'youtube', 'liat', 'youtube', 'penggunaan', 'minggu', 'beli', 'pas', 'notif', 'paket', 'utama', 'habis', 'pas', 'notif', 'kek', 'gitu', 'unlimitednya', 'langsung', 'aktif', 'buka', 'youtube', 'kaya', 'sosmed', 'lainlah', 'harap', 'dana', 'langsung', 'kembalikan', 'paket', 'data', 'belinya']</t>
  </si>
  <si>
    <t>['bro', 'tulung', 'benerin', 'apk', 'bagus', 'suka', 'eror', 'suka', 'verifikasi', 'nomor', 'trs', 'eror', 'internet', 'stabil', 'buka', 'apk', 'aman', 'bro', 'gua', 'pengguna', 'telkomsel', 'pls', 'biarin', 'trs', 'pas', 'pagi', 'sampe', 'jam', 'indihome', 'jaringan', 'stabil', 'pas', 'daring', 'baca']</t>
  </si>
  <si>
    <t>['membeli', 'paket', 'ceria', 'tolong', 'perbaiki', 'sistemnya', 'paket', 'beli', 'pulsa', 'berkurang', 'abiss', 'pelayanannya', 'meresahkan', 'min']</t>
  </si>
  <si>
    <t>['apk', 'menarik', 'mahal', 'internet', 'membeli', 'paket', 'dng', 'pulsa', 'harga', 'saldonya', 'turunkan']</t>
  </si>
  <si>
    <t>['top', 'banget', 'jaringan', 'parah', 'baiki', 'gamau', 'tinggal', 'pelanggan', 'bintang', 'udah', 'untung', 'kasi', 'ahhhhhhhhh', 'kaya', 'beli', 'mantapppp']</t>
  </si>
  <si>
    <t>['gua', 'simpati', 'udah', 'bertahun', 'bener', 'jaringan', 'ngecewain', 'gila', 'gilaaaa', 'paket', 'mahal', 'kualitas', 'murahan', 'asli', 'emosi', 'gara', 'gara', 'sinyal', 'danta', 'simpati', 'kerjaan', 'terbengkalai']</t>
  </si>
  <si>
    <t>['gila', 'telkomsel', 'kuota', 'internet', 'pulsa', 'disedot', 'mengakses', 'jaringan', 'internet', 'kecewa', 'langganan', 'telkomsel', 'dapet', 'member', 'platinum', 'manfaatkan', 'menyedot', 'pulsa', 'paketan', 'murah', 'beda', 'kota', 'beda', 'harga', 'paketan', '']</t>
  </si>
  <si>
    <t>['daftar', 'internet', 'nggak', 'digunain', 'diambil', 'pulsanya', 'sampe', 'habis', 'rumahku', 'deket', 'kota', 'kecewa', 'kyk', 'gitu', 'isi', 'pulsa', 'daftar', 'internet', 'nggak', 'diperpanjang', 'pulsa', 'langsung', 'habis']</t>
  </si>
  <si>
    <t>['super', 'buruk', 'buruk', 'bintang', 'aplikasi', 'buruk', 'minus', 'bintang', 'kasih', 'makasih', 'telkomsel', '']</t>
  </si>
  <si>
    <t>['beli', 'paket', 'internet', 'keterangan', 'udah', 'berhasil', 'pakai', 'internetan', 'pulsa', 'habis', 'paket', 'terbeli', 'tolong', 'diperbaiki']</t>
  </si>
  <si>
    <t>['perbaikin', 'secepat', 'sinyal', 'drop', 'ilang', 'selang', 'jam', 'muncul', 'muncul', 'propaider', 'mahal', 'pelayanan', 'kaya', 'gini', '']</t>
  </si>
  <si>
    <t>['sinyal', 'drop', 'jam', 'iya', 'internetan', 'hospot', 'temen', 'indosat', 'sinyal', 'karuan', 'internet', '']</t>
  </si>
  <si>
    <t>['hormat', 'provider', 'terbaik', 'indonesia', 'tolong', 'perbaiki', 'trouble', 'jngan', 'mengganggu', 'diperbaiki', 'signal', 'menaikan', 'tarif']</t>
  </si>
  <si>
    <t>['jaringan', 'hilang', 'sbentar', 'pengumuman', 'kelulusan', 'kepaksa', 'numpang', 'wifi', 'temen', 'mantap', 'telkom', 'ancur', 'udah']</t>
  </si>
  <si>
    <t>['duh', 'pelayanannya', 'buruk', 'telfon', 'dikenakan', 'biaya', 'sibuk', 'tetep', 'potong', 'ditunggu', 'nyambung', 'panggilan', 'putus', 'alhasil', 'telfon', 'biaya', 'diangkat', 'kepotong', 'gitu', 'sangkakala', 'langit', 'berbunyi', 'ngeluarin', 'keluhan', 'pulsa', 'udah', 'habis', 'duluan', 'jaringan', 'gangguan', 'ditambah', 'paket', 'data', 'mahal', 'paket', 'telfon', 'mahal', 'telkomsel', 'direkomendasikan']</t>
  </si>
  <si>
    <t>['jaringan', 'tolong', 'hilang', 'timbul', 'pemerataan', 'gimnaa', 'mati', 'listrik', 'sinyal', 'nice', '']</t>
  </si>
  <si>
    <t>['mata', 'kau', 'ningkatkan', 'jaringan', 'super', 'lelet', 'secepatnya', 'tingkatkan', 'jaringan', 'peningkatan', 'perbaiki', 'kualitas', 'jaringan', 'kartu', 'pindah', 'provider']</t>
  </si>
  <si>
    <t>['haii', 'mytelkomsel', 'perduli', 'keluhan', 'pelanggan', 'pengguna', 'telkomsel', 'rasakan', 'telkomsel', 'buruk', 'sinyal', 'karuan', 'paket', 'mahal', 'tolong', 'kondisikan', 'terang', 'kecewa', 'paket', 'doang', 'mahal', 'sinyal', 'bobrok']</t>
  </si>
  <si>
    <t>['ngga', 'lebi', 'menganai', 'aplikasi', 'quota', 'multimedia', 'masi', 'tersisa', 'ngga', 'masuk', 'game', 'ketentuannya', 'memuat', 'chet', 'game', 'medsos', 'trus', 'masuk', 'game', 'ngga', 'dimuat', 'masi', 'eror', 'quota', 'diatas', 'tolong', 'aplikasi']</t>
  </si>
  <si>
    <t>['download', 'apk', 'karna', 'dapet', 'pulsa', 'telkomsel', 'kurangya', 'ntah', 'pakai', 'tlkomsel', 'bagus', 'strategi', 'marketing', 'baguus', 'pas', 'malam', 'tawarin', 'paket', 'data', 'gb', 'anjim', 'malam', 'suruh', 'pergi', 'beli', 'pulsa', 'mantap', 'marketing', 'anjim', 'iya', 'komentar', 'sedih', 'karna', 'pulsanya', 'kepotonng', 'potooooong', 'sok', 'ikutan', 'sedih', 'cuman', 'ketikan', 'pembohhhong', 'good', 'jobb', '']</t>
  </si>
  <si>
    <t>['layanan', 'lelet', 'ditambah', 'paket', 'menarik', 'ceria', 'diganti', 'silahkan', 'beli', 'udah', 'bagus', 'gb', 'diganti', 'layanan', 'noh', 'perbaiki', 'gausah', 'naikin', 'harga', 'mulu', '']</t>
  </si>
  <si>
    <t>['pulsa', 'habis', 'tersedot', 'internet', 'paket', 'tolong', 'telkomsel', 'fix', 'pengguna', 'telkomsel', 'rugi']</t>
  </si>
  <si>
    <t>['kuota', 'lokal', 'kuota', 'unlimited', 'mohon', 'kebijakan', 'perbaiki', 'chat', 'costumer', 'care', 'telkomsel', 'kali', 'masi']</t>
  </si>
  <si>
    <t>['kecewa', 'banget', 'kartu', 'telkom', 'lemot', 'banget', 'udah', 'kayak', 'download', 'apk', 'play', 'store', 'muter', 'muter', 'udah', 'mahal', 'harga', 'sesuai', 'sma', 'kualitas']</t>
  </si>
  <si>
    <t>['promo', 'telkomsel', 'jelek', 'kouta', 'combo', 'unlimited', 'pemakaiannya', 'batasi', 'harganya', '']</t>
  </si>
  <si>
    <t>['kecewa', 'beli', 'paket', 'harga', 'ribu', 'rupiah', 'batas', 'wajar', 'giga', 'sampe', 'giga', 'sinyal', 'ngurang', 'internetan', 'situ', 'sebutkan', 'unlimited', 'chat', 'social', 'media', 'you', 'tube', 'sgala', 'macem', 'kebenarannya', 'buang', 'buang', 'duit', 'beli', 'paket', 'telkomsel', 'kecewa']</t>
  </si>
  <si>
    <t>['kecewa', 'banget', 'sumpah', 'enak', 'push', 'rank', 'udah', 'mah', 'apk', 'relog', 'gamesnya', 'gitu', 'gerangan', 'kawan', 'telkomsel', 'performa', 'anjlok', '']</t>
  </si>
  <si>
    <t>['oalahh', 'telkomsel', 'beli', 'paket', 'unlimited', 'sebulanan', 'ehh', 'nyata', 'minggu', 'pemakaian', 'buka', 'apaapa', 'kemaren', 'kemaren', 'gadak', 'permasalahan', 'kekgini', 'kekgini', 'udah', 'kartu', 'paket', 'mahal', 'males', 'banget', 'tolong', 'kalok', 'emang', 'unlimited', 'sebulan', 'dikurang', 'kurangin', 'padalan', 'udah', 'nyaman', 'makek', 'telkomsel', 'cuman', 'gara', 'gara', 'nyesal']</t>
  </si>
  <si>
    <t>['kali', 'kecewa', 'kartu', 'halo', 'paketnya', 'mahal', 'memuaskan', 'buferingnya', 'pakai', 'omong', 'jatu', 'tempo', 'pembayaran', 'telkomsel', 'pinjol']</t>
  </si>
  <si>
    <t>['kartu', 'teranjing', 'terbangsat', 'terkontol', 'bumn', 'nyusahin', 'rakyat', 'ngisi', 'pulsa', 'rb', 'pas', 'maketin', 'aplikasi', 'mytelkomsel', 'data', 'nyala', 'nyedot', 'pulsa', 'habis', 'dipake', 'apapun', 'beli', 'paket', 'kalah', 'perusahaan', 'hongkong', 'kaya', 'tri', 'malaysia', 'axiata', 'jelek', 'kaya', 'indihome', 'moga', 'pln', 'iconect', 'kaga', 'diakusisi', 'telkomnyet', 'kagak', 'jelek', '']</t>
  </si>
  <si>
    <t>['telkomsel', 'koneksi', 'whatsup', 'facebook', 'beli', 'data', 'butuh', 'koneksi', 'whatsup', 'keperluan', 'kantor', '']</t>
  </si>
  <si>
    <t>['mohon', 'maaf', 'tolong', 'kembalikan', 'paket', 'unlimited', 'dimana', 'paket', 'utama', 'habis', 'otomatis', 'paket', 'jalan', 'batas', 'tanggal', 'pembelian', 'paket', 'batasi', 'kuota', 'kuota', 'pemakaian', 'wajar', 'habis', 'kecepatan', 'lambatkan', 'lambat', 'ngapa', 'in', 'sinyal', 'tolong', 'kembalikan', 'paket', 'full', 'batas', 'kecepatan', '']</t>
  </si>
  <si>
    <t>['', 'daerah', 'jaringan', 'telkomsel', 'kayak', 'lembu', 'kekeyangn', 'lambat', 'perbaiki', 'jaringn', 'telkomsel', 'daerah', 'biyar', 'yaman', 'terima', 'kasihhh', '']</t>
  </si>
  <si>
    <t>['aktifkan', 'combo', 'sakti', 'tertera', 'paket', 'data', 'bersisa', 'lemotnya', 'terima', 'pesan', 'kecewa', 'sia', 'sia', 'beli', 'paket', 'butuh', 'diluar', 'rumah', 'mohon', 'perbaikannya', 'lancar']</t>
  </si>
  <si>
    <t>['plislahh', 'fiturnya', 'udah', 'abis', 'data', 'ngga', 'maksain', 'sedot', 'pulsa', 'ngga', 'asik', 'beli', 'data', 'pulsa', 'udah', 'kepotong', '']</t>
  </si>
  <si>
    <t>['lucu', 'telkomsel', 'kartu', 'termahal', 'jaringan', 'terlemah', 'gimna', 'woyy', 'perhatiannya', 'coba', 'perbaiki', 'pelanggan', 'kabur', '']</t>
  </si>
  <si>
    <t>['kecewa', 'jaringan', 'telkomsel', 'serba', 'lelet', 'parah', 'harga', 'paket', 'mahal', 'jaringan', 'lelet', 'pindah', 'kartu', 'provider']</t>
  </si>
  <si>
    <t>['aplikasinya', 'membantu', 'memudahkan', 'pengecekan', 'kuota', 'pulsa', 'pembelian', 'paket', 'ribet', 'terima', 'kasih', 'telkomsel']</t>
  </si>
  <si>
    <t>['bintang', 'gue', 'kasi', 'bintang', 'wifi', 'buka', 'aplikasi', 'telkomsel', 'beli', 'kuota', 'susah', 'seenakny', 'nyedot', 'pulsa', '']</t>
  </si>
  <si>
    <t>['buruk', 'harga', 'mahal', 'sinyal', 'jelek', 'knapa', 'hilang', 'signal', 'telkomsel', 'bermain', 'game', 'provider', 'rekomendasikan', 'provider', 'telkomsel', 'harga', 'sinyal', 'simpang', 'siur']</t>
  </si>
  <si>
    <t>['kuotaku', 'super', 'lemot', 'beli', 'unlimited', 'gb', 'saudaraku', 'lancar', 'punyaku', 'lelet', 'jaringan', 'kecepatan', 'kb', 'anjengg', 'kaya', 'kartu', 'kehabisan', 'kuota', 'bangke', 'beli']</t>
  </si>
  <si>
    <t>['mohon', 'maaf', 'daerah', 'nagreg', 'bandung', 'jaringan', 'jelek', 'maen', 'yutub', 'buffering', 'maen', 'sosmed', 'loading', 'maen', 'game', 'tolong', 'diperbaiki', 'jaringan', 'daerah', 'berlangganan', 'menemukan', 'kepuasan', 'jaringannya', 'mending', 'kuotanya', 'murah', 'gimana', '']</t>
  </si>
  <si>
    <t>['beli', 'paket', 'euro', 'via', 'telkomsel', 'maxtrem', 'mola', 'tonton', 'alasan', 'kesalahan', 'sistem', 'pertandingan', 'selesai', 'normal', 'pelayanannya', 'ngebohongi', 'pelanggan', 'pindah', 'operator', 'tanggung', 'mengecewakan', 'pelanggan']</t>
  </si>
  <si>
    <t>['hai', 'kakak', 'halo', 'kakak', 'wkwkwk', 'ulasan', 'pelanggan', 'blg', 'doang', 'benerin', 'jaringan', 'smp', 'pertegahan', 'parah', 'telkomsel', 'kalah', 'anak', 'kmrn', 'sore', 'hadeuh', 'sue', 'parah', 'sumpah', 'btw', 'ngapain', 'komen', 'dsni', 'buang', 'energi', 'doang', 'wkwkwk', 'sueee', '']</t>
  </si>
  <si>
    <t>['nggak', 'online', 'paket', 'telkomsel', 'kuota', 'diisi', 'mahal', 'jaringannya', 'jelek', 'alamat', 'kelurahan', 'manembo', 'nembo', 'kota', 'bitung', 'sulawesi', 'utara', '']</t>
  </si>
  <si>
    <t>['kirain', 'telkomsel', 'bagus', 'ehhh', 'trnyata', 'parah', 'indosat', 'buka', 'youtube', 'aplikasi', 'lemotnya', 'mengecewakan', '']</t>
  </si>
  <si>
    <t>['kecewa', 'nomor', 'belasan', 'pakai', 'blokir', 'gara', 'lupa', 'isi', 'pulsa', 'aktifkan', 'grapari', 'tolong', 'sel', 'adain', 'fitur', 'mengaktifkan', 'membeli', 'nomor', '']</t>
  </si>
  <si>
    <t>['pusat', 'telkomsel', 'kebakaran', 'jaringan', 'lemot', 'banget', 'nonton', 'youtube', 'muter', 'main', 'game', 'kandang', 'koneksi', 'ilang', 'tolong', 'telkomsel', 'perbaiki', 'kekuatan', 'sinyal', '']</t>
  </si>
  <si>
    <t>['maaf', 'susah', 'buka', 'telkomsel', 'mimin', 'hapus', 'download', 'ampun', 'mohon', 'pencerahannya', 'mimin', '']</t>
  </si>
  <si>
    <t>['yaaa', 'prioritas', 'sinyal', 'telkomsel', 'itukan', 'pengguna', 'paskabayar', 'kebanyakan', 'jdi', 'pengguna', 'prabayar', 'kasih', 'bintang', 'fair', 'dikit', 'ama', 'pelanggan', 'telkomsel', 'prabayar', 'kalah', 'speed', 'ama', 'pengguna', 'paskabayar', 'kecepatan', 'sinyalnya', 'internetnya']</t>
  </si>
  <si>
    <t>['main', 'game', 'online', 'suka', 'putus', 'putus', 'leg', 'banget', 'udh', 'paket', 'mahal', 'lelet', 'lgi', 'mohon', 'perbaikannya', 'kak', 'alamat', 'desa', 'koto', 'kaciak', 'pauh', 'timur', 'kota', 'pariaman', 'provinsi', 'sumatra', 'barat', 'kode', 'pos', '']</t>
  </si>
  <si>
    <t>['jaringan', 'paliiiiiiiiiiing', 'terburuk', 'jaringan', 'kaaaaalian', 'telkomsel', 'tunggu', 'cari', 'kartu', 'bagus', 'besok', 'kartu', 'tinggalkan', '']</t>
  </si>
  <si>
    <t>['aneh', 'ngisi', 'pulsa', 'beli', 'kouta', 'saldo', 'pulsa', 'mencukupi', 'pulsa', 'kesedot', 'tampa', 'jelek', 'banget', 'pelayanannya']</t>
  </si>
  <si>
    <t>['pas', 'telkomsel', 'nge', 'down', 'bbrp', 'minggu', 'cikarang', 'barat', 'memakai', 'kouta', 'unlimitid', 'masi', 'lancar', 'jaya', 'korupsi', 'jaringan', 'unlimitid', 'jelek', 'banget', 'coba', 'beli', 'sebulan', 'lgi', 'masi', 'percayakan', 'telkomsel', 'memutuskan', 'berpindah', 'terimakasih', 'telkomsel', '']</t>
  </si>
  <si>
    <t>['sms', 'info', 'paket', 'combo', 'sakti', 'ribuan', 'layanan', 'aplikasi', 'telkomsel', 'harganya', 'maksudnya', 'beda', 'sms', 'cek', 'langsung', '']</t>
  </si>
  <si>
    <t>['jaringan', 'merata', 'leletnya', 'lol', 'stabil', 'kecepatan', 'internet', 'bagus', 'lol']</t>
  </si>
  <si>
    <t>['telkomsel', 'paket', 'unlimitednya', 'dibatasi', 'kuota', 'unlimited', 'dipakek', 'dibatasi', 'emg', 'unlimited', 'namanya', 'unlimited', 'kuota', 'telkomsel', 'gb', 'ditambahin', 'unlimited', 'kecewa', 'telkomsel', 'beli', 'unlimited', 'tahan', 'sampe', 'cuman', 'sampe', 'dasar', 'pembohong', '']</t>
  </si>
  <si>
    <t>['fungsi', 'tingkatkan', 'kemudahan', 'menjalankan', 'fitur', 'loading', 'membuka', 'aplikasi', '']</t>
  </si>
  <si>
    <t>['notif', 'promo', 'kuota', 'combo', 'sakti', 'unlimited', 'rb', 'klik', 'promo', 'not', 'found', 'banget', 'udah', 'paket', 'data', 'beli', 'dibeli', 'dibulan', 'kali', 'pindah', 'provider', 'ntar', 'produsen', 'karna', 'konsumen', 'kali', '']</t>
  </si>
  <si>
    <t>['telkomsel', 'tolong', 'sinyalnya', 'buriq', 'sinyalnya', 'tetep', 'lancar', 'ngelag', 'tolong', 'perbaikin', 'sinyalnya', 'mohon', 'main', 'game', 'online', 'nonton', 'youtube', 'download', 'apk', 'kadang', 'berhari', 'selsai', 'kadang', 'berjamjam', 'tolonglah', 'diperbaiki', 'sinyalnya', 'memohon', 'telkomsel', 'kuota', 'habisnya', 'ngelag', 'tolong', 'diperbaiki', '']</t>
  </si>
  <si>
    <t>['tolong', 'perbaiki', 'jaringan', 'min', 'beli', 'koutta', 'internet', 'udah', 'gagal', 'tulisan', 'gangguan', 'sistem', 'sampe', 'ngecewain', 'pelanggan', 'plus', 'merugikan', 'konsumen', 'tolong', 'cepet', 'perbaiki', '']</t>
  </si>
  <si>
    <t>['tolong', 'yaa', 'beli', 'paket', 'pulsa', 'nyaa', 'berkurang', 'truss', 'pulsa', 'masi', 'beli', 'paket', 'berkurang', 'pulsa', '']</t>
  </si>
  <si>
    <t>['mohon', 'maaf', 'berbicara', 'menjelekjekin', 'publik', 'mencoba', 'menghubungi', 'terselesaikan', 'jaringan', 'internet', 'bagus', 'sinyal', 'menurun', 'doakan', 'semoga', 'pelanggan', 'tersisa', 'telkomsel', 'terimakasih']</t>
  </si>
  <si>
    <t>['tolong', 'perbaiki', 'jaringan', 'buruk', 'jaringannya', 'jaringnya', 'suka', 'hilang', 'hilang', 'paket', 'mahal', 'kartu', 'tpi', 'knpa', 'jaringnya', 'bagus']</t>
  </si>
  <si>
    <t>['aplikasi', 'bagus', 'bagus']</t>
  </si>
  <si>
    <t>['kak', 'nomer', 'temen', 'membeli', 'paket', 'kouta', 'murah', 'nomer', 'stuck', 'keuangan', 'bet', 'nomer', 'nominal', 'pembeliannya', '']</t>
  </si>
  <si>
    <t>['sok', 'ngeluarin', 'paket', 'unlimited', 'ujung', 'fupnya', 'speed', 'mentok', 'speed', 'segitu', 'internetan', 'anjim', 'pending', 'situ', 'sehat', 'emang', 'sanggup', 'sok', 'ngluarin', 'gituan', 'nyusahin', 'doank']</t>
  </si>
  <si>
    <t>['pas', 'beli', 'kuota', 'lambat', 'kecepatan', 'giliran', 'kuota', 'habis', 'cepat', 'jaringan', 'mohon', 'perbaiki', 'balas', 'suruh', 'tulis', 'ulasan', '']</t>
  </si>
  <si>
    <t>['beli', 'paket', 'beli', 'tulisanya', 'pembayaran', 'diproses', 'berhari', 'paket', 'datanya', 'kebeli', 'beli', 'pulsanya', 'udah', 'sesuai', 'harga', 'paketny', '']</t>
  </si>
  <si>
    <t>['apk', 'eror', 'masak', 'udah', 'beli', 'tampilkan', 'kuota', 'dasarr', 'penipuan', 'kalok', 'udah', 'kadaluwarsa', 'mending', 'hapus', 'kuota', 'belik', 'ketipu']</t>
  </si>
  <si>
    <t>['beli', 'paket', 'unlimited', 'unlimited', 'cuman', 'kuota', 'utamanya', 'unlimited', 'ngelag', 'banget', 'tolong', 'diperbaiki', '']</t>
  </si>
  <si>
    <t>['koneksi', 'internet', 'jaringan', 'putus', 'nyambung', 'kadang', 'putusnya', 'nyaman', 'pokoknya', 'mohon', 'perbaiki', 'pelanggan', 'puas', 'jaringan', 'berkwalitas', 'salam', 'hangat', 'pelanggan']</t>
  </si>
  <si>
    <t>['tolong', 'paket', 'game', 'max', 'buka', 'game', 'paket', 'game', 'gakbisa', 'main', 'game', 'dibukak', 'ngeleg', 'buang', 'buang', 'duit', 'belik', 'paket', 'balikin', 'pulsa', 'gue', 'buang', 'buang', 'pulsa', 'mubazirrr', '']</t>
  </si>
  <si>
    <t>['kecewa', 'telkomsel', 'masak', 'pembelian', 'kouta', 'pdhl', 'pulsa', 'melebilihi', 'harga', 'paketan', 'ditambah', 'pda', 'konfirmasi', 'diproses', 'banget', 'jam', '']</t>
  </si>
  <si>
    <t>['bintang', 'harga', 'paket', 'mahal', 'sesuai', 'kualitas', 'jaringan', 'full', 'koneksi', 'gagal', 'nnton', 'youtube', 'susah', 'main', 'game', 'pubg', 'udah', 'kali', 'komplen', 'balesan', 'cek', 'jaringan', 'terkendala', 'koneksi', 'gagal', 'sengaja', 'komen', 'sadar', 'tingkatin', 'layanan', 'jngn', 'harga', 'paket', 'doang', 'mahal', 'canda', 'mahal', '']</t>
  </si>
  <si>
    <t>['bnr', 'aplikasi', 'telkom', 'beli', 'kuota', 'aplikasi', 'bayar', 'pembelian', 'kuota', 'pemberitahuan', 'kesalahan', 'otomatis', 'klik', 'pembeliannya', 'bayar', '']</t>
  </si>
  <si>
    <t>['susah', 'data', 'paketan', 'mytelkomsel', 'slalu', 'penawaran', 'menarik', 'kpd', 'mytelkomsel', 'membagusinya', 'cakap', 'kotor', 'untukmu', 'mytelkomsel', 'isi', 'pulsa', 'rp', 'cek', 'telkomsel', 'termakan', 'rp', 'sungguh', 'mengecewakan', 'pegawai', 'mytelkomsel', 'tolong', 'dibagusin', 'kerjaannya', 'terlapor', '']</t>
  </si>
  <si>
    <t>['parah', 'telkomsel', 'masak', 'sya', 'isi', 'pulsa', 'tanggal', 'juni', 'blm', 'masuk', 'tanggal', 'juni', 'sya', 'coba', 'drespon', 'sya', 'inbox', 'telkomsel', 'mlah', 'dsruh', 'nunggu', 'trus', 'sya', 'lapor', 'tlong', 'perbaiki', 'keluhan', 'customer', 'dperhatikan', 'pelayanan', '']</t>
  </si>
  <si>
    <t>['wai', 'telkomsel', 'balikin', 'pulsa', 'main', 'ambil', 'kuotaku', 'giga', 'pulsa', 'habis', 'masuk', 'pulsa', '']</t>
  </si>
  <si>
    <t>['jaringan', 'jelek', 'data', 'keambil', 'cepat', 'kali', 'habisnya', 'gaje', 'jaringannya', 'cepat', 'gakpapa', 'cepat', 'habis', 'lelet', 'auto', 'fungsi', 'datanya', 'habis', 'udah', 'harga', 'mahal', 'lelet', 'kualitas', 'sesuai', 'harga', 'bener', 'kecewa', 'pas', 'masuk', 'puasa', 'jaringan', 'akhlak', '']</t>
  </si>
  <si>
    <t>['aplikasi', 'telkomsel', 'loding', 'pas', 'buka', 'beli', 'paket', 'data', 'telkomsel', 'mohon', 'infonya', 'terima', 'kasih', '']</t>
  </si>
  <si>
    <t>['hai', 'halo', 'guys', 'didesa', 'gua', 'jaringan', 'bagus', 'gua', 'download', 'aplikasi', 'switcher', 'gua', 'utak', 'atik', 'data', 'server', 'mode', 'kemode', 'pesawat', 'kali', 'kadang', 'berulang', 'kali', 'udah', 'telkomsel', 'bagus', 'jaringannya', 'udah', 'jaringan', 'bagus', 'langkah', 'buka', 'aplikasi', 'switcher', 'ubah', 'lte', 'only', 'jalankan', 'uji', 'pink', 'deh', 'kualitas', 'jaringan', 'kuat', 'bags', '']</t>
  </si>
  <si>
    <t>['info', 'penggunaan', 'pulsa', 'mencapai', 'sayang', 'kesini', 'mahal', 'beli', 'paketnya', 'kesini', 'cekik', 'kartu', 'sim', 'usianya', 'ayo', 'teman', 'udah', 'kartu', 'simya', 'udah', 'protes']</t>
  </si>
  <si>
    <t>['tolong', 'telkomsel', 'gua', 'udah', 'pakek', 'kartu', 'telkomsel', 'bangeeeet', 'kali', 'gue', 'beli', 'paketan', 'lemot', 'banget', 'loadingnya', 'jaringan', 'aplikasi', 'kebuka', 'emang', 'gatau', 'lemotnya', 'ampuuuun', '']</t>
  </si>
  <si>
    <t>['telkomsel', 'kendala', 'sampe', 'seburuk', 'sinyalnya', 'perbaiki', 'pelanggan', 'setia', 'pindah', 'provider', 'mahal', 'sinyal', 'jelek', 'dri', 'provider', 'daerah', 'sinyalnya', 'bagus', 'lelet', 'tolong', 'telkomsel', 'perbaiki', 'promo', 'kualitas', 'menurun']</t>
  </si>
  <si>
    <t>['buka', 'aplikasi', 'telkomsel', 'lemooot', 'jaringan', 'putus', 'papua', 'kompensasi', 'kartu', 'khusus', 'curang']</t>
  </si>
  <si>
    <t>['buka', 'beli', 'paket', 'aneh', 'telkomsel', 'kemaren', 'pas', 'ketik', 'paket', 'gagal', 'pulsanya', 'potong', 'telkomsel', 'mohon', 'mkan', 'halal', 'makan', 'riba', '']</t>
  </si>
  <si>
    <t>['jaringan', 'telkomsel', 'desa', 'tateli', 'kec', 'mandolang', 'jaga', 'super', 'parah', 'signal', 'internetnya', 'hilang', 'pas', 'telkom', 'dibilang', 'diperbaiki', 'udah', 'perubahan', 'paketnya', 'kartu', 'halo', '']</t>
  </si>
  <si>
    <t>['parah', 'nyet', 'sinyallu', 'nyet', 'bagus', 'ehh', 'burik', 'emm', 'sebenernya', 'niat', 'sinyal', 'nyett', 'parah', 'parah', 'stress', 'telkomsel', 'sebenernya', 'pengen', 'ganti', 'knapa', 'pengin', 'ganti', 'karna', 'burik', 'setia', 'blum', 'ganti', 'cuman', 'ditingkatin', 'sinyallu', 'burik', 'gitu', 'sekian', 'user', 'nekopoi', 'terimakasih', 'astagfirullah', 'aladin', 'iya', 'kasih', 'bintang', 'asik']</t>
  </si>
  <si>
    <t>['sarankan', 'coba', 'fitur', 'mytelkomsel', 'tambahkan', 'menggunci', 'pulsa', 'terpakai', 'provider', 'sebelah', 'menerapkan', 'fitur', 'pulsa', 'tersedot', 'kemana']</t>
  </si>
  <si>
    <t>['januari', 'ksni', 'jaringan', 'parah', 'sblmnya', 'tsel', 'tmpatku', 'banding', 'provider', 'tangerang', 'skrng', 'banding', 'axis', 'kalah', 'jaringannya', 'nelpon', 'lbh', 'slama', 'januari', 'smpai', 'skrng', 'hasilnya', 'ttp', 'jaringan', 'berubah', '']</t>
  </si>
  <si>
    <t>['tolong', 'perhatikan', 'sinyal', 'daerah', 'desa', 'mulusan', 'kecamatan', 'paliyan', 'gunung', 'kidul', 'diy', 'haei', 'memburuk', 'salahkan', 'konsumen', 'pindah', 'operator', 'tolong', 'perbaiki', 'usahakan', 'wujudkan', '']</t>
  </si>
  <si>
    <t>['tolong', 'jam', 'malam', 'siang', 'sore', 'signal', 'gimana', 'beli', 'paket', 'data', 'mahal', 'ilang', 'trus', 'signal', '']</t>
  </si>
  <si>
    <t>['', 'telkomsel', 'jelek', 'jaringannya', 'sya', 'kota', 'palangkaraya', 'jaringan', 'data', 'jaringan', 'data', 'jaringan', 'terkuat', 'jelek', '']</t>
  </si>
  <si>
    <t>['benerin', 'jaringan', 'hrsnya', 'lbh', 'gmpg', 'drpd', 'ningkatin', 'jaringan', 'trs', 'knp', 'dibenerin', 'oii', 'paket', 'mahal', 'jaringan', 'mentok', 'doang', 'aplg', 'daerah', 'laen', 'coba', 'dpt', 'sesuai', 'dijual', 'operator', 'masi', 'mending', 'beli', 'paket', 'murah', 'dpt', 'jaringan', 'sesuai', 'tsel', 'ngapain', 'ngopi', 'bang', 'ngopi', 'kek', 'gini', 'trs', 'enak', 'operator', 'drpd', 'tsel', 'iklannya', 'jaringan', 'internet', 'tercepat', 'udh', 'byr', 'mhl', 'dpt', 'pelayanan', 'sesuai', 'sinyal', 'burik', 'konsumen', 'make', 'plh', 'dibiarin', 'bknnya', 'cari', 'solusi']</t>
  </si>
  <si>
    <t>['maaf', 'kurangi', 'bintang', 'perasaan', 'tua', 'cepat', 'jaringannya', 'lelet', 'kuota', 'beli', 'kecepatan', 'jaringan', 'nambah', 'lemot', 'heran', 'gue', 'tolong', 'mengecewakan', 'customer', 'customer', 'pindah', 'jaringan']</t>
  </si>
  <si>
    <t>['sebentar', 'telkomsel', 'bangkrut', 'mampus', 'telkomsel', 'bagus', 'jelek', 'lemot', 'lelet', 'sinyal', 'jelek', 'daerah', 'kota', 'tasikmalaya', 'internetan', 'games', 'susah', 'banget', '']</t>
  </si>
  <si>
    <t>['kartu', 'halo', 'kau', 'mengecewakan', 'aplikasi', 'telkomsel', 'kasih', 'nilai', 'informatif', 'kuata', 'data', 'hilang', '']</t>
  </si>
  <si>
    <t>['kali', 'stop', 'berlangganan', 'paket', 'gagal', 'terkadang', 'pilihan', 'berhenti', 'signal', 'kesini', 'buruk', 'terkadang', 'jaringan', 'aplikasi', 'lemot']</t>
  </si>
  <si>
    <t>['jujur', 'kecewa', 'banget', 'telkomsel', 'dlu', 'lancar', 'murah', 'harganya', 'banget', 'hilang', 'jaringan', 'sekolah', 'online', 'kecewa', 'banget', 'telkom', 'paket', 'unlimited', 'dibatasi', 'gb', 'jujur', 'pengen', 'pindah', 'telkomsel']</t>
  </si>
  <si>
    <t>['telkomsel', 'jelek', 'banget', 'sinyalnya', 'mohon', 'tangani', 'membeli', 'paket', 'internet', 'pembelian', 'data', 'internetnya', 'berjalan', 'jam', 'terimakasih', '']</t>
  </si>
  <si>
    <t>['menonaktifkan', 'paket', 'maxtream', 'gimana', 'admin', 'nyaman', 'bermain', 'game', 'online', 'paket', 'maxtreamnya', 'aktif', 'udah', 'beli', 'mingguan', 'unlimated']</t>
  </si>
  <si>
    <t>['jaringan', 'buruk', 'harga', 'mahal', 'jaringan', 'payah', 'tinggal', 'pusat', 'kota', 'makassar', 'pokoknya', 'jaringan', 'burik']</t>
  </si>
  <si>
    <t>['sinyal', 'ilang', 'area', 'jabodetabek', 'mati', 'listrik', 'sinyal', 'lngsung', 'hilang', 'pakai', 'sinyal', 'stabil', 'mengecewakan', 'pengguna', 'berlangganan', 'telkomsel', 'tolong', 'perbaiki', 'lgi', 'kenyamanan', 'pengguna', 'terima', 'kasih']</t>
  </si>
  <si>
    <t>['mahal', 'doang', 'sinyal', 'burik', 'pascabayar', 'buang', 'duit', 'aje', 'sumpah', 'kartu', 'hallo', 'harga', 'jutaan', 'sinyalnya', 'harga', 'rebuan', 'mending', 'kuning', 'dipake', 'kota', 'sby', 'sinyal', 'ilang', 'urusan', 'urgent', 'kemana', 'kadang', 'wifi', 'beli', 'paketan', 'jutaan', 'prioritaskan', 'disepelekan', 'nama', 'doang', 'gede', 'mentang', 'bumn', 'kualitas', 'pelayanan', 'nol', '']</t>
  </si>
  <si>
    <t>['knpa', 'beli', 'paket', 'telkomsel', 'jaringannya', 'baguss', 'pulsa', 'kena', 'potong', 'tolong', 'bantu', 'jaringannya', 'perbaiki', '']</t>
  </si>
  <si>
    <t>['jelek', 'sinyal', 'telkomsel', 'trutama', 'tuk', 'maen', 'game', 'buruk', 'banget', 'tolong', 'pencerahannya', 'sinyal', 'telkomsel']</t>
  </si>
  <si>
    <t>['bintang', 'tpi', 'rating', 'slah', 'telkomsel', 'mengecewakan', 'ambil', 'paket', 'internet', 'paket', 'internet', 'malam', 'pemakaian', 'data', 'paket', 'malam', 'sisa', 'kemana', 'perginya', 'paket', 'ambil', 'paket', 'conference', 'apk', 'cloud', 'dipakai', 'paket', 'internet', 'utama', 'paket', 'khusus', 'cloud', 'terkuras', 'sedikitpun', 'rugi', 'beli']</t>
  </si>
  <si>
    <t>['cacat', 'siyal', 'daerah', 'lawang', 'gila', 'lemot', 'anpun', 'iklan', 'doang', 'lancar', 'desa', 'cacat', 'nonton', 'youtube', 'cacat', 'loading', 'mulu', 'diperbaiki', 'untung', '']</t>
  </si>
  <si>
    <t>['sinyal', 'telkomsel', 'jelek', 'kaya', 'menjadikan', 'nyaman', 'semoga', 'perbaikan', 'secepatnya', 'semoga', 'ganti', 'kartu', '']</t>
  </si>
  <si>
    <t>['app', 'rusak', 'beli', 'paket', 'data', 'metode', 'pembayaran', 'dimasukan', 'pakai', 'pulsa', 'aneh', 'bin', 'ajaib', 'update', 'pembelian', 'paket', 'data', 'update', 'buang', 'buang', 'kuota', 'app', 'liat', 'isi', 'kuota', 'doang']</t>
  </si>
  <si>
    <t>['kak', 'nomor', 'isi', 'ulang', 'rb', 'nggak', 'tlfn', 'smsan', 'masuk', 'tenggang', 'tanggal', 'isi', 'ulang', 'transfer', 'pulsa', 'tanggal', 'udah', 'isi', 'ulang']</t>
  </si>
  <si>
    <t>['beli', 'paket', 'aplikasinya', 'langsung', 'konfirmasinya', 'banget', 'udah', 'mahal', 'sinyal', 'lemot', 'pliss', 'beli', 'paket', 'langsung', 'appnya', 'konfirmasi', 'keburu', 'kesedot', 'ntar', 'pulsanya', '']</t>
  </si>
  <si>
    <t>['kayak', 'kasih', 'bintang', 'jaringan', 'jelek', 'tolong', 'perbaiki', 'jaringan', 'telkomsel', 'ilang', 'gajelas']</t>
  </si>
  <si>
    <t>['gajelas', 'sumpah', 'dri', 'tdi', 'pengen', 'beli', 'paketan', 'data', 'tpi', 'tetep', 'pdhl', 'udh', 'nyoba', 'brp', 'kali', 'ttp', 'gagal', 'sampe', 'restart', 'temen', 'langsung', 'beli', 'paket', 'data', 'anehh', '']</t>
  </si>
  <si>
    <t>['orang', 'pikir', 'bagus', 'pas', 'habis', 'kuota', 'buka', 'telkomsel', 'kuota', 'paket', 'kuota', 'suer', 'bohong', '']</t>
  </si>
  <si>
    <t>['mudah', 'coba', 'kasih', 'promo', 'udh', 'langganan', 'telkomsel', 'laen', 'promo', 'kartu', 'dpt', 'promo']</t>
  </si>
  <si>
    <t>['harga', 'paket', 'sinyalnya', 'turun', 'kau', 'pikirkan', 'telkomsel', 'knp', 'gni', 'jaringan', 'telkomsel', 'stbil', 'kadang', 'lgi', 'gangguan', 'minggu', 'blm', 'kelar', 'gangguannya']</t>
  </si>
  <si>
    <t>['telkomsel', 'telkomsel', 'tolong', 'perbaiki', 'sinyal', 'hidup', 'tangerng', 'beli', 'paket', 'mahal', 'sinyal', 'susah', 'bener', 'haduhhhh', 'bagus', 'loading', 'cepet', '']</t>
  </si>
  <si>
    <t>['jaringan', 'telkomsel', 'daerah', 'sidoarjo', 'kecamatan', 'krian', 'sungguh', 'mengecewakan', 'jaringan', 'susah', 'buktikan', 'telkomsel', 'sinyal', 'kuat', '']</t>
  </si>
  <si>
    <t>['pulsa', 'telkomsel', 'rb', 'menantimu', 'download', 'login', 'mytelkomsel', 'tsel', 'download', 'jun', 'dpt', 'pulsa', 'rp', 'rb', 'berlaku', 'hr', 'sms', 'telp', 'tsel', 'beneran', 'dapet', 'pulsa', 'pas', 'diliat', 'pulsa', 'monetery', 'banget', 'kecewa', 'aing', 'kali', 'ngasi', 'gratis', 'nipu', 'orang', 'mending', 'ganti', 'kartu', '']</t>
  </si>
  <si>
    <t>['kasih', 'masukan', 'pengguna', 'telkomsel', 'beli', 'kartu', 'telkomsel', 'unlimited', 'kuota', 'utama', 'udah', 'abis', 'kuota', 'unlimited', 'buka', 'buka', 'facebook', 'beli', 'kartu', 'telkomsel', 'beli', 'unlimited', 'ganti', 'kartu', 'smartfren', 'bagus', 'telkomsel', 'unsur', 'mengejek', 'telkomsel', 'parah', 'parah', 'unlimited', '']</t>
  </si>
  <si>
    <t>['telkomsel', 'jelek', 'banget', 'paket', 'data', 'mahal', 'jelek', 'sinyalnya', 'udah', 'ping', 'game', 'jelek', 'banget', '']</t>
  </si>
  <si>
    <t>['telkomsel', 'deh', 'kuota', 'kuota', 'murah', 'semurahnya', 'sim', 'card', 'full', 'maju', 'telkomsel', 'meningkatkan', 'kualitas', 'tunjukkan', 'merahmu', 'perbanyak', 'kuota', 'murahnya', '']</t>
  </si>
  <si>
    <t>['bagus', 'banget', 'buruan', 'downloa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</si>
  <si>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['jaringan', 'telkomsell', 'untk', 'sinyal', 'lemot', 'jaringan', 'jaringan', 'mnjadi', 'lbh', 'jaringan', 'telkomsell', 'mnjadi', 'lbh', 'buruk', 'selamat', 'tunggal', 'untk', 'telkomsell', 'terima', 'kasih', 'untk', 'kapok', 'selamat', 'jaringan', '']</t>
  </si>
  <si>
    <t>['log', 'woyy', 'link', 'dikirim', 'udah', 'kadaluarsa', 'ygbener', 'niat', 'jualan', 'ngecewain', 'member', 'kojadi', 'ribet', 'gini', '']</t>
  </si>
  <si>
    <t>['min', 'pulsa', 'berkurang', 'hilang', 'padahl', 'sya', 'kouta', 'intrnet', 'bnyak', 'sya', 'jga', 'ngk', 'akses', 'notif', 'pulsa', 'ilang', 'rugi', 'sya', 'klau', 'bgini', 'jjur', 'kecewa', 'berasa', 'kayak', 'curian', 'klau', 'gini', 'klau', 'ilangnya', 'ngk', 'papa', 'sya', 'bgini', 'mohon', 'diperbaiki', 'njing', '']</t>
  </si>
  <si>
    <t>['komentar', 'buruk', 'sekian', 'kalinya', 'tanggapan', 'sekalikah', 'kelen', 'kerja', 'telkomsel', 'jaringan', 'jakarta', 'bogor', 'buruknya', 'tulisan', 'doang', 'berasa', 'buseh', 'boongin', 'customer', 'keuntungan', 'doang', 'bre', 'ngumpulin', 'dosa', 'jariyah', 'abai', 'pesan', 'ntar', 'yaumil', 'nyesel', 'karna', 'udah', 'abai']</t>
  </si>
  <si>
    <t>['tolong', 'diperbaiki', 'mode', 'gelap', 'background', 'berwarna', 'putih', 'hurufnya', 'putih', 'keliatan', 'tulisan', '']</t>
  </si>
  <si>
    <t>['tolonglah', 'jaringan', 'perbaiki', 'jaringan', 'sesuai', 'harga', 'nyesel', 'memakai', 'kartu', 'telkomsel', 'ganti', 'noh', 'kartu', 'massa', 'jaringan', 'bagus', 'jaringan', 'telkomsel', '']</t>
  </si>
  <si>
    <t>['berganti', 'komisaris', 'jelek', 'signal', 'telkomsel', 'udah', 'biaya', 'paket', 'mahal', 'provider', 'lemot', 'putus', 'putus', 'signalnya', 'telkomsel', 'jajaran', 'direksi', 'faham', 'jaringan', 'tinggal', 'kota', 'jogja', '']</t>
  </si>
  <si>
    <t>['buka', 'aplikasi', 'lalet', 'skali', 'tinggal', 'wamena', 'kekuatan', 'jaringannya', 'kb', 'dtk', 'susah', 'skali', 'buka', 'aplikasinya', 'beli', 'data', 'udah', 'mahal', 'datanya', 'beli', 'kios', 'jaringannya', 'lalet', 'boros', '']</t>
  </si>
  <si>
    <t>['paket', 'internet', 'multimedia', 'multimedia', 'sipake', 'pulsa', 'hilang', 'maksudnya', 'yaa', 'paket', 'akit', 'sampe', 'tanggal', 'buka', 'apk', 'susah', 'banget', 'sampe', 'menit']</t>
  </si>
  <si>
    <t>['udahlah', 'kecewa', 'telkomsel', 'paket', 'unlimited', 'gb', 'abis', 'kouta', 'utama', 'unlimitednya', 'pas', 'abis', 'kouta', 'utama', 'unlimitednya', 'abis', 'batasi', 'yaelah', 'gini', 'mah', 'unlimited', 'terbatasi', 'udah', 'beli', 'mahal', 'kecewa', 'mending', 'beralih', 'ajalah', 'kartu', 'udah', 'telkomsel', 'gini', 'kaya', 'udah', 'nyesel', 'makenya', '']</t>
  </si>
  <si>
    <t>['internet', 'mahal', 'signalnya', 'ngak', 'bagus', 'merk', 'tangerang', 'selatan', 'rasakan', 'dapet', 'kouta', 'pindah', 'deh']</t>
  </si>
  <si>
    <t>['gimana', 'beli', 'kuota', 'karna', 'sinyalnya', 'jelek', 'badahal', 'kuota', 'tinggal', 'dikit', 'tolong', 'telkomsel', 'jaringannya', 'diperbaiki', '']</t>
  </si>
  <si>
    <t>['aplikasi', 'telkomsel', 'bagus', 'linkaja', 'dalamnya', 'terpisah', 'tolong', 'kembalikan', 'versi', 'linkajan']</t>
  </si>
  <si>
    <t>['update', 'tgl', 'update', 'tgl', 'pakai', 'telkomsel', 'andal', 'jaringan', 'error', 'mohon', 'perbaiki', 'wil', 'lebak', 'banten', 'jwb', 'boot', 'veronica', 'jwb', '']</t>
  </si>
  <si>
    <t>['harga', 'mahal', 'menjamin', 'kualitas', 'jaringan', 'telkomsel', 'jaringannya', 'coba', 'perbaiki', 'upgrade', 'jaringan', 'jelek', 'biaya', 'keluarnya', 'jaringan', '']</t>
  </si>
  <si>
    <t>['beli', 'paket', 'nelpon', 'susah', 'pulsa', 'beli', 'paket', 'persulit', '']</t>
  </si>
  <si>
    <t>['sengaja', 'kasi', 'bintang', 'baca', 'mohon', 'maaf', 'melapor', 'beli', 'paket', 'ceria', 'pulsa', 'udah', 'berkurang', 'tpi', 'kuota', 'nggk', 'masuk', 'tanggung', 'telkomsel', 'beli', 'pulsa', 'uang', 'daun', 'udah', 'beli', 'kali', 'ttp', 'masuk', 'tpi', 'pulsa', 'berkurang', 'hadehhhhhhh', '']</t>
  </si>
  <si>
    <t>['telkomsel', 'bngsat', 'beli', 'paket', 'mahal', 'jaringan', 'kek', 'ampas', 'tolong', 'sesuaikan', 'kondisi', 'jrngn', 'harga', 'paket', 'paket', 'udh', 'jaringn', 'ampas', 'rugi', 'beli', 'paket', 'mahal', 'klau', 'kualitas', 'jaringan', 'ampas', 'jaringan', 'hilang', 'tolong', 'jaringan', 'plosok', 'perhatikan', 'cuman', 'kota', 'kota', '']</t>
  </si>
  <si>
    <t>['membantu', 'suka', 'banyakin', 'bonus', 'penukaran', 'poin', 'pulsa', 'kuota', 'urgent', 'darurat', 'membutuhkan', 'pelanggan', 'setia', 'telkomsel', 'kartu', 'dapet', 'hadiah', 'langsung', 'telkomsel', 'dapetin', 'reward', 'telkomsel', 'percaya', 'semangat', 'nyaman', 'telkomsel', '']</t>
  </si>
  <si>
    <t>['payah', 'buka', 'apk', 'susah', 'mesti', 'nunggu', 'menit', 'dasboard', 'muncul', 'jaringan', 'bagus', 'masuk', 'menit', 'mutar', 'muat', 'ulang', 'muncul', 'mudah', 'perbaiki', 'uninstall', 'sja']</t>
  </si>
  <si>
    <t>['signal', 'internet', 'telkomsel', 'buruk', 'segarang', 'lihat', 'video', 'streaming', 'lancar', 'jaya', 'buffer', '']</t>
  </si>
  <si>
    <t>['bintang', 'jaringan', 'stabil', 'harga', 'kouta', 'mahal', 'sesuai', 'kecepatan', 'internet', 'kouta', 'unlimited', 'batasan', 'kaya', 'kemarin', 'unlimited', 'bebas', 'batas', 'wajar', 'jaringan', 'stabil', 'udah', 'sreg']</t>
  </si>
  <si>
    <t>['kasih', 'bintang', 'beli', 'paket', 'internet', 'proses', 'kepepet', 'nolongin', 'pas', 'buru', '']</t>
  </si>
  <si>
    <t>['stabil', 'banget', 'apps', 'walaopun', 'udah', 'update', 'cuman', 'beli', 'paket', 'data', 'crash', 'coba', 'smartphone', 'berbeda', 'crash', 'android', 'home', 'stop', 'stop', 'working', 'etc', '']</t>
  </si>
  <si>
    <t>['kirain', 'doi', 'doang', 'kecewa', 'telkomsel', 'ikutan', 'mahal', 'kuotanya', 'dahlah', 'kecewa', 'bertubi', 'tubi', 'gini', 'mah']</t>
  </si>
  <si>
    <t>['isi', 'pulsa', 'telkomsel', 'via', 'ovo', 'masuk', 'saldo', 'ovo', 'terpotong', 'berhasil', 'trsnsaksi', 'pulsa', 'diterima', '']</t>
  </si>
  <si>
    <t>['pulsa', 'kepotong', 'kejelasan', 'cek', 'penggunaan', 'kena', 'biaya', 'data', 'hee', 'beli', 'paket', 'combo', 'kenakan', 'biaya', 'data', 'pakek', 'pulsa', 'mikir', 'males', 'isi', 'pulsa', 'tekomsel', 'isi', 'pulsa', 'perpanjang', 'aktif']</t>
  </si>
  <si>
    <t>['telkomsel', 'malu', 'buka', 'aplikasi', 'susah', 'ampun', 'pas', 'ganti', 'jaringan', 'cepet', 'malu', 'apah', 'kota', 'mahal', 'jaringan', 'lemah', 'perbandingan', 'koreksi', '']</t>
  </si>
  <si>
    <t>['aplikasi', 'bagus', 'suka', 'dapet', 'info', 'promo', 'pembelian', 'kuota', 'bermanfaat', 'semoga', 'aplikasinya', 'biss', 'pokoknya', 'top', 'top', 'top', 'deh', 'kuota', 'buka', 'aplikasi', 'pulss', 'utama', 'terpotong', 'apikasi', 'membantu', 'ribet', 'memilih', 'pembelian', 'paket', 'data', 'donlowad', 'aktifasi', 'aplikasi', 'nyesel', 'deh', 'pokon']</t>
  </si>
  <si>
    <t>['tolong', 'penggunaan', 'internet', 'pulsa', 'kemarin', 'kuota', 'habis', 'beli', 'pulsa', 'lupa', 'paketin', 'pulsanya', 'langsung', 'habis', '']</t>
  </si>
  <si>
    <t>['pengguna', 'telkomsel', 'mending', 'berhenti', 'pengguna', 'telkomsel', 'harga', 'paket', 'mahal', 'jaringan', 'jelek', 'daerah', 'jaringan', 'jelek', 'buang', 'sungai', 'kartu', 'telkomsel', 'menjijikkan', '']</t>
  </si>
  <si>
    <t>['suka', 'aplikasi', 'telkomsel', 'app', 'tolong', 'koin', 'tukarkan', 'paket', 'data', 'internet', 'koinnya', 'berguna', '']</t>
  </si>
  <si>
    <t>['yaman', 'skali', 'kartu', 'telkomsel', 'karna', 'kualitas', 'sebanding', 'harganya', 'maen', 'game', 'jariannya', 'mulu', 'setip', 'bulannya', 'harga', 'paket', 'jaringan', 'buruk', '']</t>
  </si>
  <si>
    <t>['aseli', 'sinyal', 'lemot', 'daerah', 'knpa', 'lemot', 'lancar', 'minggu', 'jelek', 'sinyal', 'kasih', 'bintang', 'bintang', 'nol', 'kasih']</t>
  </si>
  <si>
    <t>['', 'uma', 'ngasih', 'telkomsel', 'sekrng', 'kaga', 'bener', 'paketan', 'doang', 'mahalin', 'ngajak', 'mending', 'instal', 'aplikasi', 'kartu']</t>
  </si>
  <si>
    <t>['lemot', 'parah', 'terkadang', 'jga', 'ilang', 'masi', 'mending', 'hilang', 'sinyal', 'jaringan', 'dll', 'gegayaan', 'jga', 'stabil', 'parah', 'parah', 'parah', 'nyesel', 'temko', 'sel', '']</t>
  </si>
  <si>
    <t>['udah', 'beli', 'paket', 'aplikasi', 'mytelkomel', 'masuknya', 'udah', 'nunggu', 'sore', 'sampe', 'malem', 'masuk', 'masuk', 'paketnya', 'sebenernya', 'telkomsel', '']</t>
  </si>
  <si>
    <t>['harga', 'murah', 'kualitas', 'lumayan', 'mewah', 'harga', 'kualitas', 'buruk', 'unlimited', 'batas', 'pemakaian', 'wajar', 'minggu', 'gara', 'batas', 'pemakaian', 'wajar', 'mahal', 'buruk', 'sorry', 'gue', 'pindah', 'operator']</t>
  </si>
  <si>
    <t>['jaringan', 'lelet', 'alu', 'beli', 'gb', 'harganya', 'nonton', 'live', 'streing', 'youtube', 'tolong', 'perbaiki', 'koneksi', '']</t>
  </si>
  <si>
    <t>['buruk', 'buruk', 'pelayanan', 'masyarakat', 'kuota', 'bln', 'rb', 'kayak', 'paketan', 'lemoooot', 'pindah', 'bertahun', 'dipercaya', 'rakyak', 'indonesia', 'kecewa']</t>
  </si>
  <si>
    <t>['heran', 'telkomsel', 'jaringannya', 'jelek', 'banget', 'kerjaan', 'lancar', 'tertunda', 'tunda', 'gara', 'jaringan', 'lemot', 'tolong', 'perbaiki', 'pindah', 'layanan', 'kayak', 'gini', '']</t>
  </si>
  <si>
    <t>['operator', 'terbaik', 'indonesia', 'sinyal', 'lemot', 'udah', 'ruang', 'terbuka', 'sinyal', 'mentok', 'harganya']</t>
  </si>
  <si>
    <t>['jaringanya', 'buruk', 'didaerah', 'tangerang', 'kuat', 'telkomsel', 'diperbaikin', '']</t>
  </si>
  <si>
    <t>['cinta', 'produk', 'negeri', 'memanjakan', 'masyarakat', 'negerinya', 'giliran', 'produk', 'suruh', 'cintai', 'produk', 'negeri', 'produk', 'memuaskan', 'ketimbang', 'negeri', 'contohnya', 'mengeluh']</t>
  </si>
  <si>
    <t>['kartu', 'hallo', 'jaringannya', 'jelek', 'bagus', 'kesel', 'main', 'game', 'jaringan', 'eror']</t>
  </si>
  <si>
    <t>['sinyal', 'internet', 'telkomsel', 'daerah', 'medan', 'lancar', 'internet', 'lambat', 'teleponan', 'putus', 'sinyal', 'hilang', 'hilang', 'sinyal', 'internet', 'parah', 'mei', 'juni', '']</t>
  </si>
  <si>
    <t>['telkomsel', 'telkomsel', 'mggu', 'ngadat', 'lemot', 'jaringannya', 'jdi', 'jelek', 'performanya', 'knp', 'skrg', 'diandalkan', 'dlu', 'pelosok', 'sinyal', 'bangga', 'in', 'why', '']</t>
  </si>
  <si>
    <t>['telkomsel', 'aneh', 'ngehidupin', 'kuota', 'kesedot', 'pulsanya', 'disedot', 'habis', 'habis', 'bener', 'bener', 'habis', 'kuota', 'paket', 'internet', 'kesedot', 'berkali', 'kali', 'mengalaminya', 'kesel', 'butuh', 'pulsa', 'keperluan', 'telpon', 'sms', 'tolong', 'fitur', 'lock', 'pulsa', 'mohon', 'kasih', 'mohon', '']</t>
  </si>
  <si>
    <t>['serius', 'kecewa', 'beli', 'pulsa', 'ikutan', 'paket', 'nggak', 'pulsa', 'transaksi', 'gagal', 'pulsanya', 'hilang', 'nggak', 'konfirmasi', 'telkomsel', 'beneran', 'kecewa', '']</t>
  </si>
  <si>
    <t>['kecewa', 'telkomsel', 'pas', 'bayar', 'pulsa', 'trus', 'ditungguin', 'proses', 'selesai', 'selesai', 'udah', 'ditunggu', 'menitan', 'pulsa', 'terlanjur', 'abis', 'sia', 'sia', 'mohon', 'ditanggapi', 'diperbaiki']</t>
  </si>
  <si>
    <t>['paket', 'beli', 'rb', 'msh', 'ngapa', 'lemot', 'ampun', 'deh', 'coba', 'beli', 'kartu', 'operator', 'murah', 'lancar', 'jet', 'lemot', '']</t>
  </si>
  <si>
    <t>['harga', 'paketnya', 'beda', 'beda', 'kartu', 'telkomsel', 'gitu', 'temen', 'kartu', 'telkomsel', 'paketnya', 'murah', '']</t>
  </si>
  <si>
    <t>['bener', 'habis', 'pikir', 'deh', 'beli', 'paketan', 'gb', 'rela', 'ngeluarin', 'uang', 'beli', 'hasilnya', 'bener', 'kecewa', 'lemotnya', 'ketolong', 'temen', 'tri', 'lancar']</t>
  </si>
  <si>
    <t>['indihom', 'menyerang', 'komplek', 'sinyal', 'seluler', 'melemah', 'hilang', 'telkomsel', 'operator', 'nongkrong', 'lancar', 'jaya', 'yutub', 'mah', 'ambyarr', 'posisi', 'dihalaman', 'sinyal', 'lelet', 'sinyal', 'wifi', 'indihom', 'memblokir', 'sinyal', 'seluler', 'orang', 'pasang', 'indihom', 'strategi', 'dancuuuuk', '']</t>
  </si>
  <si>
    <t>['', 'main', 'game', 'online', 'buka', 'youtube', 'buka', 'app', 'telkomsel', 'video', 'call', 'streaming', 'online', 'gara', 'jaringan', 'stabil', 'mohon', 'bantuan', 'alamat', 'desa', 'kuala', 'bangka', 'kec', 'kualuh', 'hilir', 'kab', 'labuhan', 'batu', 'utara', 'prov', 'sumatera', 'utara', 'kode', 'pos', 'capek', 'ngeluh', 'capek', 'hujat', 'gitu', 'tolong', 'kerendahan', 'hati', 'pelanggan', 'tolong', 'penuhi', 'hak', 'pelanggan', 'terima', 'kasih', '']</t>
  </si>
  <si>
    <t>['napa', 'jaringan', 'telkomsel', 'beli', 'bagus', 'lemot', 'nggak', 'karuan', 'jaringan', 'ganti', 'kartu', 'nggak', 'setia', 'telkomsel', 'jaringan', 'nggak', 'mendukung', 'tolonglah', 'min', 'perbaiki']</t>
  </si>
  <si>
    <t>['parah', 'parah', 'parah', 'parah', 'jaringannya', 'lemooooot', 'beli', 'paket', 'mahal', 'jaringan', 'loadingnya', 'ampun', 'kartu', 'murahan', 'telkomsel', 'rugi', 'utang', 'jawabnnya', '']</t>
  </si>
  <si>
    <t>['beli', 'paket', 'gb', 'aktif', 'pulsa', 'kesedot', 'habis', 'internetan', 'kesekian', 'kalinya', 'burukkkkkkkk']</t>
  </si>
  <si>
    <t>['selamat', 'malam', 'kak', 'perihal', 'paket', 'unlimited', 'ketengan', 'youtube', 'membeli', 'paket', 'ketengan', 'unlimited', 'youtube', 'mengakses', 'youtube', 'kuota', '']</t>
  </si>
  <si>
    <t>['jelek', 'bngt', 'beli', 'paket', 'promo', 'persulit', 'gitu', 'ngapain', 'promo', 'udah', 'gitu', 'pulsa', 'kesedot', 'sisa', 'kuotanya', 'giliran', 'beli', 'paket', 'pulsa', 'huuuuf', 'sia', 'beli', 'pulsa', 'maketin']</t>
  </si>
  <si>
    <t>['bergabung', 'telkomsel', 'sesuai', 'pengalaman', 'rasakan', 'kartu', 'telkomsel', 'jaringannya', 'dimana', 'mudah', 'telkomsel', '']</t>
  </si>
  <si>
    <t>['emg', 'telkomling', 'angin', 'ujan', 'pulsa', 'ilang', 'maling', 'telkomling', 'telkomsel', 'maling', 'make', 'telkomsel', 'hati', 'bro', 'usahakan', 'pulsa', 'perak', 'save', 'ngga', 'operator', 'maling', 'kesenengan', 'coy', '']</t>
  </si>
  <si>
    <t>['kuota', 'mahal', 'tpi', 'jaringan', 'buruk', 'disayangkan', 'pengguna', 'setia', 'telkomsel', 'dri', 'sedih', 'banget', 'sumpah', 'tolonglah', 'harganya', 'jngan', 'mahal', '']</t>
  </si>
  <si>
    <t>['hai', 'mimin', 'telkomsel', 'hati', 'kesini', 'jaringan', 'buruk', 'kesini', 'bagus', 'ayo', 'perbaiki', 'jaringan', 'pengguna', 'telkomsel', 'kecewa', 'pindah', 'haluan', 'moga', 'didengarkan', 'keluh', 'kesah']</t>
  </si>
  <si>
    <t>['suka', 'apk', 'karna', 'ahir', 'susah', 'transaksi', 'proses', 'ehh', 'udah', 'nunggu', 'transaksi', 'berhasil', 'pls', 'ringgal', 'paket', 'berhasil', 'transaksi', 'gara', 'ganti', 'provider', 'lan', 'kerja', 'propesional']</t>
  </si>
  <si>
    <t>['dmn', 'mna', 'orang', 'meningkatkan', 'layanan', 'jaringan', 'gdk', 'jaringan', 'mikir', 'rakyat', 'lemah', 'jng', 'dibodohi', '']</t>
  </si>
  <si>
    <t>['mytelkomsel', 'versi', 'sebagus', 'versi', 'aplikasi', 'mendadak', 'terhenti', 'uninstall', 'install', 'ulang', 'aplikasi', 'mendadak', 'terhenti', 'telkomsel', 'gangguan', 'sinyal', 'internet', 'hilang', 'jaringan', 'telepon', 'stabil', '']</t>
  </si>
  <si>
    <t>['telkomsel', 'mengganggu', 'bayangkan', 'sms', 'masuk', 'pinjeman', 'hadiah', 'apalah', 'berguna', 'data', 'jual', 'telkomsel', 'sms', 'masuk', 'sampah', 'ngak', 'berguna', '']</t>
  </si>
  <si>
    <t>['hai', 'mengembalikan', 'pulsa', 'darurat', 'ribu', 'isi', 'pulsa', 'ribu', 'terpotong', 'otomatis', 'mengembalikan', 'paket', 'darurat', 'otomatis', 'kodenya', 'mencobanya', 'berulang', 'ulang', 'ditagih', 'isi', 'pulsa', 'berkali', 'kali', 'tolong']</t>
  </si>
  <si>
    <t>['kesini', 'ancur', 'simpati', 'sinyalnya', 'parah', 'sumpah', 'memperlambat', 'pekerjaan', 'orang', 'mahal', 'doang', 'kualitas', 'ancur', 'sumpah', 'sinyal', 'jelek', 'perbaiki', 'mahal', 'doang']</t>
  </si>
  <si>
    <t>['kak', 'sinyal', 'buruk', 'wilayah', 'majalengka', 'telkomsel', 'terkenal', 'sinyalnya', 'kuat', 'skrg', 'boro', 'boro', 'kuat', 'chatingan', 'kadang', 'gabisa']</t>
  </si>
  <si>
    <t>['paket', 'habis', 'unlimited', 'youtube', 'kencang', 'app', 'bagus', 'main', 'game', 'jaringan', 'udah', 'bagusnya', 'ngelag', 'ditulisannya', 'gamemax', 'gini', 'pelayanannya', 'udah', 'brapa', 'kali', 'pas', 'habis', 'paket', 'utama', 'unlimited', 'gamemaxnya', 'serasa']</t>
  </si>
  <si>
    <t>['paket', 'combo', 'sakti', 'unlimited', 'paketan', 'aneh', 'keterangan', 'kuota', 'multimedia', 'kuota', 'utamany', 'kuota', 'utamany', 'abis', 'otomatis', 'lemod', 'kgk', 'gunain', 'kuota', 'multimedia', 'serasa', 'mending', 'ngerluarin', 'paketan', 'bgtu', 'ujung', 'andalkan', 'kuota', 'utamanya', 'beda', 'operator', 'kuota', 'balance', 'pengguna', 'membuka', 'aplikasi', 'keterangan', 'paket', 'kuota', 'beli', 'customer', '']</t>
  </si>
  <si>
    <t>['jelek', 'data', 'mahal', 'ekstra', 'unlimited', 'hadeeehhh', 'telkomsel', 'lemoot', 'mahal', 'jelek', '']</t>
  </si>
  <si>
    <t>['kesini', 'mahal', 'paket', 'telkomsel', 'tollong', 'rubah', 'nggak', 'mahal', 'jaringan', 'stabil', 'udah', 'mahal', 'jaringan', 'jelek']</t>
  </si>
  <si>
    <t>['etika', 'contact', 'center', 'ngomongnya', 'rekaman', 'teleponnya', 'telkomsel', 'ikutan', 'viral', '']</t>
  </si>
  <si>
    <t>['buruk', 'buruk', 'tipu', 'pas', 'beli', 'paket', 'keterangan', 'gb', 'ribu', 'pas', 'udah', 'isi', 'pulsa', 'kaga', 'beli', 'dasar', 'telkomsel', 'jing']</t>
  </si>
  <si>
    <t>['payah', 'telkomsel', 'gila', 'mahal', 'banget', 'kali', 'hangus', 'kuota', 'aktifin', 'mahal', 'aktifin', 'sebentar', 'tanggung', 'serba', 'salah', 'saran', 'kuota', 'internet', 'kuota', 'internet', 'lokal', 'yaallah', 'kesel', 'banget', 'kebuang', 'sia', 'kuota', 'udah', 'kali', 'sayang', 'uang', 'habis', 'beli', 'kuota', 'dibuang', 'gini', 'huhu']</t>
  </si>
  <si>
    <t>['harga', 'paketnya', 'fulu', 'paket', 'internet', 'omg', 'rb', 'nggak', 'sesuai', 'kemampuan', 'konsumen', 'kecewa', 'telkomsel']</t>
  </si>
  <si>
    <t>['telkomsel', 'kartu', 'harganya', 'mahal', 'jaringan', 'jelek', 'sinyal', 'jelek', 'sekaliiiiii', 'ganti', 'kartu', 'males', 'pakek', 'telkomsel', '']</t>
  </si>
  <si>
    <t>['kartu', 'loop', 'isi', 'pulsa', 'dipakai', 'saampe', 'pulsa', 'habis', 'rb', 'dipakai', 'sms', 'telfon', 'beli', 'paket', 'tenggang', 'aktif', 'nambah', 'telkomsel', 'ngusir', 'gimana', 'nomor', 'dipakai', 'bisnis', 'kerjaan', 'gini', 'nyuruh', 'matikan', 'nomor', 'ganti']</t>
  </si>
  <si>
    <t>['gejelas', 'banget', 'udh', 'beli', 'kuota', 'unlimited', 'tiktok', 'gabisa', 'dipake', 'buang', 'pulsa', 'ganti', 'kartu']</t>
  </si>
  <si>
    <t>['mahal', 'kacau', 'jaringan', 'bnyak', 'kartu', 'buang', 'kemaren', 'promo', 'ceria', 'nga', 'beli', 'telkomsel', 'trus', 'combo', 'harga', 'reload', 'pulsa', 'donk', 'sisa', 'jamin', 'raib', 'telan', 'bumi', 'ndak', 'kmna', 'pergi', 'pulsa', '']</t>
  </si>
  <si>
    <t>['', 'pakek', 'telkomsel', 'lebaran', 'kemarin', 'thr', 'pulsa', 'ribu', 'cuman', 'berlaku', 'bonus', 'gitu', 'gitu', 'udh', 'habis', 'gua', 'isi', 'pulsa', 'thn', '']</t>
  </si>
  <si>
    <t>['ulasan', 'karna', 'paket', 'unlimited', 'combo', 'sakti', 'dipakai', 'full', 'sebulan', 'game', 'aplikasi', 'sosmed', 'dibatasi', 'gb', 'namanya', 'combo', 'sakti', 'unlimited', 'paket', 'dpt', 'bonus', 'kuota', 'ketengan', 'tolong', 'mengerti', 'telkomsel', '']</t>
  </si>
  <si>
    <t>['', 'sekitaran', 'november', 'jaringan', 'telkomsel', 'daerah', 'aneh', 'internet', 'kecepatan', 'sulawesi', 'utara', 'minahasa', 'tenggara', 'sekitaran', 'tahunan', 'kartu', 'telkomsel', 'telkomsel', 'jaringan', 'internet', 'telkomsel', 'mengecewakan', 'paket', 'internet', 'murahin', '']</t>
  </si>
  <si>
    <t>['paket', 'unlimited', 'oke', 'gpp', 'seribu', 'doang', 'kuota', 'unlimited', 'habis', 'lelet', 'kali', 'walupun', 'batas', 'kecepatan', 'unlimited', 'habis', 'sampe', 'minggu', 'kuota', 'habis', 'udh', 'lelet', 'kali', 'unlimited', 'udah', 'mahal', 'lelet', 'bagusan', 'ganti', 'operator', 'gini']</t>
  </si>
  <si>
    <t>['kecolongan', 'pulsa', 'paket', 'internet', 'kb', 'developer', 'perusahaan', 'nggak', 'ngasih', 'fitur', 'lock', 'kayak', 'apps', 'layanan', 'operator', 'sebelah', '']</t>
  </si>
  <si>
    <t>['veronika', 'berbicara', 'customer', 'service', 'kasih', 'solusi', 'kasih', 'udah', 'jaringan', 'lelet', 'pelayanannya', 'gimana', 'sihh', '']</t>
  </si>
  <si>
    <t>['gwe', 'samsung', 'gwe', 'canggih', 'temen', 'gwa', 'lainya', 'jt', 'knapa', 'sinyal', 'full', 'jaringan', 'ehh', 'pas', 'main', 'game', 'konek', 'relod', 'trus', 'ampe', 'game', 'kelar', 'sdangkan', 'temen', 'gwe', 'lancar', 'jaya', 'jaringan', 'mentok', 'batang', 'apk', 'penguat', 'sinyal', 'apalah', '']</t>
  </si>
  <si>
    <t>['telkomsel', 'parah', 'udah', 'bayar', 'mahal', 'jaringan', 'kayak', 'taik', 'betulin', 'telkomsel', 'perusahaan', 'menangani', 'jaringan', 'lambat', 'kayak', 'sampah', 'jaringan', '']</t>
  </si>
  <si>
    <t>['pulsa', 'promo', 'pembelian', 'gb', 'kena', 'pas', 'pilih', 'pulsa', 'coba', 'admin']</t>
  </si>
  <si>
    <t>['pembelian', 'paket', 'internet', 'malam', 'payment', 'dana', 'pembayaran', 'berhasil', 'menerima', 'paket', 'internet', 'trsbt', '']</t>
  </si>
  <si>
    <t>['parah', 'udah', 'mahal', 'kadang', 'sinyal', 'hilang', 'lelet', 'udh', 'undian', 'hadiah', 'permainan', 'org', 'telkomsel', 'faedah', 'ganti', 'beralih', 'kartu', '']</t>
  </si>
  <si>
    <t>['hallo', 'min', 'apk', 'bagus', 'knapa', 'bli', 'pulsa', 'slalu', 'habis', 'padhl', 'blm', 'bli', 'pulsa', 'ribu', 'tinggal', 'ribu', 'pdhl', 'besok', 'ulangan', 'telkom', 'orang', 'kaya', 'seenak', 'ortu', 'pusing', 'gimana', 'ulangan', 'besok', 'karna', 'pulsa', 'ribu', 'paket', 'telkom', 'mahal', 'pulsa', 'ribu', 'maksi', 'maksi', 'membantu', '']</t>
  </si>
  <si>
    <t>['telkomsel', 'harga', 'doang', 'berkualitas', 'jaringanya', 'lelet', 'kualitas', 'menang', 'harga', 'doang', 'buruk', 'buruk', 'buruk', 'provider', 'sampah', 'tutup', 'mendingan', 'belaga', 'pasang', 'harga', 'kualitas', 'rendahan', 'ancur']</t>
  </si>
  <si>
    <t>['jelek', 'sinyal', 'telkomsel', 'daerah', 'jawa', 'tegal', 'sinyal', 'muncul', 'mohon', 'diperbaiki', 'area', 'tegal', 'margasari', 'diperbaiki', 'wilayah', 'tegal', 'jelek', 'terpaksa', 'pindah', 'kartu', 'operator', '']</t>
  </si>
  <si>
    <t>['parah', 'banget', 'jaringan', 'lemot', 'sinyal', 'batang', 'doang', 'udah', 'dilock', 'tetep', 'mending', 'akses', 'internet', 'sebulan', 'gangguan', 'gapapa', 'mah', 'parah', 'banget', '']</t>
  </si>
  <si>
    <t>['ngasi', 'bintang', 'gara', 'jaringan', 'parah', 'turun', 'semoga', 'berbenah', 'jaringan', 'ngk', 'stabil', 'harga', 'paket', 'mulu', 'cari', 'untung', 'cari', 'untung', 'ngk', 'mengecewakan', 'pelanggan', 'sekeluarga', 'telkomsel', 'kesel', 'tolong', 'respon', 'bacot', 'salam', '']</t>
  </si>
  <si>
    <t>['aplikasi', 'rusak', 'heng', 'heng', 'mulu', 'skrg', 'beli', 'paket', 'unlimited', 'ceria', 'minggu', 'kuota', 'sedot', 'duluan', 'pulsanya', 'sedot', 'udah', 'gini', 'smpe', 'ngmng', 'kotorkan', 'maaf', 'abis', '']</t>
  </si>
  <si>
    <t>['balesannya', 'silahkan', 'konfirmasi', 'dibantu', 'konfirmasi', 'gitu', 'sosmed', 'males', 'banget', 'gua', 'orang', 'halhal', 'boss', 'gitu', 'doang', '']</t>
  </si>
  <si>
    <t>['pengennya', 'telkomsel', 'dipakai', 'mode', 'offline', 'kuota', 'habis', 'kuota', 'habis', 'bingung', 'kaya', 'gimana', 'beli', 'aplikasinya', '']</t>
  </si>
  <si>
    <t>['parah', 'jaringan', 'telkomsel', 'mahal', 'paket', 'boros', 'paket', 'datanya', 'lemot', 'menghambat', 'kerjaan', 'banget', 'wilayah', 'mataram', 'lombok', 'ntb', 'gangguan', '']</t>
  </si>
  <si>
    <t>['kecewa', 'telkomsel', 'paket', 'unlimitid', 'berbeda', 'harganya', 'batasin', 'pemakaiannya', 'unlimitid', 'namannya', 'nyari', 'untung', 'harapan', 'palsu', 'pelanggan', 'rugi', 'beli', 'mahal', 'kembalikan', 'pakai', 'batasan', 'harga', 'unlimitid', 'batas', 'muak', 'belanganan', '']</t>
  </si>
  <si>
    <t>['saranin', 'pakek', 'telkomsel', 'adminnya', 'caling', 'ngelek', 'jelek', 'in', 'kartu', 'alasannya', 'hpnya', 'mendukung', 'kartunya', 'belom', 'upgrade', 'semacamnya', 'intinya', 'telkomsel', 'operator', 'terburuk', '']</t>
  </si>
  <si>
    <t>['terkecewakan', 'krna', 'sbnarnya', 'telkomsel', 'diciptakan', 'kaum', 'sinyal', 'merata', 'dibandingkan', 'dngan', 'provider', 'terpaksa', 'telkomsel', 'trimakasih', 'membantu', 'mahal', 'terkadang', 'sinyal', 'bobrokk', '']</t>
  </si>
  <si>
    <t>['telkomsel', 'tolong', 'perbaiki', 'kerusakan', 'jaringan', 'udah', 'beli', 'kuota', 'mahal', 'mahal', 'pas', 'main', 'game', 'online', 'jaringan', 'suka', 'ilang', 'tolong', 'perhatikan', 'pindah', 'ajalah', 'njink']</t>
  </si>
  <si>
    <t>['layanan', 'jaringan', 'paket', 'termahal', 'indonesia', 'sesuai', 'harga', 'huh', 'jaringan', 'nomor', 'truss', 'kualitas', 'jaringan', 'kayak', 'keong', 'lambatnya', 'mending', 'beralih', 'layanan', 'internet', '']</t>
  </si>
  <si>
    <t>['sorry', 'bintang', 'nambah', 'kualitas', 'sinyal', 'buruk', 'harga', 'paket', 'mahal', 'mending', 'indosat', 'harga', 'murah', 'sinyal', 'lumayan', 'nomor', 'hubungan', 'kerjaan', 'udah', 'buang', 'kartu', '']</t>
  </si>
  <si>
    <t>['assalamu', 'alaikum', 'mohon', 'sya', 'mengganggu', 'wktunya', 'sbntar', 'mhon', 'info', 'knp', 'jaringn', 'internet', 'buruk', 'untk', 'paket', 'jaringan', 'bgtu', 'buruk', 'mksh']</t>
  </si>
  <si>
    <t>['', 'juni', 'rugi', 'membeli', 'paket', 'internet', 'omg', 'internet', 'oke', 'bagus', 'kesini', 'super', 'lemottt', 'bar', 'bar', 'jaringan', 'cma', 'mb', '']</t>
  </si>
  <si>
    <t>['', 'transaksi', 'pulsa', 'siang', 'masuk', 'agen', 'terkirim', 'mohon', 'tindak', 'lanjuti', 'instagram', '']</t>
  </si>
  <si>
    <t>['harga', 'sebanding', 'kualitas', 'sopankah', 'woe', 'jan', 'diem', 'muasin', 'pelanggan', 'udah', 'tutup', '']</t>
  </si>
  <si>
    <t>['kak', 'mohon', 'maaf', 'beli', 'paket', 'combo', 'sakti', 'internet', 'paket', 'internet', 'multimedia', 'pakai', 'chat', 'youtube', 'periode', 'paket', 'aktif', 'terserap', 'kuota', 'utama', 'multimedia', 'fungsinya', 'utuh', 'kuota', 'pajangan', 'doang', 'ganti', 'kartu', 'move', '']</t>
  </si>
  <si>
    <t>['asli', 'parah', 'nyesel', 'beli', 'paket', 'game', 'max', 'ngak', 'nyesel', 'telkom', 'gini', 'untung', 'costemer', 'mrasa', 'rugikan', 'msak', 'udah', 'beli', 'paket', 'game', 'max', 'ngak', 'pakai', 'buka', 'game', 'doang', 'ngk', 'main', 'sbnarnya', 'gunanya', 'paket', 'game', 'max', '']</t>
  </si>
  <si>
    <t>['maen', 'game', 'coba', 'jelasin', 'paket', 'mahal', 'doang', 'fikirin', 'komentar', 'pengguna', 'mikirin', 'bisnis', 'keuntungan', 'pengguna', 'telkomsel', 'semaju']</t>
  </si>
  <si>
    <t>['telkomsel', 'kartu', 'telkomsel', 'rumah', 'pedesaan', 'sinyal', 'jelek', 'banget', 'kehilangan', 'bintang', 'push', 'rank', 'gara', 'sinyal', 'jelek', 'nyesel']</t>
  </si>
  <si>
    <t>['kasih', 'bintang', 'jujur', 'kecewa', 'jaringan', 'telkomsel', 'lemot', 'banget', 'iklan', 'sok', 'jaringan', 'super', 'lemot', 'banget', 'kuotanya', 'mahal', 'jaringan', 'mendukung', '']</t>
  </si>
  <si>
    <t>['aplikasi', 'bagus', 'kouta', 'gratis', 'beda', 'kayak', 'tetep', 'rekomen', 'banget', 'deh', 'saran', 'apk', 'next', 'cek', 'dayli', 'tolong', 'kasih', 'vocer', 'top', 'game', 'vocer', 'diskon', 'makasih', '']</t>
  </si>
  <si>
    <t>['unlimited', 'disiang', 'menghanguskan', 'pulsa', 'pelayanan', 'buruk', 'jaringan', 'mengecewakan', 'harga', 'kuota', 'terbilang', 'mahal']</t>
  </si>
  <si>
    <t>['akses', 'iya', 'terimakasih', 'berkat', 'telkomsel', 'duait', 'cepet', 'abis', 'karna', 'paket', 'datanya', 'boros', 'hany', 'whatsup', 'gratis', 'gratis', 'paket', 'habis', 'saran', 'kouta', 'internet', 'satuin', 'gratisan', 'apps', 'kouta', 'habis', 'gratis', 'iya', 'pas', 'butuhnya', 'sosmet', 'pas', 'butuhnya', 'kauta', 'internet', 'amsyong', 'sanagat', 'kecewa', 'paket', 'data', 'cepet', 'habis', 'auto', 'uninstal', 'ganti', 'kartu', '']</t>
  </si>
  <si>
    <t>['kasih', 'bintang', 'min', 'jaringan', 'telkomsel', 'ntah', 'knapa', 'burik', 'kondisi', 'jaringankun', 'prima', 'tempatku', 'sultan', 'telkomsel', 'tolong', 'perhatikan', 'jaringan', 'pengguna', 'telkomsel', 'aktif', 'min', '']</t>
  </si>
  <si>
    <t>['kecewa', 'berat', 'buruk', 'jaringan', 'sinyal', 'daerahku', 'sukoharjo', 'barat', 'rumah', 'tower', 'telkomsel', 'buruk', 'sinyalny', 'ditawari', 'telkomsel', 'hallo', 'pemakaian', 'pulsa', 'kuota', 'bulannya', 'tolak', 'kek', 'gini', '']</t>
  </si>
  <si>
    <t>['smart', 'and', 'eazy', 'user', 'parah', 'lemot', 'pertanda', 'telkomsel', 'bangkrut', 'penyelewengan', 'diinternal', 'telkomsel', 'jujur', 'pengguna', 'telkomsel', 'kecewa', '']</t>
  </si>
  <si>
    <t>['jaringan', 'garis', 'full', 'tpi', 'masuk', 'internet', 'lamaaaa', 'udh', 'jaringan', 'lambat', 'maaf', 'spertinya', 'pindah', 'kartu', 'mengecewakan']</t>
  </si>
  <si>
    <t>['', 'dipakai', 'telkomsel', 'beli', 'paket', 'masuk', 'beli', 'voucher', 'masuk', 'harga', 'paket', 'notif', 'paket', 'combo', 'combo', 'kau', 'harganya', 'ribu', 'harga', 'ribu', 'orang', 'miskin', 'tekan', 'mulu', 'kayaknya']</t>
  </si>
  <si>
    <t>['mohon', 'aplikasinya', 'diperbaiki', 'lemot', 'orang', 'membutuhkan', 'datanya', 'pulsanya', 'habis', 'beli', 'masak', 'membuka', 'aplikasi', 'telkomsel', 'mesti', 'ber', 'jam', 'terbuka']</t>
  </si>
  <si>
    <t>['parah', 'telkomsel', 'nggak', 'paket', 'internet', 'buka', 'internet', 'pulsa', 'terpotong', 'parahhh', 'jaringan', 'parah', '']</t>
  </si>
  <si>
    <t>['kecewa', 'telkomsel', 'skrg', 'pemakaian', 'kuota', 'unlimite', 'kecepatan', 'pakai', 'lambat', 'membeli', 'paket', 'unlimited', 'udh', 'kaya', 'limit', 'kuota', 'buka', 'staatus', 'muter', 'lambat', 'paketnya', 'aneh', '']</t>
  </si>
  <si>
    <t>['jaringan', 'telkomsel', 'lelet', 'trus', 'hilang', 'timbul', 'harga', 'ngak', 'naikan', 'kualitas', 'bagus']</t>
  </si>
  <si>
    <t>['embel', 'unlimited', 'pas', 'dipake', 'batas', 'wajar', 'gb', 'habis', 'aplikasi', 'unlimited', 'parah', 'mending', 'harga', 'murah', 'jaringan', 'oke']</t>
  </si>
  <si>
    <t>['ngisi', 'pulsa', 'rb', 'ambil', 'bayar', 'internet', 'darurat', 'rb', 'sisa', 'pulsa', 'rb', 'ribu', 'colong', 'kemanain', 'mao', 'maling', 'duit', 'orang', 'transaksi', 'kgk', 'kejelasan', 'pulangin', 'pulsa', 'rb', 'malu', '']</t>
  </si>
  <si>
    <t>['uda', 'pkek', 'telkomsel', 'jelek', 'jaringan', 'telkomsel', 'ganti', 'kartu', 'kalok', 'kek', 'gni', 'bayar', 'mahal', 'jelek', 'kali', 'akses', 'internet', 'telkomsel']</t>
  </si>
  <si>
    <t>['telkomsel', 'jaringan', 'hancur', 'bermain', 'game', 'telkomsel', 'memuaskan', 'pelanggan', 'tarip', 'kuota', 'mahalin', 'tpi', 'jaringan', 'buruk', 'bermain', 'game', 'online', 'kecewa', '']</t>
  </si>
  <si>
    <t>['aktifin', 'kartu', 'halo', 'mudah', 'dateng', 'giliran', 'ubah', 'paket', 'non', 'aktifin', 'ribet', 'hra', 'dateng', 'graparinya', 'licik', 'nyusahin', 'org', 'skrg', 'paketan', 'mahal', 'kuota', 'streaming', 'bergiga', 'mubazir', 'kepake', 'akumulasi', 'kuota', 'kepake', 'mending', 'aktifin', 'halo', 'sia', 'dibalikin']</t>
  </si>
  <si>
    <t>['min', 'telkomsel', 'sllu', 'sms', 'penipuan', 'dpt', 'cek', 'hadiah', 'tunai', 'pinjaman', 'online', 'dsb', 'risih', 'datangnya', 'sms', 'sehari', 'puluhan', 'kali', 'masuk', 'pesan', 'inbox', 'penuhh']</t>
  </si>
  <si>
    <t>['', 'telkomsel', 'kasih', 'masukan', 'beli', 'paket', 'data', 'paket', 'nelp', 'menit', 'berkurang', 'menit', 'tolong', 'telkomsel', '']</t>
  </si>
  <si>
    <t>['satelit', 'telkomsel', 'bermasalah', 'kah', 'jaringan', 'lemot', 'pengguna', 'komplen', 'tolonglah', 'perbaiki', 'serius', 'operator', 'telkomsel', '']</t>
  </si>
  <si>
    <t>['jelek', 'apk', 'beli', 'kuota', 'masuk', 'masuk', 'pulsa', 'hilang', 'udah', 'gitu', 'hoax', 'unlimited', 'dahlah', '']</t>
  </si>
  <si>
    <t>['aplikasinya', 'nggak', 'berfungsi', 'buang', 'buang', 'kuota', 'kartunya', 'cek', 'pulsa', 'susah', 'telvon', 'sms', 'karna', 'nomor', 'keluarga', 'udah', 'ganti', 'kartu', 'jelek', 'banget']</t>
  </si>
  <si>
    <t>['zaman', 'sekolah', 'telkomsel', 'telkomsel', 'sinyalnya', 'kecewa', 'kerja', 'terganggu', 'mhon', 'diperbaiki', '']</t>
  </si>
  <si>
    <t>['kecewa', 'denggan', 'telkomsel', 'sanggat', 'sanggat', 'kecewa', 'karimun', 'jawa', 'kartu', 'internet', 'telkomsel', 'sanggat', 'lambat', 'tolong', 'perbaiki', '']</t>
  </si>
  <si>
    <t>['leletnya', 'jaringan', 'tsel', 'iklan', 'bagusin', 'gede', 'jaringan', 'benerin', 'payah', '']</t>
  </si>
  <si>
    <t>['bagus', 'buruk', 'sinyal', 'stabil', 'mahal', 'harga', 'kuota', 'mending', 'ganti', 'bagus', 'harga', 'menguras', 'kantong', 'rating', 'udah', 'kasih']</t>
  </si>
  <si>
    <t>['jaringan', 'tolong', 'perbaiki', 'kuota', 'mahal', 'gpp', 'sesuai', 'jaringan', 'mahal', 'jaringan', 'burik', 'ngeluh', 'operator', 'hasil', 'buatin', 'laporan', 'woi', 'woi', 'jaringan', 'kotak', 'kotak', 'bersih', 'berkotak', 'ngegame', 'beli', 'kacang', 'ping', 'ngomong', 'perbaiki', 'konsumen', 'butuh', 'bukti', 'iklan', 'iklan', 'bagus', 'jaringan', 'burik', 'boong', '']</t>
  </si>
  <si>
    <t>['tolong', 'sinyal', 'parah', 'perbaiki', 'sinyal', 'harga', 'kualitas', 'seharus', 'pengguna', 'telkomsel', 'enggan', 'ganti', 'karnakan', 'sekeluarga', 'pengguna', 'telkomsel', 'tolong', 'perhatikan', 'konsumen', 'perbaiki', 'sinyal', '']</t>
  </si>
  <si>
    <t>['terima', 'kasih', 'telkomsel', 'kesini', 'jaringan', 'bagus', 'puasssss', 'banget', 'jaringan', 'nyaa', 'berharap', 'nyaingin', 'telkomsel', 'pelanggan', 'pindah', '']</t>
  </si>
  <si>
    <t>['tolong', 'nomor', 'nama', 'refisi', 'teman', 'paket', 'murah', 'promo', 'mahal', 'paket', 'sepsial', 'gitu', 'promo', '']</t>
  </si>
  <si>
    <t>['tinggal', 'kota', 'menjamin', 'kualitas', 'sinyal', 'telkomsel', 'bagus', 'buruk', 'menurun', 'performanya', 'kasih', 'pelanggan', 'info', 'gangguan', 'jaringan', 'kendala', 'pelayanan', 'umbar', 'promo', 'maintenance', 'pelanggan', 'dijaga', 'noted', 'robot', 'kabar', 'solusinya', 'medsos', 'pelanggan', 'paham', 'malas', 'pertayaan', 'pelanggan', 'karna', 'pelanggan', 'telkomsel', 'kaya', '']</t>
  </si>
  <si>
    <t>['sisa', 'kuota', 'siasa', 'tenggang', 'habis', 'pengisian', 'tolong', 'kembalikan', 'singapore', 'bellaku', 'beli', 'mohon', 'kembalikan', 'terpakai', 'habis', '']</t>
  </si>
  <si>
    <t>['bintang', 'berubah', 'pelayanannya', 'buruk', 'pintu', 'masuk', 'parkiran', 'grapari', 'makassar', 'satpamnya', 'buruk', 'masuk', 'gedung', 'petugas', 'jaga', 'loket', 'antrian', 'jdi', 'duduk', 'menitan', 'trnyata', 'ambil', 'nomor', 'antrian', 'petugas', 'petugasnya', 'aktif', 'pelanggan', 'terkait', 'perubahan', 'data', 'trnyata', 'mewajibkan', 'pelanggan', 'membawa', 'kartu', 'keluarga', 'ambil', 'nomor', 'penilain', 'cust', 'parah', '']</t>
  </si>
  <si>
    <t>['menyenangkan', 'jaringan', 'paketan', 'parah', 'mahal', 'harga', 'paketan', 'buruk', 'jaingan', 'terjangkau', 'sinyal', 'parahhhhhh', 'abisssse', 'neh', 'harga', 'mahal', 'kwalitas', 'burukkkkk']</t>
  </si>
  <si>
    <t>['doang', 'ngerasa', 'sinyal', 'internet', 'telkomsel', 'buruk', 'kirim', 'pesan', 'buka', 'kuota', 'lampirin', 'screenshotan', 'screenshot', 'deh', 'sedih', 'sekelas', 'telkomsel', 'gini', 'sinyalnya', '']</t>
  </si>
  <si>
    <t>['tolong', 'perbaiki', 'kualitas', 'sinyalnya', 'daerah', 'bagikan', 'mengirim', 'pesan', 'whatsapp', 'loading', 'harganya', 'mahal', 'operator', 'harganya', 'murah', 'jaringannya', 'bagus']</t>
  </si>
  <si>
    <t>['telkomsel', 'jaringan', 'lemot', 'parah', 'harga', 'mahal', 'gila', 'kecewa', 'pilih', 'internet', 'malaysia', 'diatas', 'langit', 'internet', 'indonesia', 'harganya', 'murah', 'kuota', 'unlimited', 'pembagian', 'kuota', 'nggak', 'internet', 'indonesia', 'kuota', 'pembagian', 'wkwkwk', 'telkomsel', 'malaysia', 'nggak', 'pakai', 'jaringan', 'siput', 'harga', 'kayak', 'nggak', 'masuk', 'akal', 'kuota', 'malaysia', 'bayar', 'ringgit', 'udah', 'unlimited', 'youtube', 'internet', 'indonesia', 'sebanding']</t>
  </si>
  <si>
    <t>['ayolah', 'udah', 'telkomsel', 'kesini', 'sinyal', 'main', 'mobile', 'legend', 'bang', 'bang', 'delay', 'sinyal', 'keluarnya', '']</t>
  </si>
  <si>
    <t>['mahal', 'doang', 'anjeng', 'youtube', 'gaa', 'gaa', 'game', 'pas', 'game', 'masuk', 'udah', 'game', 'masuk', 'youtube', 'masuk', 'udah', 'gaa', 'kntl', 'emang', 'telkomsel', '']</t>
  </si>
  <si>
    <t>['kecewa', 'telkomsel', 'paket', 'telkomsel', 'termahal', 'sesuai', 'buruk', 'jaringannya']</t>
  </si>
  <si>
    <t>['beli', 'kuota', 'mending', 'harga', 'sesuai', 'ditampilkan', 'app', 'mytelkomsel', 'beli', 'kuota', 'harga', 'dibilang', 'pulsa', 'saldo', 'pulsanya', '']</t>
  </si>
  <si>
    <t>['harga', 'paketannya', 'mahal', 'isi', 'kuotanya', 'harganya', 'kualitas', 'jaringan', 'telkomsel', 'parah', 'lag', 'didaerah', 'bekasi', 'utara', 'knp', 'suka', 'down', 'jaringannya', 'paket', 'harga', 'mahal', 'jaringan', 'jelek', 'tolong', 'diperbaiki', 'pelanggan', 'telkomsel', 'kecewa', '']</t>
  </si>
  <si>
    <t>['tolonglah', 'telkomsel', 'menon', 'aktifkan', 'nomor', 'pemberitahuan', 'telat', 'isi', 'pulsa', 'tengang', 'udah', 'non', 'aktifkan', 'lupa', 'perpanjang', 'wajarlah', 'karna', 'memikirkan', 'perpenjang', 'aktif', 'tolong', 'pengertian', 'orang', 'pindah', 'kartu', 'pelayanannya', 'udah', 'mahal', 'mahal', 'beli', 'paket', 'data', 'jaringan', 'internet', 'jelek', '']</t>
  </si>
  <si>
    <t>['isi', 'pulsa', 'beli', 'paket', 'internet', 'paket', 'unlimited', 'rb', 'masi', 'giliran', 'udah', 'isi', 'pulsa', 'ilang', 'takut', 'banget', 'pelanggan', 'untung', 'njeng']</t>
  </si>
  <si>
    <t>['', 'nyesel', 'beli', 'paket', 'simpati', 'unlimited', 'gb', 'hrga', 'ribu', 'prtma', 'pakai', 'enak', 'lancar', 'kuota', 'utama', 'habis', 'youtube', 'titktok', 'ngegame', 'lancar', 'pemakaian', 'dibatas', 'wajar', 'bln', 'pemakaian', 'kuota', 'utma', 'hbs', 'batas', 'wajar', 'lemot', 'ngalah', 'smartfren', 'kecewa', 'banget', 'telkomsel', 'dri', 'smartfren', 'hri', 'batasi', 'lemotnya', 'mnta', 'ampun', 'nyesel', 'bget', 'pakai', 'kartu', 'mahak', 'unlimited', 'kaleng', '']</t>
  </si>
  <si>
    <t>['udah', 'setia', 'pakai', 'telkomsel', 'bertahun', 'balasan', 'memuaskan', 'daerah', 'kota', 'sekelas', 'daerah', 'juanda', 'sinyal', 'parah', 'bobrok', 'emosi', 'gini', 'sinyal', 'terbaik', 'hadeh']</t>
  </si>
  <si>
    <t>['tolong', 'telkomsel', 'jaringan', 'telkomsel', 'udah', 'beli', 'paket', 'mahal', 'tolong', 'tingkatkan', 'jaringannya', 'beli', 'paket', 'mahal', 'jaringannya', 'lelet', 'malam', 'nggak', 'nggak', 'kasih', 'kenyamanan', 'pelanggan', 'mending', 'ganti', 'kartu', 'kualitasnya', 'bagus', 'telkomsel', '']</t>
  </si>
  <si>
    <t>['senang', 'transaksi', 'pembelian', 'paket', 'internet', 'nelfon', 'mudah', 'semangat', 'terbaik', 'costumer', 'salam', 'sukses', '']</t>
  </si>
  <si>
    <t>['mytelkomsel', 'membeli', 'paket', 'unlimitedmax', 'dalamnya', 'berlangganan', 'disney', 'hotstar', 'akses', 'aplikasi', 'berlangganan', 'tolong', 'kecewa']</t>
  </si>
  <si>
    <t>['pengguna', 'setia', 'telkomsel', 'seminggu', 'beli', 'vocer', 'paket', 'data', 'masuk', 'vocer', 'paket', 'data', 'masukan', 'cek', 'seri', 'vocer', 'terpakai', 'pas', 'pakai', 'bagus', 'ngawur']</t>
  </si>
  <si>
    <t>['beli', 'paket', 'telp', 'mingguan', 'muncul', 'telkomsel', 'telkomselnya', 'salah', 'mohon', 'arahanya', '']</t>
  </si>
  <si>
    <t>['pengguna', 'telkomsel', 'handphone', 'kali', 'ganti', 'provider', 'ganti', 'provider', 'karna', 'jaringan', 'buruk', 'rekomendasi', 'internetan', 'game', 'mengajak', 'keluarga', 'pindah', 'provider', 'semoga', 'mengajak', 'berpindah', 'mahal', 'doang', 'sinyal', 'ancurr', 'balas', 'chat', 'halaman', 'msh', 'pakai', 'chat', 'bot', 'trus', 'arahkan', 'veronica', 'asisten', 'gobloknya', 'asudahlah', 'bye']</t>
  </si>
  <si>
    <t>['drop', 'main', 'game', 'rekomendasi', 'banget', 'main', 'game', 'rekomend', 'telpon', 'sms', 'teknologi', 'canggih', 'dasar', 'kartu', 'ketinggalan', 'jaman', 'thanks', '']</t>
  </si>
  <si>
    <t>['maju', 'teknologi', 'jaringan', 'buka', 'kecepatan', 'internet', 'jaringan', 'telkomsel', 'mengecewakan', 'menurun', 'paket', 'data', 'kecepatan', 'koneksi', 'menurun', 'jaringan', 'tertera', 'lte', 'lemot', 'kadang', 'putus', 'pindah', 'hutan', 'iyalah', 'kota', 'kabupaten', 'lemot', 'hubungi', 'call', 'center', 'lakuin', 'instruksikan', 'hasilnya', 'test', 'coba', 'kartu', 'lbh', 'bagus', 'setia', 'telkomsel', 'mknya', 'ttp', 'kartu', 'utama', 'jujur', 'mengecewakan']</t>
  </si>
  <si>
    <t>['pengguna', 'telkomsel', 'seidik', 'agaklama', 'buruk', 'telkomsel', 'login', 'nunggu', 'banget', 'main', 'pubg', 'putus', 'jaringan', 'jaringan', 'udah', 'kirim', 'pesan', 'gmail', 'emailnya', 'tertera', 'telebgram', 'banget', 'akun', 'bot', 'palsu', 'mohon', 'banget', 'perkuat', 'udah', 'mahal', 'lag', 'mulu', 'hadwehh', '']</t>
  </si>
  <si>
    <t>['maaf', 'peminat', 'telkomsel', 'kartu', 'lebi', 'aga', 'kecewa', 'paket', 'datanya', 'naikan', 'contoh', 'paket', 'ceria', 'naikan', 'naikan', 'berlakunya', 'bertahan', 'bertambah', 'harga', 'naikan', 'pelanggan', 'senang', 'esok', 'kecewa', '']</t>
  </si>
  <si>
    <t>['jelek', 'jaringan', 'telkomsel', 'tolong', 'perbaiki', 'untung', 'pelayanan', 'peningkatan', 'ampasss']</t>
  </si>
  <si>
    <t>['bintang', 'nol', 'kasih', 'bintang', 'nol', 'harga', 'mahal', 'kualitas', 'jaringan', 'buruk', 'provider', 'bobrok', 'namanya', '']</t>
  </si>
  <si>
    <t>['kecewa', 'telkomsel', 'beli', 'paket', 'internet', 'unlimited', 'harga', 'pakai', 'unlimited', 'gamenya', 'kali', 'afk', 'game', 'konfirmasi', 'telkomsel', 'pakai', 'sinyal', 'bagus', 'kecepatan', 'sinya', 'oke', 'banget', 'nii', 'mohon', 'bantuannya', 'pliss', 'meresahkan', 'banget', 'unlimited', 'gamenya', 'benerin', 'kasi', 'bintang', 'mohon', 'bantuannya', '']</t>
  </si>
  <si>
    <t>['berharap', 'kartu', 'telkomsel', 'loops', 'edarkan', 'perbanyak', 'kota', 'lombok', 'ntb', 'tolong', 'koneksi', 'sinyal', 'internet', 'perbaiki', '']</t>
  </si>
  <si>
    <t>['memakai', 'propider', 'kuota', 'data', 'telkomsel', 'habis', 'mengaktifkan', 'kuota', 'data', 'axis', 'min', '']</t>
  </si>
  <si>
    <t>['aplikasi', 'bagus', 'udah', 'bnyak', 'support', 'pembayaran', 'sayang', 'jaringannya', 'super', 'lemot', 'gapapa', 'mahal', 'bagus', 'udah', 'mahal', 'lemot', 'pindah', 'operator', 'cepat', 'kecepatan', 'jaringannya']</t>
  </si>
  <si>
    <t>['internetnya', 'lemot', 'udah', 'towernya', 'sinyal', 'full', 'lemot', 'udah', 'seminggu', 'lemotnya', 'mengirim', 'pesan', 'email', 'kasi', 'memuaskan', '']</t>
  </si>
  <si>
    <t>['kepaksa', 'kerjaan', 'jaringan', 'tulisan', 'main', 'pubg', 'lag', 'baca', 'komik', 'buffer', 'sampe', 'refresh', 'kali', 'kebuka', 'page', '']</t>
  </si>
  <si>
    <t>['hati', 'modus', 'murah', 'paket', 'internetan', 'sisa', 'pulsa', 'lenyap', 'disedot', 'jaringan', 'hny', 'dlm', 'jangkauan', 'dlm', 'panggilan', 'untung', 'sisa', 'pulsa', 'goceng', 'sumpahin', 'telkomsel', 'jejak', 'indosat', 'jual', 'negara', 'jaringannya', 'mantap', 'bermodus', '']</t>
  </si>
  <si>
    <t>['beli', 'pulsa', 'respon', 'beli', 'kuota', 'data', 'jaringan', 'nyakin', 'lemot', 'pakai', 'kartu', 'kecewa', 'beli', 'pulsa', 'jam', 'nunggu', 'beli', 'goceng', 'doang', 'sihh', 'tunggu', 'tungguin', 'beli', 'ribu', 'ditambah', 'respon', 'terimakasih', 'beramal', 'orang', 'kartu', 'buang']</t>
  </si>
  <si>
    <t>['ngelaggggggggggggggggggggggggggggggggggggggggggggggggggggggggggggggggggggggggggggggggggggggggggggg', 'malem', 'gatau', 'kaya', 'pengen', 'ngajak', 'guled', 'lagu', 'main', 'pas', 'war', 'ngelag', 'pas', 'mati', 'lancar', 'gatau']</t>
  </si>
  <si>
    <t>['sinyal', 'telkomsel', 'pakai', 'komunikasi', 'nelpon', 'susah', 'banget', 'suara', 'menjelang', 'malam', 'susah', 'sinyal', 'daerah', 'oku', 'timur']</t>
  </si>
  <si>
    <t>['tolong', 'telkomsel', 'paket', 'data', 'mahal', 'daerah', 'jaringannya', 'lemot', 'bangat', 'paket', 'lelet', 'main', 'game', 'buka', 'apk', 'telkomsel', 'lemot', 'gagal', 'beli', 'paket', 'tolonglah', 'perbaiki', 'server', '']</t>
  </si>
  <si>
    <t>['hei', 'telkomsel', 'bercanda', 'kah', 'harga', 'paketan', 'mahal', 'sinyal', 'jelek', 'banget', 'buka', 'game', 'online', 'buka', 'instagram', 'tetep', 'lemot', 'pengguna', 'setia', 'telkomsel', 'mohon', 'sinyalnya', 'tingkatkan']</t>
  </si>
  <si>
    <t>['aplikasi', 'telemot', 'heran', 'aplikasi', 'tuan', 'rumah', 'selemot', 'instal', 'sulit', 'cek', 'kuota', 'tagihan', 'kartu', 'hallo', 'penuh', 'sengan', 'kesabaran', 'melebihi', 'dalamnya', 'lautan', 'luasnya', 'samudra', 'tingginya', 'langit', 'astaufirullahaadzim']</t>
  </si>
  <si>
    <t>['', 'telkomsel', 'jelek', 'sinyal', 'beli', 'mahal', 'mahal', 'sinyal', 'lemot', 'gimana', 'cari', 'untung', 'sinyal', 'jelek', 'mulu', 'pindah', 'kartu', 'kerja', 'bener', 'ngecewain', 'konsumen', 'telkomsel', 'anjg']</t>
  </si>
  <si>
    <t>['applikasi', 'kuota', 'combi', 'diteman', 'paket', 'kuota', 'combo', 'promo', 'beda', 'pdahal', 'tier', 'gold', 'tolong', 'diperbaiki', 'terimakasih']</t>
  </si>
  <si>
    <t>['telkomsel', 'sinyalnya', 'bagus', 'paket', 'internet', 'berguna', 'yaa', 'pas', 'berkunjung', 'lombok', 'bali', 'trus', 'sinyal', 'buruk', 'pdhl', 'kota', 'notif', 'kuota', 'nasional', 'habis', 'tsk', 'bepergian', 'indonesia', 'paket', 'internet', 'omg', 'skrg', 'paket', 'nasional', 'tolong', 'doong', 'sisa', 'kuota', 'internet', 'byk', '']</t>
  </si>
  <si>
    <t>['telkomsel', 'isi', 'pulsa', 'ribu', 'beli', 'paket', 'ribu', 'tinggal', 'pulsa', 'namanya', 'pembodohan', 'publik', '']</t>
  </si>
  <si>
    <t>['pelanggan', 'telkomsel', 'membeli', 'pulsa', 'seharga', 'ribu', 'membeli', 'paket', 'gb', 'haru', 'harganya', 'ribu', 'dikurangi', 'sisa', 'pulsa', 'tersisa', 'ribu', 'pulsa', 'tersisa', 'ribu', 'tolong', 'kembalikan', 'pulsa', 'kaya', 'gini', 'memakai', 'telkomsel', 'kali', 'isi', 'pulsa', 'kali', 'disedot', 'telkomsel', 'pulsa', 'tolong', 'kerja', 'telkomsel', 'kembalikan', 'pulsa', '']</t>
  </si>
  <si>
    <t>['kau', 'tower', 'dimana', 'kau', 'tower', 'gimana', 'telkomselll', 'jelass', 'pindah', 'smartfren', 'kuota', 'murahh', 'jaringan', 'diandalkan', 'telkomsel']</t>
  </si>
  <si>
    <t>['turunin', 'harga', 'paket', 'internetnya', 'mahal', 'bangett', 'cuyyy', 'harga', 'paket', 'sbanding', 'kualitas', 'jaringan', 'lag', 'mahal', 'bukanx', 'turunn', 'whatsss', 'what', 'you', 'kanna', 'telkomsel', 'klw', 'bgini', 'pindah', 'deh', 'operator', 'sebelah', '']</t>
  </si>
  <si>
    <t>['jaringan', 'telkomsel', 'jelek', 'telkomsel', 'jaringan', 'internetnya', 'gangguan', 'kadang', 'jaringan', 'susah', 'jdi', 'internetannya']</t>
  </si>
  <si>
    <t>['protes', 'beli', 'kuota', 'unlimited', 'yutube', 'sms', 'music', 'game', 'sms', 'music', 'game', 'berjalan', 'yutube', 'beli', 'unlimited', 'yutube', 'buka', 'yutube', 'video', 'gimana', 'sinyal', 'bagus', 'buka', 'video', 'yutube', 'nama', 'doang', 'unlimited', 'yutube', 'pas', 'buka', 'yutube', 'liat', 'video', 'muter', 'mulu', '']</t>
  </si>
  <si>
    <t>['', 'maen', 'dri', 'langsung', 'beli', 'mahal', 'mahal', 'hasil', 'memuaskan', 'makan', 'gaji', 'buta', 'karyawan', 'telkomsel']</t>
  </si>
  <si>
    <t>['rada', 'ngeselin', 'skg', 'telkomsel', 'promo', 'promo', 'murah', 'murah', 'dibeli', 'plsa', 'beli', 'kuota', 'diklik', 'transaksi', 'gagal', 'hallo', 'admin', 'telkomsel', 'kena', 'prank', 'gimana', 'gitu', 'pengen', 'banting', 'sayang', 'patahin', 'kartu', 'sayang', 'cantik', 'ydh', 'ditaro', 'dihp', 'jadul', '']</t>
  </si>
  <si>
    <t>['apk', 'bagus', 'tpi', 'buka', 'apk', 'buka', 'data', 'otomatis', 'pulsa', 'yng', 'udah', 'beli', 'tersedot', 'gitu', 'jdi', 'beli', 'pulsa', 'lgi', 'jdi', 'gmn', 'pulsa', 'yng', 'udah', 'dibeli', 'tersedot', 'lgi', '']</t>
  </si>
  <si>
    <t>['pokoknya', 'paket', 'darurat', 'membantu', 'kehabisan', 'kuota', 'didaerah', 'penjual', 'ritel', 'pulsa', 'kuota', 'penyedia', 'paket', 'darurat', 'telkomsel', 'lancar', 'terimakasih', '']</t>
  </si>
  <si>
    <t>['beli', 'unlimited', 'sanpe', 'knapa', 'kuota', 'utama', 'masi', 'kuota', 'utama', 'habis', 'mohon', 'perbaiki', '']</t>
  </si>
  <si>
    <t>['ngabisin', 'kuota', 'nggak', 'banget', 'beli', 'paket', 'data', 'nggak', 'masuk', 'penanganan', 'lambat', 'males', 'produk', 'simpati', 'nggak', 'pelanggan', 'repot', 'kecewa', 'berat', 'simpati']</t>
  </si>
  <si>
    <t>['pengguna', 'telkomsel', 'jaringan', 'sinyal', 'parah', 'leletnya', 'tingkatkan', 'harga', 'udah', 'mahal', 'masak', 'sinyal', 'putus', 'owalah', '']</t>
  </si>
  <si>
    <t>['beli', 'paket', 'telkomsel', 'shope', 'pay', 'pembelian', 'berhasil', 'shope', 'paket', 'masuk', 'gimana', 'telkomsel', 'rugikan', 'kecewa', 'provider', 'negri']</t>
  </si>
  <si>
    <t>['beli', 'pulsa', 'counter', 'beli', 'paket', 'data', 'telkomsel', 'habis', 'pulsa', 'proses', 'pembelian', 'data', 'telkomsel', 'menyebalkan', 'tolong', 'layanan', 'pengaduannya', 'perbaiki', '']</t>
  </si>
  <si>
    <t>['terbaik', 'rugi', 'menunggu', 'kuota', 'internet', 'masuk', 'bayar', 'via', 'linkaja', 'saldo', 'link', 'terpotong', 'paket', 'masuk', 'mohon', 'sikapi', 'menjaga', 'kenyamanan', 'kerja', 'bener', 'mengibuli', 'mempercayakan', 'telkomsel', 'balasannya', 'bertanggungjawab', 'pelanggan', 'rugikan', 'telkomsel']</t>
  </si>
  <si>
    <t>['jujur', 'kecewa', 'berat', 'telkomsel', 'kartu', 'expairnya', 'fanggal', 'juni', 'expair', 'isi', 'pulsa', 'beli', 'peket', 'nelponlah', 'intefnetlah', 'expair', 'pelaporan', 'nomor', 'adik', 'menunggu', 'jam', 'jam', 'hubungi', 'nunggu', 'pelaporan', 'jam', 'hubungi', 'blm', 'terselesaikan', '']</t>
  </si>
  <si>
    <t>['daftar', 'paket', 'ketengan', 'utama', 'harian', 'saldo', 'gopay', 'saldo', 'udah', 'kepotong', 'quota', 'masuk', 'dipake', 'narik', 'driver', 'gojek', 'item', 'histori', 'purchase', 'riwayat', 'pembelian', 'dicoba', 'sampe', 'kali', 'saldo', 'kepotong', 'trs', 'quota', 'masuk', 'namanya', 'perampokan', '']</t>
  </si>
  <si>
    <t>['buruk', 'unlimited', 'tpi', 'batasannya', 'promo', 'masuk', 'pas', 'dftr', 'ngerti', 'lgi', 'telkomsel', 'ckck']</t>
  </si>
  <si>
    <t>['hadeuh', 'telkomsel', 'parah', 'jaringan', 'lelet', 'sistem', 'gangguan', 'bosan', 'ganti', 'kartu', 'teman', 'teman', 'ganti', 'kartu', 'telkomsel', 'kesini', 'buruk', 'pesan', 'balasan', 'tsel', 'mohon', 'maaf', 'silahkan', 'hubungi', 'bacot', 'dihubungi', 'alibi', 'alasan', 'sesuai', 'kenyataan', 'hadeuh', 'telkom', 'telkom', 'tuhan', 'bangkrut', 'telkomsel', 'menipu', '']</t>
  </si>
  <si>
    <t>['daerah', 'telkomsel', 'lemot', 'tower', 'daerah', 'telkomsel', 'internetnya', 'cepat', 'tolong', 'perbaiki', 'jaringan', 'pelanggan', 'setia', 'beralih', 'operator', 'terima', 'kasih']</t>
  </si>
  <si>
    <t>['payah', 'tarifnya', 'nomor', 'beda', 'beda', 'diberlakukan', 'tarif', 'adil', 'banget', 'udah', 'gitu', 'notif', 'kuota', 'combo', 'sakti', 'unlimited', 'rb', 'pas', 'dibuka', 'mahal', 'rb', 'nomor', 'tarif', 'terendah', 'combo', 'sakti', 'rb', 'nomor', 'tarif', 'terendah', 'rb', 'kuota', 'sebulan', 'sampe', 'segitu', 'mubadzir']</t>
  </si>
  <si>
    <t>['ganti', 'kartu', 'digrapari', 'gratis', 'bonus', 'kuota', 'gb', 'bonus', 'gb', 'bayar', 'biaya', 'kartu', 'rb', 'pulsa', 'penuh', 'krna', 'kmren', 'istri', 'ganti', 'kartu', 'diisi', 'pulsa', 'isi', 'digrapari', 'tersedia', 'min', 'rb', 'isi', 'pulsa', 'diluar', 'tetep', 'tb', 'kartunya', 'brrti', 'rb', 'bayar', 'kartu', 'isi', 'kuota', 'gb', 'hadeuuhhh', 'gini', 'gratis', 'kena', 'dehhh', 'jaringannya', 'lemottt']</t>
  </si>
  <si>
    <t>['beli', 'paket', 'data', 'masuk', 'masuk', 'saldo', 'shopeepay', 'kepotong', 'paket', 'data', 'masuk', 'masuk', 'mohon', 'penjelasan']</t>
  </si>
  <si>
    <t>['pelayanan', 'buruk', 'sakarang', 'jaringan', 'telkomsel', 'lelet', 'isi', 'kuota', 'gb', 'muter', 'nonton', 'video', 'youtube', 'kesini', 'telkomsel', 'parah', 'males', 'pakai', 'telkomsel', 'pelayanan', 'memuaskan', 'gini']</t>
  </si>
  <si>
    <t>['aplikasi', 'komputer', 'ane', 'isi', 'pulsa', 'rb', 'ilang', 'telan', 'bumi', 'veronika', 'balas', 'telkomsel', 'udah', 'ngawur']</t>
  </si>
  <si>
    <t>['telkomsel', 'sialan', 'paket', 'internet', 'aplikasi', 'telkomsel', 'aktif', 'tgl', 'kirimin', 'pesan', 'sms', 'klok', 'paket', 'tgl', 'gue', 'daftar', 'bln', 'unlimited', 'sosmednya', 'loading', 'game', 'aman', 'kebanyakan', 'ambil', 'untung', 'chat', 'responnya', 'provider', 'parah', 'bumn', 'doang', 'mahal', 'pelayanan', 'hancurrr', '']</t>
  </si>
  <si>
    <t>['hallo', 'butuh', 'bantuan', 'kejadian', 'mengecewakan', 'pelangan', 'membeli', 'paket', 'internet', 'aplikasi', 'dana', 'uang', 'terkurang', 'paket', 'internet', 'beli', 'masuk', 'mengecewakan']</t>
  </si>
  <si>
    <t>['admin', 'telkomsel', 'jaringannya', 'parah', 'banget', 'telkomsel', 'mohon', 'diperbaiki', 'kota', 'bekasi', 'dipulau', 'terpencil', 'jaringannya', 'bagus', 'jelek', 'banget', 'telkomsel', 'jaringannya', 'mohon', 'diperbaiki', '']</t>
  </si>
  <si>
    <t>['towernya', 'telkomsel', 'ambruk', 'banget', 'down', 'sinyal', 'perasaan', 'kentang', 'hilang', 'trus', 'mentok', 'mahal', 'harga', 'paketanmu', 'masak', 'sesuai', 'pelayanannya', 'telkomsel', 'sma', 'smpe', 'skrg', 'anak', 'kesini', 'ancur', 'jaringannya', '']</t>
  </si>
  <si>
    <t>['beli', 'paket', 'data', 'telkomsel', 'bayar', 'via', 'link', 'pembayaran', 'udah', 'sukses', 'paket', 'data', 'masuk', 'solusi', '']</t>
  </si>
  <si>
    <t>['jaringan', 'buruk', 'bayar', 'mahal', 'kualitas', 'rendah', 'gangguan', 'operator', 'sma', 'telkomsel', 'kecewa', 'sinyal', 'gangguan', 'jaringan', 'harga', 'mahal', 'kualitas', 'murahan', '']</t>
  </si>
  <si>
    <t>['kuota', 'unlimited', 'dibatasi', 'kecepatannya', 'bohong', 'tolong', 'perbaiki', 'kuota', 'unlimited', 'dibatasi', 'kecepatannya']</t>
  </si>
  <si>
    <t>['saran', 'telkomsel', 'paket', 'internet', 'apk', 'pilihan', 'jadikan', 'kuota', 'utama', 'karna', 'kuota', 'utama', 'apk', 'contoh', 'beli', 'paket', 'gb', 'kuota', 'utamanya', 'cuman', 'gb', 'gb', 'apk', 'menggunakannya', 'sekedar', 'masukan', 'min', 'tanggapi', 'syukur', 'ngga', 'gpp', 'terima', 'kasih', '']</t>
  </si>
  <si>
    <t>['gua', 'beli', 'kuota', 'combo', 'unlimited', 'sakti', 'tpi', 'blm', 'sebulan', 'udh', 'harap', 'perbaiki', 'dlm', 'sebulan', 'udh', 'gua', 'beli', 'paket', 'combo', 'sakti', 'unlimited', 'udh', 'prbaikin', 'bru', 'gua', 'kasib', 'bintang', '']</t>
  </si>
  <si>
    <t>['jaringan', 'telkomsel', 'kadang', 'kadang', 'ngk', 'melayani', 'kualitas', 'ngk', 'bagus', 'udah', 'kartu', 'telkom', 'konsumen', 'beralih', 'provider', 'jdi', 'tolong', 'kualitas', 'pelayan', 'diutamankan', 'ngk', 'event', 'karna', 'orang', 'butuh', 'kualitas', 'jaringan', 'tolong', 'tanggapi', 'sumut', 'tebing', 'rabu', 'juni', '']</t>
  </si>
  <si>
    <t>['gimana', 'kak', 'udh', 'tukar', 'poin', 'jajan', 'link', 'masuk', 'poin', 'tolonglah', 'kak', 'kembalikan', 'poin', 'rugi', 'donk', '']</t>
  </si>
  <si>
    <t>['jaringan', 'gua', 'aman', 'tolong', 'harga', 'paketnya', 'permurah', 'temen', 'gua', 'combo', 'sakti', 'gua', 'kagak', 'gua', 'kasih', 'bintang', 'ntar', 'udah', 'perbaiki', 'gua', 'tambahin', 'bintangnya']</t>
  </si>
  <si>
    <t>['telkomsel', 'jaringan', 'lelet', 'mending', 'pindah', 'operator', 'telkomsel', 'memuaskan', 'pelanggannya', 'memeras', 'jaringan', 'kayak', 'kura', 'kura', 'kasi', 'bintang']</t>
  </si>
  <si>
    <t>['th', 'pakai', 'kartu', 'halo', 'kecewa', 'kemarin', 'kemarin', 'lemot', 'posisi', 'kota', 'kota', 'lemooot', 'kecepatan', 'internet', 'mengecewakan', 'sinyal', 'batang', 'penuh', 'kecepatan', 'dibawah', 'mb', 'kecepatan', 'nambah', 'pas', 'buka', 'aplikasi', 'telkomsel', 'tambahin', 'komplain', 'ribet', 'kebanyakan', 'validasi', 'validasi', '']</t>
  </si>
  <si>
    <t>['sepekan', 'sinyalnya', 'dapet', 'bar', 'kadang', 'dapet', 'even', 'kota', 'tangerang', 'lohh', 'tolonglah', 'diperbaiki', 'terima', 'kasih', '']</t>
  </si>
  <si>
    <t>['dasar', 'apk', 'morotin', 'pulsa', 'pagi', 'beli', 'pulsa', 'ilang', 'dasar', 'apk', 'ngk', 'tukang', 'morotin', 'pulsa', '']</t>
  </si>
  <si>
    <t>['udah', 'mahal', 'jaringan', 'ngelag', 'lemotnya', 'klw', 'bagus', 'sinyal', 'klw', 'udah', 'jam', 'gini', 'drop', 'indikator', 'sinyal', 'manteng', 'lemot', 'perbaiki']</t>
  </si>
  <si>
    <t>['menilai', 'disuruh', 'konsultasi', 'permasalahannya', 'customer', 'servicenya', 'pas', 'udah', 'berkonsultasi', 'solusi', 'apapun', 'membantu']</t>
  </si>
  <si>
    <t>['tolong', 'adain', 'paket', 'combo', 'sakti', 'gb', 'plus', 'unlimited', 'paket', 'combo', 'sakti', 'ditambahin', 'aktifnya', 'combo', 'sakti', 'plus', 'unlimited', 'aktif', 'dannn', 'tolong', 'dibagusin', 'koneksinya', 'kayak', 'semulaaa', 'kayak', 'provider', 'suka', 'ngeload', 'bagus', 'terimakasih', '']</t>
  </si>
  <si>
    <t>['telkomsel', 'tolong', 'kuota', 'internet', 'unlimited', 'kembalikan', 'tampa', 'batasan', 'aplikasi', 'instagram', 'tiktok', 'batasi', 'gb', 'internet', 'unlimited', 'rp', 'telkomsel', 'tertulis', 'kecepatan', 'gb', 'habis', 'batasi', 'kb', 'kb', 'facebook', 'gini', 'pindah', 'jaringan', 'sebelah', '']</t>
  </si>
  <si>
    <t>['tolong', 'telkomsel', 'perbaiki', 'jaringan', 'korupsi', 'kalok', 'abis', 'kuota', 'beli', 'nggak', 'jaring', 'gan', 'lemot', 'sanggat', 'kecewa', 'pin', 'kartu', 'kuota', 'masik', 'nggak', 'kepakek', 'tololng', 'perbaiki', 'admin', 'tololg', 'sanggat', 'tolong', 'udah', 'membaik', 'jaringan', 'kasi', 'bintang', '']</t>
  </si>
  <si>
    <t>['min', 'paket', 'rubah', 'rubah', 'kebiasan', 'beli', 'paket', 'internet', 'max', 'paket', 'jdi', 'double', 'beli', 'pulsa', 'sekian', 'terimakasih']</t>
  </si>
  <si>
    <t>['kuota', 'mytelkomsel', 'kesalahan', 'parah', 'sms', 'kuota', 'limit', 'habis', 'telat', 'menit', 'berkurang', 'pemberitahuan', 'sms', 'kuota', 'habis', 'muncul', 'pulsa', 'habis', 'kecewa', '']</t>
  </si>
  <si>
    <t>['semoga', 'lancar', 'internetnya', 'dimanapun', 'telkomsel', 'indonesia', 'lambat', 'dibanyakin', 'promo', 'murah', 'internetnya', 'sukses', 'telkomsel', '']</t>
  </si>
  <si>
    <t>['knp', 'membeli', 'paket', 'ceria', 'promonya', 'berlaku', 'pas', 'beli', 'cuman', 'terimakasih', 'permintaan', 'diproses', 'ulang', 'kalipun', 'nggak', 'kebeli', 'tolonglah', 'operatornya']</t>
  </si>
  <si>
    <t>['membeli', 'paket', 'tolong', 'paket', 'main', 'main', 'respon', 'berhenti', 'telkomsel', '']</t>
  </si>
  <si>
    <t>['kualitas', 'layanan', 'buruk', 'biaya', 'layanan', 'mahal', 'cocok', 'telkomsel', 'kartu', 'orang', 'kaya', 'masyarakat', 'menengahkebawah', 'coba', 'mengunakan', 'telkomsel', '']</t>
  </si>
  <si>
    <t>['jaringan', 'eror', 'udah', 'minggu', 'harga', 'paketan', 'mahal', 'tolong', 'tingkatkan', 'harga', 'doang', 'tingkatkan', 'biyar', 'pengguna', 'telkomsel', 'puas', 'khusus', 'daerah', '']</t>
  </si>
  <si>
    <t>['jaringan', 'genah', 'mahal', 'coba', 'survey', 'harga', 'pasar', 'harga', 'kualitas', 'barang', 'sebelah']</t>
  </si>
  <si>
    <t>['aplikasinya', 'mudah', 'informasinya', 'detil', 'tambahan', 'semoga', 'bahasa', 'indonesia', 'didalam', 'aplikasi', 'telkomselnya', 'mudah', 'paham', 'bahasa']</t>
  </si>
  <si>
    <t>['wil', 'jayapura', 'bolak', 'alasan', 'mati', 'kabel', 'optik', 'bayar', 'kartu', 'halo', 'mbanking', 'diancem', 'blokir', 'nomer', 'gimana', 'pengguna', 'kaya', 'jarak', 'km', 'grapari', 'bayar', 'offline', 'bayar', 'mbanking', 'matek', 'inet', 'bayar', 'disalahkan', 'diblokir', 'mudah', 'ganti', 'nomer', 'emang', 'pedagang', 'online', 'rugi', 'gonta', 'ganti', 'nomer', 'makasih', 'gratisannya', 'dibulan', 'mei', 'semoga', 'bener', 'liatnya', 'gratis', 'bebas', 'tagihan', 'download', 'ulang', 'telkomsel', 'susah', '']</t>
  </si>
  <si>
    <t>['hallo', 'selamat', 'malam', 'prnh', 'gangguan', 'msalah', 'apapun', 'slama', 'memakai', 'telkomsel', 'jaringanya', 'slalu', 'kuat', 'tpi', 'knpa', 'jringannya', 'slalu', 'hilang', 'bhkan', 'menjdi', 'lemot', 'restar', 'bekali', 'kali', 'bhkan', 'smpai', 'pindah', 'sim', 'ttp', 'jaringan', 'hilang', 'tlong', 'lahh', 'perbaiki', 'cepat', 'mngecewakan', '']</t>
  </si>
  <si>
    <t>['telkomsel', 'lelet', 'jaringan', 'internetnya', 'sya', 'pusing', 'bingung', 'gimana', 'sya', 'jringan', 'telkomsel', '']</t>
  </si>
  <si>
    <t>['jaringan', 'kayak', 'taik', 'beli', 'paket', 'mahal', 'sinyal', 'kayak', 'bangke', 'sory', 'pekerja', 'ngurus', 'tower', 'telkom', 'dngn', 'resiko', 'nyawa', 'gue', 'pengguna', 'gue', 'bayar', 'gue', 'jngn', 'kesel', 'dendam', 'gue', 'penikmat', 'sinyal', 'lancar', 'gue', 'nikmatin', 'jaringan', 'inet', 'lancar', 'gratis', 'bayar', 'bayar', 'pekerja', 'tower', 'suka', 'komplen', 'pengguna', 'hrusnya', 'mikir', 'turun', 'tower', 'siape', 'semoga', 'kedepannya', 'telkomsel', 'fix', 'ganti', 'kartu', 'bye', 'nyet']</t>
  </si>
  <si>
    <t>['sinyal', 'jelek', 'nggak', 'desa', 'nggak', 'kota', 'aplikasi', 'telkomsel', 'kayak', 'bug', 'gitu', 'hpku', 'buka', 'apk', 'apk', 'force', 'close', 'loading', 'buka', 'apk', 'pakai', 'wifi', '']</t>
  </si>
  <si>
    <t>['telkomsel', 'gila', 'semenjak', 'mending', 'tingkat', 'menghancurkan', 'jaringan', 'sinyal', 'kuat', 'full', 'tapiiii', 'internet', 'lemahh', 'anjenkk', 'taikk', 'babi', '']</t>
  </si>
  <si>
    <t>['puas', 'cuman', 'tolong', 'perbaiki', 'buka', 'telkomsel', 'lelet', 'buka', 'telkomsel', 'lelet', 'paketan', 'sinyal', 'bagus', 'seharus', 'lelet', '']</t>
  </si>
  <si>
    <t>['harga', 'quotanya', 'mahal', 'mas', 'mba', 'kualitas', 'jaringannya', 'turun', 'gaming', 'gimana', 'beda', 'bawahnya', 'balas', '']</t>
  </si>
  <si>
    <t>['provider', 'perhitungan', 'mahal', 'judulnya', 'unlimited', 'ahirnya', 'dibatasi', 'hubungi', 'keluhan', 'mentok', 'disuruh', 'cari', 'paket', 'sesuai', 'tetep', 'jaringan', 'berasa', 'edge', '']</t>
  </si>
  <si>
    <t>['berubah', 'paket', 'unlimited', 'youtube', 'satukan', 'paket', 'internet', 'unlimited', 'youtube', 'paket', 'terpisah', '']</t>
  </si>
  <si>
    <t>['cobak', 'telkomsel', 'pelayanan', 'diperbaiki', 'gini', 'sinyal', 'stabil', 'jam', 'malam', 'anehhhhhhhhhh', '']</t>
  </si>
  <si>
    <t>['', 'pengguna', 'telkom', 'melek', 'harga', 'paket', 'mahal', 'mending', 'kuat', 'jelek', 'unlimited', 'kecepatan', 'kbps', 'mahal', 'unlimited', 'gini', '']</t>
  </si>
  <si>
    <t>['turunin', 'rating', 'bangkrut', 'telkomsel', 'perdana', 'super', 'lemot', 'kartu', 'sultan', 'kuota', 'mahal', 'sinyal', 'kek', 'babi', 'game', 'ngelag', 'mulu', 'mending', 'kartu', 'three', 'ketimbang', 'simpati', 'ngelagnya', 'ngga', 'ush', 'kartu', 'indihomonya', 'suka', 'gangguan', 'najiss', '']</t>
  </si>
  <si>
    <t>['mohon', 'beli', 'pulsa', 'kuota', 'murah', 'pdhl', 'beli', 'pulsa', 'jarang', 'kuota', 'murah', 'knpa', 'tolong', 'penjelasannya']</t>
  </si>
  <si>
    <t>['jaringan', 'telkomsel', 'buruk', 'diadakan', 'perbaikan', 'sebatas', 'mengharap', 'uang', 'masyarakat', 'beli', 'data', 'dzalimilah', 'mendoakan', 'kehancuran', '']</t>
  </si>
  <si>
    <t>['pengguna', 'kartu', 'telkomsel', 'sejati', 'kasih', 'saran', 'teman', 'teman', 'mending', 'ganti', 'kartu', 'sinyal', 'telkomsel', 'skarang', 'rusak', 'nge', 'youtube', 'game', 'sosmed', 'ngga']</t>
  </si>
  <si>
    <t>['jaringan', 'pelayanan', 'internet', 'mantab', 'masak', 'isi', 'pls', 'rb', 'beli', 'paket', 'belom', 'paketnya', 'beli', 'pls', 'sedot', 'habis', 'tolong', 'layana', 'internetnya', 'perbarui', 'paket', 'habis', 'memakan', 'pls', 'kecewa', 'mengisi', 'pls', 'beli', 'paket', 'telkomsel', 'karna', 'data', 'matiin', 'membeli', 'paket', 'perbaiki', 'langsung', 'tambahin', 'starnya']</t>
  </si>
  <si>
    <t>['hallo', 'provider', 'telkomsel', 'menerima', 'pesan', 'tsel', 'google', 'disana', 'tertulis', 'sukses', 'membeli', 'paket', 'youtube', 'music', 'premium', 'pembelian', 'paket', 'you', 'tube', 'premium', 'pemberitahuan', 'persetujuan', 'mengirimkan', 'keluhan', 'inbox', 'facebook', 'tanggapan']</t>
  </si>
  <si>
    <t>['pulsa', 'disedot', 'kegiatan', 'internet', 'pakai', 'wifi', 'bbrp', 'minggu', 'pdhal', 'mengaktifkan', 'fitur', 'paket', 'dll', 'pulsa', 'dicuri', 'brpapun', 'diisipulsanya', 'langsung', 'cpt', 'raib', '']</t>
  </si>
  <si>
    <t>['min', 'nanya', 'malem', 'didaerahku', 'sinyal', 'speed', 'mentok', 'kbps', 'malem', 'jam', 'keaatas', 'sinyal', 'jalan', 'mbps', 'tolong', 'doang', 'peebaiki', 'isu', 'daerah', 'bangka', 'belitung', 'desa', 'pemali', 'thanks', '']</t>
  </si>
  <si>
    <t>['telkomsel', 'paket', 'mahal', 'jaringan', 'sebanding', 'paket', 'gimana', 'sesuai', 'hisa', 'jaringan', 'harga', 'paket', 'paket', 'mahal', 'jaringan', 'lemottttttt', 'hadeh']</t>
  </si>
  <si>
    <t>['jaringan', 'dibsgusin', 'pelanggan', 'klw', 'pelanggan', 'gtu', 'jaringanmu', 'lelet', 'sumpah', 'lelet', 'kali', 'macan', 'awak', 'kentang', 'jaringanmu', 'kentang']</t>
  </si>
  <si>
    <t>['hemh', 'pengen', 'banting', 'mulu', 'serasa', 'karna', 'sinyal', 'maap', 'sinyal', 'penuh', 'data', 'masuk', 'contoh', 'chat', 'ngejam', 'ayolah', 'telkomsel', 'bercanda', 'atuu', 'ngeprank', 'gimana', 'kemarin', 'tower', 'deket', 'rumah', 'sulit', 'gpp', 'hancur', 'gimana', 'telkomsel', 'kejelasannya', 'bintang', 'komen']</t>
  </si>
  <si>
    <t>['aplikasi', 'memudahkan', 'transaksi', 'pembelian', 'pulsa', 'kuota', 'semoga', 'telkomsel', 'mengupdate', 'memperbaiki', 'jaringan', 'stabil', 'mengedepankan', 'kebutuhan', 'masyrakat', 'luas', 'undian', 'hadiah', 'redem', 'semoga', 'telkomsel', 'transfaran', 'komitmen', 'jujur', 'hadiah', 'dinyatakan', 'hak', 'winner', 'acak', 'redem', 'trmkasih']</t>
  </si>
  <si>
    <t>['ngasih', 'bintang', 'merendahkan', 'karna', 'komen', 'yahaha', 'boong', 'serius', 'telkomsel', 'kayak', 'media', 'buang', 'buang', 'uang', 'beli', 'kuota', 'mahal', 'kepake', 'sinyal', 'bagus', 'banget', 'dipake', 'internet', 'buka', 'loading', 'kuota', 'isi', 'gb', 'sinyalnya', 'bagus', 'internet', 'liat', 'kb', 'sinyal', 'bagus', 'kuota', 'puas', 'emosi', 'mohon', 'diperbaiki', '']</t>
  </si>
  <si>
    <t>['pakeg', 'unlimited', 'dikurangi', 'kecepatnya', 'kecewa', 'banget', 'untung', 'ditempat', 'sya', 'sja', 'sinyalnya', 'bagus', 'operator', 'tinggalkan', 'layanan', 'sungguh', 'buruk']</t>
  </si>
  <si>
    <t>['pengguna', 'nyaman', 'telkomsel', 'gimana', 'nyaman', 'kouta', 'super', 'murah', 'irit', 'bayangin', 'gb', 'combo', 'rp', 'udah', 'gitu', 'bonus', 'telkomsel', 'the', 'best']</t>
  </si>
  <si>
    <t>['telkomsel', 'banggakan', 'skrng', 'berubah', 'total', 'jaringan', 'internetnya', 'super', 'lemot', 'anehnya', 'iklan', 'muncul', 'lancarr', 'cobalah', 'tangani', 'pengguna', 'telkomsel', 'lbh', 'nyaman', 'telkomsel', 'msh', 'digit', '']</t>
  </si>
  <si>
    <t>['beli', 'paket', 'dibeli', 'aebelumnya', 'aplikasi', 'aelalu', 'error', 'kesalahan', 'sistem', 'silahkan', 'coba', 'dicoba', 'kali', 'error', 'kecewa', '']</t>
  </si>
  <si>
    <t>['pakai', 'telkomsel', 'paketan', 'internet', 'murah', 'paketan', 'internet', 'mahal', 'semenjak', 'jaringan', 'mahal', 'jugak', 'karuan', 'kecewa']</t>
  </si>
  <si>
    <t>['pengguna', 'kartu', 'halo', 'jaringan', 'gangguan', 'papua', 'yesal', 'paket', 'katu', 'halo', 'kepake', 'sampe', 'bulanan', 'berikutaku', 'bayar', 'gimana', 'solusinya', 'data', 'habis', 'jaringan', 'telkomsel', 'mengganti', 'gimana', '']</t>
  </si>
  <si>
    <t>['simpati', 'sinyal', 'internet', 'loadingnya', 'lamaaaaaaaaaa', 'beda', 'kuning', 'kuning', 'cepat', 'banget', 'loadingnya', 'merasakan', 'bedanya']</t>
  </si>
  <si>
    <t>['jaringan', 'tolong', 'diperhatikan', 'telkomsel', 'please', 'mengaku', 'kecewa', 'harga', 'dapet', 'unlimited', 'aplikasi', 'terbatas', 'tik', 'tok', 'sosmed', 'games', 'kecepatan', 'mbps', 'mbps', 'terbatas', 'kecepatan', 'mbps', 'tolong', 'mbps', 'mbps']</t>
  </si>
  <si>
    <t>['kartu', 'emang', 'harga', 'mahal', 'sesuai', 'harga', 'sinyal', 'jelek', 'mulu', 'ilang', 'mulu', 'lemot', 'ampun', 'perbaikan', 'donk', 'harga', 'paket', 'mahal', 'jaringan', 'perbaiki', 'harga', 'mahal', 'jaringan', 'stabil', '']</t>
  </si>
  <si>
    <t>['sarankan', 'telkomsel', 'daerah', 'kab', 'bandung', 'jawa', 'barat', 'signal', 'jelek', 'banget', 'hubungannya', 'kerjaan', 'udah', 'ganti', 'telkomsel', 'burik', 'kalah', 'provider', 'mahal', 'iya', 'kualitas', 'repot', '']</t>
  </si>
  <si>
    <t>['pengguna', 'telkomsel', 'kecewa', 'jaringannya', 'lemot', 'menang', 'paketnya', 'mahal', 'jaringannya', 'lemot', 'mohon', 'perbaiki', 'mending', 'pindah', 'kartu', 'darah', 'gue', 'gara', 'sinyalnya', 'kayak', 'gini', 'kesel', 'gue', 'telkomsel']</t>
  </si>
  <si>
    <t>['maaf', 'sebenernya', 'suka', 'aplikasi', 'fiture', 'layanannya', 'bagus', 'memudahkan', 'disayangkan', 'masak', 'dikit', 'aplikasinya', 'down', 'lemot', 'sampe', 'error', 'kapasitas', 'apk', 'sampe', 'mb', 'lemot', 'operasionalnya', 'lihat', 'bermasalah', 'jaringan', 'internet', 'wifi', 'toling', 'diperbaiki', 'mengoperasionalkan', 'notif', 'close', 'wait', 'this', 'app', '']</t>
  </si>
  <si>
    <t>['sinyal', 'suka', 'hilang', 'kuota', 'mahal', 'paket', 'ilmupedia', 'ribu', 'udah', 'isi', 'pulsa', 'ditagih', 'aktif', 'tanggal', 'isi', 'tanggal', 'aktif', 'tanggal', 'isi', 'pulsa', 'bonus', 'kuota']</t>
  </si>
  <si>
    <t>['pengguna', 'telkomsel', 'tarif', 'mahal', 'pengguna', 'perbandingan', 'harga', 'kouta', 'berbeda', 'jaringan', 'internet', 'buruk', 'dibawah', 'standard', 'operator', '']</t>
  </si>
  <si>
    <t>['unlimited', 'kayak', 'sampah', 'masak', 'beli', 'gb', 'langsung', 'buka', 'adohhhh', 'woy', 'paket', 'berguna', 'maen', 'game', 'ngeleg', 'buka', 'batas', 'mals', 'gua', 'telkomsel']</t>
  </si>
  <si>
    <t>['pengguna', 'setia', 'telkomsel', 'kecewa', 'rugikan', 'sinyal', 'telkomsel', 'kalah', 'bermain', 'game', 'mobile', 'legends', 'gangguan', 'jaringan', 'jaringan', 'buruk', 'beda', 'jaringan', 'dimana', 'senang', 'bangga', 'hrga', 'mahal', 'jujur', 'kecewa', 'tolong', 'perbaiki', 'kecewa', 'pengguna', 'telkomsel', 'merasakan']</t>
  </si>
  <si>
    <t>['maaf', 'telkomsel', 'make', 'kecewa', 'tolong', 'dikasih', 'harganya', 'murah', 'mahal', 'please', 'kasih', 'harganya', 'normal', 'kek', 'udah', 'untung', 'jugakan', 'telkomsel', 'jgnlah', 'dinaikan']</t>
  </si>
  <si>
    <t>['telkomsel', 'rusak', 'jaringannya', 'lemot', 'beli', 'paket', 'kadang', 'paket', 'mahal', 'kualitas', 'pulsa', 'disedot', 'trus', 'orang', 'kaya', 'diginiin', 'gua', '']</t>
  </si>
  <si>
    <t>['miskin', 'paket', 'harganya', 'udah', 'gtu', 'pembelian', 'plsa', 'poin', 'beda', 'banget', 'kartu', 'sebelah', 'kecewa', 'bnget', '']</t>
  </si>
  <si>
    <t>['korupsi', 'trus', 'pulsa', 'ngisi', 'niat', 'paket', 'internet', 'langsung', 'kesedot', 'pakai', 'wifi', 'gitu', 'kuras', 'habis', 'giliran', 'udah', 'dipaketin', 'internet', 'sisa', 'pulsa', 'dikuras', 'habis', 'pemakai', 'telkomsel', 'bossss', 'bener', 'kecewa', 'udah', 'komplen', 'telpon', 'operator', 'penyelesaian', 'bener', 'parah', 'fixxx', 'habis', 'paketan', 'udah', 'sudi', 'pakai', 'kecewa', 'berat', 'borosssss', 'fixxx', 'next', 'internet', 'pindah', 'operator', 'telkomsel', 'museumkan', 'parah', '']</t>
  </si>
  <si>
    <t>['kebapa', 'akgir', 'jaringan', 'internet', 'telkomsel', 'jelek', 'banget', 'wilayah', 'tangerang', 'kec', 'pinang', 'pakojan', 'jaringan', 'parah', 'trus', 'login', 'internet', 'susah', 'main', 'game', 'reconect', 'trus', 'heran']</t>
  </si>
  <si>
    <t>['kembalikan', 'plz', 'orang', 'pinggiran', 'salah', 'curi', 'plz', 'ceritanya', 'ngisi', 'daftar', 'paket', 'ulang', 'balesannya', 'plz', 'mencukupi', 'jam', 'dicek', 'pulza', 'berkurang']</t>
  </si>
  <si>
    <t>['sedih', 'mahal', 'harga', 'kuota', 'telkomsel', 'ketengan', 'truss', 'kartu', 'telkomsel', 'udah', 'kuota', 'internetmax', 'beli', 'koneksi', 'buruk', 'kuota', 'combo', 'harganya', 'mahal', 'semoga', 'telkomsel', 'memperbaiki', 'semangat', 'dears', 'telkomsel', '']</t>
  </si>
  <si>
    <t>['tolong', 'paket', 'unlimitedmax', 'isinya', 'paket', 'unlimited', 'multimedia', 'unlimited', 'abis', 'kayak', 'gitu', 'mending', 'kasih', 'paket', 'multimedia', 'kuotanya', 'jaringan', 'ngga', 'stabil', '']</t>
  </si>
  <si>
    <t>['beli', 'paket', 'internet', 'seharga', 'ribu', 'tanggal', 'juni', 'aplikasi', 'mytelkomsel', 'saldo', 'dana', 'saldo', 'terpotong', 'pembelian', 'gagal', 'kecewa', 'banget', 'penipuan', 'ikhlas']</t>
  </si>
  <si>
    <t>['jaringan', 'susah', 'sinyal', 'balok', 'lelet', 'jaringan', 'diperbaiki', 'harga', 'paket', 'doang', 'diperbaiki', 'mahal', 'maaf', 'telkomsel', 'hrus', 'beralih', 'provider', 'jaringan', 'terkomsel', 'pulih']</t>
  </si>
  <si>
    <t>['fitur', 'veronika', 'bot', 'mulu', 'customer', 'service', 'respon', 'mendingan', 'ilangin', 'deh', 'gakguna', 'ngebantu', '']</t>
  </si>
  <si>
    <t>['mahal', 'doang', 'hahaha', 'jaringan', 'gaguna', 'kalah', 'ama', 'kartu', 'murah', 'buka', 'komik', 'pending', 'mulu', 'gila', 'mahal', 'jaringan', 'dipake', 'haduh', 'emosi', 'doang']</t>
  </si>
  <si>
    <t>['parah', 'jaringan', 'telkomsel', 'beda', 'nge', 'game', 'sja', 'susah', 'ngirim', 'data', 'jga', 'kadang', 'susah', 'tolong', 'perbaiki', 'jaringan']</t>
  </si>
  <si>
    <t>['mohon', 'maaf', 'penguna', 'setia', 'telkomsel', 'indosat', 'telkomsel', 'lemot', 'banget', 'jaringan', 'internet', 'tlp', 'kadang', 'mati', 'peduli', 'harga', 'mahal', 'mahal', 'kualitas', 'jelek', 'buruk', 'maaf', 'pakai', 'tolong', 'perbaiki', 'beda', 'indosat', 'murah', 'bagus', 'koneksi', 'internet', '']</t>
  </si>
  <si>
    <t>['internet', 'disaat', 'internet', 'pulsa', 'berkurang', 'mohon', 'tolong', 'udh', 'beli', 'paket', 'tpi', 'sedot', 'pulsa', '']</t>
  </si>
  <si>
    <t>['sombong', 'takut', 'kena', 'karma', 'kemarin', 'jaringan', 'aman', 'lancar', 'jaya', 'besok', 'semoga', 'awet', 'aman', 'lancar', 'jaya', '']</t>
  </si>
  <si>
    <t>['ngasih', 'bintang', 'ikhlas', 'kasih', 'bintang', 'arang', 'gue', 'wifi', 'dirumah', 'pas', 'isi', 'pulsa', 'aktifin', 'data', 'kepotong', 'rb', 'kali', 'culas', '']</t>
  </si>
  <si>
    <t>['aplikasi', 'menyebalkan', 'ngak', 'masak', 'gue', 'udh', 'beli', 'paket', 'pembayaran', 'sah', 'selesai', 'kuotanya', 'ngak', 'masuk', 'masuk', 'berhari', 'beda', 'axis', 'kartu', 'murah', 'connect', 'cepat', 'pembeli']</t>
  </si>
  <si>
    <t>['pembaruan', 'diulang', 'telkomsel', 'dibuka', 'aplikasinya', 'banget', 'blank', 'dibuka', 'aplikasinya', 'mohon', 'penjelasan', 'ditunggu', 'telkomsel']</t>
  </si>
  <si>
    <t>['telkomsel', 'seminggu', 'jaringan', 'telkomsel', 'daerah', 'rumah', 'tolong', 'konfirmasi', 'menderita']</t>
  </si>
  <si>
    <t>['kesel', 'gue', 'liat', 'telkomsel', 'gue', 'sms', 'telkomsel', 'paket', 'ceria', 'suruh', 'balas', 'sms', 'pulsa', 'gua', 'makan', 'gimna', 'gua', 'belik', 'paket', 'balas', 'kode', 'langsung', 'makan', 'bambang', 'kesel', 'gue', '']</t>
  </si>
  <si>
    <t>['pulsa', 'kepotong', 'trus', 'membeli', 'paket', 'pakai', 'paket', 'sampe', 'habis', 'kesedot', 'tolong', 'rugi', 'banget', '']</t>
  </si>
  <si>
    <t>['provider', 'bagus', 'banget', 'baut', 'main', 'game', 'striming', 'youtube', 'lancar', 'jaya', 'bar', 'full', 'lemot', 'bar', 'mentok', 'dapet', 'bersyukur', 'ayolah', 'perbaiki', 'paket', 'mahal', 'internet', 'lancar', 'rumah', 'dapet', 'sinyal', 'lancar', 'hadeh', 'hadeh', 'pusing', 'beli', 'mahal', 'mahal', 'gabisa', 'main', 'game', 'kembangin']</t>
  </si>
  <si>
    <t>['telkomsel', 'kambuh', 'brengseknya', 'isi', 'kuota', 'tgl', 'mei', 'menjelang', 'rb', 'gb', 'tgl', 'dipake', 'kuota', 'kesedot', 'hantu', 'jarang', 'browshing', 'nonton', 'download', 'gede', 'parah', 'semoga', 'diperbaiki', 'deh', '']</t>
  </si>
  <si>
    <t>['kesini', 'samakin', 'lemot', 'banget', 'jaringan', 'kuota', 'gb', 'buka', 'foto', 'loading', 'sape', 'lbh', 'menit', 'udah', 'gth', 'nyedot', 'kuota', 'cepet', 'buka', 'messenger', 'download', 'download', 'buka', 'youtub', 'tweeter', 'dll', 'beli', 'kuota', 'rumah', 'hrap', 'keluhan', 'bsa', 'jaringan', 'simpati', 'lbh', 'bagus', 'lancar', 'dll', 'mengganggu', 'sdang', 'berkerja']</t>
  </si>
  <si>
    <t>['kustomer', 'indo', 'galak', 'beud', 'orang', 'bayar', 'diawal', 'musti', 'full', 'ngga', 'dicicil', 'moso', 'layanan', 'seenak', 'nama', 'paketnya', 'ceria', 'gemeees', 'udah', 'diisi', 'pulsa', 'dibilang', 'trus', 'coba', 'dibales', 'beli', 'wooy', 'kayanya', 'merah', 'udah', 'melimpah', 'hartanya', 'udah', 'gabutuh', 'duit', '']</t>
  </si>
  <si>
    <t>['paket', 'telkomsel', 'uda', 'beli', 'mahal', 'jaringan', 'lemot', 'banget', 'kaya', 'gini', 'tolong', 'benerin', 'dikit', 'jaringan', 'kaya', 'gini', 'rugi', 'beli', 'paket', 'kaya', 'ginian', 'paket', 'sampah']</t>
  </si>
  <si>
    <t>['parah', 'jaringan', 'telkomsel', 'pekan', 'dibanggakan', 'telkomsel', 'bahas', 'main', 'game', 'berat', 'lancar', 'putus', 'buka', 'sosmed', 'terkadang', 'susah', 'lancar', '']</t>
  </si>
  <si>
    <t>['pembelian', 'paket', 'shopee', 'pay', 'mytelkomsel', 'gagal', 'shopee', 'pay', 'berhasil', 'dana', 'paket', 'masuk', 'proses', 'cek', 'kendala', 'dana', 'shopee', 'pay', 'ubah', 'bintang', 'ulasan']</t>
  </si>
  <si>
    <t>['jaringan', 'bener', 'suruh', 'nyala', 'matiin', 'data', 'bener', 'lelet', 'bet', 'paket', 'mahal', 'mentang', 'kualitas', 'jaga', 'ngasih', 'solusiny', 'bener', '']</t>
  </si>
  <si>
    <t>['mnrut', 'sya', 'jaringan', 'telkomsel', 'bagus', 'sya', 'kecewanya', 'malem', 'sinyal', 'ampun', 'deh', 'parah', 'sekedar', 'browsing', 'main', 'game', 'online', 'msih', 'oke', 'kpda', 'telkomsel', 'mhon', 'ditingkatkan', 'signal', 'sya', 'daerah', 'sumbar', 'pesisir', 'selatan']</t>
  </si>
  <si>
    <t>['jaringan', 'buruk', 'berdaya', 'didaerah', 'kalah', 'operator', 'sebelah', 'tarif', 'kuota', 'mahal', 'pelayanan', 'sebanding', 'pelanggan', 'telkomsel', 'berfikir', 'pindah', 'jalur', 'layanan', 'telkomsel']</t>
  </si>
  <si>
    <t>['perusahaan', 'milik', 'negara', 'harga', 'pelayanan', 'merakyat', 'tolong', 'dibenahi', 'telkomsel', 'paket', 'internet', 'mahal', 'buang', 'paket', 'maxtrem', 'berguna', 'butuh', 'paket', 'internet', 'bermutu', 'merakyat', 'trim']</t>
  </si>
  <si>
    <t>['payah', 'sinyal', 'ngaco', 'gara', 'gara', 'sinyal', 'lola', 'emosi', 'normal', 'lancar', 'bintang', 'kasih', 'tnpa', 'bintang', 'bagus', 'grgr', 'tolol', 'sinyal']</t>
  </si>
  <si>
    <t>['paket', 'unlimited', 'lemot', 'banget', 'sebulan', 'paket', 'unlimited', 'kuota', 'lokalnya', 'habis', 'nonton', 'youtube', 'dll', 'lancar', 'lemot', 'banget', '']</t>
  </si>
  <si>
    <t>['', 'pandemi', 'kouta', 'internet', 'cepat', 'butuhkan', 'pelajar', 'indonesia', 'keluarga', 'memakai', 'kouta', 'telkomsel', 'internet', 'belajar', 'jaringan', 'lemot', 'nonton', 'vidio', 'pembelajaran', 'detik', 'loading', 'bermenit', 'menit', 'sungguh', 'menghabiskan', 'keluarga', 'memanggil', 'berkali', 'kali', 'tukang', 'memperbaiki', 'jaringan', 'jaringan', 'lemot', 'lemot', 'semoga', 'indonesia', 'cepat', 'beralih', '']</t>
  </si>
  <si>
    <t>['sumpah', 'kecewa', 'banget', 'telkomsel', 'kuota', 'pejabat', 'sinyal', 'melarat', 'kecewa', 'banget', 'sumpah', 'pengguna', 'setia', 'telkomsel', '']</t>
  </si>
  <si>
    <t>['kirain', 'cuman', 'sinyal', 'doang', 'lemot', 'keluhan', 'jarak', 'rumah', 'tower', 'sinyal', 'internet', 'lemot', 'tolong', 'perbaiki', 'mengirim', 'tugas', 'guru', 'terlambat', 'gara', 'gara', 'sinyal', 'internet']</t>
  </si>
  <si>
    <t>['telkomsel', 'udah', 'jaringan', 'jelek', 'tinggalku', 'ganti', 'pakai', 'data', 'telkomsel', 'bagus', 'padalah', 'dlu', 'pakai', 'telkomsel', 'krna', 'bagus', 'jaringannya', 'skrg', 'jelek', 'pakai', 'banget']</t>
  </si>
  <si>
    <t>['isi', 'paket', 'unlimited', 'sosmed', 'video', 'paket', 'utama', 'main', 'sosmed', 'paket', 'terpakai', 'paket', 'utama', 'paket', 'utama', 'habis', 'unlimitednya', 'habis', 'penipuan', 'namanya', 'tolong', 'penjelasannya', '']</t>
  </si>
  <si>
    <t>['keceptan', 'jaringan', 'wilayah', 'lelet', 'siput', 'tolong', 'percepat', 'pas', 'mendung', 'campur', 'hujan', 'super', 'duper', 'lemot', 'sesuai', 'iklan', 'keceptan', 'ngebut', 'indonesia', 'buktinya', 'huuuuuuuuu', 'lemot', 'deh']</t>
  </si>
  <si>
    <t>['beli', 'games', 'max', 'bonus', 'kasih', 'kode', 'skali', 'kali', 'lohh', 'pdahal', 'cari', 'kagak', 'sms', 'kode', 'asem']</t>
  </si>
  <si>
    <t>['pelanggan', 'setia', 'telkomsel', 'minggu', 'kemaren', 'pembelian', 'pulsa', 'via', 'mobile', 'banking', 'bca', 'saldo', 'tabungan', 'terpotong', 'pulsa', 'bertambah', 'coba', 'hubungi', 'call', 'center', 'telkomsel', 'kesekian', 'kalinya', 'disuruh', 'menunggu', 'proses', 'disuruh', 'email', 'capture', 'bukti', 'pembelian', 'keempat', 'pulsa', 'bertambah', 'telkomsel', 'mengecewakan', 'provider', 'kualitas', 'pelayanan', 'buruk', '']</t>
  </si>
  <si>
    <t>['jaringan', 'telkomsel', 'memburuk', 'cuman', 'mengeluh', 'puluh', 'teman', 'beralih', 'provider', 'jaringan', 'telkomsel', 'buruk', 'berkali', 'kali', 'laporkan', 'jaringan', 'buruk', 'masi', 'perubahan', 'mengeluh', 'jaringan', 'telkomsel', 'pesan', 'semoga', 'cepat', 'tindak', 'lanjuti', 'pengguna', 'telkomsel', 'beralih', 'jaringan', 'terikasiih']</t>
  </si>
  <si>
    <t>['keluh', 'kesah', 'telkomsel', 'jaringan', 'bagus', 'mantep', 'kenceng', 'cepet', 'habis', 'wajar', 'tolong', 'yaaa', 'batas', 'kuota', 'dikurangi', 'lemot', 'suka', 'org', 'tida', 'suka', 'beralih', 'kartu', 'sebelah', 'tolong', '']</t>
  </si>
  <si>
    <t>['pulsa', 'habis', 'bekurang', 'dikit', 'knpa', 'penyebab', 'berlangganan', 'apapun', 'berlangganan', 'paket', 'data', 'pulsa', 'bekurang', 'dikit', 'ngerti', 'jaringan', 'lemot', 'ampun', 'main', 'game', 'patah', 'pakek', 'telkomsel', 'jaringan', 'stabil', 'bnyak', 'kekurangan']</t>
  </si>
  <si>
    <t>['udah', 'saldo', 'pulsa', 'kembalikan', 'bener', 'kecewa', 'kejadian', 'tanggal', 'udah', 'menghubungi', 'telkomsel', 'uang', 'bener', 'mengecewakan', 'buruk', 'alami']</t>
  </si>
  <si>
    <t>['paket', 'unlimited', 'ngga', 'kuota', 'utama', 'gb', 'habis', 'deskripsi', 'tertulis', 'sosmed', 'you', 'tube', 'disney', 'hotstar', 'ngga', 'buka', 'sunggu', 'mengecewakan', '']</t>
  </si>
  <si>
    <t>['tolong', 'harga', 'paket', 'kalah', 'indosat', 'beralih', 'indosat', 'temen', 'temen', 'indosat', 'harga', 'paket', 'murah', 'telkomsel', 'kwalitas', 'beda']</t>
  </si>
  <si>
    <t>['telkomsel', 'provider', 'busuk', 'tarif', 'paket', 'mahal', 'jaringan', 'terbusuk', 'tarif', 'murah', 'tingkatkan', 'kualitas', 'maintenance', 'jaringan', 'loe', 'bkn', 'ajang', 'cari', 'materii', 'kecewa', 'telkomsel', 'provider', 'super', 'busuk', '']</t>
  </si>
  <si>
    <t>['kualitas', 'jaringan', 'buruk', 'kecewa', 'membanggakan', 'telkomsel', 'jaringannya', 'provider', 'harganya', 'mahal', 'kesal', 'pulsa', 'berkurang', 'internet', 'mengirim', 'sms', 'check', 'aplikasi', 'itupun', 'provider', 'jaringan', 'mendukung', 'harap', 'secepatnya', 'diperbaiki', '']</t>
  </si>
  <si>
    <t>['kesini', 'telkomsel', 'buruk', 'kecewa', 'banget', 'pengalaman', 'isi', 'pulsa', 'data', 'nggak', 'aktif', 'nggak', 'gunain', 'pulsanya', 'abis', '']</t>
  </si>
  <si>
    <t>['telkomsel', 'problem', 'aktif', 'paket', 'tinggal', 'sehari', 'kouta', 'paket', 'gb', 'pakai', 'lemot', 'sportif', 'konsumen', 'tolong', 'perbaiki']</t>
  </si>
  <si>
    <t>['membeli', 'paket', 'darurat', 'srring', 'sms', 'telkomsel', 'membayar', 'uang', 'ribu', 'admin', 'tolong', 'meninjauh', 'karna', 'mengganggu', 'sungguh', 'kecewa', 'layananan', '']</t>
  </si>
  <si>
    <t>['pembilian', 'pulsa', 'ribu', 'masuk', 'pembelian', 'ribu', 'langsung', 'masuk', 'pembelian', 'masuk', '']</t>
  </si>
  <si>
    <t>['knp', 'kouta', 'unlimited', 'lag', 'lemot', 'lelet', 'pahadal', 'beli', 'mahal', 'dipakai', 'beda', 'simcard', 'mahal', 'dipakai', 'telkomsel', 'rusak', '']</t>
  </si>
  <si>
    <t>['kuota', 'unlimited', 'batasi', 'kecepatan', 'jaringan', 'kuota', 'unlimited', 'batas', 'kuota', 'batasi', 'mohon', 'kebijakan', 'telkomsel', 'menjaga', 'kenyamanan', 'penggunanya']</t>
  </si>
  <si>
    <t>['', 'grapari', 'renon', 'bali', 'pergantian', 'kartu', 'hilang', 'disuruh', 'bayar', 'rb', 'todong', 'rb', 'alasan', 'aktivasi', 'daaann', 'buruk', 'menunggu', 'jam', 'menit', 'hnya', 'dilayani', 'antrian', 'antrian', 'samperin', 'itupun', 'stelah', 'ngmg', 'tlp', 'ngantri', 'samperin', 'dilayani', 'pdhl', 'liat', 'drtd', 'mreka', 'berdiri', 'santai', 'pintu', 'masuk', 'klu', 'bayar', 'smpai', 'customer', 'menunggu', 'jam', 'menit', 'provder', 'free']</t>
  </si>
  <si>
    <t>['', 'anying', 'diem', 'ngelunjak', 'sinyal', 'doang', 'kadang', 'sinyal', 'full', 'kuota', 'pakek', 'kadang', 'pakek', 'sinyal', 'ilang', 'main', 'game', 'parah', 'lancar', 'lancar', 'cuman', 'menitan', 'sisanya', 'merah', 'parah', 'sinyal', 'muncul', 'masukin', 'kode', 'telepon', 'gimana', 'cari', 'solusi', 'cari', 'untung', 'uang', 'kuota', 'telkomsel', 'terpaksa', 'sinyal', 'tergalekanying']</t>
  </si>
  <si>
    <t>['', 'telkomsel', 'beli', 'kuota', 'mahal', 'jaringan', 'kaya', 'taik', 'deh', 'ubah', 'jaringan', 'kualitas', 'lelet', 'pembodohan', 'masuk', 'kah', 'nasib', 'sepeti', 'ketiga', 'tolong', 'kasih', 'donk', 'promosi', 'donk', 'beli', 'paket', 'mahal', 'kasih', 'donk', 'istimewahan', 'kartu', 'dri', '']</t>
  </si>
  <si>
    <t>['naikin', 'harga', 'mah', 'all', 'banget', 'kaya', 'negri', 'beli', 'batas', 'kaya', 'enk', 'telkosel']</t>
  </si>
  <si>
    <t>['jaringan', 'telkomsel', 'hancur', 'main', 'game', 'eror', 'kayak', 'udah', 'harganya', 'mahal', 'jaringan', 'taik', 'tolong', 'dev', 'perbaikin', 'jaringan', 'user', 'telkomsel', 'pindah', 'sim', 'card', 'maaf', 'perbaiki', 'user', 'telkomsel', 'betah', 'gini', 'pliss', 'diperbaiki', 'telkomsel', 'telkomsel', '']</t>
  </si>
  <si>
    <t>['oke', 'tolong', 'pertahankan', 'harga', 'jual', 'pelanggan', 'telkomset', 'murah', 'operator', 'tetangga']</t>
  </si>
  <si>
    <t>['coba', 'telkomsel', 'ngeluarin', 'penguncian', 'pulsa', 'ilang', 'pulsa', 'tetep', 'aman', 'boros', 'pengguna', 'bebas', 'takut', '']</t>
  </si>
  <si>
    <t>['telkomsel', 'lemot', 'ngk', 'kayak', 'cepet', 'banget', 'tolong', 'cerita', 'udah', 'pakek', 'telkomsel', 'ngk', 'lemot', 'lemot', 'telkomsel', 'ngeluarin', 'jaringan', 'whatsapp', 'istagram', 'melbot', 'banget', 'tolong', 'cerita', 'pendengar', 'tolongggggg', 'perbaiki', 'jaringan', '']</t>
  </si>
  <si>
    <t>['internet', 'gb', 'berlaku', 'internet', 'sms', 'internet', 'non', 'paket', 'pulsa', 'disedot', 'internetan', 'ganti', 'komisaris', 'maling', '']</t>
  </si>
  <si>
    <t>['kecewa', 'berat', 'nich', 'telkomsel', 'paket', 'nelpon', 'menit', 'dipotong', 'separo', 'menit', 'nyaman', 'nelpon', 'kuota', 'segitu', 'jaringan', 'internetnya', 'lelet', 'harga', 'mahal', 'kecewa', 'tingkat', 'dewa', '']</t>
  </si>
  <si>
    <t>['komplain', 'kali', 'diperbaiki', 'harganya', 'mahal', 'komplain', 'maaf', 'nggak', 'diperbaiki', 'suruh', 'login', 'pulsa', 'sim', 'hidup', 'kuota', 'kemdikbud', 'nggak', 'nguras', 'pulsa', 'iya', 'sinyal', 'terbaik', 'kenal', 'lemot', 'mahal', 'dibiarin', 'bugnya']</t>
  </si>
  <si>
    <t>['udh', 'isi', 'pulsa', 'beli', 'kuota', 'gb', 'pulsa', 'tersedot', 'alasannya', 'kuota', 'darurat', 'kuota', 'darurat', 'ganti', 'minggu', 'maksudnya', 'telkomsel', '']</t>
  </si>
  <si>
    <t>['sinyal', 'lelet', 'banget', 'masak', 'kalah', 'sma', 'sinyal', 'tri', 'bener', 'diandelin', 'banget', 'pekerjaan', 'terhambat', 'krna', '']</t>
  </si>
  <si>
    <t>['provider', 'mengecewakan', 'pengguna', 'layanan', 'jaringan', 'internet', 'sungguh', 'sampah', 'sesuai', 'harga', 'bayarkan', 'cuman', 'baca', 'komik', 'nunggu', 'menit', 'loading', 'dipakai', 'main', 'game', 'cuman', 'emosi', 'telkomsel', 'sungguh', 'mengecewakan', '']</t>
  </si>
  <si>
    <t>['gara', 'peningkatan', 'jaringan', 'menyebabkan', 'lag', 'pelanggan', 'mohon', 'diperbaiki', 'telkomsel', 'kehilangan', 'pelanggan', '']</t>
  </si>
  <si>
    <t>['gua', 'beli', 'paket', 'unlimited', 'beda', 'kemarin', 'kemarin', 'make', 'sosmed', 'bebas', 'sampe', 'tertipu', 'payah', 'telkomsel', 'konsisten', 'mls', 'gua', 'beli', 'data', 'telkom', 'bagus', 'pindah', 'provider']</t>
  </si>
  <si>
    <t>['update', 'juni', 'kualitas', 'internet', 'telkomsel', 'parah', 'lambat', 'lokasi', 'provinsi', 'desa', 'gendang', 'timburu', 'kecamatan', 'sungai', 'durian', 'kabupaten', 'kota', 'kalimantan', 'selatan', 'paket', 'data', 'koneksi', 'bermasalah', 'harga', 'paket', 'internet', 'mahal', 'beralih', 'operator', 'indosat', 'stabil', 'bos', '']</t>
  </si>
  <si>
    <t>['posisi', 'papua', 'sueringggg', 'skali', 'troble', 'dri', 'dlu', 'smpe', 'skrang', 'bkan', 'tmbah', 'bagus', 'mlah', 'tmbah', 'ilang', 'jringanya', 'dunia', 'smakin', 'maju', 'mlah', 'smakin', 'buruk', 'tutup', 'min', 'beli', 'kuota', 'pulsa', 'beli', 'karti', 'sim', 'jngn', 'hubungi', 'instagram', 'whastapp', 'dll', 'muter', 'bnyak', 'alasan', 'intinya', 'tutup', '']</t>
  </si>
  <si>
    <t>['', 'pengguna', 'telkomsel', 'sejati', 'cuman', 'telkomsel', 'rasakan', 'berbeda', 'jaringan', 'udah', 'set', 'sinyal', 'kuat', 'internet', 'lemah', 'tolong', 'perbaiki', 'kecewa', 'pindah', 'kartu', '']</t>
  </si>
  <si>
    <t>['ayuk', 'download', 'aplikasi', 'dijamin', 'nyesel', 'paket', 'telkomnya', 'kemahalan', 'dipercepat', 'jaringannya', 'saran', 'aplikasi', 'cocok', 'aplikasi', 'bonus', 'potongan', 'semoga', 'kedepannya', 'aplikasi', 'membelikan', 'bonus', 'aplikasi', 'harap', 'aplikasinya', 'orang', 'download', 'aplikasi', 'wajib', 'banget', 'download', 'aplikasi', '']</t>
  </si>
  <si>
    <t>['tolong', 'telkomsel', 'berbenah', 'rugi', 'pisahin', 'kuota', 'internet', 'kuota', 'reguler', 'emang', 'kuota', 'internetnya', 'habis', 'ambil', 'kuota', 'reguler', 'kayak', 'always', 'lho', 'kondisi', 'ekonomi', 'rakyat', 'pulih', 'ayolah', 'bantu', 'berbenah', 'hulu', 'perusahaan', 'rekrut', 'ahli', 'terbaik', 'negeri', '']</t>
  </si>
  <si>
    <t>['beli', 'kuota', 'mytelkomsel', 'kouta', 'masuk', 'udah', 'laporan', 'sampe', 'kali', 'penyelesain', 'disuruh', 'nunggu', 'udah', 'lebaran', 'udah', 'kali']</t>
  </si>
  <si>
    <t>['pengguna', 'telkomsel', 'kuota', 'aplikasi', 'dipakai', 'kesedot', 'kuota', 'utamanya', 'kuota', 'aplikasinya', 'krim', 'email', 'telkomsel', 'respon']</t>
  </si>
  <si>
    <t>['jaringan', 'lumayan', 'lancar', 'lelet', 'sinyalnya', 'hilang', 'problem', 'aplikasinya', 'udah', 'kali', 'masuk', 'nunggu', 'veritifaksi', 'nomor', 'telepon', 'banget', 'cek', 'kuota', 'pulsa', 'aplikasi', 'mohon', 'diperbaiki', 'jaringan', 'nyaman', 'cuman', 'aplikasinya', '']</t>
  </si>
  <si>
    <t>['disney', 'apaa', 'unlimitednya', 'fup', 'mending', 'disney', 'udah', 'langganan', 'combo', 'sakti', 'fup', 'paket', 'malam', 'hilangkan', 'ganti', 'kartu', 'laen']</t>
  </si>
  <si>
    <t>['aplikasi', 'buwat', 'membantu', 'membeli', 'paket', 'data', 'isi', 'ulang', 'pulsa', '']</t>
  </si>
  <si>
    <t>['pandemi', 'maret', 'kemajuan', 'signifikan', 'kekurangan', 'dlm', 'point', 'kekuatan', 'signal', 'hadiah', 'bonus', 'telkomsel', 'tks', 'majulah', 'pelanggan', '']</t>
  </si>
  <si>
    <t>['keluhan', 'paket', 'internet', 'paket', 'internet', 'murah', 'kalangan', 'menikmati', 'jaringan', 'terbaik', 'pokoknya', '']</t>
  </si>
  <si>
    <t>['udah', 'telkomsel', 'mahal', 'paket', 'bertahan', 'signal', 'oke', 'kesini', 'lemot', '']</t>
  </si>
  <si>
    <t>['provider', 'telkomsel', 'kalah', 'kuota', 'data', 'habis', 'langsung', 'nyedot', 'pulsa', 'sampe', 'data', 'seluler', 'matikan', 'perbaiki', 'kasih', 'bintang', 'kali', 'kesedot', 'pulsa', 'sampe', 'muak', 'kuota', 'maxstream', 'gb', 'untul', 'menggunakannya', 'kuota', 'reguler', 'hwkwkwk', 'aneh', 'lucu', 'pelayananmu', 'mending', 'pindah', 'provider', 'sebelah']</t>
  </si>
  <si>
    <t>['jaringannya', 'tinggal', 'baturaja', 'kota', 'jaringan', 'bagus', 'pakai', 'jaringan', 'marasakan', 'jaringan', '']</t>
  </si>
  <si>
    <t>['telkomsel', 'telkomsel', 'paket', 'internet', 'sanggat', 'sanggat', 'mahal', 'paket', 'ceria', 'ribu', 'paket', 'cerianya', 'eehhhmmm', 'ribu', 'banget', 'fixs', 'tinggalkan', 'telkomsel', 'berali', 'kartu', 'axis', 'bye', 'bye', 'telkomsel', '']</t>
  </si>
  <si>
    <t>['telkomsel', 'dipakai', 'telpon', 'suara', 'terdengar', 'orang', 'tlpn', 'orang', 'telpon', 'mendengar', 'suara', 'mendengar', 'suara', 'pdhl', 'sinyal', 'full', 'pelangganmu', 'kecewa', '']</t>
  </si>
  <si>
    <t>['mengecewakan', 'beli', 'paket', 'gamemax', 'game', 'lag', 'jaringan', 'penuh', 'payah', 'harga', 'paketan', 'mahal', 'tetep', 'kualitas', 'sebanding', 'harganya', '']</t>
  </si>
  <si>
    <t>['update', 'terbatu', 'parah', 'aplikasi', 'dibuka', 'paket', 'data', 'udah', 'gitu', 'buka', 'app', 'nyedot', 'pulsa', 'blum', 'paketin', 'parah', 'asli', 'telkomsel', 'konsumen', 'dikadalin', '']</t>
  </si>
  <si>
    <t>['rilis', 'telkomsel', 'gb', 'unlimited', 'batas', 'fup', 'udah', 'paket', 'unlimited', 'buka', 'bilangnya', 'batas', 'fup', 'habis', 'mb', 'udah', 'pakek', 'paketan', 'udah', 'unlimited', 'auto', 'ganti', 'kartu', 'kaya', 'gini', '']</t>
  </si>
  <si>
    <t>['mohon', 'maaf', 'telkomsel', 'jujur', 'kualitas', 'internet', 'alami', 'karawang', 'timur', 'pandemi', 'koneksi', 'internet', 'stabil', 'menganggu', 'keproduktifitasan', 'belajar', 'online', 'bermain', 'game', 'bar', 'sinyal', 'full', 'bar', 'indikator', 'data', 'upload', 'download', 'aktivitas', 'koneksi', 'internet', 'hilang', '']</t>
  </si>
  <si>
    <t>['tekmomsel', 'sinyal', 'jelek', 'banget', 'kalah', 'lokasi', 'tangerang', 'mohon', 'perbaikannya', 'mengeluh', 'karna', 'sinyal', 'jelek', 'pindah', 'peke', 'kartu', 'bagus']</t>
  </si>
  <si>
    <t>['pengguna', 'telkomsel', 'rasakan', 'kecewa', 'jaringan', 'internetnya', 'buruk', 'sekelas', 'telkomsel', 'provider', 'dikenal', 'nusantara', 'bagus', 'sebalik', 'sungguh', 'kecewa', '']</t>
  </si>
  <si>
    <t>['praktis', 'murah', 'mohon', 'pertahankan', 'promo', 'diskonnya', 'terjangkau', 'kalangan', 'menengah', 'kbawah', 'pandemi', 'terima', 'kasih', '']</t>
  </si>
  <si>
    <t>['apk', 'mengecewakan', 'murah', 'apk', 'sumpah', 'mendin', 'beli', 'paket', 'konter', 'terdekat', 'beli', 'pulsa', 'beli', 'telkomsel', 'berguna', 'gua', 'barusan', 'isi', 'pulsa', 'niatnya', 'beli', 'paket', 'telkomsel', 'pulsa', 'berkurang', 'mental', 'kesalahan', 'pembelian', 'pulsa', 'mencukupi', 'pokoknya', 'kaliann', 'download', 'apk', 'liat', 'komen', 'gimana', 'apk', 'telkomsel', 'ass']</t>
  </si>
  <si>
    <t>['gua', 'saranin', 'mending', 'ganti', 'provider', 'telkomsel', 'sinyal', 'kesini', 'bagus', 'jelek', 'harga', 'tawarin', 'mahal', '']</t>
  </si>
  <si>
    <t>['apk', 'telkomsel', 'beda', 'sesuai', 'kasihani', 'udah', 'gitu', 'harga', 'paket', 'mahal', '']</t>
  </si>
  <si>
    <t>['halo', 'telkomsel', 'fungsi', 'paket', 'telpon', 'dapatkan', 'membeli', 'kuota', 'telpon', 'pengguna', 'telkomsel', 'kenakan', 'pulsa', 'pulsa', 'utama', '']</t>
  </si>
  <si>
    <t>['kualitas', 'telkomsel', 'buruk', 'jaringan', 'sulit', 'dijangkau', 'kekecewaan', 'mohon', 'dibaca', 'seksama', 'cari', 'solusi', 'memperbaiki', 'tolong', 'diperhatikan', 'konsumen', 'mengeluh', 'kekecewaan']</t>
  </si>
  <si>
    <t>['berkembang', 'parah', 'telkomsel', 'sad', 'provider', 'rencana', 'pindah', 'operator', 'jelek', 'koneksinya', 'stabil', 'banget', 'parahhh']</t>
  </si>
  <si>
    <t>['telkomsel', 'gimansiiii', 'jaringan', 'lelet', 'loading', 'hariini', 'gabisa', 'nelfon', 'suaranya', 'kupikir', 'hpku', 'udah', 'bolak', 'balek', 'restart', 'ttep', 'gbsa', 'trnyta', 'emg', 'jaringannya', 'kekmana', 'sumpah', 'gedeg', '']</t>
  </si>
  <si>
    <t>['jaringan', 'lemot', 'muter', 'muter', 'tok', 'buka', 'aplikasi', 'pulsa', 'paket', 'belinya', 'mahal', 'kuota', 'tersedot', 'tolong', 'telkomsel', 'perbaiki', 'sinyal', 'orang', 'males', 'telkomsel', 'mahal', 'buang', 'buang', 'jangkauan', 'luas', 'emosi']</t>
  </si>
  <si>
    <t>['kebanyakan', 'kuota', 'macem', 'macem', 'kuota', 'disney', 'kuota', 'rise', 'nowlin', 'mahal', 'mending', 'jual', 'paketan', 'tunggal', 'all', '']</t>
  </si>
  <si>
    <t>['jaringan', 'buruk', 'status', 'pernh', 'komplain', 'bot', 'tolong', 'perbaiki', 'jaringannya', 'telkomsel', 'kalah', 'jaringan', '']</t>
  </si>
  <si>
    <t>['aplikasi', 'buka', 'eror', 'mytekomsel', 'udah', 'instal', 'gunain']</t>
  </si>
  <si>
    <t>['niat', 'ngasih', 'bonus', 'ekstra', 'kuota', 'pulsa', 'monetarynya', 'tertera', 'bonusnya', 'kepakai', 'sampe', 'berlaku', 'abis', 'ikhlas', 'ngasih', 'bonus', 'mending', 'ngasih', 'kesel', '']</t>
  </si>
  <si>
    <t>['tolong', 'paket', 'internetnya', 'dimurahin', 'kasian', 'hidup', 'kota', 'orang', 'anak', 'rantau', 'berjuang', 'membahagiakan', 'orang', 'tua', 'semoga', 'terkabulkan', 'aminn', '']</t>
  </si>
  <si>
    <t>['aplikasinya', 'lumayan', 'diperbaiki', 'blum', 'maksimal', 'bintang', 'bintang', 'kecewa', 'dapet', 'bonus', 'ekstra', 'kuota', 'pulsa', 'monetary', 'kepakai', 'dikasih', 'bonus', 'ngasih', 'bonus', 'cuman', 'kesel', '']</t>
  </si>
  <si>
    <t>['mohon', 'maap', 'telkomsel', 'sya', 'kasi', 'bintang', 'sya', 'make', 'kartu', 'telkomsel', 'unlimited', 'jaringannya', 'lancar', 'tpi', 'skrng', 'telkomsel', 'unlimited', 'udah', 'beda', 'nonton', 'ytb', 'medsos', 'lainya', 'lancar', 'knp', 'skrng', 'udah', 'beda', 'tolong', 'perbaiki', 'masi', 'kasi', 'bintang', 'memuaskan']</t>
  </si>
  <si>
    <t>['jaringan', 'bermasalah', 'terooooossss', 'kirain', 'doang', 'mengalami', 'pelanggan', 'kartu', 'gadang', 'sampe', 'pelosok', 'mengalami', 'bangga', 'telkomsel', 'jrg', 'mengalami', 'dlm', 'jaringan', 'mahal', 'lancar', 'jaya', 'spt', 'kartu', 'pernh', 'buang', 'paket', 'murah', 'jaringan', 'emosi', 'skrg', 'alami', 'kartu', 'elite', 'emosi', 'banget', 'telkomsel', '']</t>
  </si>
  <si>
    <t>['kesini', 'parah', 'telkomsel', 'kebanyakan', 'paket', 'lemot', 'sinyalnya', 'tolong', 'kuota', 'prioritaskan', 'kuota', 'utamanya', '']</t>
  </si>
  <si>
    <t>['coba', 'top', 'harian', 'beli', 'koin', 'starmarker', 'koin', 'seharga', 'ribu', 'telkomsel', 'ketukan', 'jawabannya', 'tolong', 'telkomsel', 'tinjau', 'kerjasamanya', 'starmarker', 'top', 'koin', 'harian']</t>
  </si>
  <si>
    <t>['gilanih', 'sinyal', 'suka', 'hilang', 'anjirr', 'bner', 'beli', 'kuota', 'mahal', 'ayo', 'bareng', 'kasih', 'bintang', 'apk', 'busuk', 'kuota', 'mahal', 'sesuai', 'kualitas', '']</t>
  </si>
  <si>
    <t>['mohon', 'maaf', 'ssya', 'membayar', 'kuota', 'darurat', 'isi', 'ulang', 'pulsa', 'knp', 'pulsa', 'diambil', 'alasan', 'kuota', 'darurat', 'bayar', 'mematikan', 'datanya', 'isi', 'pulsa', 'toling']</t>
  </si>
  <si>
    <t>['halo', 'salah', 'pelanggan', 'telkomsel', 'berlangganan', 'telkomsel', 'beli', 'gerai', 'telkomsel', 'giga', 'unlimited', 'beli', 'atm', 'mobile', 'banking', 'denga', 'harga', 'itupun', 'unlimited', 'kecewa', 'keterangan', 'atm', 'menghubungi', 'email', 'layanan', 'veronica', 'balasan', 'semoga', 'pesan', 'respon']</t>
  </si>
  <si>
    <t>['jaringan', 'jelek', 'paket', 'cepat', 'kali', 'habis', 'beli', 'paket', 'internet', 'liat', 'besok', 'pagi', 'udah', 'sisa', 'tolong', 'dikit', 'make', 'telkomsel']</t>
  </si>
  <si>
    <t>['telkomsel', 'mengecewakan', 'beli', 'paket', 'gb', 'unlimited', 'udah', 'membuang', 'buang', 'uang', 'banyanya', 'jaringan', 'lemot', 'dahlah', 'kecewa', 'ama', 'gb', 'unlimited']</t>
  </si>
  <si>
    <t>['paket', 'extra', 'unlimited', 'liat', 'status', 'nonton', 'youtube', 'tiktok', 'beli', 'paket', 'extra', 'unlimited', 'tpi', 'unlimited', 'nonton', 'youtube']</t>
  </si>
  <si>
    <t>['maaf', 'developerssaya', 'membicarakan', 'paket', 'unlimited', 'telkom', 'kuota', 'utama', 'habis', 'kekuatan', 'jaringan', 'turunin', 'kbs', 'mersa', 'kecewa', 'anonytun', 'berguna', 'maaf', 'mah', 'kembaliin', 'kaya', 'kecewa', '']</t>
  </si>
  <si>
    <t>['pengguna', 'telkomsel', 'puluhan', 'dapet', 'fasilitas', 'layanan', 'atupun', 'perhatian', 'manajemen', 'telkomsel', 'pengguna', 'difasilitasi', 'fitur', 'paket', 'termurah', 'manajemennya', 'berfikir', 'untung']</t>
  </si>
  <si>
    <t>['telkomsel', 'didepan', 'ngomong', 'mengikuti', 'undian', 'poin', 'telkomsel', 'menang', 'satupun', 'padahalmah', 'poin', 'ratusan', 'dapet', 'babarblas', '']</t>
  </si>
  <si>
    <t>['bintang', 'terpaksa', 'ngasih', 'telkomsel', 'ngasih', 'argumen', 'telkomsel', 'kayak', 'sampah', 'internet', 'mahal', 'jaringan', 'sampah', 'tambahan', 'paket', 'merugikan', 'pelanggan', 'coba', 'beralih', 'cari', 'internet', 'dirumah', 'telkomsel', 'sampah', 'memperbaiki', 'kualitas', 'jaringan', 'harga', 'indonesia', 'mudah', 'rakyat', 'sadar', 'pakai', 'telkomsel', 'tekor', 'pelanggan', 'dasar', 'perusahaan', 'maruk', 'keuntungan', '']</t>
  </si>
  <si>
    <t>['aplikasi', 'kayak', 'buatan', 'anak', 'login', 'kode', 'verifikasi', 'dtik', 'pengiriman', 'linknya', 'menit', 'niat', 'aplikasi', 'provider', 'mengecewakan', 'bnyak', 'pelanggan', 'tlong', 'sdar', 'menang', 'sinyal', 'merata', 'mutu']</t>
  </si>
  <si>
    <t>['pengundian', 'pemenang', 'tertutup', 'engga', 'terbuka', 'coba', 'live', 'pengundianya', 'undian', 'meliat', 'seraca', 'live', 'masyarkat', 'curangi', 'undian', 'telkomsel', '']</t>
  </si>
  <si>
    <t>['telkomsel', 'semberono', 'paket', 'bg', 'unlimitednya', 'unlimitednya', 'dibatasi', 'gb', 'namanya', 'unlimited', 'terbatas', 'jangka', 'berlakunya', 'rugi', 'paket', 'unlimited', 'telkomsel', 'sesuai', 'tanggal', 'berlakunya', 'dibatasi']</t>
  </si>
  <si>
    <t>['min', 'beli', 'paket', 'plus', 'ulimitid', 'pas', 'udah', 'habis', 'paket', 'ulimitid', 'jaringan', 'lelet', 'banget', 'udah', 'kemaren', 'jaringan', 'bagus', 'ulimitid', 'lelet', 'baget', 'buka', 'tolong', 'min', 'perbaiki', 'karna', 'udah', 'bayar', 'mahal', '']</t>
  </si>
  <si>
    <t>['kemarin', 'transaksi', 'kuota', 'ketengan', 'unlimited', 'youtub', 'harga', 'aktif', 'transaksinya', 'berhasil', 'pulsa', 'terpotong', 'sisa', 'pulsa', 'habis', 'tersedot', 'kuotanya', 'tolong', 'perbaiki', 'rugikan', '']</t>
  </si>
  <si>
    <t>['pakai', 'aplikasi', 'mytelkomsel', 'mudah', 'nyaman', 'sayang', 'harga', 'kuota', 'internet', 'mahal', 'harganya', 'harap', 'pengguna', 'setia', 'telkomsel', 'telkomsel', 'harga', 'murah', 'pengguna', 'setia', 'telkomsel', 'trimakasih', '']</t>
  </si>
  <si>
    <t>['aplikasinya', 'bagus', 'bermanfaat', 'sayang', 'blm', 'fitur', 'pengunci', 'pulsa', 'mohon', 'upgrade', 'fitur', 'tsb', 'pengguna', 'pulsanya', 'tersedot', 'sgt', 'sayangkan', 'kasih', 'bintang', 'fitur', 'pulsa', 'lock', 'terimakasih']</t>
  </si>
  <si>
    <t>['suka', 'kesel', 'telkomsel', 'dri', 'dlu', 'udah', 'paketin', 'internet', 'paket', 'tlp', 'trus', 'pulsa', 'utama', 'sedot', 'brubah', 'dri', 'dlu', 'riba', 'woi', 'ambil', 'rezeki', 'dengn', 'pdahal', 'sya', 'penguna', 'telkomsel', 'udh', 'jebak', '']</t>
  </si>
  <si>
    <t>['kualitas', 'jaringan', 'buruk', 'mengganggu', 'aktifitas', 'pekerjaan', 'aktifitas', 'sehari', 'penggunaan', 'internet', 'telkomsel', 'tolong', 'diperbaiki', 'kualitas', 'jaringan', 'internet', 'pelanggan', 'pindah', 'provider', 'menjajikan']</t>
  </si>
  <si>
    <t>['membeli', 'pulsa', 'jumat', 'banking', 'masuk', 'bank', 'kesalahan', 'sistem', 'telkomsel', 'telkomsel', 'suruh', 'nunggu', 'nggak', 'kejelasan']</t>
  </si>
  <si>
    <t>['mohon', 'perbaikannya', 'jaringan', 'telkomsel', 'gangguan', 'internet', 'buffering', 'kartu', 'hallo', 'priority', 'thanks']</t>
  </si>
  <si>
    <t>['semenjak', 'sinyal', 'telkomsel', 'ancur', 'bnyak', 'iklan', 'membodohi', 'pantes', 'bnyak', 'ninggalin', 'mahal', 'jaringan', 'lelet', 'pasang', 'dukung', 'bangkrut', 'pindah', 'profider']</t>
  </si>
  <si>
    <t>['heran', 'main', 'game', 'sinyalnya', 'stabil', 'sinyalnya', 'ping', 'merah', 'alasanku', 'malas', 'push', 'rank', 'turun', 'epic', 'semoga', 'diperbaiki', 'push', 'rank', 'epic', 'terimakasih']</t>
  </si>
  <si>
    <t>['mohonlah', 'dipermudah', 'memiliki', 'point', 'sekian', 'sekian', 'diaktifkan', 'memangkas', 'pulsa', 'ujung', 'ujungnya', 'notif', 'gagal', 'point', 'bilamana', 'diambil', 'internet', 'sms', 'donasi', '']</t>
  </si>
  <si>
    <t>['knp', 'tsel', 'kartu', 'isi', 'vocer', 'gesek', 'tulisanya', 'sistem', 'sibuk', 'trus', 'dri', 'semalam', 'gmn', 'donk', 'trlnjur', 'beli', 'vocer', 'mahal', 'mlah', 'pelayanan', 'mengecewakan', 'pelanggan']</t>
  </si>
  <si>
    <t>['beli', 'paket', 'pedul', 'jam', 'udah', 'jam', 'malam', 'langsung', 'hangus', 'deskripsinya', 'berlaku', 'jam', 'berlakunya', 'jam', 'rugiiiiii']</t>
  </si>
  <si>
    <t>['', 'pengguna', 'simpati', 'pede', 'udah', 'dri', 'harga', 'paket', 'internet', 'kartu', 'sungguh', 'mahal', 'dibandingkan', 'dngn', 'pengguna', 'kartu', 'sllu', 'setia', 'gini', 'diskriminasi', 'pelanggan', 'setia', '']</t>
  </si>
  <si>
    <t>['udah', 'kuota', 'gb', 'udah', 'lemot', 'penggunaan', 'dibatasi', 'ngga', 'liat', 'youtube', 'dll', 'trus', 'gunanya', 'herannn', 'pas', 'mati', 'lampu', 'penggunaan', 'data', 'ngga', 'sinyal', 'kirain', 'beli', 'paket', 'mahalan', 'untung', 'buntung', 'mendingan', 'kartu', 'merk', 'sebelah', 'akses', 'lancar', 'sampe', 'tolong', 'dibenerin', 'telkomsel', 'udah', 'mahal', 'ngomongnya', 'nomer', 'diindonesia', 'ngga', 'sesuai', 'realita', 'kapok', 'euhhhh']</t>
  </si>
  <si>
    <t>['sinyal', 'kaga', 'tower', 'udah', 'dipasang', 'jelek', 'sinyalnya', 'ngeluh', 'pemerintah', 'hapus', 'sinyal', 'telkom', 'perluas', 'tower', 'sinyal', 'indosat', 'udah', 'murah', 'sinyal', 'bagus', 'kayak', 'telkom', 'mahal', 'sinyal', 'stabil', 'sinyal', 'maksa']</t>
  </si>
  <si>
    <t>['kritik', 'saran', 'pertimbangkab', 'pengguna', 'telkomsel', 'harga', 'paket', 'unlimited', 'ribu', 'akses', 'media', 'sosial', 'unlimited', 'batasi', 'gb', 'menyesal', 'beli', 'habis', 'kuota', 'buang', 'kartu', 'bertahun', 'pakai', 'nomor', 'mengecewakan', 'kartu', 'biru', 'kacau', 'mengecewakan', 'beli', 'smartfren', 'busuk', '']</t>
  </si>
  <si>
    <t>['heran', 'telkomsel', 'deh', 'kali', 'isi', 'ulang', 'pulsa', 'panggilan', 'detik', 'histori', 'telpon', 'tolong', 'kebijakannya', 'operator', '']</t>
  </si>
  <si>
    <t>['kuota', 'ketengan', 'kuota', 'bonus', 'sia', 'sia', 'dipakai', 'terbuang', 'kuota', 'mengisi', 'kali', 'kuota', 'berkurang', 'kuota', 'masuk', 'berkurang', 'kuota', 'berkurang', 'aktif', 'kuota', 'habis', 'telkom', '']</t>
  </si>
  <si>
    <t>['layanan', 'tolong', 'perbaiki', 'kecewa', 'telkomsel', 'paketan', 'mahal', 'layanan', 'beli', 'voucher', 'berkali', 'ngelakuin', 'isi', 'ulang', 'gagal', 'merugikan', 'pengguna', 'kecewa', 'bkn', 'kecewa', '']</t>
  </si>
  <si>
    <t>['beli', 'paketan', 'gamemax', 'login', 'doang', 'cari', 'macth', 'reconnect', 'menghubungkan', 'connection', 'time', 'out', 'udah', 'dahlah', 'kecewa', 'gua', 'beli', 'dipakai', '']</t>
  </si>
  <si>
    <t>['jarinagan', 'telkomsel', 'udah', 'enak', 'paket', 'mahal', 'doang', 'kesetabilan', 'jaringan', 'beda', 'haraga', 'paket', 'kritik', 'diam', 'lakukan', 'pelanggan', 'puas', '']</t>
  </si>
  <si>
    <t>['gapaham', 'aplikasi', 'kentang', 'for', 'close', 'penyimpanan', 'tersisa', 'aplikasi', 'update', 'terbaru', 'restart', 'telkomsel', 'crash', 'for', 'close']</t>
  </si>
  <si>
    <t>['maaf', 'bintang', 'ngeleg', 'banget', 'main', 'game', 'ping', 'merah', 'buka', 'sittus', 'lemot', 'tolong', 'perbaiki', 'jaringan', 'paket', 'pulsa', 'mahal', 'jaringannya', 'jelek', 'jdi', 'perbaiki', 'min']</t>
  </si>
  <si>
    <t>['telkomsel', 'payah', 'pindah', 'operator', 'sebelah', 'udah', 'mahal', 'ngelag', 'kecewa', 'berat', 'telkomsel', 'biarpun', 'mahal', 'jaringan', 'mulus', 'putus', 'putus', 'skrg', 'ngapain', 'bayar', 'mahal', 'ttep', 'putus', 'putus', 'kecewa', 'sumpah', 'pindah', 'operator', 'sebelah', 'ajalah', 'sengaja', 'bintang', 'dihapus']</t>
  </si>
  <si>
    <t>['parah', 'nomer', 'kmn', 'sim', 'blm', 'kontaknya', 'ganti', 'provider', 'pakai', 'alternatif', 'perubahan', '']</t>
  </si>
  <si>
    <t>['', 'daerah', 'memakai', 'telkomsel', 'jaringannya', 'lemot', 'ngelag', 'stabil', 'tolong', 'ditindak', 'daerah', 'secepatnya', '']</t>
  </si>
  <si>
    <t>['maaf', 'bintangnya', 'kurangi', 'aplikasinya', 'dibuka', 'paket', 'promo', 'dihapus', 'signal', 'hilang', 'telkomsel', 'memikirikan', 'keuntungan', 'ketimbang', 'kenyamanan', 'konsumennya', 'maaf', 'kritik', 'saran', 'tolong', 'diperbaiki', 'telkomsel', '']</t>
  </si>
  <si>
    <t>['sinyal', 'aman', 'payaaaaaaah', 'buruk', 'bin', 'jelek', 'banget', 'tinggal', 'kota', 'telkomsel', 'jangkauan', 'terluaas', 'hoax', 'auto', 'pindah', 'kartu', 'pdhl', 'aktif', 'sayang', 'kartu', 'bisnis', 'kendala', 'sinyal', 'buruk', 'jelek', '']</t>
  </si>
  <si>
    <t>['kuotanya', 'doang', 'mahal', 'jaringannya', 'kadang', 'jaringannya', 'full', 'taunya', 'internetan', 'lemot', 'gua', 'gua', 'doang', 'pengguna', 'ngerasain', 'banget', 'ngasih', 'keluh', 'kesah', 'surunya', 'fcbook', 'twterr']</t>
  </si>
  <si>
    <t>['jaringan', 'stabil', 'recommend', 'telkomsel', 'ngege', 'lancar', 'banget', 'kagak', 'sampah', 'telkomsel', 'tolong', 'pengguna', 'kecewa', 'pelayanan', 'telkomsel', 'mohon', 'langsung', 'tangani', 'jaringan', 'konesi', 'game', 'sosial', 'media', 'harga', 'mahal', 'buktikan', 'konerja', 'internetnya', 'balas', 'hai', 'kak', 'blablablabla', 'langsung', 'tangani', 'pengguna', 'kecew']</t>
  </si>
  <si>
    <t>['kualitas', 'pelayanan', 'jaringan', 'buruk', 'masukan', 'memuaskan', 'pelayanan', 'pelanggan', 'pelanggan', 'percaya', 'kualitas', 'why', '']</t>
  </si>
  <si>
    <t>['jaringan', 'internet', 'lemot', 'banget', 'perbaiki', 'beli', 'kuotanya', 'mahal', 'banget', 'sesuai', 'jaringanya', '']</t>
  </si>
  <si>
    <t>['assalamualaikum', 'telkomsel', 'terhormat', 'pulsa', 'langsung', 'potong', 'aktiv', 'paket', 'darurat', 'heran', 'sekian', 'terima', 'kasih']</t>
  </si>
  <si>
    <t>['kota', 'gua', 'mendukung', 'suka', 'ngeleg', 'perasaan', 'gua', 'beli', 'paketan', 'recehan', 'tolong', 'jaringan', 'perluas', 'kaya', 'gunung', 'sinyalnya', 'ilang', 'mulu', '']</t>
  </si>
  <si>
    <t>['udah', 'kayak', 'jaringan', 'telkomsel', 'jelek', 'banget', 'maen', 'lol', 'pubg', 'ping', 'diatas', 'paketan', 'darurat', 'aktif', 'acc', 'pengguna', 'dirugikan']</t>
  </si>
  <si>
    <t>['notifmu', 'meresahkan', 'muncul', 'layar', 'mengganggu', 'andai', 'lampirkan', 'foto', 'lampirkan', 'sreenshot']</t>
  </si>
  <si>
    <t>['', 'pemberitahuan', 'tenggang', 'isi', 'pulsa', 'diurus', 'grapari', 'disuruh', 'beralih', 'pasca', 'bayar', '']</t>
  </si>
  <si>
    <t>['assalamualaikum', 'pengguna', 'sim', 'telkomsel', 'mengeluh', 'gangguan', 'voucher', 'telkomsel', 'masuk', 'sistem', 'sibuk', 'mohon', 'kerja', 'yhhhhh', '']</t>
  </si>
  <si>
    <t>['hey', 'min', 'knp', 'jaringan', 'hilang', 'paket', 'mahal', 'mahal', 'ganti', 'provaider', 'tolong', 'perbaiki', 'sistem', 'maaf', 'maaf', 'doang', 'kartu', 'pakai', 'telkomsel', 'mah', 'ganti', 'gini', 'terusss', 'perbaiki', 'maaf', 'teruss', '']</t>
  </si>
  <si>
    <t>['jaringan', 'lemot', 'harga', 'data', 'mahal', 'pokok', 'jaringan', 'telkom', 'jelek', 'parah', 'unlimited', 'kayak', 'mending', 'dikeluarkan', 'data', 'unlimited', 'klau', 'lemot', 'emosi', '']</t>
  </si>
  <si>
    <t>['kecewa', 'telkomsel', 'knp', 'seminggu', 'ngecek', 'pulsa', 'sisa', 'pulsa', 'trus', 'kmaren', 'dicek', 'sisa', 'pulsa', 'ilang', 'kmn', 'ajg', 'pdhl', 'kuota', 'internet', 'gb', 'top', 'dll', 'tolong', 'direspon', '']</t>
  </si>
  <si>
    <t>['mohon', 'perbaikan', 'deh', 'bbrpa', 'pulsa', 'kesedot', 'mulu', 'aneh', 'pemakaian', 'sesuai', 'paket', 'miliki', 'pulsa', 'tersedot', 'udah', 'sabar', 'komen', 'krna', 'fikir', 'ambil', 'untung', 'mah', 'gitu', 'beli', 'pulsa', 'duit', 'daun', 'semoga', 'dibaca', 'deh', 'ulasan', 'makasih', 'penyedotan', 'pulsa', '']</t>
  </si>
  <si>
    <t>['aplikasinya', 'baagus', 'bener', '']</t>
  </si>
  <si>
    <t>['pilihan', 'paket', 'data', 'muncul', 'ganti', 'paket', 'sinyal', 'parah', 'kalah', 'provider', 'nyesel', 'pakai', 'kartu', 'hallo', 'tagihan', 'diatas', 'rb', 'lho', 'nyesel', 'klien', 'tqhunya', 'kartu', 'nmr']</t>
  </si>
  <si>
    <t>['gmn', 'kmrin', 'tgl', 'beli', 'pulsa', 'mytelkomsel', 'siang', 'masuk', 'pdhal', 'transaksi', 'via', 'virtual', 'account', 'berhasil', 'siang', 'transaksi', 'skr', 'pulsanya', 'masuk', 'udh', 'grahapari', 'sruh', 'nggu', 'lwt', 'jam', 'blm', 'memuaskan', '']</t>
  </si>
  <si>
    <t>['bagus', 'sinyal', 'telkomsel', 'semenjak', 'unlimited', 'jaringan', 'bagus', 'ditambah', 'bagus', 'sinyalnya', 'beli', 'mahal', 'paketnya', 'sinyal', 'burik', 'pantes', 'orang', 'udah', 'ganti', 'kartu', 'wilayah']</t>
  </si>
  <si>
    <t>['beli', 'pulsa', 'apk', 'telkomsel', 'mending', 'konter', 'tetangga', 'pulsa', 'ngga', 'masuk', 'trus', 'tlp', 'suruh', 'nunggu', 'jam', 'ngga', 'masuk', 'besoknya', 'nlp', 'nunggu', 'jam', 'proses', 'laporan', 'ribet', 'kegiatan', 'online', 'kali', 'ngasih', 'rate', 'kelewat', 'kesel', 'urgent', 'butuh', 'pulsa', 'disuruh', '']</t>
  </si>
  <si>
    <t>['', 'suka', 'sebener', 'telkomsel', 'gedeg', 'msa', 'beli', 'pket', 'gb', 'seharga', 'rb', 'pas', 'klik', 'harga', 'rb', 'tolong', 'perbaiki', 'ngerugiin', 'gini', 'bagus', 'bagus', 'buntung', 'gini']</t>
  </si>
  <si>
    <t>['', 'udah', 'pakai', 'sinyal', 'parah', 'sayang', 'ganti', 'kartu', 'tolong', 'solusi', 'udah', 'ganti', 'berkali', 'kali', 'tolong', 'telkomsel', 'solosinya']</t>
  </si>
  <si>
    <t>['telkomsel', 'kayak', 'jaringannya', 'tolong', 'perbaiki', 'malu', 'udah', 'mahal', 'jaringannya', 'kayak', 'keong', 'lambat', '']</t>
  </si>
  <si>
    <t>['mudah', 'pengoperasian', 'harap', 'promo', 'internet', 'murah', 'pelanggan', 'setia', 'kebutuhan', 'internet', 'dimasa', 'pandemi', 'meningkat', 'kebutuhan', 'wfh', 'terima', 'kasih']</t>
  </si>
  <si>
    <t>['telkomsel', 'kartu', 'telp', 'ngak', 'bagus', 'pakai', 'internet', 'ngak', 'aktifin', 'kuota', 'otomatis', 'langsung', 'aktif', 'pulss', 'rb', 'rb', 'karna', 'kuota', 'sumpah', 'ganti', 'kartu', 'untung', 'buntungg', '']</t>
  </si>
  <si>
    <t>['jaringan', 'doang', 'tulisan', 'asuuuuu', 'anjjingg', 'kayak', 'taik', 'lemot', 'error', 'jaringan', 'lemot', 'terjelek', 'terbaik', 'gue', 'benci', 'telkomsel', 'palsuuuuuuuuu', 'asliiiiiii', 'siputtttt', 'kau', 'asuu', 'geluttt', 'yok', 'telkom', 'kek', 'taiikkkk']</t>
  </si>
  <si>
    <t>['unlimited', 'max', 'gua', 'njg', 'temen', 'gua', 'kota', 'tetep', 'bangke', 'emang', 'udh', 'kartu', 'kls', 'smp', 'udh', 'lulus', 'sma', 'tetep', 'murah', 'kartu', 'tolonglah', 'samain', 'mentang', 'pelanggan', 'manja', 'liat', 'pelanggan', 'njg']</t>
  </si>
  <si>
    <t>['tertera', 'tulisan', 'unlimited', 'batas', 'kewajaran', 'sekian', 'kecepatan', 'internet', 'dikurangi', 'baiklah', 'kecepatan', 'kurangi', 'buka', 'aplikasi', 'unlimited', 'contohnya', 'youtube', 'tumbnel', 'jalan', 'instagram', 'loading', 'arti', 'unlimited', 'memunculkan', 'pembodohan', 'kuota', 'perjualbelikan', 'cuman', 'tolong', 'paket', 'unlimited', 'dikembalikan', '']</t>
  </si>
  <si>
    <t>['perihal', 'jaringan', 'telkomsel', 'jaringannya', 'lemot', 'kuota', 'unlimited', 'lemotnya', 'ampun', 'emang', 'gangguan', 'gimana', '']</t>
  </si>
  <si>
    <t>['telkom', 'harga', 'doang', 'kah', 'mahal', 'sinyanya', 'jelek', 'banget', 'sumpah', 'lemot', 'paketan', 'stuck', 'internet', 'ngeselin', 'sumpah', 'telkom', 'harga', 'sebanding', 'ama', 'kelancaran', 'ampas', 'banget', '']</t>
  </si>
  <si>
    <t>['aplikasi', 'error', 'isi', 'pulsa', 'virtual', 'account', 'masuk', 'masuk', 'hati', 'isi', 'pulsa', 'telkomsel', 'mending', 'isi', 'app', '']</t>
  </si>
  <si>
    <t>['paket', 'medium', 'trus', 'beli', 'paket', 'kuota', 'internet', 'kecewa', 'banget', 'telkomsel', 'pengguna', 'pelayanan', 'jelek', '']</t>
  </si>
  <si>
    <t>['gimana', 'aplikasi', 'unlimited', 'gabisa', 'nge', 'share', 'gini', 'beli', 'paket', 'internet', 'unlimited', 'youtube', 'paket', 'flash', 'habis', 'mohon', 'solusinya', 'paket', 'flash', 'kouta', 'lokal', 'mengaktif', 'kouta', 'unlimited', 'youtube', '']</t>
  </si>
  <si>
    <t>['raja', 'sang', 'raja', 'kouta', 'utama', 'habis', 'tersisa', 'unlimited', 'games', 'lemot', 'banget', 'parah', 'tanggal', 'aktif', 'tolong', 'perbaiki']</t>
  </si>
  <si>
    <t>['jaringan', 'buruk', 'kalah', 'kuning', 'murah', 'lancar', 'bukanya', 'lancar', 'parah', 'buruknya', 'mahal', 'doank', 'kualitas', 'bobrok', 'canda', 'bobrok']</t>
  </si>
  <si>
    <t>['kartu', 'telkomsel', 'ngga', 'udah', 'mahal', 'ngelek', 'niat', 'jualan', 'jualan', 'loooo', 'merugikan', 'masyarakat', 'gua', 'ganti', 'kartu', 'gua', 'tri', 'karna', 'tri', 'kartu', 'loooo', 'buatt', 'pahammm', 'gua', 'beli', 'sebulan', 'udh', 'unilimitid', 'kaga', 'jelass', 'gua', 'terima', 'gua', 'beli', 'mahal', 'mahal', 'sampe', 'gituin', 'lancar', 'sekrng', 'lemot', 'aplikasi', 'pesan', 'elu', 'penipu', 'gua', 'udh', 'kartu', 'gua', 'kecewa', '']</t>
  </si>
  <si>
    <t>['hehehe', 'lemot', 'banget', 'googling', 'sinyal', 'muter', 'kaya', 'odong', 'ditengah', 'kota', 'sinyalnya', 'mengemaskan', 'kaya', 'setan', 'nampakin', 'wujudnya', 'muncul', 'menghilang', 'wkwkwkw', 'tolong', 'ditindak', 'lanjuti', 'min', '']</t>
  </si>
  <si>
    <t>['bangst', 'gua', 'beli', 'paket', 'unlimited', 'mash', 'gb', 'dipake', 'dipake', 'lemot', 'banget', 'ajglh', 'pdhal', 'aktif', 'paketnya', 'tgl', 'juni']</t>
  </si>
  <si>
    <t>['kesini', 'paket', 'data', 'dipakai', 'kadang', 'beli', 'pulsa', 'suka', 'habis', 'data', 'mengeluh', 'respon', '']</t>
  </si>
  <si>
    <t>['satelit', 'telkom', 'berjarak', 'kilo', 'nggak', 'nyampek', 'rumah', 'ampuuuuuuuu', 'uuuuuuuun', 'sinyalnya', 'udah', 'android', 'tangkapan', 'sinyalnya', 'jelek', 'banget', 'gimana', 'gunung', 'paraah', 'kuota', 'tinggal', 'muter', 'muter', 'muter', 'muter', 'sing', 'sing', 'sing', 'pusing']</t>
  </si>
  <si>
    <t>['beli', 'kuota', 'gb', 'unlimited', 'app', 'harga', 'kuota', 'unlimitednya', 'dibatasin', 'gb', 'harga', 'orang', 'telkomsel', 'orang', 'kayak', 'kagak', 'telkomsel', 'menang', 'jaringan', 'luas', 'masuk', 'korupsi', 'telkomsel', 'berita', 'wkwkw']</t>
  </si>
  <si>
    <t>['telkomsel', 'jual', 'paket', 'penipuan', 'paket', 'game', 'max', 'login', 'game', 'mobile', 'legends', 'hrus', 'kuota', 'utama', 'dipake', 'main', 'pubg', 'login', 'game', 'tpi', 'game', 'play', 'game', 'play', 'hrus', 'kuota', 'utama', 'namanya', 'penipuan', 'mending', 'jualan', 'promo', 'ujung', 'ujungnya', 'penipuan', 'telkomsel', 'tipu', 'tipu', 'promo', 'game', 'max', 'tipu', 'tipu']</t>
  </si>
  <si>
    <t>['keluhan', 'kemarin', 'beli', 'paket', 'kuota', 'internet', 'lokal', 'pemakaian', 'gb', 'udh', 'gabisa', 'kuota', 'sinyal']</t>
  </si>
  <si>
    <t>['min', 'pulsa', 'habis', 'mengalami', 'total', 'pulsa', 'paket', 'data', 'pulsa', 'pulsa', 'kesedot', 'udah', 'mengumpulkan', 'uang', 'beli', 'pulsa', '']</t>
  </si>
  <si>
    <t>['udah', 'telkomsel', 'sinyal', 'sampe', 'kecewa', 'habisnya', 'sinyal', 'telkom', 'paket', 'main', 'game', 'suka', 'lengket', 'leg', 'ping', 'buka', 'youtube', 'kadang', 'bagus', 'kadang', 'kecewa']</t>
  </si>
  <si>
    <t>['kali', 'paket', 'unlimited', 'berlaku', 'kota', 'sayang', 'kuota', 'gb', 'unlimited', 'nggak', 'terpakai', 'gunain', 'nyesel', 'pakai', 'kartu', 'telkomsel', 'buruk', '']</t>
  </si>
  <si>
    <t>['sya', 'keluhan', 'sya', 'harga', 'kouta', 'telkomsel', 'mangkin', 'mangkin', 'mahal', 'tukar', 'poin', 'pulsa', 'udah', 'bnyak', 'tpi', 'tukar', 'poin', 'link', 'aplikasi', 'fungsi', 'poin', 'mohon', 'pangguna', 'telkomsel', 'kecewa', 'keluhan', 'mohon', 'maaf', 'inti', 'pemasalahnya', 'poin']</t>
  </si>
  <si>
    <t>['mohon', 'telkomsel', 'diperbaiki', 'jaringan', 'turun', 'dikarena', 'leg', 'push', 'leg', 'mendadak', 'beres', 'lose', 'lose', 'jaringan', 'lancar', 'jaya', 'dimohon', 'berwajib', 'menambah', 'kenyamanan', 'pengguna', 'terima', 'kasih', 'salam', 'lose']</t>
  </si>
  <si>
    <t>['knp', 'pulsa', 'bbrp', 'raib', 'rb', 'rb', 'ngisi', 'rb', 'kuota', 'inet', 'bbrp', 'pulsa', 'tinggal', 'mlh', 'skrg', 'pdhl', 'ngutang']</t>
  </si>
  <si>
    <t>['', 'sinyal', 'burik', 'pelayanan', 'nol', 'nelpon', 'call', 'center', 'pulsa', 'potong', 'tersambung', 'jaringan', 'terluas', 'perbaiki', 'motonya', 'kalok', 'appl', 'telkomsel', 'tolong', 'sediakan', 'menu', 'keluhan', 'call', 'center', 'mesin', 'robot', '']</t>
  </si>
  <si>
    <t>['pulsa', 'kesedot', 'gara', 'internet', 'nyalain', 'internet', 'telkomsel', 'jaringan', 'internet', 'indosat', 'tolong', 'diperbaiki', '']</t>
  </si>
  <si>
    <t>['hai', 'kak', 'maaf', 'sinyal', 'jelek', 'maaf', 'gue', 'udah', 'habis', 'capek', 'komplain', 'sinyal', 'telkomsel', 'data', 'mahal', 'iya', 'sinyal', 'bagus', 'tolonglah', 'telkom', 'indonesia', 'sinyalnya', 'perbaiki', '']</t>
  </si>
  <si>
    <t>['jaringan', 'telkomsel', 'hancur', 'lemot', 'parah', 'pengguna', 'telkomsel', 'jaringan', 'lancar', 'search', 'cepat', 'search', 'susah', 'jaringan', 'hancur', 'lemot', 'parah', 'tolong', 'jaringannya', 'benerin', 'kaya', 'ngasi', 'bintang', 'udah', 'terlanjur', 'emosi', 'jaringannya', 'harga', 'kuota', 'mahal', 'jaringannya', 'lemot', 'parah', '']</t>
  </si>
  <si>
    <t>['jaringan', 'internet', 'telkomsel', 'buruk', 'pendapatan', 'jual', 'data', 'sms', 'telepon', 'kenal', 'kenal', '']</t>
  </si>
  <si>
    <t>['assalammualikum', 'pemilik', 'apk', 'telkomsel', 'koata', 'masuk', 'pembayaran', 'sukses', 'mohon', 'perbaiki', 'lumayan', 'kecewa', 'membeli', 'mahal', 'masuk', 'beli', 'murah', 'langsung', 'masuk', 'tolong', 'perbaiki', '']</t>
  </si>
  <si>
    <t>['paket', 'harganya', 'berguna', 'kuotanya', 'beli', 'harga', 'kuota', 'gb', 'internet', 'unlimited', 'sosmed', 'youtube', 'dll', 'sosmed', 'instagram', 'youtube', 'kuota', 'internet', 'utama', 'tersedot', 'unlimited', 'sosmed', 'terpakai', 'beli', 'enak', 'paket', 'gb', 'gratis', 'unlimited', 'sosmed', 'embel', 'gb', 'sosmed', '']</t>
  </si>
  <si>
    <t>['sinyal', 'kuota', 'data', 'jelek', 'paket', 'telkomsel', 'tergolong', 'mahal', 'jujur', 'pengguna', 'kecewa', 'mohon', 'ditingkatkan', 'pelayanan', 'pelanggan', 'berpotensi', 'pindah', 'provider', 'terimakasih']</t>
  </si>
  <si>
    <t>['tolong', 'nmor', 'whatsapp', 'laporkan', 'sekrng', 'karna', 'tournament', 'pubg', 'mobile', 'jaringan', 'mendukung', 'kecewa', '']</t>
  </si>
  <si>
    <t>['hati', 'hati', 'pulsa', 'saldo', 'telkomsel', 'membeli', 'paket', 'khusus', 'tersisa', 'sisa', 'saldo', 'mytelkomsel', 'terpotong', 'disaat', 'telepon', 'masuk', 'jaringan', 'berpindah', 'disitulah', 'terpotong', 'saldo', 'jaringan', 'internet', 'saldo', 'terpotong', 'habis', 'kuota', 'internet', 'telkomsel', 'saran', 'kosongkan', 'saldo', 'membeli', 'paket']</t>
  </si>
  <si>
    <t>['tolong', 'perbaiki', 'abis', 'ngisi', 'pulsa', 'beli', 'paket', 'dibilang', 'mengisi', 'pulsa', 'lgi', 'pulsa', 'pas', 'coba', 'matiin', 'liat', 'pulsa', 'udh', 'tolong', 'perbaiki', 'uang', 'rugi', 'liatin', 'doang', 'mohon', 'diperbaiki']</t>
  </si>
  <si>
    <t>['kuota', 'data', 'habis', 'langsung', 'internet', 'akses', 'otomatis', 'pulsa', 'boros', 'memangnya', 'user', 'detik', 'cek', 'kuota', 'pemakaiannya', 'pas', 'beli', 'paket', '']</t>
  </si>
  <si>
    <t>['isi', 'pulsa', 'aplikasi', 'pembayaran', 'via', 'mobile', 'banking', 'aplikasi', 'mobile', 'banking', 'pemberitahuan', 'berhasil', 'pulsa', 'pagi', 'masuk', 'iya', 'uang', 'melayang', 'pulsa', 'beli', 'perbaikan', 'sistem', 'layanan', 'selesainya', 'mengecewakan', 'twt', 'dibales', 'min']</t>
  </si>
  <si>
    <t>['paket', 'ceria', 'pulsa', 'sos', 'udah', 'ndak', 'kah', 'min', 'nda', 'pasang', 'sumpah', 'meresahkan', 'kali', 'daftar', 'ndak', 'pemberitahuan', 'sukses', 'registrasi', 'kesal', 'dak', 'pemetaan', 'kuota', 'telkomsel', 'udah', 'paket', 'mahal', 'ndak', 'pengiritan', 'penggunaan', 'data', 'ndak', 'kau', 'telkomsel', '']</t>
  </si>
  <si>
    <t>['lag', 'koneksi', 'terputus', 'berulang', 'peningkatan', 'harga', 'kuota', 'meningkat', 'area', 'jakarta', 'lokasinya', '']</t>
  </si>
  <si>
    <t>['keberatan', 'telkomsel', 'pembelian', 'data', 'internet', 'metode', 'pembayaran', 'gopay', 'aplikasi', 'gopay', 'mengkonfirmasi', 'pembelian', 'berhasil', 'mytelkomsel', 'saldo', 'data', 'beli', 'grapari', 'membantu', 'telkomsel', 'cekatan', 'menyalahkan', 'aplikasi']</t>
  </si>
  <si>
    <t>['tolong', 'sinyal', 'tanjung', 'perak', 'benerin', 'klau', 'beli', 'paketan', 'gb', 'klau', 'muter', 'muter', 'lemot', 'jdi', 'klau', 'beli', 'paketan', 'gb', 'tpi', 'sinyal', 'jelek', 'tolong', 'respon', 'telkomsel', 'prlangan', 'puas', 'sinyal', 'kaya', 'gitu', 'makasih', '']</t>
  </si>
  <si>
    <t>['opsi', 'menjalankan', 'aplikasi', 'clear', 'chace', 'force', 'stop', 'download', 'ulang', 'lakukan', 'masuk', 'pikir', 'doang', 'bermasalah', 'aplikasi', 'tolong', 'perbaiki', 'penyedia', 'layanan', 'komunikasi', 'plat', 'merah', 'kalah', 'provider', 'swasta', 'sinyal', 'kuota', 'data', 'buka', 'nyebelin', 'pakai', 'telkomsel', '']</t>
  </si>
  <si>
    <t>['kesini', 'pakai', 'provider', 'simpati', 'sinyalnya', 'simpat', 'lemot', 'jaringannya', 'teman', 'menyarankan', 'pakai', 'kartu', 'jaringan', 'internetnya', 'baca', 'ulasan', 'kebawah', 'komentarnya', 'bagus', '']</t>
  </si>
  <si>
    <t>['sudahh', 'kritik', 'eggak', 'perbaikan', 'bulanan', 'lbihh', 'jaringan', 'telkomsel', 'daerah', 'lemot', 'jelek', 'rusak', 'pokok', 'jaringan', 'telkomsel', 'hancur', 'harga', 'kartu', 'mahal', 'paket', 'kualitass', 'jaringan', 'rusak', 'banget', 'pakai', 'buka', 'sosmed', 'lemot', 'banget', 'jaringan', 'main', 'game', 'parah', 'banget', 'jaringan', 'mulu', 'ping', 'cma', 'gmna', 'main', 'kayak', 'gtu', 'telkomsel', '']</t>
  </si>
  <si>
    <t>['telkomsel', 'jaringan', 'jelek', 'kuota', 'gede', 'sosmed', 'main', 'game', 'parahhhhhhhh']</t>
  </si>
  <si>
    <t>['selamat', 'siang', 'mengaktifkan', 'gprs', 'nomor', 'kartu', 'nlfon', 'nyambung', 'bicara', 'operator', 'pulsa', 'berkurang', 'menghubungi', 'dri', 'kali', 'nlfon', 'solusinya', '']</t>
  </si>
  <si>
    <t>['paket', 'unlimited', 'batasi', 'mengakses', 'youtube', 'tiktok', 'sosmed', 'dll', 'game', 'whatsapp', 'sinyal', 'lelet']</t>
  </si>
  <si>
    <t>['unlimitednya', 'batasin', 'batas', 'wajar', 'koneksinya', 'lelet', 'kaya', 'daftar', 'paket', 'disney', 'hotstar', 'terdaftar', '']</t>
  </si>
  <si>
    <t>['fungsinya', 'membantu', 'isi', 'beli', 'paket', 'aplikasinya', 'terhenti', 'gagal', 'isi', 'pulsa', 'layanan', 'costumer', 'service', 'layanan', 'veronica', 'bertele', '']</t>
  </si>
  <si>
    <t>['isi', 'pulsa', 'via', 'aplikasi', 'telkomsel', 'pembayaran', 'via', 'bca', 'banking', 'saldo', 'berkurang', 'transfer', 'pulsa', 'rb', 'masuk', 'chat', 'operator', 'suruh', 'via', 'whatsapp', 'link', 'whatsapp', 'buka', 'error', 'isi', 'pulsa', 'via', 'aplikasi', 'telkomsel', 'pelayanan', 'memuaskan']</t>
  </si>
  <si>
    <t>['telkomsel', 'maling', 'pulsa', 'provider', 'indonesia', 'saldo', 'pulsa', 'habis', 'sedot', 'internet', 'jaringan', 'kuota', 'ready', 'heiii', 'telkomsel', 'ngaku', 'coverage', 'kota', 'medan', 'masak', 'kalah', 'ama', 'tri', 'ooreedo', 'mreka', 'memotong', 'pulsa', 'utama', 'internetan', 'puluhan', 'orang', 'mengeluh', 'sedot', 'pulsa', 'ratusan', 'ribuan', 'orang', 'mngeluh', 'sedot', 'pulsa', 'utama', 'sengaja', '']</t>
  </si>
  <si>
    <t>['kuota', 'mahal', 'jaringan', 'kaya', 'babi', 'bener', 'hayukkk']</t>
  </si>
  <si>
    <t>['telpon', 'beli', 'pulsa', 'rb', 'via', 'telkomsel', 'masuk', 'pembayaran', 'metode', 'virtual', 'account', 'bca', 'masuk', 'masuk', 'membantu', 'isi', 'pulsa', 'disarankan', 'beli', 'takut', 'masuk', 'tunggu', 'jam', 'butuh', 'pulsa', 'nunggu', 'besok', 'buang', 'duit', 'buang', 'bagus', 'indosat', 'nyaranin', 'pindah', 'kejadian', 'juni', '']</t>
  </si>
  <si>
    <t>['jelek', 'orang', 'langganan', 'kali', 'hilang', 'sinyal', 'isi', 'paket', 'dimna', 'bermaslahh', 'trnsfer', 'pulsa', 'bermalsah', 'telkomselnya', 'harga', 'paket', 'diawal', 'doang', 'murahh', 'ambyaarrrr', 'lahh', 'ele', '']</t>
  </si>
  <si>
    <t>['pulsa', 'masuk', 'disuruh', 'menunggu', 'jam', 'menunggu', 'setelahnya', 'disuruh', 'menunggu', 'jam', 'mengecewakan', 'bukti', 'pembayaran', 'disuruh', 'menunggu', 'mengecewakan']</t>
  </si>
  <si>
    <t>['membeli', 'paket', 'data', 'sistem', 'sibuk', 'mencobanya', 'aplikasi', 'sampau', 'berlanjut', 'mohon', 'berwenang', 'langsung', 'fix', 'selesaikan']</t>
  </si>
  <si>
    <t>['', 'banyaknya', 'sms', 'telkomsel', 'terkait', 'penawaran', 'promosi', 'risih', 'terganggu', 'aplikasi', 'telkomsel', 'kualitas', 'jaringan', 'lemah', 'cuaca', 'hujan', 'lemot', 'banget', 'telkomsel', 'konsisten', 'aplikasi', 'telkomsel', 'bedakan', 'berdasarkan', 'versi', 'perangkat', 'aplikasi', 'telkomsel']</t>
  </si>
  <si>
    <t>['isi', 'pulsa', 'minimal', 'blokir', 'kejelasan', 'maksudnya', 'coba', 'aktif', 'sampe', 'telat', 'ngisi', 'ngisi', 'kadang', 'sampe', 'anggep', 'sedekah', 'kali', 'kapok', 'pke', 'telkomsel', 'takut', 'blokir', 'nomer', 'udh', 'kenal', 'suruh', 'akun', 'paskabayar', 'ogah', 'bngt', 'intinya', 'kapok', 'telkomsel']</t>
  </si>
  <si>
    <t>['isi', 'pulsa', 'tanggal', 'juni', 'pulsa', 'telpn', 'kemana', 'kesedot', 'ribu', 'ribu', 'kali', 'panggilan', 'menit', 'panggilan', 'udaj', 'abis', 'situ', 'nyedot', 'pulsa', 'meres', 'pelanggannya', 'suruh', 'retwit', 'twitter', 'halah', 'basi', 'telkomsel', 'perdana', 'nyedot', 'pulsa', 'telkomsel', 'ama', 'im', 'banget', 'nyedot', 'pulsa', 'perak', 'sampe', 'rupiah']</t>
  </si>
  <si>
    <t>['tolong', 'telkomsel', 'makan', 'seharian', 'beli', 'pulsa', 'doang', 'pas', 'isi', 'pulsa', 'kepotong', 'pulsa', 'isi', 'abis', 'tinggal', 'sisa', 'doang', 'kondisi', 'data', 'internet', 'mati', '']</t>
  </si>
  <si>
    <t>['hadehhh', 'jaringan', 'provider', 'lemot', 'harga', 'paket', 'mahal', 'komplainnya', 'bot', 'pas', 'gajian', 'harga', 'paket', 'dinaikin', 'hadehhh', 'pindah', 'im', 'ooredoo', 'yok', 'kawan', 'pindah', 'provider', 'kasian', 'rugi', '']</t>
  </si>
  <si>
    <t>['astaghfirullah', 'adzim', 'perasaan', 'operator', 'sebelah', 'bagus', 'koq', 'berasa', 'lelet', 'sekelas', 'simpati', 'lohh', 'diisi', 'pulsa', 'pas', 'pakai', 'koq', 'nol', 'hantu', 'penyedot', 'kahhhhh']</t>
  </si>
  <si>
    <t>['promo', 'spesial', 'kuota', 'gb', 'harga', 'tipu', 'tipu', 'udah', 'ulangi', 'kali', 'acc', 'giliran', 'pilih', 'promo', 'special', 'gb', 'harga', 'rb', 'langsung', 'acc']</t>
  </si>
  <si>
    <t>['puas', 'aplikasi', 'telkomsel', 'mudah', 'mengecek', 'data', 'internet', 'sisah', 'pulsa', 'massa', 'berlaku', 'kartu', 'bonus', 'tlpn', 'sms', 'mengentahui', 'sisah', 'dana', 'monetary', 'pengisian', 'pulsa', 'terpotong', 'kecuali', 'membeli', 'data']</t>
  </si>
  <si>
    <t>['beli', 'paket', 'multimedia', 'yabg', 'unlimired', 'youtube', 'berkurang', 'kuota', 'utamanya', 'berkurang', 'liat', 'youtube', 'udah', 'paketan', 'mahal', 'rugi', 'beli', 'mahal', '']</t>
  </si>
  <si>
    <t>['beli', 'paket', 'internet', 'tulisannya', 'unlimited', 'sosial', 'media', 'youtube', 'dll', 'pas', 'kuota', 'utamanya', 'abis', 'kecepatannya', 'drop', 'abis', 'unlimited', 'limited', 'tertypu', '']</t>
  </si>
  <si>
    <t>['kecewa', 'kuota', 'unlimited', 'batasi', 'kemarin', 'bebas', 'sepuas', 'semenjak', 'batasi', 'habis', 'kuota', '']</t>
  </si>
  <si>
    <t>['knp', 'pilihan', 'membeli', 'paket', 'combo', 'sakti', 'gb', 'knp', 'mahal', 'ditawarkan', 'gb', 'gb', 'ngak', 'telkomsel', '']</t>
  </si>
  <si>
    <t>['', 'kurangan', 'harganya', 'mahal', 'internet', 'jelek', 'pulsa', 'sedot', 'paket', 'orang', 'bnyak', 'pindah', 'operator']</t>
  </si>
  <si>
    <t>['eror', 'isi', 'pulsa', 'ovo', 'harga', 'mahal', 'pelayanan', 'bagus', 'emosi']</t>
  </si>
  <si>
    <t>['sinyalnya', 'buruk', 'paket', 'data', 'mahal', 'pelanggan', 'paket', 'saktiku', 'dihapus', 'beli', 'paket', 'omg', 'rb', 'dapet', 'gb', 'parah']</t>
  </si>
  <si>
    <t>['error', 'top', 'pulsa', 'aplikasi', 'pilihan', 'pembayaran', 'gada', 'pilihan', 'transfer', 'bank', 'ovo', 'linkin', 'shopeepay', '']</t>
  </si>
  <si>
    <t>['ttp', 'bintang', 'mendengarkan', 'keluhan', 'konsumen', 'angkuh', 'apk', 'error', 'beli', 'pulsa', 'kayak', 'apk', 'buatan', 'bocah', '']</t>
  </si>
  <si>
    <t>['kali', 'telkomsel', 'mengecewakan', 'pakai', 'lelet', 'jaringannya', 'suka', 'hilang', 'timbul', 'jaringan', 'ditambah', 'kuota', 'unlimited', 'dibatasi', 'lelet', 'tolong', 'telkomsel', 'dikembalikan']</t>
  </si>
  <si>
    <t>['maaf', 'kuota', 'gb', 'main', 'game', 'sosial', 'media', 'kuota', 'kuota', 'lokal', 'mengakses', 'aplikasi', 'gimana', 'harga', 'kuota', 'telkomsel', 'mahal', 'mahal', 'tolong', 'telkomsel', 'aplikasinya', 'harga', 'kuotanya', 'turunin']</t>
  </si>
  <si>
    <t>['hallo', 'aplikasi', 'membantu', 'transaksi', 'pembelian', 'pulsa', 'kuota', 'sayang', 'kadang', 'sinyal', 'stabil', 'bali', 'kadang', 'bagus', 'kadang', 'sinyal', 'karna', 'pekerjaan', '']</t>
  </si>
  <si>
    <t>['komen', 'telkomsel', 'lemot', 'lemot']</t>
  </si>
  <si>
    <t>['sinyalnya', 'jelek', 'banget', 'telkomsel', 'telkomsel', 'bagus', 'udah', 'gitu', 'nyedot', 'kuotanya', 'cepet', 'banget', 'tolong', 'ditingkatkan', 'efektivitasnya', '']</t>
  </si>
  <si>
    <t>['pulsa', 'kesedot', 'kosong', 'kuota', 'data', 'udah', 'perhatiin', 'isi', 'pulsa', 'sistem', 'telkomsel', 'dibenahi', 'tolong', 'rugi', 'konsumen', '']</t>
  </si>
  <si>
    <t>['apknya', 'membantu', 'harganya', 'mahal', 'golongan', 'menengah', 'paket', 'kuota', 'game', 'dibatasi', 'coba', 'games', 'bijak', 'hmm', 'bintangnya', 'berkeliling', 'kepalaku', 'haddeuuh', 'indonesia']</t>
  </si>
  <si>
    <t>['telkomsel', 'top', 'pulsa', 'aplikasi', 'pulsa', 'nominal', 'top', 'masuk', 'monetary', 'beli', 'paket', 'udh', 'hubungi', 'costumer', 'service', 'apk', 'disuruh', 'capture', 'udh', 'web', 'gabisa', 'upload', 'ribet', 'bantuin', 'uang', 'gimana', 'semoga', 'isi', 'pulsa', 'aplikasi', 'ngalamin', 'gimana', 'beli', 'pakai', 'uang', 'performa', 'telkom', 'turun', '']</t>
  </si>
  <si>
    <t>['tolong', 'bantu', 'diupdate', 'update', 'terbaru', 'aplikasi', 'dipakai', 'force', 'close', 'ketutup', 'memori', 'ram', 'hape', 'tersisa']</t>
  </si>
  <si>
    <t>['woiii', 'tsel', 'paket', 'telfon', 'unlimited', 'hilang', 'abis', 'update', 'aplikasi', 'berubah', 'hilang', '']</t>
  </si>
  <si>
    <t>['pakai', 'kartu', 'tsel', 'dimohon', 'tsel', 'pelayanan', 'prima', 'sinyal', 'lelet', 'paket', 'mahal', '']</t>
  </si>
  <si>
    <t>['kesedot', 'mulu', 'pulsaku', 'telkom', 'kartu', 'aman', 'kmren', 'abis', 'isi', 'pulsa', 'udah', 'kesedot', 'duluan', 'paketin', 'sisa', 'pas', 'cek', 'plis', 'perbaiki', 'eman', 'pulsaku', 'kesedot']</t>
  </si>
  <si>
    <t>['kasih', 'bintang', 'perubahan', 'pelanggan', 'telkomsel', 'puluhan', 'jaringan', 'jelek', 'aaya', 'pindah', 'proveder', 'saingan', 'kecepatan', 'lumayan', 'wilayah', 'semoga', 'kedepan', 'perubahan', 'kasih', 'bintang']</t>
  </si>
  <si>
    <t>['gimana', 'telkomsel', 'jaringan', 'jelek', 'kalah', 'tolong', 'perbaiki', 'jaringan', 'beli', 'paket', 'data', 'mahal', 'pengen', 'jaringan', 'bagus', 'jelek', 'kayak', 'gini', 'pelanggan', 'kabur', 'pindah', 'kartu']</t>
  </si>
  <si>
    <t>['woi', 'perbaikin', 'perbaiki', 'jaringan', 'lag', 'banget', 'nonton', 'youtube', 'lelet', 'banget', 'pindah', 'provider', 'main', 'game', 'buka', 'youtube', 'tolong', 'paket', 'unlimited', 'nipu', 'batasannya', 'kaya', 'batasan', 'mahal', 'kouta', 'betah', 'makai', 'telkimsel', 'bintang', 'plg', 'bagus', 'kayanya', 'telkomsel', 'kaya', 'parah', 'telkomsel', 'hedehh']</t>
  </si>
  <si>
    <t>['udah', 'banget', 'ngeluh', 'jaringan', 'internet', 'ancur', 'komennya', 'dibatasi', 'komen', 'mengandung', 'keluhan', 'ilang', 'sebenernya', 'telkomsel', 'dengering', 'keluhan', 'pengguna', '']</t>
  </si>
  <si>
    <t>['habis', 'bayar', 'tagihan', 'kartu', 'halo', 'paketan', 'brubah', 'tetep', 'nungguin', 'paketan', 'abis', 'sesuai', 'tanggal', 'perpanjang', '']</t>
  </si>
  <si>
    <t>['jaringan', 'terburuk', 'bangka', 'bagus', 'lelet', 'ampun', 'pindah', 'udah', 'kali', 'maaf', 'tingkatkan', 'woi', 'udah', 'sinyalnya', '']</t>
  </si>
  <si>
    <t>['coba', 'tujuan', 'apk', 'mempermudah', 'mempersulit', 'gini', 'lho', 'beli', 'paket', 'darurat', 'gb', 'disitu', 'pulsa', 'pas', 'liat', 'paketnya', 'paketnya', 'masuk', 'pulsanya', 'hilang', 'aduh', 'riwayat', 'pembelian', 'paket', 'darurat', 'gb', 'parah', 'beli', 'pulsa', 'ilang']</t>
  </si>
  <si>
    <t>['telkomsel', 'paya', 'gangguan', 'paketnya', 'mahal', 'transfer', 'pulsa', 'telkom', 'sel', 'kena', 'biaya', 'gagal', 'telkomsel', 'bangkrut', '']</t>
  </si>
  <si>
    <t>['deskripsi', 'tambahan', 'kuota', 'hallo', 'ambil', 'langsung', 'hangus', 'tagihan', 'ulang', 'diawal', 'lintah', 'darat', 'berhutang', 'ditagihkan', 'lemot', 'merugikan']</t>
  </si>
  <si>
    <t>['beli', 'unlimired', 'max', 'kouta', 'habis', 'lemot', 'batas', 'wajar', 'unlimited', 'batas', 'wajar', 'kayak', 'kuota', 'habis', 'tetep', 'lancar', 'youtube', 'liat', 'story', 'whatsapp', 'lelet', 'banget', 'unlimited', '']</t>
  </si>
  <si>
    <t>['hai', 'operator', 'jahanam', 'maling', 'loe', 'loe', 'nyolong', 'pulsa', 'gue', 'perasan', 'gue', 'kagak', 'ngaktifin', 'pulsa', 'gue', 'hilang', 'dasar', 'maling', 'awas', 'loe', '']</t>
  </si>
  <si>
    <t>['kesel', 'aplikasinya', 'kesel', 'kartunya', 'pelit', 'gada', 'unlimited', 'trs', 'beli', 'kuota', 'cepet', 'habis', 'kuota', 'gbs', 'menyesuaikan', 'aplikasi', 'skrng', 'pindah', 'kartu']</t>
  </si>
  <si>
    <t>['adu', 'kek', 'ngisi', 'pulsa', 'langsung', 'pesan', 'mengembalikan', 'paket', 'darurat', 'ngambil', 'paket', 'darurat', 'sayank', 'ngambil', 'paket', 'darurat', 'pesan', 'pengambilan', 'paket', 'darurat', 'berhasil', 'klw', 'kek', 'gini', 'sempit', 'rezeki', 'ngambil', 'hak', 'orang', 'ikhlas', '']</t>
  </si>
  <si>
    <t>['parah', 'parah', 'udah', 'signal', 'telkomsel', 'lelet', 'bin', 'lemot', 'paraahhh', 'pakai', 'kerja', 'wfh', 'tolong', 'diperbaiki', 'kualitas', 'signalnya', 'domilisi', 'jakarta', 'pusat', 'lho', 'signalnya', 'putus', 'kerja', 'menyebalkan', 'pulsa', 'dipotong', 'konfirmasi', 'berlangganan', 'apapun', 'please', 'diperbaiki', 'kualitasnya', 'perbanyak', 'tiang', 'pemancarnya', 'thanx']</t>
  </si>
  <si>
    <t>['kecewa', 'udah', 'aktivasi', 'unlimitedmax', 'seharga', 'rb', 'mytelkomsel', 'kuota', 'flash', 'habis', 'kuota', 'lokal', 'leletnya', 'ampun', 'aktivasi', 'tolong', 'telkomsel', 'diperbaiki', 'udah', 'telp', 'service', 'jaringan', 'tetep', 'lemot', '']</t>
  </si>
  <si>
    <t>['', 'telkomsel', 'berguna', 'pengecekan', 'sisa', 'pulsa', 'kuota', 'internet', 'tinggal', 'pilih', 'daftaran', 'paketan', 'hadiah', 'kirim', 'pulsa', 'kuota', 'keluarga', 'teman', 'kelebihan', 'cek', 'poin', 'tukerin', 'paketan', 'internet', 'hadiah', 'pulsa', 'motor', 'mobil', '']</t>
  </si>
  <si>
    <t>['alhamdulillah', 'dulilah', 'semenjak', 'mengunakan', 'telkomsel', 'darah', 'menganti', 'kartu', 'axis', 'lancar', 'terpercaya', 'pesan', 'hai', 'kakak', 'maaf', 'kendala', 'jaringan', 'stabil', 'bla', 'bla', 'bla', 'pokoknya', 'good', 'axis']</t>
  </si>
  <si>
    <t>['mohon', 'telkomsel', 'perbaiki', 'jaringan', 'hadapi', 'kembalikan', 'bintangnya', 'membaik', 'jaringan', 'internetnya', 'buruk', 'tolong', 'segerakan', 'menaikan', 'harga', 'paket', 'internet', 'kualitasnya', 'buruk']</t>
  </si>
  <si>
    <t>['dikala', 'log', 'susah', 'masuk', 'download', 'apl', 'gimana', 'mas', 'mbak', '']</t>
  </si>
  <si>
    <t>['provider', 'hah', 'prov', 'sumsel', 'kab', 'musi', 'rawas', 'sinyal', 'lemot', 'mati', 'lampu', 'hilang', 'kadang', 'susah', 'inget', 'harga', 'internet', 'mahal', 'system', 'jaringan', 'lambat', 'mencakup', 'indonesia', 'gimana']</t>
  </si>
  <si>
    <t>['suka', 'telkomsel', 'jaringannya', 'mudah', 'terkoneksi', 'dibanding', 'telkomsel', 'lemot', 'down', 'tibatiba', 'gitu', 'jaringannya', 'lemot', 'seprti', 'kenceng', 'bangeettt', 'derah', 'susah', 'sinyal', 'telkomsel', 'mudah', 'dapet', 'tuhh', 'moga', 'lemotnya', 'ngak', 'terulang', 'deh', '']</t>
  </si>
  <si>
    <t>['poin', 'pembayaran', 'kartuhalo', 'menang', 'mobil', 'keren', 'honda', 'jazz', 'tukar', 'poin', 'balas', 'sms', 'ketik', 'jazz', 'byr', 'mahal', 'sinyal', 'letoy', 'putus', 'panas', 'nggak', 'ngerti', 'sehari', 'habis', 'giga', 'bite', '']</t>
  </si>
  <si>
    <t>['telkomsel', 'sungguh', 'tolol', 'kuota', 'mahal', 'jaringan', 'buruk', 'maen', 'game', 'afk', 'tolol', 'abis', 'telkomsel', 'ayo', 'pindah', 'jaringan', 'telkomsel', 'udah', 'mahal', 'jelek', 'jaringannya', '']</t>
  </si>
  <si>
    <t>['mohon', 'maaf', 'kasih', 'bintang', 'beli', 'paket', 'prosesnya', 'ngga', 'proses', 'ngga', 'make', 'kartu', 'telkomsel', 'mohon', 'perjelas', 'telkomsel', '']</t>
  </si>
  <si>
    <t>['tukar', 'poin', 'undi', 'undi', 'hepi', 'hoax', 'buang', 'pakai', 'kartu', 'halo', 'simpati', 'keluarga', 'pakai', 'simpati', 'poin', 'ditukarkan', 'undian', 'satupun', 'hadiah', 'hadiah', 'mobil', 'hadiah', 'pulsa', 'terendahpun', 'satupun', 'undian', 'telkomsel', 'hoax', '']</t>
  </si>
  <si>
    <t>['update', 'login', 'verifikasi', 'tulisan', 'something', 'went', 'wrong', 'try', 'again', 'after', 'something', 'tolong', 'diperbaiki', '']</t>
  </si>
  <si>
    <t>['kecewa', 'paket', 'internet', 'telkomsel', 'beli', 'pulsa', 'tebus', 'gb', 'hr', 'pulsa', 'berkurang', 'diam', 'itung', 'beli', 'bonus', 'gb', 'kalinya', 'kecewa', 'banget', 'beli', 'paket', 'gb', 'hr', 'pulsaku', 'berkurang', 'internet', 'pakai', 'game', 'hago', 'beli', 'paketan', 'telkomsel', 'beralih', 'indosat', 'pulsa', 'habis', 'paket', 'datanya', 'save', '']</t>
  </si>
  <si>
    <t>['kembalikan', 'paket', 'unlimited', 'paket', 'unlimited', 'kuota', 'utama', 'udah', 'habis', 'lemot', 'banget', 'tertulis', 'unlimited', 'sosmed', 'tiktok', 'games', 'video', 'chat', 'udah', 'gitu', 'pulsa', 'hilang', 'pelanggan', 'kecewa', 'tolong', 'perbaiki']</t>
  </si>
  <si>
    <t>['beli', 'paket', 'unlimited', 'gratis', 'sosmed', 'you', 'tube', 'music', 'kuota', 'utama', 'habis', 'aplikasi', 'sosmed', 'you', 'tube', 'macet', 'tertipu', 'kuota', 'unlimited', 'karna', 'batas', 'wajar', 'kuota', 'aplikasi', 'logika', 'unlimited', 'batas', 'wajar', 'kuota', 'aplikasi', 'donk', '']</t>
  </si>
  <si>
    <t>['ngga', 'banget', 'telkomsel', 'sumpah', 'nyedot', 'pulsa', 'beli', 'paket', 'promo', 'aplikasi', 'urgent', 'telkomsel', 'direkomendasikan', '']</t>
  </si>
  <si>
    <t>['jaringan', 'telkomsel', 'buruk', 'parah', 'kuota', 'isi', 'jaringan', 'telkomsel', 'buruk', 'tolong', 'perbaiki', 'butuh', 'please', 'telkomsel', 'harga', 'paketan', 'kuota', 'jaringan', 'buruk', 'disayangkan', 'pengguna', 'telkomsel', 'kecewa', 'pakai', 'telkomsel', 'bertahun', 'jaringan', 'jelek', 'buruk']</t>
  </si>
  <si>
    <t>['gimana', 'telkomsel', 'pulsa', 'terpotong', 'habis', 'berlangganan', 'paket', 'apapun', 'kesal', 'gueee', 'gituu', 'diperbaiki']</t>
  </si>
  <si>
    <t>['tersedia', 'paket', 'kuota', 'internet', 'kompak', 'keperluan', 'medsos', 'kuota', 'terpecah', 'pecah', 'jomplang', 'kuota', 'internet', 'medsos', 'kuota', 'game', 'film', 'kuotanya', 'tersendiri', '']</t>
  </si>
  <si>
    <t>['menurutku', 'pakai', 'telkomsel', 'cepat', 'jaringannya', 'dibanding', 'pakai', 'internet', 'pendapat', 'gua', 'kek', 'gitu', 'maaf', 'yak', 'nyinggung', 'internet', 'gue', 'maksud', 'nyinggung', 'hehehe']</t>
  </si>
  <si>
    <t>['telkomsel', 'buruk', 'isi', 'pulsa', 'pdhal', 'data', 'bnyak', 'mlah', 'habis', 'sisa', 'nol', 'kemana', 'pulsa', 'benarin', 'smua', 'fri', 'jringan', 'buruk', 'stabil', '']</t>
  </si>
  <si>
    <t>['mahal', 'pke', 'sisa', 'kuota', 'coba', 'kali', 'sisa', 'quota', 'direset', 'sistem', 'plus', 'minus', 'quota', 'sisa', 'hilang', 'terima', 'kasih', 'telkom', 'bijak']</t>
  </si>
  <si>
    <t>['aplikasi', 'lintah', 'darat', 'beli', 'pulsa', 'daftar', 'paket', 'harian', 'sisa', 'pulsanya', 'disedot', 'cek', 'sisa', 'saldo', 'cek', '']</t>
  </si>
  <si>
    <t>['bagus', 'kebutuhan', 'terpenuhi', 'muly', 'pulsa', 'data', 'combo', 'cek', 'pulsa', 'telkomsel', 'jelasss', 'terpercaya', '']</t>
  </si>
  <si>
    <t>['gini', 'mbak', 'paket', 'unlimited', 'beli', 'pulsa', 'udh', 'tpi', 'gini', 'pesan', 'tdi', 'tungguin', 'masuk', 'giliran', 'pulsa', 'udh', 'habis', 'muncul', 'notif', 'mohon', 'maaf', 'pulsa', 'mencukupi', 'napa', 'gitu', 'gua', 'ksi', 'bintang', 'tolong', 'mbak', 'selesai', 'capek', 'nunggu', '']</t>
  </si>
  <si>
    <t>['kembalikan', 'paket', 'unlimited', 'batasan', 'penggunaan', 'dibatas', 'susah', 'paket', 'unlimited', 'batasan', 'terbantu', 'pelajar']</t>
  </si>
  <si>
    <t>['bln', 'knp', 'aplikasi', 'telkomsel', 'buka', 'buka', 'layarnya', 'putih', 'tampa', 'tulisan', 'trus', 'layar', 'utama', 'cek', 'sisa', 'kuota', 'beli', 'kuota', 'aplikasi', 'telkomsel']</t>
  </si>
  <si>
    <t>['kasih', 'bintang', 'karna', 'konsisten', 'sistem', 'sejenis', 'sya', 'telkomsel', 'sadar', 'info', 'dri', 'operator', 'kuota', 'terpotong', 'singkron', 'sya', 'bru', 'sadar', 'nntn', 'disney', 'hotstar', 'kuota', 'entertainment', 'terpotong', 'info', 'beredar', 'dimana', 'info', 'operator', 'telkomsel', 'langsung', 'kuota', 'internet', 'utama', 'terpotong', 'pelayanan', 'mempuni', 'mengecewakan', 'pelanggan', 'customer']</t>
  </si>
  <si>
    <t>['maaf', 'nanyak', 'kah', 'bener', 'undian', 'telkomsel', 'menukarkan', 'poin', 'trus', 'undian', 'tanggal', 'juni', 'kah', 'bener', 'undian', 'kyk', 'gtu', 'mohon', 'bantuan', 'kecewa', 'banget', 'bintang', 'dlu', 'ntar', 'bener', 'kasih', 'bintang']</t>
  </si>
  <si>
    <t>['aplikasi', 'telkomsel', 'menarik', 'pulsa', 'login', 'pembelian', 'paket', 'aplikasi', '']</t>
  </si>
  <si>
    <t>['', 'kasih', 'bintang', 'beli', 'kuota', 'aplikasi', 'bayar', 'dana', 'saldo', 'dana', 'potong', 'kuota', 'masuk', 'emang', '']</t>
  </si>
  <si>
    <t>['kartu', 'lambat', 'isi', 'langsung', 'suruh', 'aktif', 'kartu', 'hallo', 'hallo', 'perbaiki', 'jaringan', 'telkomsel', 'kadang', 'serng', 'lambat', 'udah', 'buang', 'kartuku', 'makasih', 'udah', 'diblokir', 'diaktifin', '']</t>
  </si>
  <si>
    <t>['dikiranya', 'rusak', 'sinyal', 'internet', 'labil', 'ditambah', 'haraga', 'paket', 'mahal', 'semenjak', 'diganti', 'promosi', 'paket', 'ditempat', 'aperator', 'gsm', 'udah', 'pindah', 'operator', 'telkomsel', 'ganguan', 'kolo', 'jangkawan', 'telkomsel', 'emang', 'salut', 'dimana', 'sayang', 'sinyal', 'buruk', 'internetan', 'parah', '']</t>
  </si>
  <si>
    <t>['gaya', 'luaja', 'ampas', 'gilak', 'nonton', 'youtube', 'susah', 'main', 'game', 'legk', 'ngabisin', 'akhlak', 'keris', 'akhlak', 'benerin', 'koneksi', 'internet', 'sindirkeras', 'pingiran', 'kota', 'palembang', '']</t>
  </si>
  <si>
    <t>['enaknya', 'pas', 'beli', 'kartu', 'sebulan', 'lancar', 'pas', 'beli', 'paketan', 'setelahnya', 'lemotnya', 'ampun', 'kecewa', 'paketnya', 'lumayan', 'mahal', 'pisan', 'unlimited', 'max', 'ancur', 'berlangganan', 'udah', 'hubungi', 'hasilnya', '']</t>
  </si>
  <si>
    <t>['dimurahkan', 'harga', 'disetiap', 'paket', 'kuota', 'internet', 'telponnya', 'dimasa', 'pandemi', 'mudah', 'membeli', 'kuota', 'internet', 'murah', 'membutuhkan', 'internet', 'dimasa', '']</t>
  </si>
  <si>
    <t>['pengguna', 'kartu', 'telkomsel', 'kecewa', 'program', 'unlimited', 'telkomsel', 'buruk', 'batas', 'wajarnya', '']</t>
  </si>
  <si>
    <t>['kasih', 'undian', 'apapun', 'kuotanya', 'mahal', 'habisnya', 'cepat', 'jaringannya', 'rusak', 'kecewa', 'telkomsel']</t>
  </si>
  <si>
    <t>['puas', 'telkomsel', 'sya', 'memakai', 'kartu', 'ditelfon', 'dri', 'telkomsel', 'disarankan', 'migrasi', 'kartu', 'halo', 'diiming', 'imingi', 'kuota', 'unlimeted', 'tpi', 'kuota', 'reguler', 'habis', 'kuota', 'unlimeted', 'tagihan', 'disetiap', 'bulannya', 'diatas', 'rb', 'sya', 'pindah', 'kartu', 'ganti', 'kartu', 'masuk', 'kedalam', 'sistem', 'menguntungkan', 'berpihak', 'konsumen']</t>
  </si>
  <si>
    <t>['terhormat', 'telkomsel', 'biaya', 'beli', 'paket', 'turunin', 'pelanggan', 'keberatan', 'tolong', '']</t>
  </si>
  <si>
    <t>['buruk', 'susah', 'loginnya', 'aplikasi', 'abal', 'abal', 'perusahaan', 'elit', 'nasional', 'aplikasi', 'mudah', 'aplikasi', 'sungguh', 'buruk', 'sekedar', 'mencek', 'kuota', 'sulit', 'kuota', 'sinyal', 'bagus', '']</t>
  </si>
  <si>
    <t>['sayang', 'canggih', 'internetnya', 'kentang', 'pelanggan', 'disuruh', 'beli', 'paket', 'kuota', 'gede', 'mahal', 'koneksinya', 'lelet', 'bioskop', 'kuota', 'gede', 'kecepatannya', 'seringkali', 'mainnya', 'byte', 'situ', 'waras', '']</t>
  </si>
  <si>
    <t>['kecewa', 'telkomsel', 'khusus', 'simpati', 'pakai', 'th', 'non', 'prabayar', 'dipaksa', 'prabayar', 'alasan', 'pelanggan', 'pindah', 'prabayar', 'pindah', 'nomer', 'dinonaktifkan', 'lucu', 'sinyal', 'bagus', 'boros', 'kuota', 'adalagi', 'event', 'tukar', 'poin', 'mingguan', 'diadakan', 'diaplikasi', 'mytelkomsel', 'tukarkan', 'blm', 'kecantol', 'pdahal', 'poin', 'minggu', 'tukar', 'poin', '']</t>
  </si>
  <si>
    <t>['', 'senang', 'telkomsel', 'membantu', 'hadiah', 'oke', 'blm', 'dpt', 'smg', 'kali', 'hadiah', 'poin', 'tuker', 'mksh', 'telkomsel', '']</t>
  </si>
  <si>
    <t>['assalamualaikum', 'selamat', 'malam', 'mohon', 'bantuannya', 'kartu', 'upgret', 'ditempat', 'grapari', 'lakuan', 'mohon', 'bantuannya', 'terima', 'kasih', '']</t>
  </si>
  <si>
    <t>['plis', 'telkomsel', 'google', 'meet', 'beli', 'kuota', 'ribu', 'habis', 'google', 'meet', 'main', 'game', 'youtube', 'insta', 'pas', 'download', 'make', 'google', 'meet', 'bener', 'udah', 'bayar', 'mahal', 'rugi', 'kaya', 'gini']</t>
  </si>
  <si>
    <t>['kecewa', 'sumpah', 'telkomsel', 'beli', 'unlimitedmax', 'batasan', 'pemakaian', 'unlimited', 'batas', 'kuota', 'batasin', 'kecewa', 'udah', 'beli', 'mahal', 'kecepatan', 'batasin', 'lihat', 'foto', 'bener', 'tolong', 'donk', 'perbaiki']</t>
  </si>
  <si>
    <t>['kesini', 'kecewa', 'gimana', 'kalah', 'operator', 'sebelah', 'jaringan', 'ancur', 'keluarga', 'pengguna', 'setia', 'telkomsel', 'kesini', 'kecewa', 'telkomsel', 'gini', '']</t>
  </si>
  <si>
    <t>['tolong', 'yaa', 'telkomsel', 'pilihan', 'internetnya', 'dipermudah', 'costumer', 'bingung', 'salah', 'beli', 'paket', 'gabisa', 'internetan', 'normal', 'dipake', 'aplikasi', 'hiih', 'payah', 'jaringannya', 'mantap', 'ogah', 'telkomsel', 'udah', 'gitu', 'tolong', 'dipermantap', 'jaringannya', 'down', '']</t>
  </si>
  <si>
    <t>['tolong', 'admin', 'telkomsel', 'poin', 'menukarkan', 'data', 'gb', 'tpi', 'sistem', 'sibuk', 'min', 'tlong', 'perbaiki', 'kasih', 'bintang', '']</t>
  </si>
  <si>
    <t>['buka', 'aplikasi', 'login', 'sign', 'trus', 'buka', 'aplikasi', 'suka', 'berhenti', 'mulu', 'loading', 'tolong', 'penjelasannya']</t>
  </si>
  <si>
    <t>['aplikasi', 'kecewa', 'banget', 'telkomsel', 'kuota', 'expired', 'alhasil', 'mubasir', 'pengunaan', 'kuota', 'mendekati', 'expired', 'perbaiki', 'makasih']</t>
  </si>
  <si>
    <t>['ambil', 'kuota', 'gue', 'kuota', 'multimedia', 'gb', 'game', 'lag', 'lemot', 'instagram', 'susah', 'sinyal', 'kaya', 'gini', 'lancar', 'kuota', 'utama', 'doang', 'kawan', 'kau', 'membenciku', '']</t>
  </si>
  <si>
    <t>['terpaksa', 'kasih', 'bintang', 'kuota', 'nelp', 'menit', 'cek', 'telkomsel', 'kesal', 'banget', 'telkomsel', '']</t>
  </si>
  <si>
    <t>['keluhan', 'min', 'sinyal', 'sinyalnya', 'membuka', 'web', 'lelet', 'gitu', 'terpaksa', 'memakai', 'wifi', 'dicafe', 'fakultas', 'udah', 'beli', 'paket', 'kemaren', 'keperluan', 'kuliah', 'mohon', 'bantuannya', 'min', 'teman', 'mengeluh', 'sekian']</t>
  </si>
  <si>
    <t>['sinyal', 'burik', 'sumpah', 'hidup', 'desa', 'usaha', 'mengandalkan', 'jaringan', 'susah', 'pengguna', 'telkomsel', 'kali', 'kecewa', 'berat', 'jaringan', 'lemot', 'banget']</t>
  </si>
  <si>
    <t>['jaringan', 'buruk', 'tolong', 'telkomsel', 'perbaiki', 'jaringan', 'lemot', 'loading', 'jaringan', 'telkomsel', 'secepat', '']</t>
  </si>
  <si>
    <t>['pelayanan', 'buruk', 'apk', 'dibuka', 'isi', 'pulsa', 'pulsa', 'masuk', 'huuh', 'kedepan', 'bagus', 'bobrok', '']</t>
  </si>
  <si>
    <t>['lemot', 'kyk', 'dlu', 'jaringan', 'stabil', 'ngeluh', 'mahal', 'paketanny', 'ttp', 'beli', 'puas', 'kecepatan', 'tpi', 'jaringan', 'jelek', 'udah', 'komplain', 'langsung', 'operator', 'tpi', 'ttp', 'lemot', 'kecewa', 'berat', 'pengguna', 'koneksi']</t>
  </si>
  <si>
    <t>['heh', 'pulsa', 'sedot', 'mulu', 'pulsa', 'kuota', 'pulsanya', 'kesedot', 'kemaren', 'kesedot', 'gimana', 'jaringannya', 'jelek', 'sebel', 'banget', '']</t>
  </si>
  <si>
    <t>['pengalaman', 'terkait', 'penggunaan', 'telkomsel', 'kuota', 'bantuan', 'pemerintah', 'masuk', '']</t>
  </si>
  <si>
    <t>['jaringan', 'benerin', 'harga', 'doang', 'mahal', 'jaringan', 'murahan', 'mikirin', 'duit', 'mulu', 'kepuasan', 'konsumen', 'dijaga', 'udah', 'mahal', 'jaringan', 'murahannnn', '']</t>
  </si>
  <si>
    <t>['maaf', 'nomor', 'telepon', 'menelpon', 'blum', 'ganti', 'ditawarkan', 'operator', 'telepon', 'karna', 'kerja', 'serabutan', 'isi', 'pls', 'paket', 'tlp', 'menelpon', 'makasih']</t>
  </si>
  <si>
    <t>['beli', 'paketan', 'eror', 'mendekati', 'habis', 'cek', 'habis', 'tgl', 'tgl', 'suda', 'habis', 'eror', 'suka', 'mohon', 'perbaiki', '']</t>
  </si>
  <si>
    <t>['udh', 'bener', 'tekomsel', 'udh', 'adaan', 'kota', 'lelet', 'ampun', 'kompel', 'ujung', 'ujung', 'mohon', 'maap', 'ats', 'ketidak', 'nyamanan', 'udh', 'mahal', 'boros', 'lelet', 'lam', 'alih', 'kartu', 'murah', 'jaringan', 'kartu', 'kuota', 'mahal', 'lelet', 'rugi', '']</t>
  </si>
  <si>
    <t>['operator', 'mengconetkan', 'pulsa', 'telp', 'save', 'jaringan', 'internet', 'penggunaan', 'tertipu', 'data', 'habis', 'pulsa', 'telp', 'habis', 'notifikasi', 'langsung', 'terconet', 'pulsa', 'telp', 'habis', 'notifikasi', 'pemberitahuan', 'pulsa', 'mohon', 'jaringan', 'internet', 'denga', 'pulsa', 'data', 'contoh', 'beli', 'paket', 'rb', 'pulsa', 'save', 'tlp', 'habis', 'suda', 'kali', 'alami', '']</t>
  </si>
  <si>
    <t>['isi', 'ulang', 'kepotong', 'telong', 'maling', 'kepotongnya', 'coba', 'dikalikan', 'juta', 'pengguna', 'telkomsel', 'indonesia']</t>
  </si>
  <si>
    <t>['sebegai', 'pengguna', 'telkomsel', 'kecewa', 'jaringan', 'telkomsel', 'semenjak', 'kebakaran', 'pusat', 'telkomsel', 'riau', 'thn', 'kendala', 'jaringan', 'telkomsel', 'buruk', 'parahnya', 'mati', 'lampu', 'jaringannya', 'hilang', 'sos', 'mohon', 'telkomsel', 'memperbaiki', 'secepatnya', 'kendala', 'telkomsel', '']</t>
  </si>
  <si>
    <t>['mantap', 'cek', 'kuota', 'internet', 'cari', 'kuota', 'murah', 'gb', 'dinaikin', 'harga', 'kualitas', 'jaringannya', 'ditingkatkan', 'heeeee', '']</t>
  </si>
  <si>
    <t>['pas', 'masuk', 'ngeleg', 'tolong', 'perbaiki', 'tolong', 'sampe', 'stres', 'udah', 'beli', 'pulsa', 'ngga', 'masuk', 'wow', 'woakwokaowkaowkoakwoakowkaow', 'langsung', 'benerin', 'woakwokaowkaowkoakwoakowkaow', 'langsung', 'beli', 'pulsa', 'mencoba', 'undian', 'mobil', 'semoga']</t>
  </si>
  <si>
    <t>['app', 'pengambil', 'pulsa', 'kuota', 'habis', 'niat', 'beli', 'paket', 'data', 'via', 'aplikasi', 'pulsanya', 'udah', 'keburu', 'kepotong', 'beli', 'kuota', 'pulsanya', 'berkurang', '']</t>
  </si>
  <si>
    <t>['paket', 'combo', 'sakti', 'unlimited', 'perbarui', 'menyenangkan', 'peraturan', 'bagus', 'kuota', 'fup', 'provider', 'sebelah', 'pakai', 'paket', 'combo', 'sakti', 'aturan', 'diperbarui', 'mohon', 'kembalikan', 'peraturan', '']</t>
  </si>
  <si>
    <t>['mendukung', 'karna', 'provide', 'butuh', 'aplikasi', 'kedepanya', 'tolong', 'kembangakan', 'perbaiki', 'susah', 'diakses', 'sinyal', 'rendah', 'paketnya', 'mahal', 'smaikin', 'rendah', 'tingkat', 'kecepatan', 'jarianganya', 'tolong', 'diperbaiki', 'diatasi', 'terimakasih', 'telkomsel', '']</t>
  </si>
  <si>
    <t>['memiliki', 'keluhan', 'telkomsel', 'harga', 'unlimitedmax', 'rb', 'sebulan', 'kemudia', 'rb', 'sebulannya', 'kuota', 'unlimited', 'youtube', 'rb', 'rb', 'bacaan', 'unlimited', 'youtube', 'kecepatannya', 'cuman', 'kbps', 'mending', 'pikirkan', 'beli', 'telkomsel']</t>
  </si>
  <si>
    <t>['', 'jaringan', 'stabil', 'tolong', 'tingkatkan', 'kualitas', 'sinyal', 'aplikasi', 'oke', 'good', 'deh', '']</t>
  </si>
  <si>
    <t>['kecewa', 'jaringan', 'telkomsel', 'buruk', 'memuaskan', 'kuota', 'jaringanya', 'jelek', 'burik', 'sekedar', 'saran', 'perbaiki', 'jaringan', 'customer', 'pergi', 'hapus', 'playstore']</t>
  </si>
  <si>
    <t>['are', 'isi', 'pulsa', 'pas', 'isi', 'bertambah', 'berkurang', 'rugi', 'nomor', 'penipuan', 'masuk', 'semenjak', 'memakai', 'telkomsel', 'jaringan', 'lemot', 'banget', 'download', 'lambat', 'banget', 'mohon', 'perbaiki', 'bruh', 'pas', 'buka', 'apknya', 'layar', 'warna', 'putih', 'duh', 'tanggung', 'perbaikin', 'kek', 'ngapa', 'ngapain', 'mending', 'axis', '']</t>
  </si>
  <si>
    <t>['aplikasi', 'cepat', 'lelet', 'buka', 'berulang', 'buka', 'login', 'buka', 'aplikasi', 'tolong', 'perbaiki', 'nyaman', 'pemakaian', 'login', 'kaya', 'buka', 'login']</t>
  </si>
  <si>
    <t>['telkomsel', 'jaringannya', 'buruk', 'memburuk', 'kencang', 'sinyal', 'telkomsel', 'parah', 'tolong', 'perbaiki', 'pelanggan', 'kecewa']</t>
  </si>
  <si>
    <t>['pengguna', 'telkomsel', 'daerah', 'kota', 'padang', 'sumatera', 'barat', 'sinyal', 'telkomsel', 'jelek', 'bar', 'udah', 'kota', 'daerah', 'kota', 'jelek', 'telkomsel', 'telkomsel', 'jujur', 'kecewa', 'skrng', '']</t>
  </si>
  <si>
    <t>['', 'ksi', 'bintang', 'jaringan', 'telkomsel', 'lelet', 'sya', 'palu', 'sulawesi', 'poso', 'lore', 'utara', 'napu', 'mohon', 'pemerintah', 'memperbaiki', 'jaringan', 'dana', 'masuk', 'korupsi', 'menerus', 'dengarkan', 'suara', 'rakyat', 'terimakasih']</t>
  </si>
  <si>
    <t>['kecewa', 'beli', 'pulsa', 'telkomsel', 'mei', 'jun', 'pulsa', 'masuk', 'disaldo', 'komplain', 'call', 'center', 'grapari', 'penyelesaian', 'berdasarkan', 'sla', 'tanggal', 'komplain']</t>
  </si>
  <si>
    <t>['telkomsel', 'merayakan', 'ulang', 'mengkebiri', 'unlimited', 'membatasinya', 'semoga', 'komisaris', 'abde', 'merubah', 'petikan', 'gitar', 'fals', '']</t>
  </si>
  <si>
    <t>['telkomsel', 'karu', 'karuan', 'tindakannya', 'pulsa', 'haru', 'ribu', 'maratus', 'ambil', 'mohon', 'diperbaiki', 'nggak', 'kayak', 'gantu', 'kartu', 'provider', 'amanah']</t>
  </si>
  <si>
    <t>['saran', 'fitur', 'chat', 'veronika', 'ditingkatin', 'capture', 'ribet', 'disuruh', 'convert', 'web', 'prosedurnya', 'ribet', 'telkomsel', 'contoh', 'merchant', 'kayak', 'shopee', 'fitur', 'chat', 'mudah', 'semoga', 'ditingkatin', 'telkomsel', '']</t>
  </si>
  <si>
    <t>['telat', 'ngisi', 'pulsa', 'toleransi', 'nomornya', 'hanguss', 'aktivasi', 'diaktivasi', 'syarat', 'beralih', 'pasca', 'bayar', '']</t>
  </si>
  <si>
    <t>['pakai', 'kartu', 'telkomsel', 'thn', 'ganti', 'kartu', 'kmaren', 'kawan', 'paket', 'internet', 'nelpon', 'sms', 'dll', 'ambil', 'tenyata', 'mahal', 'pengguna', 'kartu', 'sbg', 'pengguna', 'jujur', 'kecewa', 'depannya', 'pakai', 'telkomsel', 'kecuali', 'terpaksa', 'selamat', 'kehilangan', 'pelanggan', 'setia', 'terimakasih', 'layanan', 'semoga', 'kawan', 'kawan', 'pengguna', 'provider', 'ambil', 'pelajaran', '']</t>
  </si>
  <si>
    <t>['maaf', 'mengajukan', 'internet', 'lemot', 'banget', 'kouta', 'jaringan', 'full', 'mengakses', 'internet', 'lemot', 'banget', 'beli', 'paket', 'unlimitedmax', 'kuliah', 'tolong', 'kak', 'kayak', 'gini', 'nyaman', 'sebagi', 'pengguna', 'telkomsel', 'kasih', 'bintang', 'dlu', 'terima', 'kasih', '']</t>
  </si>
  <si>
    <t>['terima', 'kasih', 'telkomsel', 'pelayanan', 'terbaik', 'pembelian', 'pulsa', 'paket', 'data', 'murah', 'meriah', 'paket', 'data', 'gb', 'gratis', 'nelpon', 'pas', 'kanker', 'kantong', 'kering', 'makasih', 'telkomsel', 'pelayanan', 'mengecewakan', 'pelayanan', 'pelanggan', '']</t>
  </si>
  <si>
    <t>['bangga', 'telkomsel', 'senang', 'udah', 'kecewa', 'buka', 'aplikasi', 'telkomsel', 'susah', 'cek', 'paket', 'bayar', 'tagihan', 'kartu', 'halo', 'susah', 'reward', 'susah', 'bukanya', 'berfikir', 'rusak', 'jaringan', 'telkomselnya', 'kayak', 'siput', 'semoga', 'perbaikan', 'kedepan', '']</t>
  </si>
  <si>
    <t>['paketan', 'combo', 'sakti', 'unlimitid', 'gb', 'memuaskan', 'mendingan', 'beralih', 'donk', 'combo', 'sakti', 'unlimited', 'gb', 'dibagi', 'bener', 'memuaskan', 'unlimitid', 'multimedia', 'namanya', 'susah', 'liat', 'aplikasi', 'lainya', 'cuman', 'kecepatannya', 'berkurang', 'mah', 'emang', 'berkurang', 'kebangetan', 'ayo', 'balikin', 'combosakti', 'unlimitid', 'gb', 'multimedia', 'ngga', 'dijatah', 'harga', 'memuaskan', '']</t>
  </si>
  <si>
    <t>['mentang', 'mentang', 'jaringan', 'kenceng', 'paket', 'combo', 'sakti', 'ribu', 'ribu', 'unlimited', 'rb', 'ribu', 'paket', 'malam', 'rebu', 'rebu', 'harga', 'stabil', 'ngapa', 'ngabbb']</t>
  </si>
  <si>
    <t>['sel', 'tempatku', 'sinyalnya', 'sebagus', 'ngegame', 'emosi', 'karna', 'sinyal', 'kartu', 'mahal', 'sinyalnya', 'mengecewakan', 'tolong', 'perbaiki', 'tambahin', 'tower', 'klaten', 'jateng', 'makasih']</t>
  </si>
  <si>
    <t>['aplikasi', 'bagus', 'suka', '']</t>
  </si>
  <si>
    <t>['koq', 'susah', 'buka', 'telkomsel', 'connect', 'parah', 'banget', 'uninstall', 'download', 'susah', 'banget', 'dehh', '']</t>
  </si>
  <si>
    <t>['app', 'udh', 'bagus', 'harga', 'emng', 'mahal', 'harga', 'mahala', 'usahain', 'sinyal', 'kencengin', 'kak', 'worth', 'saran', 'kurangin', 'harganya', 'dikit', 'sinyalnya', 'tingkatkan', 'sepadan', 'harganya', 'bagus', 'tinggal', 'kembangin', 'kak', 'hapus', 'recent', 'transaction', 'harap', 'dihapus', 'mohon', 'tanggapannya', 'terima', 'kasih', '']</t>
  </si>
  <si>
    <t>['', 'review', 'apk', 'bnyk', 'mafianya', 'kali', 'yak', 'kualitas', 'buruk', 'gini', 'dpt', 'bnyk', 'review', 'bintang', 'serius', 'tolonglah', 'kurangi', 'harga', 'paket', 'harga', 'ribuan', 'ribuan', 'adakan', 'promo', 'pengguna', 'teman', 'unlimited', 'max', 'dikurangin', '']</t>
  </si>
  <si>
    <t>['berlangganan', 'mytelkomsel', 'membeli', 'kuota', 'internet', 'gagal', 'bukti', 'transaksi', 'transaksi', 'berhasil', 'cek', 'kuota', 'internet', 'pulsa', 'utuh', 'berkali', 'kali', 'menghubungi', 'mytelkomsel', 'email', 'telegram', 'aplikasinya', 'langsung', 'jalan', 'jujur', 'kecewa', 'membeli', 'pulsa', 'sia', 'sia', '']</t>
  </si>
  <si>
    <t>['', 'kasih', 'bintang', 'kecewa', 'paket', 'internet', 'mahal', 'lemotnya', 'ampun', 'komplen', 'aplikasi', 'diajarin', 'seting', 'sampe', 'ganti', 'tetep', 'lemot', 'keong', 'racun']</t>
  </si>
  <si>
    <t>['membantu', 'mengecek', 'saldo', 'pulsa', 'kartu', 'pastinya', 'membantu', 'memilih', 'paket', 'data', 'sesuai', 'kebutuhan', 'penawaran', 'potongan', 'harga', 'keuntungan', 'keuntungan', 'terima', 'kasih', 'pengembang', 'aplikasi', 'manajemen', 'keras', 'aplikasi', 'mytelkomsel']</t>
  </si>
  <si>
    <t>['telkomsel', 'parah', 'nich', 'jaringan', 'mahal', 'doank', 'kaga', 'kaya', 'mahal', 'jaringan', 'mah', 'parah', 'abis', 'udah', 'manaan', 'beli', 'paketan', 'unlimitid', 'ehk', 'udah', 'dpt', 'sms', 'paketan', 'unlimitid', 'habis', 'mah', 'kaga', 'beli', 'paketan', 'unlimitid', 'manaan', 'mahal', 'kacau', 'telkomsel', 'sekrang', '']</t>
  </si>
  <si>
    <t>['krmn', 'signal', 'paketan', 'telpon', 'skarang', 'internetnya', 'putus', 'nyambung', 'putus', 'nyambung', 'gpp', 'deh', 'kasih', 'bintang', 'karna', 'gua', 'cinta', 'indonesia', 'gua', 'cinta', 'produk', 'indonesia', 'telkomsel', 'smoga', 'bersaing', 'produck', 'provider', 'negri', 'telkomsel', 'maju']</t>
  </si>
  <si>
    <t>['jaringan', 'terbaik', 'saking', 'terbaiknya', 'loading', 'menyamai', 'kecepatan', 'kipas', 'angin', 'woooowww', 'amazing']</t>
  </si>
  <si>
    <t>['tolong', 'kasih', 'promo', 'pilih', 'kasih', 'sesuai', 'tkp', 'aturan', 'paket', 'internet', 'dibeda', 'bedain', 'daerah', 'perusahaan', 'bumn', 'rasis', 'rakyatnya', 'miris', '']</t>
  </si>
  <si>
    <t>['assalamualaikum', 'telomsel', 'cuman', 'pembelian', 'kouta', 'internet', 'mahal', 'buruk', 'sinyal', 'bingung', 'paket', 'kombo', 'sakti', 'dulunya', 'multimedia', 'unlimited', 'karna', 'orang', 'pemakaian', 'paket', 'internet', 'dulunya', 'paket', 'telepon', 'menit', 'menit', 'tinggal', 'nama', 'combo', 'sakti', 'unlimiteddan', 'sinyal', 'buruk', 'gara', 'gara', 'pindah', 'operator']</t>
  </si>
  <si>
    <t>['jaringannya', 'bener', 'masak', 'kalah', 'cepet', 'ama', 'kecewa', 'sma', 'telkom', 'mending', 'ganti', 'provider', 'gini']</t>
  </si>
  <si>
    <t>['parah', 'beli', 'paket', 'data', 'prosesnya', 'bilangnya', 'peningkatan', 'sistem', 'banget', 'sampe', 'beli', 'paket', 'data', 'serba', 'online', 'kuota', 'ngapa', 'ngapain', 'kecewa']</t>
  </si>
  <si>
    <t>['masuk', 'aplikasi', 'telkomsel', 'kecepatan', 'internetnya', 'nonton', 'youtube', 'segitu', 'kecepatannya', 'becanda', 'telkomsel', 'perbaiki', 'aplikasinya', 'susah', 'paki', '']</t>
  </si>
  <si>
    <t>['mohon', 'maaf', 'sya', 'jaringan', 'telkomsel', 'jaringan', 'internet', 'bandara', 'soekarno', 'hatta', 'jaringan', 'edge', 'pesan', 'sya', 'mohon', 'perbaiki', 'lgi', 'sistem', 'internet', 'jaringanya', 'pelanggan', 'kecewa']</t>
  </si>
  <si>
    <t>['hallo', 'admin', 'nanya', 'kartu', 'paket', 'gb', 'kuota', 'internet', 'lokalny', 'beli', 'kartu', 'penggunaan', 'kartunya', 'diwilayah', 'kartu', 'internet', 'lokalnya', 'berkurang', 'buka', 'google', 'coba', 'chat', 'customer', 'care', 'veronika', '']</t>
  </si>
  <si>
    <t>['lemot', 'paraaaaah', 'cibogo', 'subang', 'sinyal', 'karuan', 'msh', 'deket', 'kota', 'dibawa', 'desa', 'sumurbarang', 'lbh', 'parah', 'ngirim', 'tulisan', 'pending', 'trs', 'browsing', 'offline', 'trs', 'tolong', 'perbaiki', 'menurun', 'kualitas', 'skrg', 'bnyk', 'pesaing', 'hrs', 'lbh', 'diandalkan', '']</t>
  </si>
  <si>
    <t>['hah', 'gua', 'kecewa', 'telkomsel', 'jaringan', 'dirumahku', 'ngk', 'gua', 'main', 'game', 'ngk', 'lancar', 'hah', 'kecewa', 'banget', 'gua', 'malas', 'pakai', 'telkomsel', 'pindah', 'provider']</t>
  </si>
  <si>
    <t>['telkomsel', 'sisa', 'pulsa', 'habis', 'paket', 'kuota', 'sya', 'aktif', 'cek', 'kena', 'biaya', 'data', 'tlng', 'dikembalikan', 'chat', 'aplikasi', 'telkomsel', 'balas', '']</t>
  </si>
  <si>
    <t>['telkomsel', 'kesini', 'lemot', 'bar', 'sinyal', 'penuh', 'lemot', 'parah', 'tolong', 'perabiki', 'provider', 'telkomsel', 'paket', 'mahal', 'jaringan', 'lemot']</t>
  </si>
  <si>
    <t>['suka', 'eror', 'udh', 'masuk', 'login', 'sinyal', 'simpati', 'daerah', 'moga', 'pemalang', 'jawa', 'jelek', 'tower', 'desa', 'kesusahan', 'sinyal', 'cuman', 'paket', 'mahal', 'sinyal', 'diperbaiki', 'masukan', '']</t>
  </si>
  <si>
    <t>['pulsa', 'hilang', 'ribu', 'main', 'sms', 'tarif', 'non', 'paket', 'kuota', 'game', 'top', 'kali', 'ditolak', 'tolong', 'perbaiki', 'sisanya', 'lumayan']</t>
  </si>
  <si>
    <t>['kecewa', 'telkomsel', 'pulsa', 'rb', 'paket', 'nelpon', 'all', 'operator', 'mnt', 'nelpon', 'menit', 'pulsa', 'tinggal', 'perak', 'bener', 'donk', 'paket', 'nelpon', 'gimana', 'seh', 'kecewa', 'banget', 'fasilitas', 'paket', 'bener']</t>
  </si>
  <si>
    <t>['kasih', 'kecewa', 'kemarin', 'mengupgrade', 'kartu', 'grapari', 'telkomsel', 'ciamis', 'bonus', 'internet', 'bonus', 'internet', 'mohon', 'bantuan', 'solusinya', 'hatur', 'nuhun', '']</t>
  </si>
  <si>
    <t>['', 'beli', 'paket', 'paket', 'combo', 'sakti', 'seharga', 'paket', 'sempet', 'aktif', 'hentikan', 'alasan', 'konyol', 'fulsa', 'internet', 'digagalin', 'duit', 'pembelian', 'dibalikin', 'dikurangin', 'nmnya', 'batalin', 'nagambil', 'duit', 'org']</t>
  </si>
  <si>
    <t>['jaringan', 'udh', 'parah', 'kuota', 'msh', 'gb', 'udh', 'parah', 'jalannya', 'keong', 'sinyal', 'nama', 'beken', 'telkomsel', 'udah', 'mahal', 'jaringan', 'kayak', 'siput', 'kepelaminan', 'percaya', 'biss', 'buktinya', '']</t>
  </si>
  <si>
    <t>['lamaaa', 'mahal', 'bgini', 'trus', 'ganti', 'kartu', 'nihh', 'pulsa', 'ilang', 'pulsa', 'ilang', 'kdang', 'emosi', 'bngt', 'sma', 'telkomsel', 'malingg', 'pulsa', 'mulu', 'takut', 'dosa', 'kaya', 'indosat', 'pulsa', 'save', 'bgini', 'trus', 'pda', 'ganti', 'kartu']</t>
  </si>
  <si>
    <t>['kecewa', 'gua', 'sma', 'aplikasi', 'pulsa', 'habis', 'ngak', 'dipake', 'kuota', 'internet', 'gua', 'bnyak', 'pulsa', 'habis', 'korupsi', 'kerjaan', 'anying', 'ngak', 'tenang', 'hidup', 'makan', 'uang', 'haram']</t>
  </si>
  <si>
    <t>['woyy', 'telkomsel', 'tolol', 'isi', 'pulsa', 'pulsa', 'sedot', 'habis', 'pulsa', 'simpan', 'habis', 'dasar', 'memakan', 'uang', 'haram', 'hak', 'orang', 'ambil', 'kaya', 'provider', 'axis', 'sistem', 'save', 'kunci', 'aplikasi', 'axisnet', 'pulsa', 'kesedot', 'kaya', 'telkomsel', 'tolol']</t>
  </si>
  <si>
    <t>['melayani', 'jaringan', 'bener', 'menang', 'sampe', 'plosok', 'doang', 'koneksi', 'internet', 'lemot', 'kartu', 'mahal', 'sebanding', 'banget', 'asli', 'rugi', 'privoder', 'telkomsel', 'kartunya', 'mahal', 'koneksi', 'internet', 'lemot', 'download', 'mbps', 'kecepatan', 'max', 'download', 'kbps', 'daerah', 'gua', 'kota', 'gini', 'pelanggan', 'pindah', 'privoder', 'silahkan', 'tdak', 'diperbaiki', '']</t>
  </si>
  <si>
    <t>['kecewa', 'promo', 'sesuai', 'beli', 'pket', 'full', 'unlimited', 'berahir', 'smpai', 'tgl', 'tgl', 'lelet', 'buka', 'youtube', 'nntn', 'vidio', 'jga', 'lelet', 'sesui', 'sma', 'namanya', 'klau', 'unlimited', 'bner', 'kecewa', 'sma', 'telkomsel', 'telkomsel', 'trimakasi', 'mngkin', 'sya', 'bkl', 'berhnti', 'memakai', 'tlkomsel', 'bner', 'kecewa', '']</t>
  </si>
  <si>
    <t>['jaringan', 'jelass', 'telkom', 'udah', 'mahal', 'sinyal', 'busuk', 'niat', 'kerja', 'nggak', 'pegawainya', 'nggak', 'tutup', 'perusahaannya']</t>
  </si>
  <si>
    <t>['kesini', 'telkomsel', 'aneh', 'tolong', 'lahh', 'gua', 'udah', 'beli', 'paket', 'mahal', 'sinyal', 'jaringannya', 'lemot', 'boro', 'boro', 'buka', 'game', 'online', 'cek', 'pulsa', 'beli', 'paket', 'data', 'mytelkomsel', 'lelet', 'ampun', 'udah', 'minggu', 'jaringannya', 'lemot', 'tolong', 'min', 'cuman', 'duit', 'konsumennya', 'pelayanannya', 'buruk', 'sinyal', 'jaringannya', 'buruk', 'perbaikin', 'pelayanan', 'jaringan', 'internetnya', '']</t>
  </si>
  <si>
    <t>['skrng', 'beli', 'paket', 'ceria', 'pdhl', 'ganti', 'harga', 'beli', 'dapet', 'promo', 'sms', 'pas', 'udh', 'ganti', 'harga', 'gabisa', 'beli', 'aneh', 'kartu']</t>
  </si>
  <si>
    <t>['jaringan', 'buruk', 'gaada', 'respon', 'telkomsel', 'gaada', 'peningkatan', 'gimana', 'orang', 'betah', 'layanan', 'telkomsel', 'beli', 'paket', 'daun', 'layanan', 'pindah', 'layanan', '']</t>
  </si>
  <si>
    <t>['nanya', 'gini', 'udah', 'jaringan', 'dikampung', 'gua', 'rusak', 'orang', 'telkomsel', 'ngecek', 'emang', 'tukang', 'cek', 'nunggu', 'laporan', 'masyarakat', '']</t>
  </si>
  <si>
    <t>['telkomsel', 'pilihan', 'product', 'review', 'paket', 'internet', 'telephone', 'recomended', 'banget', 'tks', 'telkomsel']</t>
  </si>
  <si>
    <t>['kuota', 'mahal', 'jaringan', 'jelek', 'masyallah', 'udah', 'terlanjur', 'pribadi', 'gitu', 'kartu', 'jujur', 'kecewa', 'telkomsel', 'perusahaan', 'mengecewakan', 'pelanggan', '']</t>
  </si>
  <si>
    <t>['mohon', 'jaringan', 'maksimalkan', 'sinyal', 'lelet', 'jam', 'sibuk', 'mohon', 'kualitas', 'harga', 'bole', 'mahal', 'produk', 'kualitas', '']</t>
  </si>
  <si>
    <t>['yth', 'mytelkomsel', 'bbrp', 'wkt', 'pls', 'sedot', 'sja', 'tolong', 'adkn', 'lock', 'button', 'feature', 'pls', 'pkt', 'internet', 'mmng', 'hrs', 'dnaikn', 'hrg', 'tlng', 'jngn', 'trlmpau', 'smua', 'org', 'adlh', 'sultan', 'hrga', 'gnti', 'krtu', 'tekdng', 'tnp', 'aba', 'kluar', 'mytelkomsel', 'hrs', 'login', 'ulng', 'ckp', 'memkn', 'wkt', 'sms', 'pngirimn', 'link', 'login', 'ulng', 'pmbritahuan', 'pkt', 'internet', 'hbs', 'pmbritahuan', 'pkt', 'internet', 'hbs', 'trlmbt', 'knp', 'pdhl', 'snyl', 'trlmpau', 'jlk', 'sekian', 'smntra', '']</t>
  </si>
  <si>
    <t>['pulsa', 'kepotong', 'rban', 'nonton', 'youtube', 'kuota', 'youtube', 'berasa', 'akalin', 'telkomsel', 'malem', 'udah', 'coba', 'beli', 'paketan', 'keterangannya', 'error', 'pulsa', 'sedot', 'cuk', 'suka', 'sedot', 'pulsa', 'orang', '']</t>
  </si>
  <si>
    <t>['semoga', 'telkomsel', 'terbaik', 'android', 'canggih', 'mahal', 'paket', 'kasian', 'penggunaan', 'android', 'canggih', 'gunanya', 'nggak', 'paket', 'youtube', 'ikrom', '']</t>
  </si>
  <si>
    <t>['sinyal', 'lelet', 'tgl', 'mei', 'kemarin', 'info', 'sms', 'dll', 'auto', 'ganti', 'provider', 'drpd', 'kerja', 'gamming', 'terganggu', 'lag', 'parah']</t>
  </si>
  <si>
    <t>['sinyal', 'hancur', 'sekelas', 'kota', 'maaf', 'ndak', 'komplain', 'tlfn', 'suruh', 'mode', 'ofline', 'trus', 'trik', 'pemasaran', '']</t>
  </si>
  <si>
    <t>['beralih', 'telkomsel', 'hallo', 'penggunaan', 'data', 'terlacak', 'seharga', 'sebulan', 'sisa', 'pemakaian', 'minggu', 'kartu', 'hallo', 'masuk', 'diakal', 'pemakaian', 'telpon', 'rupiah', 'dipakai', 'apapun', 'mengecewakan', 'costumernya', 'berjanji', 'pemakaian', 'kartu', 'hallo', 'minggu', 'ribu', 'bhong', '']</t>
  </si>
  <si>
    <t>['paketan', 'koq', 'pakai', 'kemaren', 'habis', 'claim', 'kuota', 'gratis', 'login', 'harian', 'telkomsel', 'paket', 'habis', 'paket', 'utama', 'nggak', 'pakai', 'bangke']</t>
  </si>
  <si>
    <t>['harga', 'paketan', 'simpati', 'mahal', 'sinyal', 'jelek', 'memuaskan', 'merugikan', 'pengguna', 'buriiikk', 'telkomsel']</t>
  </si>
  <si>
    <t>['telkomsel', 'mengecewakan', 'aplikasi', 'buka', 'maaf', 'bintang', 'kurangi', 'skrg', 'jaringan', 'internet', 'kendala', 'normalnya', 'kesini', 'hancur', 'telkomsel', '']</t>
  </si>
  <si>
    <t>['kecewa', 'banget', 'kuota', 'rb', 'udah', 'dapet', 'unlimited', 'kuota', 'gb', 'habis', 'nyaman', 'youtube', 'dll', 'gb', 'habis', 'youtube', 'ngadat', 'ngadat', 'ngadat', 'mahal', 'rb', 'sebulan', 'abis', 'aktif', 'pelit', 'tenggang', 'tanggalnya', 'haaahhh', 'payahhh', '']</t>
  </si>
  <si>
    <t>['mengeluh', 'beli', 'paketan', 'promo', 'langsung', 'masuk', 'pulsa', 'berkurang', 'tolong', 'nyaman']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</si>
</sst>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6.43"/>
    <col customWidth="1" min="4" max="27" width="8.71"/>
  </cols>
  <sheetData>
    <row r="1">
      <c r="B1" s="1" t="s">
        <v>0</v>
      </c>
      <c r="C1" s="2" t="s">
        <v>1</v>
      </c>
      <c r="D1" s="1" t="s">
        <v>2</v>
      </c>
    </row>
    <row r="2">
      <c r="A2" s="1">
        <v>0.0</v>
      </c>
      <c r="B2" s="3" t="s">
        <v>3</v>
      </c>
      <c r="C2" s="3" t="str">
        <f>IFERROR(__xludf.DUMMYFUNCTION("GOOGLETRANSLATE(B2,""id"",""en"")"),"['ugly', 'really', 'app', 'open', 'like', 'log', 'out', 'buy', 'quota', 'unlimited', 'love', 'confused']")</f>
        <v>['ugly', 'really', 'app', 'open', 'like', 'log', 'out', 'buy', 'quota', 'unlimited', 'love', 'confused']</v>
      </c>
      <c r="D2" s="3">
        <v>1.0</v>
      </c>
    </row>
    <row r="3">
      <c r="A3" s="1">
        <v>1.0</v>
      </c>
      <c r="B3" s="3" t="s">
        <v>4</v>
      </c>
      <c r="C3" s="3" t="str">
        <f>IFERROR(__xludf.DUMMYFUNCTION("GOOGLETRANSLATE(B3,""id"",""en"")"),"['Package', 'promo', 'buy', 'pulse', 'heart', 'trap', 'gag', 'buy', 'tip', 'buy', 'package', 'regular', ' Package ',' promo ',' Support ',' payment ',' ewallet ']")</f>
        <v>['Package', 'promo', 'buy', 'pulse', 'heart', 'trap', 'gag', 'buy', 'tip', 'buy', 'package', 'regular', ' Package ',' promo ',' Support ',' payment ',' ewallet ']</v>
      </c>
      <c r="D3" s="3">
        <v>1.0</v>
      </c>
    </row>
    <row r="4">
      <c r="A4" s="1">
        <v>2.0</v>
      </c>
      <c r="B4" s="3" t="s">
        <v>5</v>
      </c>
      <c r="C4" s="3" t="str">
        <f>IFERROR(__xludf.DUMMYFUNCTION("GOOGLETRANSLATE(B4,""id"",""en"")"),"['price', 'quota', 'expensive', 'network', 'solution', 'severe', 'here', 'here', 'signal', 'good', 'malem', 'hadeuhhhh']")</f>
        <v>['price', 'quota', 'expensive', 'network', 'solution', 'severe', 'here', 'here', 'signal', 'good', 'malem', 'hadeuhhhh']</v>
      </c>
      <c r="D4" s="3">
        <v>1.0</v>
      </c>
    </row>
    <row r="5">
      <c r="A5" s="1">
        <v>3.0</v>
      </c>
      <c r="B5" s="3" t="s">
        <v>6</v>
      </c>
      <c r="C5" s="3" t="str">
        <f>IFERROR(__xludf.DUMMYFUNCTION("GOOGLETRANSLATE(B5,""id"",""en"")"),"['', 'already', 'signal', 'ugly', 'list', 'price', 'package', 'ride', 'package', 'omg', 'GB', 'price', 'buy ',' Price ',' Mantaps', 'Telkomsel', 'oppression']")</f>
        <v>['', 'already', 'signal', 'ugly', 'list', 'price', 'package', 'ride', 'package', 'omg', 'GB', 'price', 'buy ',' Price ',' Mantaps', 'Telkomsel', 'oppression']</v>
      </c>
      <c r="D5" s="3">
        <v>1.0</v>
      </c>
    </row>
    <row r="6">
      <c r="A6" s="1">
        <v>4.0</v>
      </c>
      <c r="B6" s="3" t="s">
        <v>7</v>
      </c>
      <c r="C6" s="3" t="str">
        <f>IFERROR(__xludf.DUMMYFUNCTION("GOOGLETRANSLATE(B6,""id"",""en"")"),"['Hello', 'admin', 'package', 'cheerful', 'ngak', 'use', 'already', 'abiss',' promo ',' already ',' contents', 'pulse', ' truss', 'try', 'ngak', 'reply', 'sms',' call ',' consenter ',' ngak ',' please ',' min ',' ngak ',' buy ',' package ' , 'cheerful', '"&amp;"please', 'kasi', 'silent', 'ngak', 'min', 'so', 'thank', 'love']")</f>
        <v>['Hello', 'admin', 'package', 'cheerful', 'ngak', 'use', 'already', 'abiss',' promo ',' already ',' contents', 'pulse', ' truss', 'try', 'ngak', 'reply', 'sms',' call ',' consenter ',' ngak ',' please ',' min ',' ngak ',' buy ',' package ' , 'cheerful', 'please', 'kasi', 'silent', 'ngak', 'min', 'so', 'thank', 'love']</v>
      </c>
      <c r="D6" s="3">
        <v>1.0</v>
      </c>
    </row>
    <row r="7">
      <c r="A7" s="1">
        <v>5.0</v>
      </c>
      <c r="B7" s="3" t="s">
        <v>8</v>
      </c>
      <c r="C7" s="3" t="str">
        <f>IFERROR(__xludf.DUMMYFUNCTION("GOOGLETRANSLATE(B7,""id"",""en"")"),"['Telkomsel', 'Pliss',' Sesek ',' bngt ',' chest ',' TDI ',' friend ',' transfer ',' pulse ',' already ',' transfer ',' sent ',' Balance ',' UDH ',' Cut ',' TPI ',' Credit ',' Enter ',' Enter ',' Chat ',' Response ',' Telkomsel ', ""]")</f>
        <v>['Telkomsel', 'Pliss',' Sesek ',' bngt ',' chest ',' TDI ',' friend ',' transfer ',' pulse ',' already ',' transfer ',' sent ',' Balance ',' UDH ',' Cut ',' TPI ',' Credit ',' Enter ',' Enter ',' Chat ',' Response ',' Telkomsel ', "]</v>
      </c>
      <c r="D7" s="3">
        <v>1.0</v>
      </c>
    </row>
    <row r="8">
      <c r="A8" s="1">
        <v>6.0</v>
      </c>
      <c r="B8" s="3" t="s">
        <v>9</v>
      </c>
      <c r="C8" s="3" t="str">
        <f>IFERROR(__xludf.DUMMYFUNCTION("GOOGLETRANSLATE(B8,""id"",""en"")"),"['Network', 'bad', 'fast', 'hot', 'clock', 'maen', 'game', 'difficult', 'lift it', 'please', 'fix', 'network', ' Stable ',' BPAK ',' Dear ',' Buy ',' Package ',' Data ',' Cheap ',' ']")</f>
        <v>['Network', 'bad', 'fast', 'hot', 'clock', 'maen', 'game', 'difficult', 'lift it', 'please', 'fix', 'network', ' Stable ',' BPAK ',' Dear ',' Buy ',' Package ',' Data ',' Cheap ',' ']</v>
      </c>
      <c r="D8" s="3">
        <v>1.0</v>
      </c>
    </row>
    <row r="9">
      <c r="A9" s="1">
        <v>7.0</v>
      </c>
      <c r="B9" s="3" t="s">
        <v>10</v>
      </c>
      <c r="C9" s="3" t="str">
        <f>IFERROR(__xludf.DUMMYFUNCTION("GOOGLETRANSLATE(B9,""id"",""en"")"),"['apk', 'good', 'see', 'emang', 'apk', 'good', '']")</f>
        <v>['apk', 'good', 'see', 'emang', 'apk', 'good', '']</v>
      </c>
      <c r="D9" s="3">
        <v>5.0</v>
      </c>
    </row>
    <row r="10">
      <c r="A10" s="1">
        <v>8.0</v>
      </c>
      <c r="B10" s="3" t="s">
        <v>11</v>
      </c>
      <c r="C10" s="3" t="str">
        <f>IFERROR(__xludf.DUMMYFUNCTION("GOOGLETRANSLATE(B10,""id"",""en"")"),"['number', 'login', 'registration', 'strange', 'random', 'enter', 'number', 'tsel', 'appears',' sruh ',' enter ',' code ',' Verify ',' right ',' number ',' Something ',' Went ',' Wrong ',' Truuss']")</f>
        <v>['number', 'login', 'registration', 'strange', 'random', 'enter', 'number', 'tsel', 'appears',' sruh ',' enter ',' code ',' Verify ',' right ',' number ',' Something ',' Went ',' Wrong ',' Truuss']</v>
      </c>
      <c r="D10" s="3">
        <v>4.0</v>
      </c>
    </row>
    <row r="11">
      <c r="A11" s="1">
        <v>9.0</v>
      </c>
      <c r="B11" s="3" t="s">
        <v>12</v>
      </c>
      <c r="C11" s="3" t="str">
        <f>IFERROR(__xludf.DUMMYFUNCTION("GOOGLETRANSLATE(B11,""id"",""en"")"),"['Since', 'emergence', 'network', 'dilapidated', 'good', 'appears',' network ',' fix ',' network ',' network ',' full ',' right ',' play ',' game ',' connection ',' bad ',' please ',' fix ',' ssbentar ',' already ',' gini ', ""]")</f>
        <v>['Since', 'emergence', 'network', 'dilapidated', 'good', 'appears',' network ',' fix ',' network ',' network ',' full ',' right ',' play ',' game ',' connection ',' bad ',' please ',' fix ',' ssbentar ',' already ',' gini ', "]</v>
      </c>
      <c r="D11" s="3">
        <v>1.0</v>
      </c>
    </row>
    <row r="12">
      <c r="A12" s="1">
        <v>10.0</v>
      </c>
      <c r="B12" s="3" t="s">
        <v>13</v>
      </c>
      <c r="C12" s="3" t="str">
        <f>IFERROR(__xludf.DUMMYFUNCTION("GOOGLETRANSLATE(B12,""id"",""en"")"),"['Assalamualaikum', 'Telkomsel', 'Dear', 'begging', 'cyclence', 'network', 'speed', 'signal', 'thinking', 'Telkomsel', 'declined', 'quality', ' The network ',' activity ',' is hampered ',' upload ',' task ',' lecture ',' online ',' etc. ',' demanding ',' "&amp;"value ',' lecturer ',' Please ',' considered ' , 'Kotintension', 'Network', 'Please', 'Sorry', 'Wrong', 'Over', 'Thank you', ""]")</f>
        <v>['Assalamualaikum', 'Telkomsel', 'Dear', 'begging', 'cyclence', 'network', 'speed', 'signal', 'thinking', 'Telkomsel', 'declined', 'quality', ' The network ',' activity ',' is hampered ',' upload ',' task ',' lecture ',' online ',' etc. ',' demanding ',' value ',' lecturer ',' Please ',' considered ' , 'Kotintension', 'Network', 'Please', 'Sorry', 'Wrong', 'Over', 'Thank you', "]</v>
      </c>
      <c r="D12" s="3">
        <v>1.0</v>
      </c>
    </row>
    <row r="13">
      <c r="A13" s="1">
        <v>11.0</v>
      </c>
      <c r="B13" s="3" t="s">
        <v>14</v>
      </c>
      <c r="C13" s="3" t="str">
        <f>IFERROR(__xludf.DUMMYFUNCTION("GOOGLETRANSLATE(B13,""id"",""en"")"),"['Actually', 'signal', 'ugly', 'BERES', 'SERES', 'SOUT', 'PACKAGE', 'VOICE', 'All', 'Operator', 'Remnant', 'Minutes',' Use ',' pulse ',' sufficient ', ""]")</f>
        <v>['Actually', 'signal', 'ugly', 'BERES', 'SERES', 'SOUT', 'PACKAGE', 'VOICE', 'All', 'Operator', 'Remnant', 'Minutes',' Use ',' pulse ',' sufficient ', "]</v>
      </c>
      <c r="D13" s="3">
        <v>3.0</v>
      </c>
    </row>
    <row r="14">
      <c r="A14" s="1">
        <v>12.0</v>
      </c>
      <c r="B14" s="3" t="s">
        <v>15</v>
      </c>
      <c r="C14" s="3" t="str">
        <f>IFERROR(__xludf.DUMMYFUNCTION("GOOGLETRANSLATE(B14,""id"",""en"")"),"['Signal', 'Telkomsel', 'slow', 'please', 'repaired', 'Student', 'Learning', 'Online', 'Learning', 'Maximum', ""]")</f>
        <v>['Signal', 'Telkomsel', 'slow', 'please', 'repaired', 'Student', 'Learning', 'Online', 'Learning', 'Maximum', "]</v>
      </c>
      <c r="D14" s="3">
        <v>1.0</v>
      </c>
    </row>
    <row r="15">
      <c r="A15" s="1">
        <v>13.0</v>
      </c>
      <c r="B15" s="3" t="s">
        <v>16</v>
      </c>
      <c r="C15" s="3" t="str">
        <f>IFERROR(__xludf.DUMMYFUNCTION("GOOGLETRANSLATE(B15,""id"",""en"")"),"['Contents',' Cards', 'Credit', 'Simpih', 'Telkomsel', 'Customers',' Bonus', 'Customers',' Filling ',' Credit ',' Routine ',' Network ',' Telkomsel ',' Fix ',' disappointing ',' customers', 'willing', 'buy', 'package', 'expensive', 'price', 'where', 'loya"&amp;"lty', 'company', 'BUMN' , 'biggest', 'SEINDONE', 'satisfying', '']")</f>
        <v>['Contents',' Cards', 'Credit', 'Simpih', 'Telkomsel', 'Customers',' Bonus', 'Customers',' Filling ',' Credit ',' Routine ',' Network ',' Telkomsel ',' Fix ',' disappointing ',' customers', 'willing', 'buy', 'package', 'expensive', 'price', 'where', 'loyalty', 'company', 'BUMN' , 'biggest', 'SEINDONE', 'satisfying', '']</v>
      </c>
      <c r="D15" s="3">
        <v>1.0</v>
      </c>
    </row>
    <row r="16">
      <c r="A16" s="1">
        <v>14.0</v>
      </c>
      <c r="B16" s="3" t="s">
        <v>17</v>
      </c>
      <c r="C16" s="3" t="str">
        <f>IFERROR(__xludf.DUMMYFUNCTION("GOOGLETRANSLATE(B16,""id"",""en"")"),"['application', 'logo', 'fox', 'confused', 'service', 'fox', 'package', 'yesterday', 'already', 'tasty', 'unlimited', 'Dibates',' ']")</f>
        <v>['application', 'logo', 'fox', 'confused', 'service', 'fox', 'package', 'yesterday', 'already', 'tasty', 'unlimited', 'Dibates',' ']</v>
      </c>
      <c r="D16" s="3">
        <v>2.0</v>
      </c>
    </row>
    <row r="17">
      <c r="A17" s="1">
        <v>15.0</v>
      </c>
      <c r="B17" s="3" t="s">
        <v>18</v>
      </c>
      <c r="C17" s="3" t="str">
        <f>IFERROR(__xludf.DUMMYFUNCTION("GOOGLETRANSLATE(B17,""id"",""en"")"),"['Telkomsel', 'upgraded', 'slow', 'really', 'really', 'upset', 'until', 'package', 'open', 'Telkomsel', 'hard', 'forgiveness',' WiFi ',' trs', ""]")</f>
        <v>['Telkomsel', 'upgraded', 'slow', 'really', 'really', 'upset', 'until', 'package', 'open', 'Telkomsel', 'hard', 'forgiveness',' WiFi ',' trs', "]</v>
      </c>
      <c r="D17" s="3">
        <v>3.0</v>
      </c>
    </row>
    <row r="18">
      <c r="A18" s="1">
        <v>16.0</v>
      </c>
      <c r="B18" s="3" t="s">
        <v>19</v>
      </c>
      <c r="C18" s="3" t="str">
        <f>IFERROR(__xludf.DUMMYFUNCTION("GOOGLETRANSLATE(B18,""id"",""en"")"),"['down', 'star', 'deh', 'network', 'price', 'expensive', 'please', 'network', 'rich', 'gini', 'cheap', 'msekipun', ' network ',' satisfying ',' already ',' expensive ',' disorder ',' ']")</f>
        <v>['down', 'star', 'deh', 'network', 'price', 'expensive', 'please', 'network', 'rich', 'gini', 'cheap', 'msekipun', ' network ',' satisfying ',' already ',' expensive ',' disorder ',' ']</v>
      </c>
      <c r="D18" s="3">
        <v>4.0</v>
      </c>
    </row>
    <row r="19">
      <c r="A19" s="1">
        <v>17.0</v>
      </c>
      <c r="B19" s="3" t="s">
        <v>20</v>
      </c>
      <c r="C19" s="3" t="str">
        <f>IFERROR(__xludf.DUMMYFUNCTION("GOOGLETRANSLATE(B19,""id"",""en"")"),"['card', 'telkosel', 'already', 'burn', 'Telkomsel', 'boring', 'signal', 'bikes',' ngelek ',' Telkomsel ',' useful ',' already ',' expensive ',' signal ',' adequate ',' already ',' broke ',' broke ',' please ',' developer ',' please ',' kak ',' complaint "&amp;"',' member ',' Telkomsel ' , 'Please', 'contact', 'times', 'representative', 'Admunition', 'Deputy', 'corrected', 'complained', 'users', 'Telkomsel', 'thank you', 'please' His response ',' ']")</f>
        <v>['card', 'telkosel', 'already', 'burn', 'Telkomsel', 'boring', 'signal', 'bikes',' ngelek ',' Telkomsel ',' useful ',' already ',' expensive ',' signal ',' adequate ',' already ',' broke ',' broke ',' please ',' developer ',' please ',' kak ',' complaint ',' member ',' Telkomsel ' , 'Please', 'contact', 'times', 'representative', 'Admunition', 'Deputy', 'corrected', 'complained', 'users', 'Telkomsel', 'thank you', 'please' His response ',' ']</v>
      </c>
      <c r="D19" s="3">
        <v>1.0</v>
      </c>
    </row>
    <row r="20">
      <c r="A20" s="1">
        <v>18.0</v>
      </c>
      <c r="B20" s="3" t="s">
        <v>21</v>
      </c>
      <c r="C20" s="3" t="str">
        <f>IFERROR(__xludf.DUMMYFUNCTION("GOOGLETRANSLATE(B20,""id"",""en"")"),"['update', 'slow', 'connection', 'stable', 'broke', 'package', 'used', 'sucking', 'pulse', 'night', 'disorder', 'system', ' payment ',' package ',' failed ',' pulse ',' truncated ',' love ',' explanation ',' formal ',' like ',' users', 'go', 'next door', "&amp;"'']")</f>
        <v>['update', 'slow', 'connection', 'stable', 'broke', 'package', 'used', 'sucking', 'pulse', 'night', 'disorder', 'system', ' payment ',' package ',' failed ',' pulse ',' truncated ',' love ',' explanation ',' formal ',' like ',' users', 'go', 'next door', '']</v>
      </c>
      <c r="D20" s="3">
        <v>1.0</v>
      </c>
    </row>
    <row r="21" ht="15.75" customHeight="1">
      <c r="A21" s="1">
        <v>19.0</v>
      </c>
      <c r="B21" s="3" t="s">
        <v>22</v>
      </c>
      <c r="C21" s="3" t="str">
        <f>IFERROR(__xludf.DUMMYFUNCTION("GOOGLETRANSLATE(B21,""id"",""en"")"),"['method', 'payment', 'use', 'banking', 'yesterday', 'change', 'method', 'payment', 'gada', 'notification', 'payment', 'bill', ' Forced ',' Paid ',' Ribet ']")</f>
        <v>['method', 'payment', 'use', 'banking', 'yesterday', 'change', 'method', 'payment', 'gada', 'notification', 'payment', 'bill', ' Forced ',' Paid ',' Ribet ']</v>
      </c>
      <c r="D21" s="3">
        <v>1.0</v>
      </c>
    </row>
    <row r="22" ht="15.75" customHeight="1">
      <c r="A22" s="1">
        <v>20.0</v>
      </c>
      <c r="B22" s="3" t="s">
        <v>23</v>
      </c>
      <c r="C22" s="3" t="str">
        <f>IFERROR(__xludf.DUMMYFUNCTION("GOOGLETRANSLATE(B22,""id"",""en"")"),"['entry', 'application', 'version', 'newest', 'data', 'internet', 'pulse', 'telalu', 'force', 'rating', 'application', 'entry', ' Home ',' Forced ',' Rating ',' Assessment ']")</f>
        <v>['entry', 'application', 'version', 'newest', 'data', 'internet', 'pulse', 'telalu', 'force', 'rating', 'application', 'entry', ' Home ',' Forced ',' Rating ',' Assessment ']</v>
      </c>
      <c r="D22" s="3">
        <v>1.0</v>
      </c>
    </row>
    <row r="23" ht="15.75" customHeight="1">
      <c r="A23" s="1">
        <v>21.0</v>
      </c>
      <c r="B23" s="3" t="s">
        <v>24</v>
      </c>
      <c r="C23" s="3" t="str">
        <f>IFERROR(__xludf.DUMMYFUNCTION("GOOGLETRANSLATE(B23,""id"",""en"")"),"['kenpa', 'Telkomsel', 'skrang', 'bad', 'network', 'ping', 'play', 'game', 'the network', 'missing', 'severe', 'people', ' Telkomsel ',' good ',' network ',' mah ',' swift ',' technical ',' repair ',' fast ', ""]")</f>
        <v>['kenpa', 'Telkomsel', 'skrang', 'bad', 'network', 'ping', 'play', 'game', 'the network', 'missing', 'severe', 'people', ' Telkomsel ',' good ',' network ',' mah ',' swift ',' technical ',' repair ',' fast ', "]</v>
      </c>
      <c r="D23" s="3">
        <v>3.0</v>
      </c>
    </row>
    <row r="24" ht="15.75" customHeight="1">
      <c r="A24" s="1">
        <v>22.0</v>
      </c>
      <c r="B24" s="3" t="s">
        <v>25</v>
      </c>
      <c r="C24" s="3" t="str">
        <f>IFERROR(__xludf.DUMMYFUNCTION("GOOGLETRANSLATE(B24,""id"",""en"")"),"['Harmed', 'Buy', 'Package', 'Learning', 'Restricted', 'Site', 'Site', 'Set', 'Government', 'Authorized', 'Quota', 'Main', ' run out ',' search ',' google ',' open ',' google ',' meet ',' site ',' application ',' conference ',' present ',' class', 'contin"&amp;"uous',' how ' , 'Good', 'honesty', 'detrimental', 'people', 'preferably', 'Mari', 'advancing', 'education', ""]")</f>
        <v>['Harmed', 'Buy', 'Package', 'Learning', 'Restricted', 'Site', 'Site', 'Set', 'Government', 'Authorized', 'Quota', 'Main', ' run out ',' search ',' google ',' open ',' google ',' meet ',' site ',' application ',' conference ',' present ',' class', 'continuous',' how ' , 'Good', 'honesty', 'detrimental', 'people', 'preferably', 'Mari', 'advancing', 'education', "]</v>
      </c>
      <c r="D24" s="3">
        <v>2.0</v>
      </c>
    </row>
    <row r="25" ht="15.75" customHeight="1">
      <c r="A25" s="1">
        <v>23.0</v>
      </c>
      <c r="B25" s="3" t="s">
        <v>26</v>
      </c>
      <c r="C25" s="3" t="str">
        <f>IFERROR(__xludf.DUMMYFUNCTION("GOOGLETRANSLATE(B25,""id"",""en"")"),"['sorry', 'suggestion', 'purchase', 'pulse', 'via', 'app', 'developed', 'payment', 'via', 'transfer', 'bank', 'virtual', ' Account ',' it's easy ',' customer ',' buy ',' pulses', 'thanks']")</f>
        <v>['sorry', 'suggestion', 'purchase', 'pulse', 'via', 'app', 'developed', 'payment', 'via', 'transfer', 'bank', 'virtual', ' Account ',' it's easy ',' customer ',' buy ',' pulses', 'thanks']</v>
      </c>
      <c r="D25" s="3">
        <v>5.0</v>
      </c>
    </row>
    <row r="26" ht="15.75" customHeight="1">
      <c r="A26" s="1">
        <v>24.0</v>
      </c>
      <c r="B26" s="3" t="s">
        <v>27</v>
      </c>
      <c r="C26" s="3" t="str">
        <f>IFERROR(__xludf.DUMMYFUNCTION("GOOGLETRANSLATE(B26,""id"",""en"")"),"['network', 'network', 'best', 'Indonesia', 'cmn', 'omdo', 'kah', 'network', 'best', 'what', 'ganguan', 'mulu', ' Males', 'Telkomsel', '']")</f>
        <v>['network', 'network', 'best', 'Indonesia', 'cmn', 'omdo', 'kah', 'network', 'best', 'what', 'ganguan', 'mulu', ' Males', 'Telkomsel', '']</v>
      </c>
      <c r="D26" s="3">
        <v>1.0</v>
      </c>
    </row>
    <row r="27" ht="15.75" customHeight="1">
      <c r="A27" s="1">
        <v>25.0</v>
      </c>
      <c r="B27" s="3" t="s">
        <v>28</v>
      </c>
      <c r="C27" s="3" t="str">
        <f>IFERROR(__xludf.DUMMYFUNCTION("GOOGLETRANSLATE(B27,""id"",""en"")"),"['network', 'Telkomsel', 'Different', 'slow', 'disappointed', 'Telkomsel', 'comfortable', 'slow', 'forgiveness',' package ',' expensive ',' the network ',' ']")</f>
        <v>['network', 'Telkomsel', 'Different', 'slow', 'disappointed', 'Telkomsel', 'comfortable', 'slow', 'forgiveness',' package ',' expensive ',' the network ',' ']</v>
      </c>
      <c r="D27" s="3">
        <v>2.0</v>
      </c>
    </row>
    <row r="28" ht="15.75" customHeight="1">
      <c r="A28" s="1">
        <v>26.0</v>
      </c>
      <c r="B28" s="3" t="s">
        <v>29</v>
      </c>
      <c r="C28" s="3" t="str">
        <f>IFERROR(__xludf.DUMMYFUNCTION("GOOGLETRANSLATE(B28,""id"",""en"")"),"['Please', 'network', 'repaired', 'user', 'comfortable', 'ngegem', 'honest', 'disappointed', 'network', 'because', 'hit', 'AFK', ' network ',' like ',' lag ',' play ',' gem ',' ']")</f>
        <v>['Please', 'network', 'repaired', 'user', 'comfortable', 'ngegem', 'honest', 'disappointed', 'network', 'because', 'hit', 'AFK', ' network ',' like ',' lag ',' play ',' gem ',' ']</v>
      </c>
      <c r="D28" s="3">
        <v>5.0</v>
      </c>
    </row>
    <row r="29" ht="15.75" customHeight="1">
      <c r="A29" s="1">
        <v>27.0</v>
      </c>
      <c r="B29" s="3" t="s">
        <v>30</v>
      </c>
      <c r="C29" s="3" t="str">
        <f>IFERROR(__xludf.DUMMYFUNCTION("GOOGLETRANSLATE(B29,""id"",""en"")"),"['users',' Telkomsel ',' SMP ',' Pass', 'Lecture', 'Use', 'Telkomsel', 'Card', 'Telkomsel', 'Time', 'Lely', 'Sinyal', ' Normal ',' times', 'buy', 'quota', 'lapse', 'youtube', 'submit', 'complaint', 'call', 'center', 'Telkomsel', 'suggest', 'do' , 'quota',"&amp;" 'youtubenya', 'disappointed', 'SMA', 'Telkomsel', 'then', 'address', 'replace', 'card', '']")</f>
        <v>['users',' Telkomsel ',' SMP ',' Pass', 'Lecture', 'Use', 'Telkomsel', 'Card', 'Telkomsel', 'Time', 'Lely', 'Sinyal', ' Normal ',' times', 'buy', 'quota', 'lapse', 'youtube', 'submit', 'complaint', 'call', 'center', 'Telkomsel', 'suggest', 'do' , 'quota', 'youtubenya', 'disappointed', 'SMA', 'Telkomsel', 'then', 'address', 'replace', 'card', '']</v>
      </c>
      <c r="D29" s="3">
        <v>1.0</v>
      </c>
    </row>
    <row r="30" ht="15.75" customHeight="1">
      <c r="A30" s="1">
        <v>28.0</v>
      </c>
      <c r="B30" s="3" t="s">
        <v>31</v>
      </c>
      <c r="C30" s="3" t="str">
        <f>IFERROR(__xludf.DUMMYFUNCTION("GOOGLETRANSLATE(B30,""id"",""en"")"),"['use', 'card', 'Hallo', 'mandatory', 'pay', 'signal', 'lost', 'bill', 'mandatory', 'pay', 'convenience', 'consumer', ' specifically ',' Aceh ',' southeast ',' rain ',' a little ',' signal ',' die ',' for a while ',' Se Selat ',' Live ',' telephone ', ""]")</f>
        <v>['use', 'card', 'Hallo', 'mandatory', 'pay', 'signal', 'lost', 'bill', 'mandatory', 'pay', 'convenience', 'consumer', ' specifically ',' Aceh ',' southeast ',' rain ',' a little ',' signal ',' die ',' for a while ',' Se Selat ',' Live ',' telephone ', "]</v>
      </c>
      <c r="D30" s="3">
        <v>1.0</v>
      </c>
    </row>
    <row r="31" ht="15.75" customHeight="1">
      <c r="A31" s="1">
        <v>29.0</v>
      </c>
      <c r="B31" s="3" t="s">
        <v>32</v>
      </c>
      <c r="C31" s="3" t="str">
        <f>IFERROR(__xludf.DUMMYFUNCTION("GOOGLETRANSLATE(B31,""id"",""en"")"),"['Performance', 'Customer', 'Service', 'Bad', 'Center', 'Help', 'Chat', 'Replied', 'Left', 'Clock', 'Reply', 'Performance', ' Officials', 'Telkomsel', 'Leading', 'Child', 'Fruit', 'hope', 'backward', 'just']")</f>
        <v>['Performance', 'Customer', 'Service', 'Bad', 'Center', 'Help', 'Chat', 'Replied', 'Left', 'Clock', 'Reply', 'Performance', ' Officials', 'Telkomsel', 'Leading', 'Child', 'Fruit', 'hope', 'backward', 'just']</v>
      </c>
      <c r="D31" s="3">
        <v>1.0</v>
      </c>
    </row>
    <row r="32" ht="15.75" customHeight="1">
      <c r="A32" s="1">
        <v>30.0</v>
      </c>
      <c r="B32" s="3" t="s">
        <v>33</v>
      </c>
      <c r="C32" s="3" t="str">
        <f>IFERROR(__xludf.DUMMYFUNCTION("GOOGLETRANSLATE(B32,""id"",""en"")"),"['Lucky', 'how', 'Alhamdulillah', 'aspects',' network ',' my APK ',' okay ',' already ',' use ',' card ',' yellow ',' sblh ',' Indo ',' good ',' network ',' Dri ',' krtunya ',' upgrade ',' jdi ',' smooth ',' price ',' quota ',' my apk ',' affordable ',' r"&amp;"eally ' , '']")</f>
        <v>['Lucky', 'how', 'Alhamdulillah', 'aspects',' network ',' my APK ',' okay ',' already ',' use ',' card ',' yellow ',' sblh ',' Indo ',' good ',' network ',' Dri ',' krtunya ',' upgrade ',' jdi ',' smooth ',' price ',' quota ',' my apk ',' affordable ',' really ' , '']</v>
      </c>
      <c r="D32" s="3">
        <v>5.0</v>
      </c>
    </row>
    <row r="33" ht="15.75" customHeight="1">
      <c r="A33" s="1">
        <v>31.0</v>
      </c>
      <c r="B33" s="3" t="s">
        <v>34</v>
      </c>
      <c r="C33" s="3" t="str">
        <f>IFERROR(__xludf.DUMMYFUNCTION("GOOGLETRANSLATE(B33,""id"",""en"")"),"['Sis',' please ',' help ',' number ',' block ',' UDH ',' Siin ',' pulse ',' how ',' number ',' activate it ',' account ',' Bank ',' connected ',' number ',' number ']")</f>
        <v>['Sis',' please ',' help ',' number ',' block ',' UDH ',' Siin ',' pulse ',' how ',' number ',' activate it ',' account ',' Bank ',' connected ',' number ',' number ']</v>
      </c>
      <c r="D33" s="3">
        <v>4.0</v>
      </c>
    </row>
    <row r="34" ht="15.75" customHeight="1">
      <c r="A34" s="1">
        <v>32.0</v>
      </c>
      <c r="B34" s="3" t="s">
        <v>35</v>
      </c>
      <c r="C34" s="3" t="str">
        <f>IFERROR(__xludf.DUMMYFUNCTION("GOOGLETRANSLATE(B34,""id"",""en"")"),"['Input', 'Telkomsel', 'please', 'repaired', 'network', 'internet', 'at the time', 'noon', 'maghrib', 'network', 'buy', 'expensive', ' expensive ',' obstacles', 'people', 'users',' Telkomsel ',' please ',' direct ',' respond ',' complaints', 'people', 'pe"&amp;"ople', ""]")</f>
        <v>['Input', 'Telkomsel', 'please', 'repaired', 'network', 'internet', 'at the time', 'noon', 'maghrib', 'network', 'buy', 'expensive', ' expensive ',' obstacles', 'people', 'users',' Telkomsel ',' please ',' direct ',' respond ',' complaints', 'people', 'people', "]</v>
      </c>
      <c r="D34" s="3">
        <v>1.0</v>
      </c>
    </row>
    <row r="35" ht="15.75" customHeight="1">
      <c r="A35" s="1">
        <v>33.0</v>
      </c>
      <c r="B35" s="3" t="s">
        <v>36</v>
      </c>
      <c r="C35" s="3" t="str">
        <f>IFERROR(__xludf.DUMMYFUNCTION("GOOGLETRANSLATE(B35,""id"",""en"")"),"['APK', 'Good', 'Fan', 'Useful', 'APK', 'Help', 'MngeSisi', 'Data', 'Panting', 'Application', 'Profitable', 'Thank you', ' Application ',' Help ']")</f>
        <v>['APK', 'Good', 'Fan', 'Useful', 'APK', 'Help', 'MngeSisi', 'Data', 'Panting', 'Application', 'Profitable', 'Thank you', ' Application ',' Help ']</v>
      </c>
      <c r="D35" s="3">
        <v>5.0</v>
      </c>
    </row>
    <row r="36" ht="15.75" customHeight="1">
      <c r="A36" s="1">
        <v>34.0</v>
      </c>
      <c r="B36" s="3" t="s">
        <v>37</v>
      </c>
      <c r="C36" s="3" t="str">
        <f>IFERROR(__xludf.DUMMYFUNCTION("GOOGLETRANSLATE(B36,""id"",""en"")"),"['Please', 'Sorry', 'Please', 'Repaired', 'Buy', 'Package', 'Internet', 'Credit', 'Choice', 'Package', 'Internet']")</f>
        <v>['Please', 'Sorry', 'Please', 'Repaired', 'Buy', 'Package', 'Internet', 'Credit', 'Choice', 'Package', 'Internet']</v>
      </c>
      <c r="D36" s="3">
        <v>5.0</v>
      </c>
    </row>
    <row r="37" ht="15.75" customHeight="1">
      <c r="A37" s="1">
        <v>35.0</v>
      </c>
      <c r="B37" s="3" t="s">
        <v>38</v>
      </c>
      <c r="C37" s="3" t="str">
        <f>IFERROR(__xludf.DUMMYFUNCTION("GOOGLETRANSLATE(B37,""id"",""en"")"),"['Credit', 'like', 'Cut', 'Abis',' Dipake ',' SMS ',' TLPON ',' Internet ',' Etc. ',' MOTH ',' Credit ',' Kek ',' Theft ',' ']")</f>
        <v>['Credit', 'like', 'Cut', 'Abis',' Dipake ',' SMS ',' TLPON ',' Internet ',' Etc. ',' MOTH ',' Credit ',' Kek ',' Theft ',' ']</v>
      </c>
      <c r="D37" s="3">
        <v>1.0</v>
      </c>
    </row>
    <row r="38" ht="15.75" customHeight="1">
      <c r="A38" s="1">
        <v>36.0</v>
      </c>
      <c r="B38" s="3" t="s">
        <v>39</v>
      </c>
      <c r="C38" s="3" t="str">
        <f>IFERROR(__xludf.DUMMYFUNCTION("GOOGLETRANSLATE(B38,""id"",""en"")"),"['Understand', 'Telkomsel', 'Paketan', 'Medsos',' Tiktok ',' Enter ',' Category ',' Multimedia ',' Open ',' Medsos', 'Tiktok', 'Quota', ' Sucked ',' quota ',' Kekeke ',' quota ',' main ',' use ',' package ',' Helooo ',' already ',' a year ',' the network "&amp;"',' slow ',' severe ' , 'ugly', 'really', 'Telkomsel']")</f>
        <v>['Understand', 'Telkomsel', 'Paketan', 'Medsos',' Tiktok ',' Enter ',' Category ',' Multimedia ',' Open ',' Medsos', 'Tiktok', 'Quota', ' Sucked ',' quota ',' Kekeke ',' quota ',' main ',' use ',' package ',' Helooo ',' already ',' a year ',' the network ',' slow ',' severe ' , 'ugly', 'really', 'Telkomsel']</v>
      </c>
      <c r="D38" s="3">
        <v>2.0</v>
      </c>
    </row>
    <row r="39" ht="15.75" customHeight="1">
      <c r="A39" s="1">
        <v>37.0</v>
      </c>
      <c r="B39" s="3" t="s">
        <v>40</v>
      </c>
      <c r="C39" s="3" t="str">
        <f>IFERROR(__xludf.DUMMYFUNCTION("GOOGLETRANSLATE(B39,""id"",""en"")"),"['', 'officials',' workers', 'business',' owned ',' state ',' try ',' look ',' quality ',' network ',' Telkomsel ',' Please ',' responded ',' Overcome ',' complaints', 'Customer', '']")</f>
        <v>['', 'officials',' workers', 'business',' owned ',' state ',' try ',' look ',' quality ',' network ',' Telkomsel ',' Please ',' responded ',' Overcome ',' complaints', 'Customer', '']</v>
      </c>
      <c r="D39" s="3">
        <v>1.0</v>
      </c>
    </row>
    <row r="40" ht="15.75" customHeight="1">
      <c r="A40" s="1">
        <v>38.0</v>
      </c>
      <c r="B40" s="3" t="s">
        <v>41</v>
      </c>
      <c r="C40" s="3" t="str">
        <f>IFERROR(__xludf.DUMMYFUNCTION("GOOGLETRANSLATE(B40,""id"",""en"")"),"['Updated', 'Log', 'Sent', 'Link', 'Log', 'Turn', 'Click', 'Link', 'Expiration', 'Keepss',' Please ',' Info ',' ']")</f>
        <v>['Updated', 'Log', 'Sent', 'Link', 'Log', 'Turn', 'Click', 'Link', 'Expiration', 'Keepss',' Please ',' Info ',' ']</v>
      </c>
      <c r="D40" s="3">
        <v>1.0</v>
      </c>
    </row>
    <row r="41" ht="15.75" customHeight="1">
      <c r="A41" s="1">
        <v>39.0</v>
      </c>
      <c r="B41" s="3" t="s">
        <v>42</v>
      </c>
      <c r="C41" s="3" t="str">
        <f>IFERROR(__xludf.DUMMYFUNCTION("GOOGLETRANSLATE(B41,""id"",""en"")"),"['Love', 'Bintang', 'Application', 'Sebel', 'Network', 'Already', 'Buy', 'Quota', 'Expensive', 'Network', 'Kayak', 'Provider', ' Play ',' Game ',' Online ',' get ',' ping ',' price ',' quota ',' expensive ',' network ',' ugly ',' that's', 'Worth', 'Please"&amp;"' , 'Telkomsel', 'please', 'fix', 'shortcomings', 'comment', 'sosmed', 'Telkomsel', 'response', 'email', 'Telkomsel', 'hopefully', 'ahead' thank you']")</f>
        <v>['Love', 'Bintang', 'Application', 'Sebel', 'Network', 'Already', 'Buy', 'Quota', 'Expensive', 'Network', 'Kayak', 'Provider', ' Play ',' Game ',' Online ',' get ',' ping ',' price ',' quota ',' expensive ',' network ',' ugly ',' that's', 'Worth', 'Please' , 'Telkomsel', 'please', 'fix', 'shortcomings', 'comment', 'sosmed', 'Telkomsel', 'response', 'email', 'Telkomsel', 'hopefully', 'ahead' thank you']</v>
      </c>
      <c r="D41" s="3">
        <v>1.0</v>
      </c>
    </row>
    <row r="42" ht="15.75" customHeight="1">
      <c r="A42" s="1">
        <v>40.0</v>
      </c>
      <c r="B42" s="3" t="s">
        <v>43</v>
      </c>
      <c r="C42" s="3" t="str">
        <f>IFERROR(__xludf.DUMMYFUNCTION("GOOGLETRANSLATE(B42,""id"",""en"")"),"['Hello', 'wrong', 'user', 'MyTelkomsel', 'already', 'experience', 'get', 'satisfying', 'App', 'expect', 'app', 'have', ' Features', 'Lock', 'Button', 'Lock', 'Credit', 'Used', 'Service', 'Non', 'Package', 'Docked', 'Phone', 'SMS', 'Data' , 'Service', 'ho"&amp;"pe', 'MyTelkomsel', 'read', 'realize', 'my hope', 'user', 'mind', 'thank you']")</f>
        <v>['Hello', 'wrong', 'user', 'MyTelkomsel', 'already', 'experience', 'get', 'satisfying', 'App', 'expect', 'app', 'have', ' Features', 'Lock', 'Button', 'Lock', 'Credit', 'Used', 'Service', 'Non', 'Package', 'Docked', 'Phone', 'SMS', 'Data' , 'Service', 'hope', 'MyTelkomsel', 'read', 'realize', 'my hope', 'user', 'mind', 'thank you']</v>
      </c>
      <c r="D42" s="3">
        <v>5.0</v>
      </c>
    </row>
    <row r="43" ht="15.75" customHeight="1">
      <c r="A43" s="1">
        <v>41.0</v>
      </c>
      <c r="B43" s="3" t="s">
        <v>44</v>
      </c>
      <c r="C43" s="3" t="str">
        <f>IFERROR(__xludf.DUMMYFUNCTION("GOOGLETRANSLATE(B43,""id"",""en"")"),"['', 'God', 'times',' Lho ',' Telkomsel ',' Gemana ',' pulses', 'She', 'data', 'package', 'internet', 'buy', 'internet ',' cheerful ',' no ',' ACC ',' credit ',' reduced ',' contents', 'buy', 'cheerful', 'kog', 'tetep', 'no', 'diacc', 'Credit', 'Reduced',"&amp;" 'Ampe', 'Live', 'Gegara', 'Kekeke', 'Data', 'Internet', 'There', 'Package', 'Interne', 'Square', 'Customer ', 'crazy', '']")</f>
        <v>['', 'God', 'times',' Lho ',' Telkomsel ',' Gemana ',' pulses', 'She', 'data', 'package', 'internet', 'buy', 'internet ',' cheerful ',' no ',' ACC ',' credit ',' reduced ',' contents', 'buy', 'cheerful', 'kog', 'tetep', 'no', 'diacc', 'Credit', 'Reduced', 'Ampe', 'Live', 'Gegara', 'Kekeke', 'Data', 'Internet', 'There', 'Package', 'Interne', 'Square', 'Customer ', 'crazy', '']</v>
      </c>
      <c r="D43" s="3">
        <v>1.0</v>
      </c>
    </row>
    <row r="44" ht="15.75" customHeight="1">
      <c r="A44" s="1">
        <v>42.0</v>
      </c>
      <c r="B44" s="3" t="s">
        <v>45</v>
      </c>
      <c r="C44" s="3" t="str">
        <f>IFERROR(__xludf.DUMMYFUNCTION("GOOGLETRANSLATE(B44,""id"",""en"")"),"['Display', 'update', 'ugly', 'contrast', 'font', 'thick', 'pointed', 'in the eyes',' network ',' Maleber ',' Bandung ',' fix ',' Lost ',' Smartfreen ',' ']")</f>
        <v>['Display', 'update', 'ugly', 'contrast', 'font', 'thick', 'pointed', 'in the eyes',' network ',' Maleber ',' Bandung ',' fix ',' Lost ',' Smartfreen ',' ']</v>
      </c>
      <c r="D44" s="3">
        <v>1.0</v>
      </c>
    </row>
    <row r="45" ht="15.75" customHeight="1">
      <c r="A45" s="1">
        <v>43.0</v>
      </c>
      <c r="B45" s="3" t="s">
        <v>46</v>
      </c>
      <c r="C45" s="3" t="str">
        <f>IFERROR(__xludf.DUMMYFUNCTION("GOOGLETRANSLATE(B45,""id"",""en"")"),"['APK', 'update', 'newest', 'just', 'as often as', 'update', 'good']")</f>
        <v>['APK', 'update', 'newest', 'just', 'as often as', 'update', 'good']</v>
      </c>
      <c r="D45" s="3">
        <v>2.0</v>
      </c>
    </row>
    <row r="46" ht="15.75" customHeight="1">
      <c r="A46" s="1">
        <v>44.0</v>
      </c>
      <c r="B46" s="3" t="s">
        <v>47</v>
      </c>
      <c r="C46" s="3" t="str">
        <f>IFERROR(__xludf.DUMMYFUNCTION("GOOGLETRANSLATE(B46,""id"",""en"")"),"['admin', 'suggestion', 'quota', 'run out', 'buy', 'quota', 'telkomsel', 'bother', 'code', 'dial', 'mending', 'free', ' specifically ',' application ',' Telkomsel ',' Season ',' right ',' run out ',' quota ',' buy ',' application ',' hope ',' in the futur"&amp;"e ']")</f>
        <v>['admin', 'suggestion', 'quota', 'run out', 'buy', 'quota', 'telkomsel', 'bother', 'code', 'dial', 'mending', 'free', ' specifically ',' application ',' Telkomsel ',' Season ',' right ',' run out ',' quota ',' buy ',' application ',' hope ',' in the future ']</v>
      </c>
      <c r="D46" s="3">
        <v>5.0</v>
      </c>
    </row>
    <row r="47" ht="15.75" customHeight="1">
      <c r="A47" s="1">
        <v>45.0</v>
      </c>
      <c r="B47" s="3" t="s">
        <v>48</v>
      </c>
      <c r="C47" s="3" t="str">
        <f>IFERROR(__xludf.DUMMYFUNCTION("GOOGLETRANSLATE(B47,""id"",""en"")"),"['wow', 'expensive', 'price', 'super', 'strangling', 'change', 'logo', 'package', 'change', 'affordable', 'so', 'separated', ' separate ',' package ',' unlimited ',' mah ',' populat ',' really ',' Eid ',' yesterday ',' price ',' package ',' replace ',' lo"&amp;"go ',' said ' , 'really', 'price', 'affordable', 'circles', 'down', 'replace', 'next door', 'bye', 'bye', '']")</f>
        <v>['wow', 'expensive', 'price', 'super', 'strangling', 'change', 'logo', 'package', 'change', 'affordable', 'so', 'separated', ' separate ',' package ',' unlimited ',' mah ',' populat ',' really ',' Eid ',' yesterday ',' price ',' package ',' replace ',' logo ',' said ' , 'really', 'price', 'affordable', 'circles', 'down', 'replace', 'next door', 'bye', 'bye', '']</v>
      </c>
      <c r="D47" s="3">
        <v>1.0</v>
      </c>
    </row>
    <row r="48" ht="15.75" customHeight="1">
      <c r="A48" s="1">
        <v>46.0</v>
      </c>
      <c r="B48" s="3" t="s">
        <v>49</v>
      </c>
      <c r="C48" s="3" t="str">
        <f>IFERROR(__xludf.DUMMYFUNCTION("GOOGLETRANSLATE(B48,""id"",""en"")"),"['buy', 'package', 'cheerful', 'Telkomsel', 'purchase', 'process',' enter ',' enter ',' already ',' hour ',' wait ',' already ',' reset ',' times', 'buy', 'enter', 'how', '']")</f>
        <v>['buy', 'package', 'cheerful', 'Telkomsel', 'purchase', 'process',' enter ',' enter ',' already ',' hour ',' wait ',' already ',' reset ',' times', 'buy', 'enter', 'how', '']</v>
      </c>
      <c r="D48" s="3">
        <v>1.0</v>
      </c>
    </row>
    <row r="49" ht="15.75" customHeight="1">
      <c r="A49" s="1">
        <v>47.0</v>
      </c>
      <c r="B49" s="3" t="s">
        <v>50</v>
      </c>
      <c r="C49" s="3" t="str">
        <f>IFERROR(__xludf.DUMMYFUNCTION("GOOGLETRANSLATE(B49,""id"",""en"")"),"['Ngebug', 'Claim', 'Dayli', 'Check', 'Already', 'That's', 'Move', 'Claim', 'Please', 'Fix', 'Network', ""]")</f>
        <v>['Ngebug', 'Claim', 'Dayli', 'Check', 'Already', 'That's', 'Move', 'Claim', 'Please', 'Fix', 'Network', "]</v>
      </c>
      <c r="D49" s="3">
        <v>1.0</v>
      </c>
    </row>
    <row r="50" ht="15.75" customHeight="1">
      <c r="A50" s="1">
        <v>48.0</v>
      </c>
      <c r="B50" s="3" t="s">
        <v>51</v>
      </c>
      <c r="C50" s="3" t="str">
        <f>IFERROR(__xludf.DUMMYFUNCTION("GOOGLETRANSLATE(B50,""id"",""en"")"),"['complain', 'charging', 'pulse', 'enter', 'notification', 'sms', 'code', 'harmed', 'please', ""]")</f>
        <v>['complain', 'charging', 'pulse', 'enter', 'notification', 'sms', 'code', 'harmed', 'please', "]</v>
      </c>
      <c r="D50" s="3">
        <v>1.0</v>
      </c>
    </row>
    <row r="51" ht="15.75" customHeight="1">
      <c r="A51" s="1">
        <v>49.0</v>
      </c>
      <c r="B51" s="3" t="s">
        <v>52</v>
      </c>
      <c r="C51" s="3" t="str">
        <f>IFERROR(__xludf.DUMMYFUNCTION("GOOGLETRANSLATE(B51,""id"",""en"")"),"['Application', 'Latest', 'Telkomsel', 'Effective', 'Promos',' Interesting ',' Shopping ',' Package ',' Ribet ',' Thanks', 'Telkomsel', 'User', ' Telkomsel ',' loyal ',' thank ',' love ',' Telkomsel ']")</f>
        <v>['Application', 'Latest', 'Telkomsel', 'Effective', 'Promos',' Interesting ',' Shopping ',' Package ',' Ribet ',' Thanks', 'Telkomsel', 'User', ' Telkomsel ',' loyal ',' thank ',' love ',' Telkomsel ']</v>
      </c>
      <c r="D51" s="3">
        <v>5.0</v>
      </c>
    </row>
    <row r="52" ht="15.75" customHeight="1">
      <c r="A52" s="1">
        <v>50.0</v>
      </c>
      <c r="B52" s="3" t="s">
        <v>53</v>
      </c>
      <c r="C52" s="3" t="str">
        <f>IFERROR(__xludf.DUMMYFUNCTION("GOOGLETRANSLATE(B52,""id"",""en"")"),"['Telkomsel', 'Indonesia', 'respect', 'customers',' loyal ',' products', 'benefits',' obtained ',' service ',' disturbing ',' nation ',' Indonesia ',' Proud of ',' Language ',' Indonesia ',' Unfortunately ',' Menu ',' Service ',' Application ',' Telkomsel"&amp;" ',' Language ',' English ',' Customer ',' Indonesia ',' People ' , 'Indonesia', 'People', 'Europe', 'America', 'Please', 'Change', 'Menu', 'Language', 'Indonesia', 'Thank you', ""]")</f>
        <v>['Telkomsel', 'Indonesia', 'respect', 'customers',' loyal ',' products', 'benefits',' obtained ',' service ',' disturbing ',' nation ',' Indonesia ',' Proud of ',' Language ',' Indonesia ',' Unfortunately ',' Menu ',' Service ',' Application ',' Telkomsel ',' Language ',' English ',' Customer ',' Indonesia ',' People ' , 'Indonesia', 'People', 'Europe', 'America', 'Please', 'Change', 'Menu', 'Language', 'Indonesia', 'Thank you', "]</v>
      </c>
      <c r="D52" s="3">
        <v>1.0</v>
      </c>
    </row>
    <row r="53" ht="15.75" customHeight="1">
      <c r="A53" s="1">
        <v>51.0</v>
      </c>
      <c r="B53" s="3" t="s">
        <v>54</v>
      </c>
      <c r="C53" s="3" t="str">
        <f>IFERROR(__xludf.DUMMYFUNCTION("GOOGLETRANSLATE(B53,""id"",""en"")"),"['version', 'the latest', 'times',' interrupted ',' convenient ',' logout ',' write ',' number ',' keyboard ',' switch ',' display ',' number ',' Click ',' Direct ',' Switch ',' letter ',' letter ',' write ',' number ',' written ',' disturbing ',' Please "&amp;"',' repaired ',' thank you ', ""]")</f>
        <v>['version', 'the latest', 'times',' interrupted ',' convenient ',' logout ',' write ',' number ',' keyboard ',' switch ',' display ',' number ',' Click ',' Direct ',' Switch ',' letter ',' letter ',' write ',' number ',' written ',' disturbing ',' Please ',' repaired ',' thank you ', "]</v>
      </c>
      <c r="D53" s="3">
        <v>1.0</v>
      </c>
    </row>
    <row r="54" ht="15.75" customHeight="1">
      <c r="A54" s="1">
        <v>52.0</v>
      </c>
      <c r="B54" s="3" t="s">
        <v>55</v>
      </c>
      <c r="C54" s="3" t="str">
        <f>IFERROR(__xludf.DUMMYFUNCTION("GOOGLETRANSLATE(B54,""id"",""en"")"),"['Buy', 'Vocer', 'Internet', 'OMG', 'thousand', 'Internet', 'Basic', 'Internet', 'Unlimetid', 'Games',' YouTube ',' etc. ',' run out ',' quata ',' main ',' mistak ',' internet ',' unlimitid ',' slow ',' sek ',' snail ',' youtube ',' muter ',' muter ',' do"&amp;"ang ' , 'BNYAK', 'HOAX', 'Open', 'YouTube', 'LODING', 'MULU', 'Promise', 'suits', 'Signal', 'Best', 'Prett', ""]")</f>
        <v>['Buy', 'Vocer', 'Internet', 'OMG', 'thousand', 'Internet', 'Basic', 'Internet', 'Unlimetid', 'Games',' YouTube ',' etc. ',' run out ',' quata ',' main ',' mistak ',' internet ',' unlimitid ',' slow ',' sek ',' snail ',' youtube ',' muter ',' muter ',' doang ' , 'BNYAK', 'HOAX', 'Open', 'YouTube', 'LODING', 'MULU', 'Promise', 'suits', 'Signal', 'Best', 'Prett', "]</v>
      </c>
      <c r="D54" s="3">
        <v>1.0</v>
      </c>
    </row>
    <row r="55" ht="15.75" customHeight="1">
      <c r="A55" s="1">
        <v>53.0</v>
      </c>
      <c r="B55" s="3" t="s">
        <v>56</v>
      </c>
      <c r="C55" s="3" t="str">
        <f>IFERROR(__xludf.DUMMYFUNCTION("GOOGLETRANSLATE(B55,""id"",""en"")"),"['Application', 'Corruption', 'Current', 'The network', 'already', 'Kek', 'Sometimes',' Pakek ',' Watch ',' YouTube ',' Wait ',' Clock ',' Kalok ',' Kek ',' Gini ',' Moving ',' Network ',' Ngelaporin ',' Application ',' Corruption ',' ']")</f>
        <v>['Application', 'Corruption', 'Current', 'The network', 'already', 'Kek', 'Sometimes',' Pakek ',' Watch ',' YouTube ',' Wait ',' Clock ',' Kalok ',' Kek ',' Gini ',' Moving ',' Network ',' Ngelaporin ',' Application ',' Corruption ',' ']</v>
      </c>
      <c r="D55" s="3">
        <v>1.0</v>
      </c>
    </row>
    <row r="56" ht="15.75" customHeight="1">
      <c r="A56" s="1">
        <v>54.0</v>
      </c>
      <c r="B56" s="3" t="s">
        <v>57</v>
      </c>
      <c r="C56" s="3" t="str">
        <f>IFERROR(__xludf.DUMMYFUNCTION("GOOGLETRANSLATE(B56,""id"",""en"")"),"['Credit', 'Cut', 'Mulu', 'Even', 'Pas',' Check ',' Live ',' Over ',' Packagein ',' Data ',' Telkomsel ',' WiFi ',' ']")</f>
        <v>['Credit', 'Cut', 'Mulu', 'Even', 'Pas',' Check ',' Live ',' Over ',' Packagein ',' Data ',' Telkomsel ',' WiFi ',' ']</v>
      </c>
      <c r="D56" s="3">
        <v>2.0</v>
      </c>
    </row>
    <row r="57" ht="15.75" customHeight="1">
      <c r="A57" s="1">
        <v>55.0</v>
      </c>
      <c r="B57" s="3" t="s">
        <v>58</v>
      </c>
      <c r="C57" s="3" t="str">
        <f>IFERROR(__xludf.DUMMYFUNCTION("GOOGLETRANSLATE(B57,""id"",""en"")"),"['Severe', 'network', 'internet', 'buy', 'quota', 'expensive', 'tetep', 'ajah', 'slow', 'watch', 'youtube', 'resolution', ' Doang ',' and then ',' loading ',' many ',' ']")</f>
        <v>['Severe', 'network', 'internet', 'buy', 'quota', 'expensive', 'tetep', 'ajah', 'slow', 'watch', 'youtube', 'resolution', ' Doang ',' and then ',' loading ',' many ',' ']</v>
      </c>
      <c r="D57" s="3">
        <v>1.0</v>
      </c>
    </row>
    <row r="58" ht="15.75" customHeight="1">
      <c r="A58" s="1">
        <v>56.0</v>
      </c>
      <c r="B58" s="3" t="s">
        <v>59</v>
      </c>
      <c r="C58" s="3" t="str">
        <f>IFERROR(__xludf.DUMMYFUNCTION("GOOGLETRANSLATE(B58,""id"",""en"")"),"['haduhhh', 'contents',' pulse ',' list ',' quota ',' internet ',' right ',' list ',' pulse ',' finished ',' quota ',' no ',' Enter ',' entered ',' problematic ',' as', 'Telkomsel', 'detrimental', 'dahlah', 'replace', 'card', 'change', 'loss',' harm ',' c"&amp;"ommunity ' , 'no', 'card', 'problematic', 'please', 'fix', 'replace', 'pulse', '']")</f>
        <v>['haduhhh', 'contents',' pulse ',' list ',' quota ',' internet ',' right ',' list ',' pulse ',' finished ',' quota ',' no ',' Enter ',' entered ',' problematic ',' as', 'Telkomsel', 'detrimental', 'dahlah', 'replace', 'card', 'change', 'loss',' harm ',' community ' , 'no', 'card', 'problematic', 'please', 'fix', 'replace', 'pulse', '']</v>
      </c>
      <c r="D58" s="3">
        <v>1.0</v>
      </c>
    </row>
    <row r="59" ht="15.75" customHeight="1">
      <c r="A59" s="1">
        <v>57.0</v>
      </c>
      <c r="B59" s="3" t="s">
        <v>60</v>
      </c>
      <c r="C59" s="3" t="str">
        <f>IFERROR(__xludf.DUMMYFUNCTION("GOOGLETRANSLATE(B59,""id"",""en"")"),"['already', 'disappointed', 'Telkomsel', 'signal', 'already', 'disorder', 'application', 'already', 'update', 'ngk', 'open', 'application', ' cave ',' see ',' leftover ',' package ',' cave ',' stay ',' active ',' package ',' until ',' oath ',' right ',' d"&amp;"isappointed ',' Telkomsel ' , '']")</f>
        <v>['already', 'disappointed', 'Telkomsel', 'signal', 'already', 'disorder', 'application', 'already', 'update', 'ngk', 'open', 'application', ' cave ',' see ',' leftover ',' package ',' cave ',' stay ',' active ',' package ',' until ',' oath ',' right ',' disappointed ',' Telkomsel ' , '']</v>
      </c>
      <c r="D59" s="3">
        <v>1.0</v>
      </c>
    </row>
    <row r="60" ht="15.75" customHeight="1">
      <c r="A60" s="1">
        <v>58.0</v>
      </c>
      <c r="B60" s="3" t="s">
        <v>61</v>
      </c>
      <c r="C60" s="3" t="str">
        <f>IFERROR(__xludf.DUMMYFUNCTION("GOOGLETRANSLATE(B60,""id"",""en"")"),"['signal', 'anjjjj', 'ngeleg', 'kagak', 'gplk', 'really', 'telkomsel', 'kntle', 'mending', 'use', 'ngeleg', 'kagak', ' apparatanss', 'repaired', '']")</f>
        <v>['signal', 'anjjjj', 'ngeleg', 'kagak', 'gplk', 'really', 'telkomsel', 'kntle', 'mending', 'use', 'ngeleg', 'kagak', ' apparatanss', 'repaired', '']</v>
      </c>
      <c r="D60" s="3">
        <v>1.0</v>
      </c>
    </row>
    <row r="61" ht="15.75" customHeight="1">
      <c r="A61" s="1">
        <v>59.0</v>
      </c>
      <c r="B61" s="3" t="s">
        <v>62</v>
      </c>
      <c r="C61" s="3" t="str">
        <f>IFERROR(__xludf.DUMMYFUNCTION("GOOGLETRANSLATE(B61,""id"",""en"")"),"['Tsel', 'please', 'already', 'quota', 'gag', 'suck', 'pulse', 'dunk', 'use', 'buy', 'quota', 'expensive', ' Credit ',' Embat ',' Steal ',' Nie ',' Looks', 'little', 'Taken', 'Not bad', 'Heeeehhh', 'Gedek', ""]")</f>
        <v>['Tsel', 'please', 'already', 'quota', 'gag', 'suck', 'pulse', 'dunk', 'use', 'buy', 'quota', 'expensive', ' Credit ',' Embat ',' Steal ',' Nie ',' Looks', 'little', 'Taken', 'Not bad', 'Heeeehhh', 'Gedek', "]</v>
      </c>
      <c r="D61" s="3">
        <v>1.0</v>
      </c>
    </row>
    <row r="62" ht="15.75" customHeight="1">
      <c r="A62" s="1">
        <v>60.0</v>
      </c>
      <c r="B62" s="3" t="s">
        <v>63</v>
      </c>
      <c r="C62" s="3" t="str">
        <f>IFERROR(__xludf.DUMMYFUNCTION("GOOGLETRANSLATE(B62,""id"",""en"")"),"['Please', 'Gloom', 'Package', 'Internet', 'Provider', 'Pandemi', 'Covid', 'Telkomsel', 'Lovery', 'Help', 'Information', 'World', ' ']")</f>
        <v>['Please', 'Gloom', 'Package', 'Internet', 'Provider', 'Pandemi', 'Covid', 'Telkomsel', 'Lovery', 'Help', 'Information', 'World', ' ']</v>
      </c>
      <c r="D62" s="3">
        <v>5.0</v>
      </c>
    </row>
    <row r="63" ht="15.75" customHeight="1">
      <c r="A63" s="1">
        <v>61.0</v>
      </c>
      <c r="B63" s="3" t="s">
        <v>64</v>
      </c>
      <c r="C63" s="3" t="str">
        <f>IFERROR(__xludf.DUMMYFUNCTION("GOOGLETRANSLATE(B63,""id"",""en"")"),"['Please', 'manager', 'Telkomsel', 'please', 'as soon as possible', 'repaired', 'the application', 'times',' buy ',' package ',' fail ',' Notifications', 'Process',' Honest ',' Disappointed ',' Application ',' Updated ',' Nambah ',' Karuan ', ""]")</f>
        <v>['Please', 'manager', 'Telkomsel', 'please', 'as soon as possible', 'repaired', 'the application', 'times',' buy ',' package ',' fail ',' Notifications', 'Process',' Honest ',' Disappointed ',' Application ',' Updated ',' Nambah ',' Karuan ', "]</v>
      </c>
      <c r="D63" s="3">
        <v>1.0</v>
      </c>
    </row>
    <row r="64" ht="15.75" customHeight="1">
      <c r="A64" s="1">
        <v>62.0</v>
      </c>
      <c r="B64" s="3" t="s">
        <v>65</v>
      </c>
      <c r="C64" s="3" t="str">
        <f>IFERROR(__xludf.DUMMYFUNCTION("GOOGLETRANSLATE(B64,""id"",""en"")"),"['Network', 'Worst', 'Indonesia', 'Name', 'Ngegame', 'Ping', 'Red', 'Yutub', 'Buffering', 'Mulu', 'NGK', 'Worth', ' Very ',' Mending ',' Network ',' Private ']")</f>
        <v>['Network', 'Worst', 'Indonesia', 'Name', 'Ngegame', 'Ping', 'Red', 'Yutub', 'Buffering', 'Mulu', 'NGK', 'Worth', ' Very ',' Mending ',' Network ',' Private ']</v>
      </c>
      <c r="D64" s="3">
        <v>1.0</v>
      </c>
    </row>
    <row r="65" ht="15.75" customHeight="1">
      <c r="A65" s="1">
        <v>63.0</v>
      </c>
      <c r="B65" s="3" t="s">
        <v>66</v>
      </c>
      <c r="C65" s="3" t="str">
        <f>IFERROR(__xludf.DUMMYFUNCTION("GOOGLETRANSLATE(B65,""id"",""en"")"),"['Already', 'Thank you', 'Telkomael', 'Customer', 'loyal', 'Price', 'Pandemic', 'Rich', 'Gini', 'Use', 'Telkomsel', 'Move', ' operator ',' next door ',' stable ',' price ',' please ',' enjoy ',' loyal ',' Telkomsel ',' congratulations', 'poor', 'loyal', '"&amp;"Telkomsel', ""]")</f>
        <v>['Already', 'Thank you', 'Telkomael', 'Customer', 'loyal', 'Price', 'Pandemic', 'Rich', 'Gini', 'Use', 'Telkomsel', 'Move', ' operator ',' next door ',' stable ',' price ',' please ',' enjoy ',' loyal ',' Telkomsel ',' congratulations', 'poor', 'loyal', 'Telkomsel', "]</v>
      </c>
      <c r="D65" s="3">
        <v>1.0</v>
      </c>
    </row>
    <row r="66" ht="15.75" customHeight="1">
      <c r="A66" s="1">
        <v>64.0</v>
      </c>
      <c r="B66" s="3" t="s">
        <v>67</v>
      </c>
      <c r="C66" s="3" t="str">
        <f>IFERROR(__xludf.DUMMYFUNCTION("GOOGLETRANSLATE(B66,""id"",""en"")"),"['Delicious',' Nge ',' complicated ',' log ',' missing ',' ideas', 'enegy', 'ads',' brain ',' person ',' no ',' his day ',' Step ',' ber ',' twists', 'use', 'algorithm', 'System', 'Plaih', 'Yes',' Available ',' Clock ',' SPT ',' Hour ',' Est ' , 'right', "&amp;"'possible', 'quel', 'horrur', '']")</f>
        <v>['Delicious',' Nge ',' complicated ',' log ',' missing ',' ideas', 'enegy', 'ads',' brain ',' person ',' no ',' his day ',' Step ',' ber ',' twists', 'use', 'algorithm', 'System', 'Plaih', 'Yes',' Available ',' Clock ',' SPT ',' Hour ',' Est ' , 'right', 'possible', 'quel', 'horrur', '']</v>
      </c>
      <c r="D66" s="3">
        <v>1.0</v>
      </c>
    </row>
    <row r="67" ht="15.75" customHeight="1">
      <c r="A67" s="1">
        <v>65.0</v>
      </c>
      <c r="B67" s="3" t="s">
        <v>68</v>
      </c>
      <c r="C67" s="3" t="str">
        <f>IFERROR(__xludf.DUMMYFUNCTION("GOOGLETRANSLATE(B67,""id"",""en"")"),"['siih', 'all day', 'check', 'quota', 'data', 'ama', 'pulse', 'connection', 'problematic', 'network', 'package', 'wonder', ' Update ',' ngaconya ',' ask ',' ampuuunn ', ""]")</f>
        <v>['siih', 'all day', 'check', 'quota', 'data', 'ama', 'pulse', 'connection', 'problematic', 'network', 'package', 'wonder', ' Update ',' ngaconya ',' ask ',' ampuuunn ', "]</v>
      </c>
      <c r="D67" s="3">
        <v>1.0</v>
      </c>
    </row>
    <row r="68" ht="15.75" customHeight="1">
      <c r="A68" s="1">
        <v>66.0</v>
      </c>
      <c r="B68" s="3" t="s">
        <v>69</v>
      </c>
      <c r="C68" s="3" t="str">
        <f>IFERROR(__xludf.DUMMYFUNCTION("GOOGLETRANSLATE(B68,""id"",""en"")"),"['Berun', 'Taun', 'already', 'Telkomsel', 'a month', 'buy', 'pulse', 'pulses',' reduced ',' direct ',' run out ',' pdhal ',' Gpernah ',' subscription ',' anything ',' already ',' check ',' avoid ',' anything ',' already ',' cream ',' report ',' email ',' "&amp;"blm ',' response ' , 'problematic', 'friend', 'tryrnya', 'like', 'suck', 'pulse', '']")</f>
        <v>['Berun', 'Taun', 'already', 'Telkomsel', 'a month', 'buy', 'pulse', 'pulses',' reduced ',' direct ',' run out ',' pdhal ',' Gpernah ',' subscription ',' anything ',' already ',' check ',' avoid ',' anything ',' already ',' cream ',' report ',' email ',' blm ',' response ' , 'problematic', 'friend', 'tryrnya', 'like', 'suck', 'pulse', '']</v>
      </c>
      <c r="D68" s="3">
        <v>1.0</v>
      </c>
    </row>
    <row r="69" ht="15.75" customHeight="1">
      <c r="A69" s="1">
        <v>67.0</v>
      </c>
      <c r="B69" s="3" t="s">
        <v>70</v>
      </c>
      <c r="C69" s="3" t="str">
        <f>IFERROR(__xludf.DUMMYFUNCTION("GOOGLETRANSLATE(B69,""id"",""en"")"),"['oath', 'disappointed', 'application', 'Telkomsel', 'update', 'tasty', 'difficult', 'slow', 'payment', 'directly', 'success',' Wait ',' The principal ',' oath ',' disappointed ',' really ',' Pakek ',' Telkomsel ']")</f>
        <v>['oath', 'disappointed', 'application', 'Telkomsel', 'update', 'tasty', 'difficult', 'slow', 'payment', 'directly', 'success',' Wait ',' The principal ',' oath ',' disappointed ',' really ',' Pakek ',' Telkomsel ']</v>
      </c>
      <c r="D69" s="3">
        <v>1.0</v>
      </c>
    </row>
    <row r="70" ht="15.75" customHeight="1">
      <c r="A70" s="1">
        <v>68.0</v>
      </c>
      <c r="B70" s="3" t="s">
        <v>71</v>
      </c>
      <c r="C70" s="3" t="str">
        <f>IFERROR(__xludf.DUMMYFUNCTION("GOOGLETRANSLATE(B70,""id"",""en"")"),"['Thank you', 'Telkomsel', 'Full', 'Village', 'Dockedi', 'Tower', 'BTS', 'Village', 'Plains', 'Thank you', ""]")</f>
        <v>['Thank you', 'Telkomsel', 'Full', 'Village', 'Dockedi', 'Tower', 'BTS', 'Village', 'Plains', 'Thank you', "]</v>
      </c>
      <c r="D70" s="3">
        <v>5.0</v>
      </c>
    </row>
    <row r="71" ht="15.75" customHeight="1">
      <c r="A71" s="1">
        <v>69.0</v>
      </c>
      <c r="B71" s="3" t="s">
        <v>72</v>
      </c>
      <c r="C71" s="3" t="str">
        <f>IFERROR(__xludf.DUMMYFUNCTION("GOOGLETRANSLATE(B71,""id"",""en"")"),"['staple', 'good', 'interesting', 'application', 'Telkomsel', 'because', 'gift', 'fantastic', 'because', 'gift', 'offer', 'play', ' Play ',' Hopefully ',' Telkomsel ',' Card ',' Perdana ',' Telkomsel ',' Success', 'Forward', 'Thank you', 'Telkomsel', 'Hel"&amp;"p', 'Make Easy', 'Communication' , 'Thanks', 'You', 'Muachh', 'Telkomsel', '']")</f>
        <v>['staple', 'good', 'interesting', 'application', 'Telkomsel', 'because', 'gift', 'fantastic', 'because', 'gift', 'offer', 'play', ' Play ',' Hopefully ',' Telkomsel ',' Card ',' Perdana ',' Telkomsel ',' Success', 'Forward', 'Thank you', 'Telkomsel', 'Help', 'Make Easy', 'Communication' , 'Thanks', 'You', 'Muachh', 'Telkomsel', '']</v>
      </c>
      <c r="D71" s="3">
        <v>5.0</v>
      </c>
    </row>
    <row r="72" ht="15.75" customHeight="1">
      <c r="A72" s="1">
        <v>70.0</v>
      </c>
      <c r="B72" s="3" t="s">
        <v>73</v>
      </c>
      <c r="C72" s="3" t="str">
        <f>IFERROR(__xludf.DUMMYFUNCTION("GOOGLETRANSLATE(B72,""id"",""en"")"),"['Tekomsel', 'here', 'Fix', 'Power', 'Samsung', 'Uda', 'Sampai', 'Forces',' Orange ',' Customer ',' Move ',' Color ',' blue']")</f>
        <v>['Tekomsel', 'here', 'Fix', 'Power', 'Samsung', 'Uda', 'Sampai', 'Forces',' Orange ',' Customer ',' Move ',' Color ',' blue']</v>
      </c>
      <c r="D72" s="3">
        <v>1.0</v>
      </c>
    </row>
    <row r="73" ht="15.75" customHeight="1">
      <c r="A73" s="1">
        <v>71.0</v>
      </c>
      <c r="B73" s="3" t="s">
        <v>74</v>
      </c>
      <c r="C73" s="3" t="str">
        <f>IFERROR(__xludf.DUMMYFUNCTION("GOOGLETRANSLATE(B73,""id"",""en"")"),"['aspect', 'design', 'display', 'good', 'version', 'delicious',' view ',' eyes', 'rigid', 'reflect', 'application', 'company', ' Telkomsel ',' Sayangkan ', ""]")</f>
        <v>['aspect', 'design', 'display', 'good', 'version', 'delicious',' view ',' eyes', 'rigid', 'reflect', 'application', 'company', ' Telkomsel ',' Sayangkan ', "]</v>
      </c>
      <c r="D73" s="3">
        <v>2.0</v>
      </c>
    </row>
    <row r="74" ht="15.75" customHeight="1">
      <c r="A74" s="1">
        <v>72.0</v>
      </c>
      <c r="B74" s="3" t="s">
        <v>75</v>
      </c>
      <c r="C74" s="3" t="str">
        <f>IFERROR(__xludf.DUMMYFUNCTION("GOOGLETRANSLATE(B74,""id"",""en"")"),"['emang', 'Telkomsel', 'really', 'package', 'nelfon', 'one thousand', 'all', 'oprator', 'because', 'aspects',' network ',' best ',' torture ',' customer ',' soft ',' soft ',' lucky ',' star ',' love ',' rating ',' gave ',' promo ',' entry ',' sense ',' ne"&amp;"ed ' , 'Kouta', 'usage', 'a day', 'try', ""]")</f>
        <v>['emang', 'Telkomsel', 'really', 'package', 'nelfon', 'one thousand', 'all', 'oprator', 'because', 'aspects',' network ',' best ',' torture ',' customer ',' soft ',' soft ',' lucky ',' star ',' love ',' rating ',' gave ',' promo ',' entry ',' sense ',' need ' , 'Kouta', 'usage', 'a day', 'try', "]</v>
      </c>
      <c r="D74" s="3">
        <v>1.0</v>
      </c>
    </row>
    <row r="75" ht="15.75" customHeight="1">
      <c r="A75" s="1">
        <v>73.0</v>
      </c>
      <c r="B75" s="3" t="s">
        <v>76</v>
      </c>
      <c r="C75" s="3" t="str">
        <f>IFERROR(__xludf.DUMMYFUNCTION("GOOGLETRANSLATE(B75,""id"",""en"")"),"['signal', 'slow', 'open', 'application', 'data', 'slow', 'his writing', 'what's "",' it's slow ',' really ',' difficult ',' taste ',' Sia ',' Sia ',' quota ',' ']")</f>
        <v>['signal', 'slow', 'open', 'application', 'data', 'slow', 'his writing', 'what's ",' it's slow ',' really ',' difficult ',' taste ',' Sia ',' Sia ',' quota ',' ']</v>
      </c>
      <c r="D75" s="3">
        <v>1.0</v>
      </c>
    </row>
    <row r="76" ht="15.75" customHeight="1">
      <c r="A76" s="1">
        <v>74.0</v>
      </c>
      <c r="B76" s="3" t="s">
        <v>77</v>
      </c>
      <c r="C76" s="3" t="str">
        <f>IFERROR(__xludf.DUMMYFUNCTION("GOOGLETRANSLATE(B76,""id"",""en"")"),"['Please', 'MyTelkomsel', 'Package', 'Combo', 'Sakti', 'Unlimited', 'Use', 'Full', 'According to', 'Date', 'Purchase', 'Internet', ' Multimedia ',' Thank you ']")</f>
        <v>['Please', 'MyTelkomsel', 'Package', 'Combo', 'Sakti', 'Unlimited', 'Use', 'Full', 'According to', 'Date', 'Purchase', 'Internet', ' Multimedia ',' Thank you ']</v>
      </c>
      <c r="D76" s="3">
        <v>5.0</v>
      </c>
    </row>
    <row r="77" ht="15.75" customHeight="1">
      <c r="A77" s="1">
        <v>75.0</v>
      </c>
      <c r="B77" s="3" t="s">
        <v>78</v>
      </c>
      <c r="C77" s="3" t="str">
        <f>IFERROR(__xludf.DUMMYFUNCTION("GOOGLETRANSLATE(B77,""id"",""en"")"),"['Credit', 'Sumpot', 'Bonus',' Login ',' then ',' Claim ',' Claim ',' PDHAL ',' UDH ',' Wait ',' a Week ',' Telkomsel ',' Contact ',' contact ',' please ',' update ',' that's', 'plis',' ']")</f>
        <v>['Credit', 'Sumpot', 'Bonus',' Login ',' then ',' Claim ',' Claim ',' PDHAL ',' UDH ',' Wait ',' a Week ',' Telkomsel ',' Contact ',' contact ',' please ',' update ',' that's', 'plis',' ']</v>
      </c>
      <c r="D77" s="3">
        <v>1.0</v>
      </c>
    </row>
    <row r="78" ht="15.75" customHeight="1">
      <c r="A78" s="1">
        <v>76.0</v>
      </c>
      <c r="B78" s="3" t="s">
        <v>79</v>
      </c>
      <c r="C78" s="3" t="str">
        <f>IFERROR(__xludf.DUMMYFUNCTION("GOOGLETRANSLATE(B78,""id"",""en"")"),"['Sis',' Dund ',' Network ',' Internet ',' Region ',' City ',' Bogor ',' Bad ',' users', 'Telkomsel', 'Disappointed', 'Network', ' Please ',' Fix ',' The Network ',' Thank you ']")</f>
        <v>['Sis',' Dund ',' Network ',' Internet ',' Region ',' City ',' Bogor ',' Bad ',' users', 'Telkomsel', 'Disappointed', 'Network', ' Please ',' Fix ',' The Network ',' Thank you ']</v>
      </c>
      <c r="D78" s="3">
        <v>1.0</v>
      </c>
    </row>
    <row r="79" ht="15.75" customHeight="1">
      <c r="A79" s="1">
        <v>77.0</v>
      </c>
      <c r="B79" s="3" t="s">
        <v>80</v>
      </c>
      <c r="C79" s="3" t="str">
        <f>IFERROR(__xludf.DUMMYFUNCTION("GOOGLETRANSLATE(B79,""id"",""en"")"),"['lives',' orng ',' family ',' use ',' Telkomsel ',' neighbors', 'tnggal', 'use', 'because', 'signal', 'dilang', 'home', ' ugly ',' comparable ',' reversed ',' mall ',' good ',' because ',' home ',' pandemik ',' use ',' provider ',' brand ',' clothes', 'j"&amp;"erse' , 'Chelsea', 'housing', 'housing', 'signal', 'good', 'card', 'Telkomsel', 'contents',' pulses', 'scorched', 'Kasian', 'Kasian', ' poor thing', '']")</f>
        <v>['lives',' orng ',' family ',' use ',' Telkomsel ',' neighbors', 'tnggal', 'use', 'because', 'signal', 'dilang', 'home', ' ugly ',' comparable ',' reversed ',' mall ',' good ',' because ',' home ',' pandemik ',' use ',' provider ',' brand ',' clothes', 'jerse' , 'Chelsea', 'housing', 'housing', 'signal', 'good', 'card', 'Telkomsel', 'contents',' pulses', 'scorched', 'Kasian', 'Kasian', ' poor thing', '']</v>
      </c>
      <c r="D79" s="3">
        <v>1.0</v>
      </c>
    </row>
    <row r="80" ht="15.75" customHeight="1">
      <c r="A80" s="1">
        <v>78.0</v>
      </c>
      <c r="B80" s="3" t="s">
        <v>81</v>
      </c>
      <c r="C80" s="3" t="str">
        <f>IFERROR(__xludf.DUMMYFUNCTION("GOOGLETRANSLATE(B80,""id"",""en"")"),"['Please', 'sorry', 'notification', 'package', 'run out', 'fix', 'notification', 'package', 'run out', 'pulse', 'exposed', 'rates']")</f>
        <v>['Please', 'sorry', 'notification', 'package', 'run out', 'fix', 'notification', 'package', 'run out', 'pulse', 'exposed', 'rates']</v>
      </c>
      <c r="D80" s="3">
        <v>3.0</v>
      </c>
    </row>
    <row r="81" ht="15.75" customHeight="1">
      <c r="A81" s="1">
        <v>79.0</v>
      </c>
      <c r="B81" s="3" t="s">
        <v>82</v>
      </c>
      <c r="C81" s="3" t="str">
        <f>IFERROR(__xludf.DUMMYFUNCTION("GOOGLETRANSLATE(B81,""id"",""en"")"),"['Belik', 'Koutaa', 'Application', 'MyTelkomsel', 'PAS', 'Method', 'Payment', 'Sorry', 'Disruption', 'System', 'Knpa', 'Yaa', ' Please, 'laa', 'work', 'Nya', 'Yesterday', 'Kek', 'That's', 'Udh', ""]")</f>
        <v>['Belik', 'Koutaa', 'Application', 'MyTelkomsel', 'PAS', 'Method', 'Payment', 'Sorry', 'Disruption', 'System', 'Knpa', 'Yaa', ' Please, 'laa', 'work', 'Nya', 'Yesterday', 'Kek', 'That's', 'Udh', "]</v>
      </c>
      <c r="D81" s="3">
        <v>2.0</v>
      </c>
    </row>
    <row r="82" ht="15.75" customHeight="1">
      <c r="A82" s="1">
        <v>80.0</v>
      </c>
      <c r="B82" s="3" t="s">
        <v>83</v>
      </c>
      <c r="C82" s="3" t="str">
        <f>IFERROR(__xludf.DUMMYFUNCTION("GOOGLETRANSLATE(B82,""id"",""en"")"),"['Disturbed', 'Update', 'Method', 'Payment', 'Choice', 'Convenience', 'Transaction', 'Reduced', 'Increase', 'Service', ""]")</f>
        <v>['Disturbed', 'Update', 'Method', 'Payment', 'Choice', 'Convenience', 'Transaction', 'Reduced', 'Increase', 'Service', "]</v>
      </c>
      <c r="D82" s="3">
        <v>2.0</v>
      </c>
    </row>
    <row r="83" ht="15.75" customHeight="1">
      <c r="A83" s="1">
        <v>81.0</v>
      </c>
      <c r="B83" s="3" t="s">
        <v>84</v>
      </c>
      <c r="C83" s="3" t="str">
        <f>IFERROR(__xludf.DUMMYFUNCTION("GOOGLETRANSLATE(B83,""id"",""en"")"),"['knp', 'access',' white ',' trs', 'writing', 'hope', 'load', 'reset', 'pdhl', 'udh', 'cave', 'click', ' Many ',' White ',' trs', 'signal', 'cave', 'pdhl', 'good', 'please', 'bntu']")</f>
        <v>['knp', 'access',' white ',' trs', 'writing', 'hope', 'load', 'reset', 'pdhl', 'udh', 'cave', 'click', ' Many ',' White ',' trs', 'signal', 'cave', 'pdhl', 'good', 'please', 'bntu']</v>
      </c>
      <c r="D83" s="3">
        <v>1.0</v>
      </c>
    </row>
    <row r="84" ht="15.75" customHeight="1">
      <c r="A84" s="1">
        <v>82.0</v>
      </c>
      <c r="B84" s="3" t="s">
        <v>85</v>
      </c>
      <c r="C84" s="3" t="str">
        <f>IFERROR(__xludf.DUMMYFUNCTION("GOOGLETRANSLATE(B84,""id"",""en"")"),"['convenience', 'deh', 'main', 'Telkomsel', 'operator', 'people', 'no', 'package', 'promo', 'pokonya', 'Telkomsel', ""]")</f>
        <v>['convenience', 'deh', 'main', 'Telkomsel', 'operator', 'people', 'no', 'package', 'promo', 'pokonya', 'Telkomsel', "]</v>
      </c>
      <c r="D84" s="3">
        <v>5.0</v>
      </c>
    </row>
    <row r="85" ht="15.75" customHeight="1">
      <c r="A85" s="1">
        <v>83.0</v>
      </c>
      <c r="B85" s="3" t="s">
        <v>86</v>
      </c>
      <c r="C85" s="3" t="str">
        <f>IFERROR(__xludf.DUMMYFUNCTION("GOOGLETRANSLATE(B85,""id"",""en"")"),"['Please', 'NOTED', 'Min', 'Sudab', 'Exchange', 'Point', 'Activate', 'Package', 'Data', 'Credit', 'Adequate', 'Fill', ' reset ',' pulse ',' package ',' respond ',' point ',' wasted ',' vain ', ""]")</f>
        <v>['Please', 'NOTED', 'Min', 'Sudab', 'Exchange', 'Point', 'Activate', 'Package', 'Data', 'Credit', 'Adequate', 'Fill', ' reset ',' pulse ',' package ',' respond ',' point ',' wasted ',' vain ', "]</v>
      </c>
      <c r="D85" s="3">
        <v>5.0</v>
      </c>
    </row>
    <row r="86" ht="15.75" customHeight="1">
      <c r="A86" s="1">
        <v>84.0</v>
      </c>
      <c r="B86" s="3" t="s">
        <v>87</v>
      </c>
      <c r="C86" s="3" t="str">
        <f>IFERROR(__xludf.DUMMYFUNCTION("GOOGLETRANSLATE(B86,""id"",""en"")"),"['', 'program', 'Daily', 'Chek', 'Exchange', 'points',' no ',' GB ',' bug ',' system ',' please ',' response ',' ', 'thank you', '']")</f>
        <v>['', 'program', 'Daily', 'Chek', 'Exchange', 'points',' no ',' GB ',' bug ',' system ',' please ',' response ',' ', 'thank you', '']</v>
      </c>
      <c r="D86" s="3">
        <v>1.0</v>
      </c>
    </row>
    <row r="87" ht="15.75" customHeight="1">
      <c r="A87" s="1">
        <v>85.0</v>
      </c>
      <c r="B87" s="3" t="s">
        <v>88</v>
      </c>
      <c r="C87" s="3" t="str">
        <f>IFERROR(__xludf.DUMMYFUNCTION("GOOGLETRANSLATE(B87,""id"",""en"")"),"['complicated', 'Telkomsel', 'Lite', 'already', 'application', 'need', 'network', 'rich', 'wifi', 'good', 'network', 'good', ' Tetep ',' right ',' check ',' quota ',' bikang ',' network ',' weak ']")</f>
        <v>['complicated', 'Telkomsel', 'Lite', 'already', 'application', 'need', 'network', 'rich', 'wifi', 'good', 'network', 'good', ' Tetep ',' right ',' check ',' quota ',' bikang ',' network ',' weak ']</v>
      </c>
      <c r="D87" s="3">
        <v>5.0</v>
      </c>
    </row>
    <row r="88" ht="15.75" customHeight="1">
      <c r="A88" s="1">
        <v>86.0</v>
      </c>
      <c r="B88" s="3" t="s">
        <v>89</v>
      </c>
      <c r="C88" s="3" t="str">
        <f>IFERROR(__xludf.DUMMYFUNCTION("GOOGLETRANSLATE(B88,""id"",""en"")"),"['quota', 'package', 'use', 'Different', 'run out', 'She', 'first', 'as a result', 'quota', 'coakes',' GTU ',' Abis', ' Use ',' How ',' Huu ',' Dri ',' Deadline ',' Mepet ', ""]")</f>
        <v>['quota', 'package', 'use', 'Different', 'run out', 'She', 'first', 'as a result', 'quota', 'coakes',' GTU ',' Abis', ' Use ',' How ',' Huu ',' Dri ',' Deadline ',' Mepet ', "]</v>
      </c>
      <c r="D88" s="3">
        <v>2.0</v>
      </c>
    </row>
    <row r="89" ht="15.75" customHeight="1">
      <c r="A89" s="1">
        <v>87.0</v>
      </c>
      <c r="B89" s="3" t="s">
        <v>90</v>
      </c>
      <c r="C89" s="3" t="str">
        <f>IFERROR(__xludf.DUMMYFUNCTION("GOOGLETRANSLATE(B89,""id"",""en"")"),"['comment', 'Error', 'Screen', 'Cave', 'White', 'Enter', 'What's', 'What's', 'Potatoes', ""]")</f>
        <v>['comment', 'Error', 'Screen', 'Cave', 'White', 'Enter', 'What's', 'What's', 'Potatoes', "]</v>
      </c>
      <c r="D89" s="3">
        <v>5.0</v>
      </c>
    </row>
    <row r="90" ht="15.75" customHeight="1">
      <c r="A90" s="1">
        <v>88.0</v>
      </c>
      <c r="B90" s="3" t="s">
        <v>91</v>
      </c>
      <c r="C90" s="3" t="str">
        <f>IFERROR(__xludf.DUMMYFUNCTION("GOOGLETRANSLATE(B90,""id"",""en"")"),"['Original', 'severe', 'severe', 'turn', 'check', 'daily', 'take', 'gift', 'check', 'login', 'Something', 'Wrong', ' already ',' replace ',' card ',' prime ',' gini ',' network ',' widest ',' strongest ',' Indonesia ',' rich ',' gini ',' ping ',' until ' "&amp;", 'Severe', 'bye', 'bye', 'replace', 'card', 'prime', 'already', 'network', 'drpd', 'Telkomsel', 'network', 'problematic']")</f>
        <v>['Original', 'severe', 'severe', 'turn', 'check', 'daily', 'take', 'gift', 'check', 'login', 'Something', 'Wrong', ' already ',' replace ',' card ',' prime ',' gini ',' network ',' widest ',' strongest ',' Indonesia ',' rich ',' gini ',' ping ',' until ' , 'Severe', 'bye', 'bye', 'replace', 'card', 'prime', 'already', 'network', 'drpd', 'Telkomsel', 'network', 'problematic']</v>
      </c>
      <c r="D90" s="3">
        <v>1.0</v>
      </c>
    </row>
    <row r="91" ht="15.75" customHeight="1">
      <c r="A91" s="1">
        <v>89.0</v>
      </c>
      <c r="B91" s="3" t="s">
        <v>92</v>
      </c>
      <c r="C91" s="3" t="str">
        <f>IFERROR(__xludf.DUMMYFUNCTION("GOOGLETRANSLATE(B91,""id"",""en"")"),"['Credit', 'Cut', 'Nastyl', 'Package', 'Call', 'Minutes',' SMS ',' Eeeehh ',' Nasty ',' Credit ',' a little ',' Serebu ',' Gope ',' Eeett ',' GMN ',' ']")</f>
        <v>['Credit', 'Cut', 'Nastyl', 'Package', 'Call', 'Minutes',' SMS ',' Eeeehh ',' Nasty ',' Credit ',' a little ',' Serebu ',' Gope ',' Eeett ',' GMN ',' ']</v>
      </c>
      <c r="D91" s="3">
        <v>1.0</v>
      </c>
    </row>
    <row r="92" ht="15.75" customHeight="1">
      <c r="A92" s="1">
        <v>90.0</v>
      </c>
      <c r="B92" s="3" t="s">
        <v>93</v>
      </c>
      <c r="C92" s="3" t="str">
        <f>IFERROR(__xludf.DUMMYFUNCTION("GOOGLETRANSLATE(B92,""id"",""en"")"),"['apk', 'fraud', 'doang', 'told', 'chek', 'bonus',' quota ',' right ',' already ',' claim ',' disturbance ',' chek ',' Already ',' quota ',' expensive ',' signal ',' BURIK ',' Sok ',' elite ',' Bat ',' Sorry ',' already ',' well-known ',' Mending ' , 'Cha"&amp;"nge', 'card', 'prime', 'laen']")</f>
        <v>['apk', 'fraud', 'doang', 'told', 'chek', 'bonus',' quota ',' right ',' already ',' claim ',' disturbance ',' chek ',' Already ',' quota ',' expensive ',' signal ',' BURIK ',' Sok ',' elite ',' Bat ',' Sorry ',' already ',' well-known ',' Mending ' , 'Change', 'card', 'prime', 'laen']</v>
      </c>
      <c r="D92" s="3">
        <v>1.0</v>
      </c>
    </row>
    <row r="93" ht="15.75" customHeight="1">
      <c r="A93" s="1">
        <v>91.0</v>
      </c>
      <c r="B93" s="3" t="s">
        <v>94</v>
      </c>
      <c r="C93" s="3" t="str">
        <f>IFERROR(__xludf.DUMMYFUNCTION("GOOGLETRANSLATE(B93,""id"",""en"")"),"['intentionally', 'gave', 'star', 'read', 'orng', 'application', 'Daily', 'check', 'smooth', 'already', 'claim', ' The end ',' period ',' error ',' sucked ',' kouta ',' orng ',' enter ',' application ',' check ',' fortuneness', 'customer']")</f>
        <v>['intentionally', 'gave', 'star', 'read', 'orng', 'application', 'Daily', 'check', 'smooth', 'already', 'claim', ' The end ',' period ',' error ',' sucked ',' kouta ',' orng ',' enter ',' application ',' check ',' fortuneness', 'customer']</v>
      </c>
      <c r="D93" s="3">
        <v>5.0</v>
      </c>
    </row>
    <row r="94" ht="15.75" customHeight="1">
      <c r="A94" s="1">
        <v>92.0</v>
      </c>
      <c r="B94" s="3" t="s">
        <v>95</v>
      </c>
      <c r="C94" s="3" t="str">
        <f>IFERROR(__xludf.DUMMYFUNCTION("GOOGLETRANSLATE(B94,""id"",""en"")"),"['Please', 'Telkomsel', 'Fix', 'Error', 'User', 'Tired', 'Cook', 'Jaringn', 'Kayak', 'Live', 'Forest', 'Take', ' profit']")</f>
        <v>['Please', 'Telkomsel', 'Fix', 'Error', 'User', 'Tired', 'Cook', 'Jaringn', 'Kayak', 'Live', 'Forest', 'Take', ' profit']</v>
      </c>
      <c r="D94" s="3">
        <v>5.0</v>
      </c>
    </row>
    <row r="95" ht="15.75" customHeight="1">
      <c r="A95" s="1">
        <v>93.0</v>
      </c>
      <c r="B95" s="3" t="s">
        <v>96</v>
      </c>
      <c r="C95" s="3" t="str">
        <f>IFERROR(__xludf.DUMMYFUNCTION("GOOGLETRANSLATE(B95,""id"",""en"")"),"['Recommended', 'really', 'buy', 'package', 'expensive', 'dipake', 'play', 'game', 'ping', 'keep', 'turn', 'YouTube', ' Muter ',' strange ',' belipakes', 'disorder', 'nyesel', 'cave', 'core', 'provider', 'nga', 'recommended']")</f>
        <v>['Recommended', 'really', 'buy', 'package', 'expensive', 'dipake', 'play', 'game', 'ping', 'keep', 'turn', 'YouTube', ' Muter ',' strange ',' belipakes', 'disorder', 'nyesel', 'cave', 'core', 'provider', 'nga', 'recommended']</v>
      </c>
      <c r="D95" s="3">
        <v>1.0</v>
      </c>
    </row>
    <row r="96" ht="15.75" customHeight="1">
      <c r="A96" s="1">
        <v>94.0</v>
      </c>
      <c r="B96" s="3" t="s">
        <v>97</v>
      </c>
      <c r="C96" s="3" t="str">
        <f>IFERROR(__xludf.DUMMYFUNCTION("GOOGLETRANSLATE(B96,""id"",""en"")"),"['Application', 'Operator', 'Maling', 'Daily', 'Check', 'Difficult', 'Forgiveness',' Click ',' Menu ',' Buy ',' Quota ',' Current ',' Jaya ',' wkwkwk ',' boss', 'intention', 'Ngani', 'gift', 'daily', 'check', 'fante', 'gorge', 'tip', 'spent', 'quota' , 'B"&amp;"asic', 'cunning', '']")</f>
        <v>['Application', 'Operator', 'Maling', 'Daily', 'Check', 'Difficult', 'Forgiveness',' Click ',' Menu ',' Buy ',' Quota ',' Current ',' Jaya ',' wkwkwk ',' boss', 'intention', 'Ngani', 'gift', 'daily', 'check', 'fante', 'gorge', 'tip', 'spent', 'quota' , 'Basic', 'cunning', '']</v>
      </c>
      <c r="D96" s="3">
        <v>1.0</v>
      </c>
    </row>
    <row r="97" ht="15.75" customHeight="1">
      <c r="A97" s="1">
        <v>95.0</v>
      </c>
      <c r="B97" s="3" t="s">
        <v>98</v>
      </c>
      <c r="C97" s="3" t="str">
        <f>IFERROR(__xludf.DUMMYFUNCTION("GOOGLETRANSLATE(B97,""id"",""en"")"),"['The', 'Best', 'Application', 'Helping', 'Simple', 'Typing', 'Keyboard', 'Screen', 'Stay', 'Click', 'Step', 'Details',' ']")</f>
        <v>['The', 'Best', 'Application', 'Helping', 'Simple', 'Typing', 'Keyboard', 'Screen', 'Stay', 'Click', 'Step', 'Details',' ']</v>
      </c>
      <c r="D97" s="3">
        <v>5.0</v>
      </c>
    </row>
    <row r="98" ht="15.75" customHeight="1">
      <c r="A98" s="1">
        <v>96.0</v>
      </c>
      <c r="B98" s="3" t="s">
        <v>99</v>
      </c>
      <c r="C98" s="3" t="str">
        <f>IFERROR(__xludf.DUMMYFUNCTION("GOOGLETRANSLATE(B98,""id"",""en"")"),"['Service', 'Ask', 'Veronika', 'disappointing', 'complaints',' finished ',' session ',' chat ',' Udh ',' closed ',' told ',' Wait ',' Admin ',' Ask ',' Veronika ',' Wait ',' Sessence ',' Direct ',' Closed ',' That's', 'Change', 'Admin', 'Complaints',' Fin"&amp;"ish ', ""]")</f>
        <v>['Service', 'Ask', 'Veronika', 'disappointing', 'complaints',' finished ',' session ',' chat ',' Udh ',' closed ',' told ',' Wait ',' Admin ',' Ask ',' Veronika ',' Wait ',' Sessence ',' Direct ',' Closed ',' That's', 'Change', 'Admin', 'Complaints',' Finish ', "]</v>
      </c>
      <c r="D98" s="3">
        <v>1.0</v>
      </c>
    </row>
    <row r="99" ht="15.75" customHeight="1">
      <c r="A99" s="1">
        <v>97.0</v>
      </c>
      <c r="B99" s="3" t="s">
        <v>100</v>
      </c>
      <c r="C99" s="3" t="str">
        <f>IFERROR(__xludf.DUMMYFUNCTION("GOOGLETRANSLATE(B99,""id"",""en"")"),"['virtue', 'help', 'application', 'walk', 'steady', 'hope', 'in the future', 'promo', 'prize']")</f>
        <v>['virtue', 'help', 'application', 'walk', 'steady', 'hope', 'in the future', 'promo', 'prize']</v>
      </c>
      <c r="D99" s="3">
        <v>5.0</v>
      </c>
    </row>
    <row r="100" ht="15.75" customHeight="1">
      <c r="A100" s="1">
        <v>98.0</v>
      </c>
      <c r="B100" s="3" t="s">
        <v>101</v>
      </c>
      <c r="C100" s="3" t="str">
        <f>IFERROR(__xludf.DUMMYFUNCTION("GOOGLETRANSLATE(B100,""id"",""en"")"),"['Update', 'version', 'ngeleg', 'really', 'rich', 'old', 'update', 'change', 'ugly', '']")</f>
        <v>['Update', 'version', 'ngeleg', 'really', 'rich', 'old', 'update', 'change', 'ugly', '']</v>
      </c>
      <c r="D100" s="3">
        <v>1.0</v>
      </c>
    </row>
    <row r="101" ht="15.75" customHeight="1">
      <c r="A101" s="1">
        <v>99.0</v>
      </c>
      <c r="B101" s="3" t="s">
        <v>102</v>
      </c>
      <c r="C101" s="3" t="str">
        <f>IFERROR(__xludf.DUMMYFUNCTION("GOOGLETRANSLATE(B101,""id"",""en"")"),"['buy', 'package', 'clock', 'missing', 'package', 'buy', 'tomorrow', 'clock', 'limit', 'customer', 'disappointing', 'disappointing', ' ']")</f>
        <v>['buy', 'package', 'clock', 'missing', 'package', 'buy', 'tomorrow', 'clock', 'limit', 'customer', 'disappointing', 'disappointing', ' ']</v>
      </c>
      <c r="D101" s="3">
        <v>1.0</v>
      </c>
    </row>
    <row r="102" ht="15.75" customHeight="1">
      <c r="A102" s="1">
        <v>100.0</v>
      </c>
      <c r="B102" s="3" t="s">
        <v>103</v>
      </c>
      <c r="C102" s="3" t="str">
        <f>IFERROR(__xludf.DUMMYFUNCTION("GOOGLETRANSLATE(B102,""id"",""en"")"),"['boss',' knp ',' number ',' MyTelkomsel ',' Klau ',' send ',' link ',' sms', 'link', 'valid', 'expiration', 'please', ' Boss', '']")</f>
        <v>['boss',' knp ',' number ',' MyTelkomsel ',' Klau ',' send ',' link ',' sms', 'link', 'valid', 'expiration', 'please', ' Boss', '']</v>
      </c>
      <c r="D102" s="3">
        <v>2.0</v>
      </c>
    </row>
    <row r="103" ht="15.75" customHeight="1">
      <c r="A103" s="1">
        <v>101.0</v>
      </c>
      <c r="B103" s="3" t="s">
        <v>104</v>
      </c>
      <c r="C103" s="3" t="str">
        <f>IFERROR(__xludf.DUMMYFUNCTION("GOOGLETRANSLATE(B103,""id"",""en"")"),"['Telkomsel', 'contents',' pulse ',' buy ',' package ',' many ',' try ',' please ',' Telkomsel ',' pay attention ',' customer ',' student ',' Need ',' Koutaa ',' Guidance ',' Online ',' ']")</f>
        <v>['Telkomsel', 'contents',' pulse ',' buy ',' package ',' many ',' try ',' please ',' Telkomsel ',' pay attention ',' customer ',' student ',' Need ',' Koutaa ',' Guidance ',' Online ',' ']</v>
      </c>
      <c r="D103" s="3">
        <v>1.0</v>
      </c>
    </row>
    <row r="104" ht="15.75" customHeight="1">
      <c r="A104" s="1">
        <v>102.0</v>
      </c>
      <c r="B104" s="3" t="s">
        <v>105</v>
      </c>
      <c r="C104" s="3" t="str">
        <f>IFERROR(__xludf.DUMMYFUNCTION("GOOGLETRANSLATE(B104,""id"",""en"")"),"['', 'Daily', 'check', 'clock', 'clarity', 'mslh', 'system', 'system', 'human', 'bkn', 'God', 'Msih', 'Blum ',' Fear ',' competition ',' gift ',' promised ',' ']")</f>
        <v>['', 'Daily', 'check', 'clock', 'clarity', 'mslh', 'system', 'system', 'human', 'bkn', 'God', 'Msih', 'Blum ',' Fear ',' competition ',' gift ',' promised ',' ']</v>
      </c>
      <c r="D104" s="3">
        <v>2.0</v>
      </c>
    </row>
    <row r="105" ht="15.75" customHeight="1">
      <c r="A105" s="1">
        <v>103.0</v>
      </c>
      <c r="B105" s="3" t="s">
        <v>106</v>
      </c>
      <c r="C105" s="3" t="str">
        <f>IFERROR(__xludf.DUMMYFUNCTION("GOOGLETRANSLATE(B105,""id"",""en"")"),"['run', 'direct', 'application', 'close', 'application', 'resulting', 'error', 'annoying', 'convenience', 'user', 'felt', 'stage', ' Beta ',' published ',' published ',' improvement ',' developer ',' causing ',' name ',' company ',' built ',' problematic "&amp;"',' in the future ',' tks', ""]")</f>
        <v>['run', 'direct', 'application', 'close', 'application', 'resulting', 'error', 'annoying', 'convenience', 'user', 'felt', 'stage', ' Beta ',' published ',' published ',' improvement ',' developer ',' causing ',' name ',' company ',' built ',' problematic ',' in the future ',' tks', "]</v>
      </c>
      <c r="D105" s="3">
        <v>1.0</v>
      </c>
    </row>
    <row r="106" ht="15.75" customHeight="1">
      <c r="A106" s="1">
        <v>104.0</v>
      </c>
      <c r="B106" s="3" t="s">
        <v>107</v>
      </c>
      <c r="C106" s="3" t="str">
        <f>IFERROR(__xludf.DUMMYFUNCTION("GOOGLETRANSLATE(B106,""id"",""en"")"),"['satisfying', 'effective', 'use', 'data', 'kbps', 'response', 'loading', '']")</f>
        <v>['satisfying', 'effective', 'use', 'data', 'kbps', 'response', 'loading', '']</v>
      </c>
      <c r="D106" s="3">
        <v>1.0</v>
      </c>
    </row>
    <row r="107" ht="15.75" customHeight="1">
      <c r="A107" s="1">
        <v>105.0</v>
      </c>
      <c r="B107" s="3" t="s">
        <v>108</v>
      </c>
      <c r="C107" s="3" t="str">
        <f>IFERROR(__xludf.DUMMYFUNCTION("GOOGLETRANSLATE(B107,""id"",""en"")"),"['Glad', 'card', 'wings',' Telkomsel ',' Undi ',' Undi ',' gift ',' weeks', 'fruit', 'motor', 'Undi', 'Undi', ' Prizes', 'weeks',' ']")</f>
        <v>['Glad', 'card', 'wings',' Telkomsel ',' Undi ',' Undi ',' gift ',' weeks', 'fruit', 'motor', 'Undi', 'Undi', ' Prizes', 'weeks',' ']</v>
      </c>
      <c r="D107" s="3">
        <v>5.0</v>
      </c>
    </row>
    <row r="108" ht="15.75" customHeight="1">
      <c r="A108" s="1">
        <v>106.0</v>
      </c>
      <c r="B108" s="3" t="s">
        <v>109</v>
      </c>
      <c r="C108" s="3" t="str">
        <f>IFERROR(__xludf.DUMMYFUNCTION("GOOGLETRANSLATE(B108,""id"",""en"")"),"['please', 'response', 'developer', 'update', 'apk', 'really', 'error', 'complaints', 'consumer', 'response', 'slow', '']")</f>
        <v>['please', 'response', 'developer', 'update', 'apk', 'really', 'error', 'complaints', 'consumer', 'response', 'slow', '']</v>
      </c>
      <c r="D108" s="3">
        <v>2.0</v>
      </c>
    </row>
    <row r="109" ht="15.75" customHeight="1">
      <c r="A109" s="1">
        <v>107.0</v>
      </c>
      <c r="B109" s="3" t="s">
        <v>110</v>
      </c>
      <c r="C109" s="3" t="str">
        <f>IFERROR(__xludf.DUMMYFUNCTION("GOOGLETRANSLATE(B109,""id"",""en"")"),"['Package', 'Combo', 'Sakti', 'Yesterday', 'already', 'Good', 'deleted', 'Package', 'Telkomsel', 'Customized', 'Quality', 'Connection', ' Want ',' luck ',' service ',' bad ',' ']")</f>
        <v>['Package', 'Combo', 'Sakti', 'Yesterday', 'already', 'Good', 'deleted', 'Package', 'Telkomsel', 'Customized', 'Quality', 'Connection', ' Want ',' luck ',' service ',' bad ',' ']</v>
      </c>
      <c r="D109" s="3">
        <v>1.0</v>
      </c>
    </row>
    <row r="110" ht="15.75" customHeight="1">
      <c r="A110" s="1">
        <v>108.0</v>
      </c>
      <c r="B110" s="3" t="s">
        <v>111</v>
      </c>
      <c r="C110" s="3" t="str">
        <f>IFERROR(__xludf.DUMMYFUNCTION("GOOGLETRANSLATE(B110,""id"",""en"")"),"['Disappointed', 'Application', 'Application', 'Telkomsel', 'Data', 'Free', 'Urgen', 'Quota', 'Out', 'Direct', 'Top', 'Buy', ' application ',' data ',' right ',' open ',' application ',' see ',' notif ',' screen ',' data ',' need ',' kb ',' stream ',' try"&amp;" ' , 'Followup', 'Thank you']")</f>
        <v>['Disappointed', 'Application', 'Application', 'Telkomsel', 'Data', 'Free', 'Urgen', 'Quota', 'Out', 'Direct', 'Top', 'Buy', ' application ',' data ',' right ',' open ',' application ',' see ',' notif ',' screen ',' data ',' need ',' kb ',' stream ',' try ' , 'Followup', 'Thank you']</v>
      </c>
      <c r="D110" s="3">
        <v>1.0</v>
      </c>
    </row>
    <row r="111" ht="15.75" customHeight="1">
      <c r="A111" s="1">
        <v>109.0</v>
      </c>
      <c r="B111" s="3" t="s">
        <v>112</v>
      </c>
      <c r="C111" s="3" t="str">
        <f>IFERROR(__xludf.DUMMYFUNCTION("GOOGLETRANSLATE(B111,""id"",""en"")"),"['Update', 'Open', 'Daily', 'Chek', 'Scorched', 'Gini', 'Out', 'Think', 'Sometimes',' Telkomsel ',' Provider ',' Nomer ',' signal ',' sometimes', 'difficult', 'like', 'disorder', 'package', 'data', 'expensive', 'change', 'fix', 'user', 'choose', 'replace'"&amp;" , 'Provider', '']")</f>
        <v>['Update', 'Open', 'Daily', 'Chek', 'Scorched', 'Gini', 'Out', 'Think', 'Sometimes',' Telkomsel ',' Provider ',' Nomer ',' signal ',' sometimes', 'difficult', 'like', 'disorder', 'package', 'data', 'expensive', 'change', 'fix', 'user', 'choose', 'replace' , 'Provider', '']</v>
      </c>
      <c r="D111" s="3">
        <v>1.0</v>
      </c>
    </row>
    <row r="112" ht="15.75" customHeight="1">
      <c r="A112" s="1">
        <v>110.0</v>
      </c>
      <c r="B112" s="3" t="s">
        <v>113</v>
      </c>
      <c r="C112" s="3" t="str">
        <f>IFERROR(__xludf.DUMMYFUNCTION("GOOGLETRANSLATE(B112,""id"",""en"")"),"['Ngaco', 'telko', 'gwa', 'debt', 'pulse', 'trs',' gwa ',' contents', 'pulse', 'right', 'gwa', 'buy', ' package ',' data ',' night ',' sudden ',' HBS ',' leftover ',' HANGANGUS ',' ']")</f>
        <v>['Ngaco', 'telko', 'gwa', 'debt', 'pulse', 'trs',' gwa ',' contents', 'pulse', 'right', 'gwa', 'buy', ' package ',' data ',' night ',' sudden ',' HBS ',' leftover ',' HANGANGUS ',' ']</v>
      </c>
      <c r="D112" s="3">
        <v>1.0</v>
      </c>
    </row>
    <row r="113" ht="15.75" customHeight="1">
      <c r="A113" s="1">
        <v>111.0</v>
      </c>
      <c r="B113" s="3" t="s">
        <v>114</v>
      </c>
      <c r="C113" s="3" t="str">
        <f>IFERROR(__xludf.DUMMYFUNCTION("GOOGLETRANSLATE(B113,""id"",""en"")"),"['User', 'bru', 'limited', 'then', 'use', 'block', 'pay', 'ngak', 'forced', 'grapari', 'exposed', 'covid', ' Family ',' Nekad ',' GraPARI ',' Deh ',' Ngak ',' Ngak ',' Call ',' Call ',' Connected ',' Wilaya ',' Makassar ',' Ruben ',' Douts' , 'Grapari', '"&amp;"Uda', 'Transmission', 'Staff', 'Grapari', 'Risk', 'Telkomsel', 'Uda', 'explained', ""]")</f>
        <v>['User', 'bru', 'limited', 'then', 'use', 'block', 'pay', 'ngak', 'forced', 'grapari', 'exposed', 'covid', ' Family ',' Nekad ',' GraPARI ',' Deh ',' Ngak ',' Ngak ',' Call ',' Call ',' Connected ',' Wilaya ',' Makassar ',' Ruben ',' Douts' , 'Grapari', 'Uda', 'Transmission', 'Staff', 'Grapari', 'Risk', 'Telkomsel', 'Uda', 'explained', "]</v>
      </c>
      <c r="D113" s="3">
        <v>1.0</v>
      </c>
    </row>
    <row r="114" ht="15.75" customHeight="1">
      <c r="A114" s="1">
        <v>112.0</v>
      </c>
      <c r="B114" s="3" t="s">
        <v>115</v>
      </c>
      <c r="C114" s="3" t="str">
        <f>IFERROR(__xludf.DUMMYFUNCTION("GOOGLETRANSLATE(B114,""id"",""en"")"),"['Change', 'signal', 'just', 'line', 'Doank', 'area', 'Surabaya', 'South', 'forest', 'area', 'remote', 'Surabaya', ' Response ',' Your Customers ',' Tambahi ',' See ',' Comment ',' Listen ',' Your Customer ',' Replied ',' Use ',' Computer ',' then 'told',"&amp;" 'Click' , 'Angel', 'Wes', 'angeeeeeelllllllll']")</f>
        <v>['Change', 'signal', 'just', 'line', 'Doank', 'area', 'Surabaya', 'South', 'forest', 'area', 'remote', 'Surabaya', ' Response ',' Your Customers ',' Tambahi ',' See ',' Comment ',' Listen ',' Your Customer ',' Replied ',' Use ',' Computer ',' then 'told', 'Click' , 'Angel', 'Wes', 'angeeeeeelllllllll']</v>
      </c>
      <c r="D114" s="3">
        <v>1.0</v>
      </c>
    </row>
    <row r="115" ht="15.75" customHeight="1">
      <c r="A115" s="1">
        <v>113.0</v>
      </c>
      <c r="B115" s="3" t="s">
        <v>116</v>
      </c>
      <c r="C115" s="3" t="str">
        <f>IFERROR(__xludf.DUMMYFUNCTION("GOOGLETRANSLATE(B115,""id"",""en"")"),"['Display', 'fresh', 'color', 'provider', 'best', 'update', 'slow', 'signal', 'slow', 'reload', 'tetep', 'error', ' etc. ',' open ',' daily ',' check ',' difficult ',' forgiveness', 'already', 'that's',' expensive ',' Telkomsel ',' Different ',' promo ','"&amp;" card ' , 'expensive', 'Group', 'Ora', 'according to', 'banned you', ""]")</f>
        <v>['Display', 'fresh', 'color', 'provider', 'best', 'update', 'slow', 'signal', 'slow', 'reload', 'tetep', 'error', ' etc. ',' open ',' daily ',' check ',' difficult ',' forgiveness', 'already', 'that's',' expensive ',' Telkomsel ',' Different ',' promo ',' card ' , 'expensive', 'Group', 'Ora', 'according to', 'banned you', "]</v>
      </c>
      <c r="D115" s="3">
        <v>1.0</v>
      </c>
    </row>
    <row r="116" ht="15.75" customHeight="1">
      <c r="A116" s="1">
        <v>114.0</v>
      </c>
      <c r="B116" s="3" t="s">
        <v>117</v>
      </c>
      <c r="C116" s="3" t="str">
        <f>IFERROR(__xludf.DUMMYFUNCTION("GOOGLETRANSLATE(B116,""id"",""en"")"),"['Hello', 'Telkomsel', 'Please', 'Daily', 'Check', 'Udh', 'Ngekuin', 'Sunday', 'Honey', 'Lost', 'because', 'BSA', ' Check ',' on 'on', 'barrels', 'bonus', 'please', 'help', 'yesterday', 'update']")</f>
        <v>['Hello', 'Telkomsel', 'Please', 'Daily', 'Check', 'Udh', 'Ngekuin', 'Sunday', 'Honey', 'Lost', 'because', 'BSA', ' Check ',' on 'on', 'barrels', 'bonus', 'please', 'help', 'yesterday', 'update']</v>
      </c>
      <c r="D116" s="3">
        <v>3.0</v>
      </c>
    </row>
    <row r="117" ht="15.75" customHeight="1">
      <c r="A117" s="1">
        <v>115.0</v>
      </c>
      <c r="B117" s="3" t="s">
        <v>118</v>
      </c>
      <c r="C117" s="3" t="str">
        <f>IFERROR(__xludf.DUMMYFUNCTION("GOOGLETRANSLATE(B117,""id"",""en"")"),"['application', 'error', 'disruption', 'description', 'information', 'service', 'complaint', 'effective', 'network', 'erratically', ""]")</f>
        <v>['application', 'error', 'disruption', 'description', 'information', 'service', 'complaint', 'effective', 'network', 'erratically', "]</v>
      </c>
      <c r="D117" s="3">
        <v>1.0</v>
      </c>
    </row>
    <row r="118" ht="15.75" customHeight="1">
      <c r="A118" s="1">
        <v>116.0</v>
      </c>
      <c r="B118" s="3" t="s">
        <v>119</v>
      </c>
      <c r="C118" s="3" t="str">
        <f>IFERROR(__xludf.DUMMYFUNCTION("GOOGLETRANSLATE(B118,""id"",""en"")"),"['Already', 'Males',' Original ',' Card ',' Perdana ',' Telkomsel ',' Maen ',' Leg ',' Mulu ',' Watch ',' YouTube ',' Severe ',' NGAPAIN ',' Loading ',' Mulu ',' Hadeh ',' Cape ',' ATI ',' Push ',' Renk ',' Card ',' Original ',' Pegel ',' ATI ']")</f>
        <v>['Already', 'Males',' Original ',' Card ',' Perdana ',' Telkomsel ',' Maen ',' Leg ',' Mulu ',' Watch ',' YouTube ',' Severe ',' NGAPAIN ',' Loading ',' Mulu ',' Hadeh ',' Cape ',' ATI ',' Push ',' Renk ',' Card ',' Original ',' Pegel ',' ATI ']</v>
      </c>
      <c r="D118" s="3">
        <v>1.0</v>
      </c>
    </row>
    <row r="119" ht="15.75" customHeight="1">
      <c r="A119" s="1">
        <v>117.0</v>
      </c>
      <c r="B119" s="3" t="s">
        <v>120</v>
      </c>
      <c r="C119" s="3" t="str">
        <f>IFERROR(__xludf.DUMMYFUNCTION("GOOGLETRANSLATE(B119,""id"",""en"")"),"['bad', 'signal', 'download', 'speed', 'good', 'application', 'logo', 'quality', 'threat', 'complain', 'email', 'change', ' Dibales', 'Acquired', 'Nurse', 'Sampe', 'Change', 'Quality', 'Closed', 'Ajalah', 'Closed', ""]")</f>
        <v>['bad', 'signal', 'download', 'speed', 'good', 'application', 'logo', 'quality', 'threat', 'complain', 'email', 'change', ' Dibales', 'Acquired', 'Nurse', 'Sampe', 'Change', 'Quality', 'Closed', 'Ajalah', 'Closed', "]</v>
      </c>
      <c r="D119" s="3">
        <v>1.0</v>
      </c>
    </row>
    <row r="120" ht="15.75" customHeight="1">
      <c r="A120" s="1">
        <v>118.0</v>
      </c>
      <c r="B120" s="3" t="s">
        <v>121</v>
      </c>
      <c r="C120" s="3" t="str">
        <f>IFERROR(__xludf.DUMMYFUNCTION("GOOGLETRANSLATE(B120,""id"",""en"")"),"['turn', 'sucking', 'pulse', 'kenceng', 'right', 'use', 'internet', 'network', 'slow', 'truss',' boss', 'the application', ' gabisa ',' opened ',' customer ',' good ',' low ',' kasian ',' bye ',' telkomshit ',' ']")</f>
        <v>['turn', 'sucking', 'pulse', 'kenceng', 'right', 'use', 'internet', 'network', 'slow', 'truss',' boss', 'the application', ' gabisa ',' opened ',' customer ',' good ',' low ',' kasian ',' bye ',' telkomshit ',' ']</v>
      </c>
      <c r="D120" s="3">
        <v>1.0</v>
      </c>
    </row>
    <row r="121" ht="15.75" customHeight="1">
      <c r="A121" s="1">
        <v>119.0</v>
      </c>
      <c r="B121" s="3" t="s">
        <v>122</v>
      </c>
      <c r="C121" s="3" t="str">
        <f>IFERROR(__xludf.DUMMYFUNCTION("GOOGLETRANSLATE(B121,""id"",""en"")"),"['update', 'times',' contents', 'pulse', 'via', 'Telkomsel', 'payment', 'via', 'virtual', 'account', 'mbanking', 'ane', ' Told ',' Shope ',' Pay ',' Fund ',' Etc. ',' Where ',' Ogah ',' Register ',' Sorry ',' ane ',' Collapin ',' Star ']")</f>
        <v>['update', 'times',' contents', 'pulse', 'via', 'Telkomsel', 'payment', 'via', 'virtual', 'account', 'mbanking', 'ane', ' Told ',' Shope ',' Pay ',' Fund ',' Etc. ',' Where ',' Ogah ',' Register ',' Sorry ',' ane ',' Collapin ',' Star ']</v>
      </c>
      <c r="D121" s="3">
        <v>1.0</v>
      </c>
    </row>
    <row r="122" ht="15.75" customHeight="1">
      <c r="A122" s="1">
        <v>120.0</v>
      </c>
      <c r="B122" s="3" t="s">
        <v>123</v>
      </c>
      <c r="C122" s="3" t="str">
        <f>IFERROR(__xludf.DUMMYFUNCTION("GOOGLETRANSLATE(B122,""id"",""en"")"),"['product', 'skrg', 'quality', 'recommended', 'all-round', 'slow', 'signal', 'slow', 'high', 'number', 'star', 'yesterday', ' Colently ',' ']")</f>
        <v>['product', 'skrg', 'quality', 'recommended', 'all-round', 'slow', 'signal', 'slow', 'high', 'number', 'star', 'yesterday', ' Colently ',' ']</v>
      </c>
      <c r="D122" s="3">
        <v>1.0</v>
      </c>
    </row>
    <row r="123" ht="15.75" customHeight="1">
      <c r="A123" s="1">
        <v>121.0</v>
      </c>
      <c r="B123" s="3" t="s">
        <v>124</v>
      </c>
      <c r="C123" s="3" t="str">
        <f>IFERROR(__xludf.DUMMYFUNCTION("GOOGLETRANSLATE(B123,""id"",""en"")"),"['love', 'star', 'signal', 'area', 'kec', 'gempol', 'sari', 'tangerang', 'banten', 'likes',' ngelek ',' klw ',' Play ',' Game ',' KLW ',' Points', 'Telkomsel', 'Excited', 'Balance', 'Fund', 'Gopay', 'Helpful', 'Kids',' Free ', ""]")</f>
        <v>['love', 'star', 'signal', 'area', 'kec', 'gempol', 'sari', 'tangerang', 'banten', 'likes',' ngelek ',' klw ',' Play ',' Game ',' KLW ',' Points', 'Telkomsel', 'Excited', 'Balance', 'Fund', 'Gopay', 'Helpful', 'Kids',' Free ', "]</v>
      </c>
      <c r="D123" s="3">
        <v>4.0</v>
      </c>
    </row>
    <row r="124" ht="15.75" customHeight="1">
      <c r="A124" s="1">
        <v>122.0</v>
      </c>
      <c r="B124" s="3" t="s">
        <v>125</v>
      </c>
      <c r="C124" s="3" t="str">
        <f>IFERROR(__xludf.DUMMYFUNCTION("GOOGLETRANSLATE(B124,""id"",""en"")"),"['Out', 'update', 'opened', 'emang', 'offer', 'update', 'application', 'class',' child ',' shy ',' Telkomsel ',' chased ',' destroyed ',' signal ',' missing ',' sometimes', 'slow', 'forgiveness',' severe ',' really ',' ']")</f>
        <v>['Out', 'update', 'opened', 'emang', 'offer', 'update', 'application', 'class',' child ',' shy ',' Telkomsel ',' chased ',' destroyed ',' signal ',' missing ',' sometimes', 'slow', 'forgiveness',' severe ',' really ',' ']</v>
      </c>
      <c r="D124" s="3">
        <v>1.0</v>
      </c>
    </row>
    <row r="125" ht="15.75" customHeight="1">
      <c r="A125" s="1">
        <v>123.0</v>
      </c>
      <c r="B125" s="3" t="s">
        <v>126</v>
      </c>
      <c r="C125" s="3" t="str">
        <f>IFERROR(__xludf.DUMMYFUNCTION("GOOGLETRANSLATE(B125,""id"",""en"")"),"['Fix', 'love', 'star', 'suggestion', 'system', 'ngelock', 'use', 'credit', 'purposes',' sms', 'call', 'internet', ' etc. ',' Empor ',' ane ',' quota ',' run out ',' direct ',' eat ',' pulse ',' already ',' package ',' expensive ',' love ',' comfort ' , '"&amp;"according to', 'price', 'package', 'apps',' next door ',' system ',' kek ',' so ',' already ',' hear ',' ane ',' replace ',' star', '']")</f>
        <v>['Fix', 'love', 'star', 'suggestion', 'system', 'ngelock', 'use', 'credit', 'purposes',' sms', 'call', 'internet', ' etc. ',' Empor ',' ane ',' quota ',' run out ',' direct ',' eat ',' pulse ',' already ',' package ',' expensive ',' love ',' comfort ' , 'according to', 'price', 'package', 'apps',' next door ',' system ',' kek ',' so ',' already ',' hear ',' ane ',' replace ',' star', '']</v>
      </c>
      <c r="D125" s="3">
        <v>1.0</v>
      </c>
    </row>
    <row r="126" ht="15.75" customHeight="1">
      <c r="A126" s="1">
        <v>124.0</v>
      </c>
      <c r="B126" s="3" t="s">
        <v>127</v>
      </c>
      <c r="C126" s="3" t="str">
        <f>IFERROR(__xludf.DUMMYFUNCTION("GOOGLETRANSLATE(B126,""id"",""en"")"),"['Since', 'Update', 'Application', 'Telkomsel', 'Blank', 'Useful', 'Check', 'Credit', 'Package', 'Packs',' Network ',' Full ',' ']")</f>
        <v>['Since', 'Update', 'Application', 'Telkomsel', 'Blank', 'Useful', 'Check', 'Credit', 'Package', 'Packs',' Network ',' Full ',' ']</v>
      </c>
      <c r="D126" s="3">
        <v>2.0</v>
      </c>
    </row>
    <row r="127" ht="15.75" customHeight="1">
      <c r="A127" s="1">
        <v>125.0</v>
      </c>
      <c r="B127" s="3" t="s">
        <v>128</v>
      </c>
      <c r="C127" s="3" t="str">
        <f>IFERROR(__xludf.DUMMYFUNCTION("GOOGLETRANSLATE(B127,""id"",""en"")"),"['Severe', 'Telkomsel', 'buy', 'package', 'ilang', 'fast', 'really', 'endless',' gini ',' moved ',' provaider ',' thank you ',' Accompany ',' THN ',' ']")</f>
        <v>['Severe', 'Telkomsel', 'buy', 'package', 'ilang', 'fast', 'really', 'endless',' gini ',' moved ',' provaider ',' thank you ',' Accompany ',' THN ',' ']</v>
      </c>
      <c r="D127" s="3">
        <v>1.0</v>
      </c>
    </row>
    <row r="128" ht="15.75" customHeight="1">
      <c r="A128" s="1">
        <v>126.0</v>
      </c>
      <c r="B128" s="3" t="s">
        <v>129</v>
      </c>
      <c r="C128" s="3" t="str">
        <f>IFERROR(__xludf.DUMMYFUNCTION("GOOGLETRANSLATE(B128,""id"",""en"")"),"['Telkomsel', 'Open', 'Application', 'MyTelkomsel', 'HARD', 'HARD', 'SUSAH', 'Difficult', 'Load', 'Reset', 'Capeh', 'Deh', ' Please ',' repaired ',' Hadehhh ', ""]")</f>
        <v>['Telkomsel', 'Open', 'Application', 'MyTelkomsel', 'HARD', 'HARD', 'SUSAH', 'Difficult', 'Load', 'Reset', 'Capeh', 'Deh', ' Please ',' repaired ',' Hadehhh ', "]</v>
      </c>
      <c r="D128" s="3">
        <v>1.0</v>
      </c>
    </row>
    <row r="129" ht="15.75" customHeight="1">
      <c r="A129" s="1">
        <v>127.0</v>
      </c>
      <c r="B129" s="3" t="s">
        <v>130</v>
      </c>
      <c r="C129" s="3" t="str">
        <f>IFERROR(__xludf.DUMMYFUNCTION("GOOGLETRANSLATE(B129,""id"",""en"")"),"['MyTelkomsel', 'annoying', 'already', 'update', 'error', 'Unfortunately', 'cave', 'send', 'photo', 'Loe', 'complaint', ""]")</f>
        <v>['MyTelkomsel', 'annoying', 'already', 'update', 'error', 'Unfortunately', 'cave', 'send', 'photo', 'Loe', 'complaint', "]</v>
      </c>
      <c r="D129" s="3">
        <v>1.0</v>
      </c>
    </row>
    <row r="130" ht="15.75" customHeight="1">
      <c r="A130" s="1">
        <v>128.0</v>
      </c>
      <c r="B130" s="3" t="s">
        <v>131</v>
      </c>
      <c r="C130" s="3" t="str">
        <f>IFERROR(__xludf.DUMMYFUNCTION("GOOGLETRANSLATE(B130,""id"",""en"")"),"['Application', 'Update', 'version', 'Latest', 'Page', 'Home', 'Loaded', 'Click', 'Load', 'Reset', 'Load', 'checkin', ' Daily ',' ']")</f>
        <v>['Application', 'Update', 'version', 'Latest', 'Page', 'Home', 'Loaded', 'Click', 'Load', 'Reset', 'Load', 'checkin', ' Daily ',' ']</v>
      </c>
      <c r="D130" s="3">
        <v>1.0</v>
      </c>
    </row>
    <row r="131" ht="15.75" customHeight="1">
      <c r="A131" s="1">
        <v>129.0</v>
      </c>
      <c r="B131" s="3" t="s">
        <v>132</v>
      </c>
      <c r="C131" s="3" t="str">
        <f>IFERROR(__xludf.DUMMYFUNCTION("GOOGLETRANSLATE(B131,""id"",""en"")"),"['update', 'version', 'bad', 'disorder', 'system', 'sampek', 'buyptack', 'data', 'internet', 'urgent', 'please', 'repair', ' ']")</f>
        <v>['update', 'version', 'bad', 'disorder', 'system', 'sampek', 'buyptack', 'data', 'internet', 'urgent', 'please', 'repair', ' ']</v>
      </c>
      <c r="D131" s="3">
        <v>1.0</v>
      </c>
    </row>
    <row r="132" ht="15.75" customHeight="1">
      <c r="A132" s="1">
        <v>130.0</v>
      </c>
      <c r="B132" s="3" t="s">
        <v>133</v>
      </c>
      <c r="C132" s="3" t="str">
        <f>IFERROR(__xludf.DUMMYFUNCTION("GOOGLETRANSLATE(B132,""id"",""en"")"),"['Network', 'Telkomsel', 'ugly', 'really', 'good', 'really', 'going home', 'gaperlu', 'replace', 'card', 'signal', 'missing', ' then ',' send ',' sms', 'failed', 'then', 'package', 'phone', 'sms',' enactment ',' telkomsel ',' donk ',' aqu ',' smk ' , 'Sam"&amp;"pe', 'seconds', 'Child', 'AQU', 'FAITH', 'Telkomsel', 'Tlong', 'Donk', 'Telkomsel', 'Fix', 'Thanks', ""]")</f>
        <v>['Network', 'Telkomsel', 'ugly', 'really', 'good', 'really', 'going home', 'gaperlu', 'replace', 'card', 'signal', 'missing', ' then ',' send ',' sms', 'failed', 'then', 'package', 'phone', 'sms',' enactment ',' telkomsel ',' donk ',' aqu ',' smk ' , 'Sampe', 'seconds', 'Child', 'AQU', 'FAITH', 'Telkomsel', 'Tlong', 'Donk', 'Telkomsel', 'Fix', 'Thanks', "]</v>
      </c>
      <c r="D132" s="3">
        <v>2.0</v>
      </c>
    </row>
    <row r="133" ht="15.75" customHeight="1">
      <c r="A133" s="1">
        <v>131.0</v>
      </c>
      <c r="B133" s="3" t="s">
        <v>134</v>
      </c>
      <c r="C133" s="3" t="str">
        <f>IFERROR(__xludf.DUMMYFUNCTION("GOOGLETRANSLATE(B133,""id"",""en"")"),"['quality', 'downhill', 'network', 'severe', 'update', 'Telkomsel', 'opened', 'screen', 'white', 'mulu', 'yaelah', '']")</f>
        <v>['quality', 'downhill', 'network', 'severe', 'update', 'Telkomsel', 'opened', 'screen', 'white', 'mulu', 'yaelah', '']</v>
      </c>
      <c r="D133" s="3">
        <v>1.0</v>
      </c>
    </row>
    <row r="134" ht="15.75" customHeight="1">
      <c r="A134" s="1">
        <v>132.0</v>
      </c>
      <c r="B134" s="3" t="s">
        <v>135</v>
      </c>
      <c r="C134" s="3" t="str">
        <f>IFERROR(__xludf.DUMMYFUNCTION("GOOGLETRANSLATE(B134,""id"",""en"")"),"['application', 'makes it easy', 'annoying', 'check', 'quota', 'page', 'blank', 'pretentious', 'update', 'application', 'difficult', 'check' His renewal ',' already ',' test ',' lgsg ',' sodorin ',' user ',' disappointed ',' ']")</f>
        <v>['application', 'makes it easy', 'annoying', 'check', 'quota', 'page', 'blank', 'pretentious', 'update', 'application', 'difficult', 'check' His renewal ',' already ',' test ',' lgsg ',' sodorin ',' user ',' disappointed ',' ']</v>
      </c>
      <c r="D134" s="3">
        <v>1.0</v>
      </c>
    </row>
    <row r="135" ht="15.75" customHeight="1">
      <c r="A135" s="1">
        <v>133.0</v>
      </c>
      <c r="B135" s="3" t="s">
        <v>136</v>
      </c>
      <c r="C135" s="3" t="str">
        <f>IFERROR(__xludf.DUMMYFUNCTION("GOOGLETRANSLATE(B135,""id"",""en"")"),"['update', 'Nga', 'Open', 'Home', 'appears',' error ',' white ',' already ',' pakek ',' wifi ',' nga ',' open ',' quota ',' internet ',' Telkomsel ',' TTP ',' Nga ',' quota ',' axis', 'signal', 'card', 'kek', 'open', 'nga', 'open' ]")</f>
        <v>['update', 'Nga', 'Open', 'Home', 'appears',' error ',' white ',' already ',' pakek ',' wifi ',' nga ',' open ',' quota ',' internet ',' Telkomsel ',' TTP ',' Nga ',' quota ',' axis', 'signal', 'card', 'kek', 'open', 'nga', 'open' ]</v>
      </c>
      <c r="D135" s="3">
        <v>1.0</v>
      </c>
    </row>
    <row r="136" ht="15.75" customHeight="1">
      <c r="A136" s="1">
        <v>134.0</v>
      </c>
      <c r="B136" s="3" t="s">
        <v>137</v>
      </c>
      <c r="C136" s="3" t="str">
        <f>IFERROR(__xludf.DUMMYFUNCTION("GOOGLETRANSLATE(B136,""id"",""en"")"),"['Loading', 'page', 'App', 'updated', 'error', 'hurried', 'package', 'run out', 'nyedot', 'pulse', 'price', 'packetan', ' Use ',' App ',' Error ',' Disappointing ',' Price ',' Quality ',' How ',' Telkomselll ',' Zonk ']")</f>
        <v>['Loading', 'page', 'App', 'updated', 'error', 'hurried', 'package', 'run out', 'nyedot', 'pulse', 'price', 'packetan', ' Use ',' App ',' Error ',' Disappointing ',' Price ',' Quality ',' How ',' Telkomselll ',' Zonk ']</v>
      </c>
      <c r="D136" s="3">
        <v>1.0</v>
      </c>
    </row>
    <row r="137" ht="15.75" customHeight="1">
      <c r="A137" s="1">
        <v>135.0</v>
      </c>
      <c r="B137" s="3" t="s">
        <v>138</v>
      </c>
      <c r="C137" s="3" t="str">
        <f>IFERROR(__xludf.DUMMYFUNCTION("GOOGLETRANSLATE(B137,""id"",""en"")"),"['run out', 'upgrade', 'PAYW', 'check', 'quota', 'difficult', 'how', 'Telkomsel', 'please', 'fix', 'customer', 'loyal', ' Telkomsel ',' Disappointed ',' ']")</f>
        <v>['run out', 'upgrade', 'PAYW', 'check', 'quota', 'difficult', 'how', 'Telkomsel', 'please', 'fix', 'customer', 'loyal', ' Telkomsel ',' Disappointed ',' ']</v>
      </c>
      <c r="D137" s="3">
        <v>2.0</v>
      </c>
    </row>
    <row r="138" ht="15.75" customHeight="1">
      <c r="A138" s="1">
        <v>136.0</v>
      </c>
      <c r="B138" s="3" t="s">
        <v>139</v>
      </c>
      <c r="C138" s="3" t="str">
        <f>IFERROR(__xludf.DUMMYFUNCTION("GOOGLETRANSLATE(B138,""id"",""en"")"),"['make', 'data', 'right', 'open', 'application', 'load', 'change', 'wifi', 'Refresh', 'reset', 'many', 'times',' Results', 'Try', 'Playstore', 'Download', 'Make', 'WiFi', 'Quota', 'Pas',' Open ',' Application ',' Doang ',' Telkomsel ',' Troubled ' , 'Netw"&amp;"ork', 'Playstore', 'Allow', 'Send', 'Image', 'Send', 'Results', 'Screenshoot', 'Proof', ""]")</f>
        <v>['make', 'data', 'right', 'open', 'application', 'load', 'change', 'wifi', 'Refresh', 'reset', 'many', 'times',' Results', 'Try', 'Playstore', 'Download', 'Make', 'WiFi', 'Quota', 'Pas',' Open ',' Application ',' Doang ',' Telkomsel ',' Troubled ' , 'Network', 'Playstore', 'Allow', 'Send', 'Image', 'Send', 'Results', 'Screenshoot', 'Proof', "]</v>
      </c>
      <c r="D138" s="3">
        <v>1.0</v>
      </c>
    </row>
    <row r="139" ht="15.75" customHeight="1">
      <c r="A139" s="1">
        <v>137.0</v>
      </c>
      <c r="B139" s="3" t="s">
        <v>140</v>
      </c>
      <c r="C139" s="3" t="str">
        <f>IFERROR(__xludf.DUMMYFUNCTION("GOOGLETRANSLATE(B139,""id"",""en"")"),"['Update', 'Application', 'Nongol', 'Loading', 'Page', 'Promo', 'Application', 'Trap', 'Doang', 'Ujung', 'Tuker', 'Price', ' Mahalan ',' little ',' come on ',' bambang ',' GPP ',' expensive ',' most importantly ',' open ',' application ',' tuker ',' packa"&amp;"ge ',' network ',' smooth ' , '']")</f>
        <v>['Update', 'Application', 'Nongol', 'Loading', 'Page', 'Promo', 'Application', 'Trap', 'Doang', 'Ujung', 'Tuker', 'Price', ' Mahalan ',' little ',' come on ',' bambang ',' GPP ',' expensive ',' most importantly ',' open ',' application ',' tuker ',' package ',' network ',' smooth ' , '']</v>
      </c>
      <c r="D139" s="3">
        <v>2.0</v>
      </c>
    </row>
    <row r="140" ht="15.75" customHeight="1">
      <c r="A140" s="1">
        <v>138.0</v>
      </c>
      <c r="B140" s="3" t="s">
        <v>141</v>
      </c>
      <c r="C140" s="3" t="str">
        <f>IFERROR(__xludf.DUMMYFUNCTION("GOOGLETRANSLATE(B140,""id"",""en"")"),"['Error', 'Reading', 'Loading', 'Take', 'Credit', 'Silence', 'Pinter', 'Until', 'Easy', 'Guess',' Card ',' Best ',' Best ',' rich ',' gini ',' card ',' best ',' given ',' star ',' name ',' ']")</f>
        <v>['Error', 'Reading', 'Loading', 'Take', 'Credit', 'Silence', 'Pinter', 'Until', 'Easy', 'Guess',' Card ',' Best ',' Best ',' rich ',' gini ',' card ',' best ',' given ',' star ',' name ',' ']</v>
      </c>
      <c r="D140" s="3">
        <v>1.0</v>
      </c>
    </row>
    <row r="141" ht="15.75" customHeight="1">
      <c r="A141" s="1">
        <v>139.0</v>
      </c>
      <c r="B141" s="3" t="s">
        <v>142</v>
      </c>
      <c r="C141" s="3" t="str">
        <f>IFERROR(__xludf.DUMMYFUNCTION("GOOGLETRANSLATE(B141,""id"",""en"")"),"['Okay', 'thanks',' already ',' bales', 'quota', 'blom', 'entry', 'hi', 'telkom', 'ngebug', 'enter', 'Telkom', ' Write out ',' Refresh ',' Open ',' YouTube ',' Etc. ',' Current ']")</f>
        <v>['Okay', 'thanks',' already ',' bales', 'quota', 'blom', 'entry', 'hi', 'telkom', 'ngebug', 'enter', 'Telkom', ' Write out ',' Refresh ',' Open ',' YouTube ',' Etc. ',' Current ']</v>
      </c>
      <c r="D141" s="3">
        <v>2.0</v>
      </c>
    </row>
    <row r="142" ht="15.75" customHeight="1">
      <c r="A142" s="1">
        <v>140.0</v>
      </c>
      <c r="B142" s="3" t="s">
        <v>143</v>
      </c>
      <c r="C142" s="3" t="str">
        <f>IFERROR(__xludf.DUMMYFUNCTION("GOOGLETRANSLATE(B142,""id"",""en"")"),"['Since', 'update', 'application', 'Telkomsel', 'tidk', 'open', 'wifi', 'screen', 'error', 'network', 'wifi', 'disappointed', ' Please, 'Fix', 'Because', 'for a while', 'Quota', 'Out', 'Buy', 'Package', 'Difficult', 'Karna', 'Application', 'Error', 'Promo"&amp;"' , 'promo', 'cheap', 'annoyed', 'because', 'application', 'error', ""]")</f>
        <v>['Since', 'update', 'application', 'Telkomsel', 'tidk', 'open', 'wifi', 'screen', 'error', 'network', 'wifi', 'disappointed', ' Please, 'Fix', 'Because', 'for a while', 'Quota', 'Out', 'Buy', 'Package', 'Difficult', 'Karna', 'Application', 'Error', 'Promo' , 'promo', 'cheap', 'annoyed', 'because', 'application', 'error', "]</v>
      </c>
      <c r="D142" s="3">
        <v>1.0</v>
      </c>
    </row>
    <row r="143" ht="15.75" customHeight="1">
      <c r="A143" s="1">
        <v>141.0</v>
      </c>
      <c r="B143" s="3" t="s">
        <v>144</v>
      </c>
      <c r="C143" s="3" t="str">
        <f>IFERROR(__xludf.DUMMYFUNCTION("GOOGLETRANSLATE(B143,""id"",""en"")"),"['Telkomsel', 'best', 'best', 'signal', 'I', 'ilang', 'Nilagan', 'area', 'village', 'signal', 'difficult', 'quota', ' price ',' expensive ',' open ',' Telkomsel ',' refresh ',' mulu ',' original ',' severe ',' class', 'Telkomsel', 'bgini', 'please', '']")</f>
        <v>['Telkomsel', 'best', 'best', 'signal', 'I', 'ilang', 'Nilagan', 'area', 'village', 'signal', 'difficult', 'quota', ' price ',' expensive ',' open ',' Telkomsel ',' refresh ',' mulu ',' original ',' severe ',' class', 'Telkomsel', 'bgini', 'please', '']</v>
      </c>
      <c r="D143" s="3">
        <v>1.0</v>
      </c>
    </row>
    <row r="144" ht="15.75" customHeight="1">
      <c r="A144" s="1">
        <v>142.0</v>
      </c>
      <c r="B144" s="3" t="s">
        <v>145</v>
      </c>
      <c r="C144" s="3" t="str">
        <f>IFERROR(__xludf.DUMMYFUNCTION("GOOGLETRANSLATE(B144,""id"",""en"")"),"['gmna', 'exchange', 'point', 'bnyak', 'error', 'Telkomsel', 'choice', 'main', 'complicated', 'user', 'loyal', 'Telkomsel', ' Ribetin ', ""]")</f>
        <v>['gmna', 'exchange', 'point', 'bnyak', 'error', 'Telkomsel', 'choice', 'main', 'complicated', 'user', 'loyal', 'Telkomsel', ' Ribetin ', "]</v>
      </c>
      <c r="D144" s="3">
        <v>1.0</v>
      </c>
    </row>
    <row r="145" ht="15.75" customHeight="1">
      <c r="A145" s="1">
        <v>143.0</v>
      </c>
      <c r="B145" s="3" t="s">
        <v>146</v>
      </c>
      <c r="C145" s="3" t="str">
        <f>IFERROR(__xludf.DUMMYFUNCTION("GOOGLETRANSLATE(B145,""id"",""en"")"),"['Application', 'Update', 'Opened', 'Posts', 'Loaded', 'Refresh', 'Application', '']")</f>
        <v>['Application', 'Update', 'Opened', 'Posts', 'Loaded', 'Refresh', 'Application', '']</v>
      </c>
      <c r="D145" s="3">
        <v>1.0</v>
      </c>
    </row>
    <row r="146" ht="15.75" customHeight="1">
      <c r="A146" s="1">
        <v>144.0</v>
      </c>
      <c r="B146" s="3" t="s">
        <v>147</v>
      </c>
      <c r="C146" s="3" t="str">
        <f>IFERROR(__xludf.DUMMYFUNCTION("GOOGLETRANSLATE(B146,""id"",""en"")"),"['Update', 'Bukak', 'Destroyed', 'Network', 'Telkom', 'System', 'Gini', 'Mending', 'Move', 'Provider', 'Mintak', 'Update', ' Update ',' Kayak ',' Taik ', ""]")</f>
        <v>['Update', 'Bukak', 'Destroyed', 'Network', 'Telkom', 'System', 'Gini', 'Mending', 'Move', 'Provider', 'Mintak', 'Update', ' Update ',' Kayak ',' Taik ', "]</v>
      </c>
      <c r="D146" s="3">
        <v>1.0</v>
      </c>
    </row>
    <row r="147" ht="15.75" customHeight="1">
      <c r="A147" s="1">
        <v>145.0</v>
      </c>
      <c r="B147" s="3" t="s">
        <v>148</v>
      </c>
      <c r="C147" s="3" t="str">
        <f>IFERROR(__xludf.DUMMYFUNCTION("GOOGLETRANSLATE(B147,""id"",""en"")"),"['Please', 'Liat', 'Rating', 'Playstore', 'Love', 'Star', 'The Application', 'Feelings',' Look ',' Gini ',' Hopefully ',' Ingred ',' ']")</f>
        <v>['Please', 'Liat', 'Rating', 'Playstore', 'Love', 'Star', 'The Application', 'Feelings',' Look ',' Gini ',' Hopefully ',' Ingred ',' ']</v>
      </c>
      <c r="D147" s="3">
        <v>1.0</v>
      </c>
    </row>
    <row r="148" ht="15.75" customHeight="1">
      <c r="A148" s="1">
        <v>146.0</v>
      </c>
      <c r="B148" s="3" t="s">
        <v>149</v>
      </c>
      <c r="C148" s="3" t="str">
        <f>IFERROR(__xludf.DUMMYFUNCTION("GOOGLETRANSLATE(B148,""id"",""en"")"),"['Love', 'Bintang', 'Disappointed', 'Since', 'Update', 'Version', 'Download', 'Increase', 'Sorry', 'Disruption', 'System', 'Click', ' Load ',' version ',' Satisfied ',' Disappointed ',' ']")</f>
        <v>['Love', 'Bintang', 'Disappointed', 'Since', 'Update', 'Version', 'Download', 'Increase', 'Sorry', 'Disruption', 'System', 'Click', ' Load ',' version ',' Satisfied ',' Disappointed ',' ']</v>
      </c>
      <c r="D148" s="3">
        <v>1.0</v>
      </c>
    </row>
    <row r="149" ht="15.75" customHeight="1">
      <c r="A149" s="1">
        <v>147.0</v>
      </c>
      <c r="B149" s="3" t="s">
        <v>150</v>
      </c>
      <c r="C149" s="3" t="str">
        <f>IFERROR(__xludf.DUMMYFUNCTION("GOOGLETRANSLATE(B149,""id"",""en"")"),"['updated', 'Eroor', 'disappointed', 'tens',' card ',' signal ',' internet ',' slow ',' anything ',' package ',' data ',' NGK ',' Nge "",""]")</f>
        <v>['updated', 'Eroor', 'disappointed', 'tens',' card ',' signal ',' internet ',' slow ',' anything ',' package ',' data ',' NGK ',' Nge ","]</v>
      </c>
      <c r="D149" s="3">
        <v>1.0</v>
      </c>
    </row>
    <row r="150" ht="15.75" customHeight="1">
      <c r="A150" s="1">
        <v>148.0</v>
      </c>
      <c r="B150" s="3" t="s">
        <v>151</v>
      </c>
      <c r="C150" s="3" t="str">
        <f>IFERROR(__xludf.DUMMYFUNCTION("GOOGLETRANSLATE(B150,""id"",""en"")"),"['Najis',' really ',' APK ',' Network ',' best ',' buy ',' quota ',' difficult ',' kaga ',' open ',' already ',' expensive ',' Internet ',' Rich ',' Taiii ',' ']")</f>
        <v>['Najis',' really ',' APK ',' Network ',' best ',' buy ',' quota ',' difficult ',' kaga ',' open ',' already ',' expensive ',' Internet ',' Rich ',' Taiii ',' ']</v>
      </c>
      <c r="D150" s="3">
        <v>1.0</v>
      </c>
    </row>
    <row r="151" ht="15.75" customHeight="1">
      <c r="A151" s="1">
        <v>149.0</v>
      </c>
      <c r="B151" s="3" t="s">
        <v>152</v>
      </c>
      <c r="C151" s="3" t="str">
        <f>IFERROR(__xludf.DUMMYFUNCTION("GOOGLETRANSLATE(B151,""id"",""en"")"),"['application', 'open', 'error', 'check', 'connection', 'application', 'run', 'smooth', 'application', 'help', 'user', '']")</f>
        <v>['application', 'open', 'error', 'check', 'connection', 'application', 'run', 'smooth', 'application', 'help', 'user', '']</v>
      </c>
      <c r="D151" s="3">
        <v>1.0</v>
      </c>
    </row>
    <row r="152" ht="15.75" customHeight="1">
      <c r="A152" s="1">
        <v>150.0</v>
      </c>
      <c r="B152" s="3" t="s">
        <v>153</v>
      </c>
      <c r="C152" s="3" t="str">
        <f>IFERROR(__xludf.DUMMYFUNCTION("GOOGLETRANSLATE(B152,""id"",""en"")"),"['hard', 'update', 'APK', 'right', 'version', 'updated', 'good', 'opened', 'buy', 'quota', 'thought', 'thought', ' Hopefully ',' fast ',' fix ',' ']")</f>
        <v>['hard', 'update', 'APK', 'right', 'version', 'updated', 'good', 'opened', 'buy', 'quota', 'thought', 'thought', ' Hopefully ',' fast ',' fix ',' ']</v>
      </c>
      <c r="D152" s="3">
        <v>1.0</v>
      </c>
    </row>
    <row r="153" ht="15.75" customHeight="1">
      <c r="A153" s="1">
        <v>151.0</v>
      </c>
      <c r="B153" s="3" t="s">
        <v>154</v>
      </c>
      <c r="C153" s="3" t="str">
        <f>IFERROR(__xludf.DUMMYFUNCTION("GOOGLETRANSLATE(B153,""id"",""en"")"),"['application', 'Telkomsel', 'knp', 'gabisa', 'accessible', 'his writing', 'error', 'system', 'connection', 'stable', 'udh', 'contents',' pulse ',' sumps', 'buy', 'quota', 'how', 'please', 'duh', 'astagfirullah', 'emotion']")</f>
        <v>['application', 'Telkomsel', 'knp', 'gabisa', 'accessible', 'his writing', 'error', 'system', 'connection', 'stable', 'udh', 'contents',' pulse ',' sumps', 'buy', 'quota', 'how', 'please', 'duh', 'astagfirullah', 'emotion']</v>
      </c>
      <c r="D153" s="3">
        <v>1.0</v>
      </c>
    </row>
    <row r="154" ht="15.75" customHeight="1">
      <c r="A154" s="1">
        <v>152.0</v>
      </c>
      <c r="B154" s="3" t="s">
        <v>155</v>
      </c>
      <c r="C154" s="3" t="str">
        <f>IFERROR(__xludf.DUMMYFUNCTION("GOOGLETRANSLATE(B154,""id"",""en"")"),"['Doglahhh', 'Disruption', 'Mulu', 'You', 'Best', 'Seindonesia', 'Panteklah', 'Money', 'Doang', 'Movin', 'Network', 'Invexed', ' The quality is', 'Gaguna', 'You', '']")</f>
        <v>['Doglahhh', 'Disruption', 'Mulu', 'You', 'Best', 'Seindonesia', 'Panteklah', 'Money', 'Doang', 'Movin', 'Network', 'Invexed', ' The quality is', 'Gaguna', 'You', '']</v>
      </c>
      <c r="D154" s="3">
        <v>1.0</v>
      </c>
    </row>
    <row r="155" ht="15.75" customHeight="1">
      <c r="A155" s="1">
        <v>153.0</v>
      </c>
      <c r="B155" s="3" t="s">
        <v>156</v>
      </c>
      <c r="C155" s="3" t="str">
        <f>IFERROR(__xludf.DUMMYFUNCTION("GOOGLETRANSLATE(B155,""id"",""en"")"),"['Apply', 'dongooooooooo', 'buy', 'package', 'ajh', 'persulit', 'little', 'ngeeleg', 'right', 'play', ""]")</f>
        <v>['Apply', 'dongooooooooo', 'buy', 'package', 'ajh', 'persulit', 'little', 'ngeeleg', 'right', 'play', "]</v>
      </c>
      <c r="D155" s="3">
        <v>1.0</v>
      </c>
    </row>
    <row r="156" ht="15.75" customHeight="1">
      <c r="A156" s="1">
        <v>154.0</v>
      </c>
      <c r="B156" s="3" t="s">
        <v>157</v>
      </c>
      <c r="C156" s="3" t="str">
        <f>IFERROR(__xludf.DUMMYFUNCTION("GOOGLETRANSLATE(B156,""id"",""en"")"),"['', 'Application', 'Use', 'Telkomsel', 'Please', 'You', 'Tower', 'House', 'Land', 'Throw', 'Stone', ""]")</f>
        <v>['', 'Application', 'Use', 'Telkomsel', 'Please', 'You', 'Tower', 'House', 'Land', 'Throw', 'Stone', "]</v>
      </c>
      <c r="D156" s="3">
        <v>5.0</v>
      </c>
    </row>
    <row r="157" ht="15.75" customHeight="1">
      <c r="A157" s="1">
        <v>155.0</v>
      </c>
      <c r="B157" s="3" t="s">
        <v>158</v>
      </c>
      <c r="C157" s="3" t="str">
        <f>IFERROR(__xludf.DUMMYFUNCTION("GOOGLETRANSLATE(B157,""id"",""en"")"),"['Tower', 'collapse', 'times',' network ',' bapuk ',' management ',' performance ',' maximal ',' times', 'experience', 'Telkomsel', 'super', ' Bapuk ']")</f>
        <v>['Tower', 'collapse', 'times',' network ',' bapuk ',' management ',' performance ',' maximal ',' times', 'experience', 'Telkomsel', 'super', ' Bapuk ']</v>
      </c>
      <c r="D157" s="3">
        <v>1.0</v>
      </c>
    </row>
    <row r="158" ht="15.75" customHeight="1">
      <c r="A158" s="1">
        <v>156.0</v>
      </c>
      <c r="B158" s="3" t="s">
        <v>159</v>
      </c>
      <c r="C158" s="3" t="str">
        <f>IFERROR(__xludf.DUMMYFUNCTION("GOOGLETRANSLATE(B158,""id"",""en"")"),"['LEG', 'Network', 'Main', 'Game', 'Ping', 'Down', 'No', 'Sampain', 'Ping', 'Red', 'Please', 'Telkomsel', ' network ',' Benerin ',' Good ']")</f>
        <v>['LEG', 'Network', 'Main', 'Game', 'Ping', 'Down', 'No', 'Sampain', 'Ping', 'Red', 'Please', 'Telkomsel', ' network ',' Benerin ',' Good ']</v>
      </c>
      <c r="D158" s="3">
        <v>1.0</v>
      </c>
    </row>
    <row r="159" ht="15.75" customHeight="1">
      <c r="A159" s="1">
        <v>157.0</v>
      </c>
      <c r="B159" s="3" t="s">
        <v>160</v>
      </c>
      <c r="C159" s="3" t="str">
        <f>IFERROR(__xludf.DUMMYFUNCTION("GOOGLETRANSLATE(B159,""id"",""en"")"),"['updated', 'Error', 'Network', 'Good', 'Please', 'Size', 'Reduced', 'Tetep', 'Light', 'Android', 'Lemot', 'Network', ' good']")</f>
        <v>['updated', 'Error', 'Network', 'Good', 'Please', 'Size', 'Reduced', 'Tetep', 'Light', 'Android', 'Lemot', 'Network', ' good']</v>
      </c>
      <c r="D159" s="3">
        <v>3.0</v>
      </c>
    </row>
    <row r="160" ht="15.75" customHeight="1">
      <c r="A160" s="1">
        <v>158.0</v>
      </c>
      <c r="B160" s="3" t="s">
        <v>161</v>
      </c>
      <c r="C160" s="3" t="str">
        <f>IFERROR(__xludf.DUMMYFUNCTION("GOOGLETRANSLATE(B160,""id"",""en"")"),"['love', 'star', 'already', 'update', 'disorder', 'kebuka', 'signal', 'rich', 'BBI', 'Gini', 'Tah', 'Profaid', ' Wkwkwkwk ',' Thikikrrrtt ']")</f>
        <v>['love', 'star', 'already', 'update', 'disorder', 'kebuka', 'signal', 'rich', 'BBI', 'Gini', 'Tah', 'Profaid', ' Wkwkwkwk ',' Thikikrrrtt ']</v>
      </c>
      <c r="D160" s="3">
        <v>1.0</v>
      </c>
    </row>
    <row r="161" ht="15.75" customHeight="1">
      <c r="A161" s="1">
        <v>159.0</v>
      </c>
      <c r="B161" s="3" t="s">
        <v>162</v>
      </c>
      <c r="C161" s="3" t="str">
        <f>IFERROR(__xludf.DUMMYFUNCTION("GOOGLETRANSLATE(B161,""id"",""en"")"),"['Telkomsel', 'forward', 'already', 'package', 'expensive', 'application', 'oldaaaaaaa', 'open', 'network', 'lose', 'indosat', ""]")</f>
        <v>['Telkomsel', 'forward', 'already', 'package', 'expensive', 'application', 'oldaaaaaaa', 'open', 'network', 'lose', 'indosat', "]</v>
      </c>
      <c r="D161" s="3">
        <v>1.0</v>
      </c>
    </row>
    <row r="162" ht="15.75" customHeight="1">
      <c r="A162" s="1">
        <v>160.0</v>
      </c>
      <c r="B162" s="3" t="s">
        <v>163</v>
      </c>
      <c r="C162" s="3" t="str">
        <f>IFERROR(__xludf.DUMMYFUNCTION("GOOGLETRANSLATE(B162,""id"",""en"")"),"['disappointing', 'application', 'think', 'update', 'application', 'access',' enter ',' application ',' fast ',' please ',' Telkomsel ',' fix ',' the application ',' price ',' package ',' expensive ',' application ',' Telkomsel ',' notification ',' appear"&amp;"s', 'network', 'busy', ""]")</f>
        <v>['disappointing', 'application', 'think', 'update', 'application', 'access',' enter ',' application ',' fast ',' please ',' Telkomsel ',' fix ',' the application ',' price ',' package ',' expensive ',' application ',' Telkomsel ',' notification ',' appears', 'network', 'busy', "]</v>
      </c>
      <c r="D162" s="3">
        <v>1.0</v>
      </c>
    </row>
    <row r="163" ht="15.75" customHeight="1">
      <c r="A163" s="1">
        <v>161.0</v>
      </c>
      <c r="B163" s="3" t="s">
        <v>164</v>
      </c>
      <c r="C163" s="3" t="str">
        <f>IFERROR(__xludf.DUMMYFUNCTION("GOOGLETRANSLATE(B163,""id"",""en"")"),"['Application', 'infoin', 'min', 'confused', 'user', 'gini', 'replace', 'card', 'ajah', 'pusingg', '']")</f>
        <v>['Application', 'infoin', 'min', 'confused', 'user', 'gini', 'replace', 'card', 'ajah', 'pusingg', '']</v>
      </c>
      <c r="D163" s="3">
        <v>1.0</v>
      </c>
    </row>
    <row r="164" ht="15.75" customHeight="1">
      <c r="A164" s="1">
        <v>162.0</v>
      </c>
      <c r="B164" s="3" t="s">
        <v>165</v>
      </c>
      <c r="C164" s="3" t="str">
        <f>IFERROR(__xludf.DUMMYFUNCTION("GOOGLETRANSLATE(B164,""id"",""en"")"),"['update', 'kayak', 'gini', 'no', 'access',' network ',' udh ',' good ',' please ',' help ',' telkomsel ',' fix ',' system ',' error ',' thank ',' love ']")</f>
        <v>['update', 'kayak', 'gini', 'no', 'access',' network ',' udh ',' good ',' please ',' help ',' telkomsel ',' fix ',' system ',' error ',' thank ',' love ']</v>
      </c>
      <c r="D164" s="3">
        <v>1.0</v>
      </c>
    </row>
    <row r="165" ht="15.75" customHeight="1">
      <c r="A165" s="1">
        <v>163.0</v>
      </c>
      <c r="B165" s="3" t="s">
        <v>166</v>
      </c>
      <c r="C165" s="3" t="str">
        <f>IFERROR(__xludf.DUMMYFUNCTION("GOOGLETRANSLATE(B165,""id"",""en"")"),"['App', 'run', 'used', 'detrimental', 'pulse', 'sucked', 'tens',' thousand ',' activation ',' package ',' internet ',' try ',' Install ',' TTP ',' Used ',' HFT ']")</f>
        <v>['App', 'run', 'used', 'detrimental', 'pulse', 'sucked', 'tens',' thousand ',' activation ',' package ',' internet ',' try ',' Install ',' TTP ',' Used ',' HFT ']</v>
      </c>
      <c r="D165" s="3">
        <v>1.0</v>
      </c>
    </row>
    <row r="166" ht="15.75" customHeight="1">
      <c r="A166" s="1">
        <v>164.0</v>
      </c>
      <c r="B166" s="3" t="s">
        <v>167</v>
      </c>
      <c r="C166" s="3" t="str">
        <f>IFERROR(__xludf.DUMMYFUNCTION("GOOGLETRANSLATE(B166,""id"",""en"")"),"['Telkomsel', 'UDH', 'Dilapidated', 'Forgot', 'BUMN', 'WKWKWK', 'Pantes',' Network ',' Kayak ',' Keong ',' Udh ',' Expensive ',' network ',' kayak ',' snail ',' level ',' entry ',' net ',' best ',' udh ',' tens', 'pakek', 'telkomsel', 'times',' kecited ' "&amp;", 'what are you doing', '']")</f>
        <v>['Telkomsel', 'UDH', 'Dilapidated', 'Forgot', 'BUMN', 'WKWKWK', 'Pantes',' Network ',' Kayak ',' Keong ',' Udh ',' Expensive ',' network ',' kayak ',' snail ',' level ',' entry ',' net ',' best ',' udh ',' tens', 'pakek', 'telkomsel', 'times',' kecited ' , 'what are you doing', '']</v>
      </c>
      <c r="D166" s="3">
        <v>1.0</v>
      </c>
    </row>
    <row r="167" ht="15.75" customHeight="1">
      <c r="A167" s="1">
        <v>165.0</v>
      </c>
      <c r="B167" s="3" t="s">
        <v>168</v>
      </c>
      <c r="C167" s="3" t="str">
        <f>IFERROR(__xludf.DUMMYFUNCTION("GOOGLETRANSLATE(B167,""id"",""en"")"),"['Disappointed', 'Semakain', 'Signal', 'Telkomsel', 'Stable', 'Stay', 'Urban', 'Price', 'Quality', 'Down', 'Honest', 'Disappointed', ' Application ',' Telkomsel ',' Open ',' Please ',' Fix ',' Min ',' Quality ',' Mumpung ',' Customer ',' Run ', ""]")</f>
        <v>['Disappointed', 'Semakain', 'Signal', 'Telkomsel', 'Stable', 'Stay', 'Urban', 'Price', 'Quality', 'Down', 'Honest', 'Disappointed', ' Application ',' Telkomsel ',' Open ',' Please ',' Fix ',' Min ',' Quality ',' Mumpung ',' Customer ',' Run ', "]</v>
      </c>
      <c r="D167" s="3">
        <v>1.0</v>
      </c>
    </row>
    <row r="168" ht="15.75" customHeight="1">
      <c r="A168" s="1">
        <v>166.0</v>
      </c>
      <c r="B168" s="3" t="s">
        <v>169</v>
      </c>
      <c r="C168" s="3" t="str">
        <f>IFERROR(__xludf.DUMMYFUNCTION("GOOGLETRANSLATE(B168,""id"",""en"")"),"['expensive', 'doang', 'slow', 'environment', 'solid', 'resident', 'like', 'kelurahan', 'kapok', 'kec', 'cengkareng', 'jakarta', ' West ',' customer ',' tsel ',' quota ',' network ',' quantity ',' if ',' ration ',' area ',' Mbps', 'speed', 'addin', 'user'"&amp;" , 'allotment', 'that way', 'that way', 'causes',' cable ',' wifi ',' wifi ',' area ',' complaint ',' already ',' anywhere ',' development ',' progress', '']")</f>
        <v>['expensive', 'doang', 'slow', 'environment', 'solid', 'resident', 'like', 'kelurahan', 'kapok', 'kec', 'cengkareng', 'jakarta', ' West ',' customer ',' tsel ',' quota ',' network ',' quantity ',' if ',' ration ',' area ',' Mbps', 'speed', 'addin', 'user' , 'allotment', 'that way', 'that way', 'causes',' cable ',' wifi ',' wifi ',' area ',' complaint ',' already ',' anywhere ',' development ',' progress', '']</v>
      </c>
      <c r="D168" s="3">
        <v>1.0</v>
      </c>
    </row>
    <row r="169" ht="15.75" customHeight="1">
      <c r="A169" s="1">
        <v>167.0</v>
      </c>
      <c r="B169" s="3" t="s">
        <v>170</v>
      </c>
      <c r="C169" s="3" t="str">
        <f>IFERROR(__xludf.DUMMYFUNCTION("GOOGLETRANSLATE(B169,""id"",""en"")"),"['Telkomsel', 'slow', 'open', 'Telkomsel', '4 hours', 'clock', 'failed', 'unfortunate', 'enthusiasts', 'users', 'Telkomsel', 'LEG']")</f>
        <v>['Telkomsel', 'slow', 'open', 'Telkomsel', '4 hours', 'clock', 'failed', 'unfortunate', 'enthusiasts', 'users', 'Telkomsel', 'LEG']</v>
      </c>
      <c r="D169" s="3">
        <v>5.0</v>
      </c>
    </row>
    <row r="170" ht="15.75" customHeight="1">
      <c r="A170" s="1">
        <v>168.0</v>
      </c>
      <c r="B170" s="3" t="s">
        <v>171</v>
      </c>
      <c r="C170" s="3" t="str">
        <f>IFERROR(__xludf.DUMMYFUNCTION("GOOGLETRANSLATE(B170,""id"",""en"")"),"['quota', 'expensive', 'network', 'good', 'already', 'expensive', 'network', 'ugly', 'setabilia', 'game', 'please', 'repair', ' ']")</f>
        <v>['quota', 'expensive', 'network', 'good', 'already', 'expensive', 'network', 'ugly', 'setabilia', 'game', 'please', 'repair', ' ']</v>
      </c>
      <c r="D170" s="3">
        <v>5.0</v>
      </c>
    </row>
    <row r="171" ht="15.75" customHeight="1">
      <c r="A171" s="1">
        <v>169.0</v>
      </c>
      <c r="B171" s="3" t="s">
        <v>172</v>
      </c>
      <c r="C171" s="3" t="str">
        <f>IFERROR(__xludf.DUMMYFUNCTION("GOOGLETRANSLATE(B171,""id"",""en"")"),"['Sorry', 'how', 'Sis',' application ',' open ',' transaction ',' buy ',' quota ',' learn ',' already ',' quota ',' learn ',' down ',' government ',' buy ',' quota ',' twitter ',' Telkomsel ',' responded ',' please ',' min ',' responded ',' as soon as pos"&amp;"sible, 'need', 'quota' ]")</f>
        <v>['Sorry', 'how', 'Sis',' application ',' open ',' transaction ',' buy ',' quota ',' learn ',' already ',' quota ',' learn ',' down ',' government ',' buy ',' quota ',' twitter ',' Telkomsel ',' responded ',' please ',' min ',' responded ',' as soon as possible, 'need', 'quota' ]</v>
      </c>
      <c r="D171" s="3">
        <v>1.0</v>
      </c>
    </row>
    <row r="172" ht="15.75" customHeight="1">
      <c r="A172" s="1">
        <v>170.0</v>
      </c>
      <c r="B172" s="3" t="s">
        <v>173</v>
      </c>
      <c r="C172" s="3" t="str">
        <f>IFERROR(__xludf.DUMMYFUNCTION("GOOGLETRANSLATE(B172,""id"",""en"")"),"['Since', 'Update', 'Telkomsel', 'Opened', 'Error', 'System', 'Refresh', 'Uninstall', 'Ajah', 'That's',' Update ',' Hard ',' Males', 'Bangetttt', 'Gini', 'Musti', 'Report', 'Complaints',' Open ',' ']")</f>
        <v>['Since', 'Update', 'Telkomsel', 'Opened', 'Error', 'System', 'Refresh', 'Uninstall', 'Ajah', 'That's',' Update ',' Hard ',' Males', 'Bangetttt', 'Gini', 'Musti', 'Report', 'Complaints',' Open ',' ']</v>
      </c>
      <c r="D172" s="3">
        <v>1.0</v>
      </c>
    </row>
    <row r="173" ht="15.75" customHeight="1">
      <c r="A173" s="1">
        <v>171.0</v>
      </c>
      <c r="B173" s="3" t="s">
        <v>174</v>
      </c>
      <c r="C173" s="3" t="str">
        <f>IFERROR(__xludf.DUMMYFUNCTION("GOOGLETRANSLATE(B173,""id"",""en"")"),"['Severe', 'DFTAR', 'PKET', 'SBELOUM', 'Connect', 'Most', 'Disorders',' GMN ',' Network ',' Best ',' Kyk ',' GNI ',' complicated', '']")</f>
        <v>['Severe', 'DFTAR', 'PKET', 'SBELOUM', 'Connect', 'Most', 'Disorders',' GMN ',' Network ',' Best ',' Kyk ',' GNI ',' complicated', '']</v>
      </c>
      <c r="D173" s="3">
        <v>1.0</v>
      </c>
    </row>
    <row r="174" ht="15.75" customHeight="1">
      <c r="A174" s="1">
        <v>172.0</v>
      </c>
      <c r="B174" s="3" t="s">
        <v>175</v>
      </c>
      <c r="C174" s="3" t="str">
        <f>IFERROR(__xludf.DUMMYFUNCTION("GOOGLETRANSLATE(B174,""id"",""en"")"),"['bus',' update ',' open ',' see ',' comment ',' admin ',' suru ',' chat ',' try ',' deh ',' admin ',' mending ',' Focus', 'BEFIEIN', 'BERES', 'Chat', '']")</f>
        <v>['bus',' update ',' open ',' see ',' comment ',' admin ',' suru ',' chat ',' try ',' deh ',' admin ',' mending ',' Focus', 'BEFIEIN', 'BERES', 'Chat', '']</v>
      </c>
      <c r="D174" s="3">
        <v>1.0</v>
      </c>
    </row>
    <row r="175" ht="15.75" customHeight="1">
      <c r="A175" s="1">
        <v>173.0</v>
      </c>
      <c r="B175" s="3" t="s">
        <v>176</v>
      </c>
      <c r="C175" s="3" t="str">
        <f>IFERROR(__xludf.DUMMYFUNCTION("GOOGLETRANSLATE(B175,""id"",""en"")"),"['expensive', 'feature', 'pulp', 'update', 'open', 'network', 'base', 'pulp', 'rich', 'trs',' performance ',' garbage ',' ']")</f>
        <v>['expensive', 'feature', 'pulp', 'update', 'open', 'network', 'base', 'pulp', 'rich', 'trs',' performance ',' garbage ',' ']</v>
      </c>
      <c r="D175" s="3">
        <v>1.0</v>
      </c>
    </row>
    <row r="176" ht="15.75" customHeight="1">
      <c r="A176" s="1">
        <v>174.0</v>
      </c>
      <c r="B176" s="3" t="s">
        <v>177</v>
      </c>
      <c r="C176" s="3" t="str">
        <f>IFERROR(__xludf.DUMMYFUNCTION("GOOGLETRANSLATE(B176,""id"",""en"")"),"['come here', 'tsel', 'tsel', 'already', 'expensive', 'service', 'ancoorr', 'open', 'application', 'tsel', 'hard', 'modboard', ' network ',' tsel ',' please ',' repaired ',' consumer ',' kelur ',' money ',' disorder ']")</f>
        <v>['come here', 'tsel', 'tsel', 'already', 'expensive', 'service', 'ancoorr', 'open', 'application', 'tsel', 'hard', 'modboard', ' network ',' tsel ',' please ',' repaired ',' consumer ',' kelur ',' money ',' disorder ']</v>
      </c>
      <c r="D176" s="3">
        <v>1.0</v>
      </c>
    </row>
    <row r="177" ht="15.75" customHeight="1">
      <c r="A177" s="1">
        <v>175.0</v>
      </c>
      <c r="B177" s="3" t="s">
        <v>178</v>
      </c>
      <c r="C177" s="3" t="str">
        <f>IFERROR(__xludf.DUMMYFUNCTION("GOOGLETRANSLATE(B177,""id"",""en"")"),"['application', 'update', 'change', 'theme', 'etc.', 'error', 'buy', 'pulse', 'package', 'data', 'strange', 'team', ' Development ',' BLM ']")</f>
        <v>['application', 'update', 'change', 'theme', 'etc.', 'error', 'buy', 'pulse', 'package', 'data', 'strange', 'team', ' Development ',' BLM ']</v>
      </c>
      <c r="D177" s="3">
        <v>1.0</v>
      </c>
    </row>
    <row r="178" ht="15.75" customHeight="1">
      <c r="A178" s="1">
        <v>176.0</v>
      </c>
      <c r="B178" s="3" t="s">
        <v>179</v>
      </c>
      <c r="C178" s="3" t="str">
        <f>IFERROR(__xludf.DUMMYFUNCTION("GOOGLETRANSLATE(B178,""id"",""en"")"),"['Severe', 'Telkomnyet', 'Price', 'Quota', 'Application', 'Telkomsel', 'No', 'Affordable', 'Worse', 'Card', 'Main', 'Udh', ' Price ',' Paketan ',' expensive ',' turn ',' Adek ',' buy ',' card ',' dikasi ',' promo ',' mulu ',' fair ',' name ', ""]")</f>
        <v>['Severe', 'Telkomnyet', 'Price', 'Quota', 'Application', 'Telkomsel', 'No', 'Affordable', 'Worse', 'Card', 'Main', 'Udh', ' Price ',' Paketan ',' expensive ',' turn ',' Adek ',' buy ',' card ',' dikasi ',' promo ',' mulu ',' fair ',' name ', "]</v>
      </c>
      <c r="D178" s="3">
        <v>2.0</v>
      </c>
    </row>
    <row r="179" ht="15.75" customHeight="1">
      <c r="A179" s="1">
        <v>177.0</v>
      </c>
      <c r="B179" s="3" t="s">
        <v>180</v>
      </c>
      <c r="C179" s="3" t="str">
        <f>IFERROR(__xludf.DUMMYFUNCTION("GOOGLETRANSLATE(B179,""id"",""en"")"),"['The application', 'expectes', 'error', 'no', 'intentions', 'fix', 'customer', 'disappointed', 'no', 'compensation', 'Ahsudalah', '']")</f>
        <v>['The application', 'expectes', 'error', 'no', 'intentions', 'fix', 'customer', 'disappointed', 'no', 'compensation', 'Ahsudalah', '']</v>
      </c>
      <c r="D179" s="3">
        <v>1.0</v>
      </c>
    </row>
    <row r="180" ht="15.75" customHeight="1">
      <c r="A180" s="1">
        <v>178.0</v>
      </c>
      <c r="B180" s="3" t="s">
        <v>181</v>
      </c>
      <c r="C180" s="3" t="str">
        <f>IFERROR(__xludf.DUMMYFUNCTION("GOOGLETRANSLATE(B180,""id"",""en"")"),"['App', 'update', 'list', 'package', 'white', 'screen', 'good', 'disappointing', 'your customer', 'Telkomsel', 'download', 'reset', ' White', '']")</f>
        <v>['App', 'update', 'list', 'package', 'white', 'screen', 'good', 'disappointing', 'your customer', 'Telkomsel', 'download', 'reset', ' White', '']</v>
      </c>
      <c r="D180" s="3">
        <v>1.0</v>
      </c>
    </row>
    <row r="181" ht="15.75" customHeight="1">
      <c r="A181" s="1">
        <v>179.0</v>
      </c>
      <c r="B181" s="3" t="s">
        <v>182</v>
      </c>
      <c r="C181" s="3" t="str">
        <f>IFERROR(__xludf.DUMMYFUNCTION("GOOGLETRANSLATE(B181,""id"",""en"")"),"['After', 'Update', 'opened', 'already', 'Try', 'Uninstall', 'Install', 'opened', 'Loading', 'Continuous',' Version ',' Walking ',' Normal ',' comment ',' comment ',' complaining ',' regarding ',' version ',' newest ',' Telkomsel ',' please ',' SOLVE ',' "&amp;"ASAP ',' ']")</f>
        <v>['After', 'Update', 'opened', 'already', 'Try', 'Uninstall', 'Install', 'opened', 'Loading', 'Continuous',' Version ',' Walking ',' Normal ',' comment ',' comment ',' complaining ',' regarding ',' version ',' newest ',' Telkomsel ',' please ',' SOLVE ',' ASAP ',' ']</v>
      </c>
      <c r="D181" s="3">
        <v>1.0</v>
      </c>
    </row>
    <row r="182" ht="15.75" customHeight="1">
      <c r="A182" s="1">
        <v>180.0</v>
      </c>
      <c r="B182" s="3" t="s">
        <v>183</v>
      </c>
      <c r="C182" s="3" t="str">
        <f>IFERROR(__xludf.DUMMYFUNCTION("GOOGLETRANSLATE(B182,""id"",""en"")"),"['Since', 'Update', 'Application', 'Slow', 'Disruption', 'Network', 'Normal', 'Rich', 'Current', 'Please', 'Fix', 'User', ' comfortable']")</f>
        <v>['Since', 'Update', 'Application', 'Slow', 'Disruption', 'Network', 'Normal', 'Rich', 'Current', 'Please', 'Fix', 'User', ' comfortable']</v>
      </c>
      <c r="D182" s="3">
        <v>1.0</v>
      </c>
    </row>
    <row r="183" ht="15.75" customHeight="1">
      <c r="A183" s="1">
        <v>181.0</v>
      </c>
      <c r="B183" s="3" t="s">
        <v>184</v>
      </c>
      <c r="C183" s="3" t="str">
        <f>IFERROR(__xludf.DUMMYFUNCTION("GOOGLETRANSLATE(B183,""id"",""en"")"),"['already', 'updated', 'Bener', 'chaotic', 'check', 'quota', 'gakbisa', 'already', 'replace', 'network', 'wifi', 'data', ' Cellular ',' Delete ',' Cache ',' Settings', 'Application', 'Sampe', 'Restart', 'Results',' Solusinha ',' What ', ""]")</f>
        <v>['already', 'updated', 'Bener', 'chaotic', 'check', 'quota', 'gakbisa', 'already', 'replace', 'network', 'wifi', 'data', ' Cellular ',' Delete ',' Cache ',' Settings', 'Application', 'Sampe', 'Restart', 'Results',' Solusinha ',' What ', "]</v>
      </c>
      <c r="D183" s="3">
        <v>1.0</v>
      </c>
    </row>
    <row r="184" ht="15.75" customHeight="1">
      <c r="A184" s="1">
        <v>182.0</v>
      </c>
      <c r="B184" s="3" t="s">
        <v>185</v>
      </c>
      <c r="C184" s="3" t="str">
        <f>IFERROR(__xludf.DUMMYFUNCTION("GOOGLETRANSLATE(B184,""id"",""en"")"),"['upgrade', 'apk', 'Telkomsel', 'opened', 'buy', 'package', 'data', 'difficult', 'disappointed', 'update', 'system', 'error', ' Gini ',' ']")</f>
        <v>['upgrade', 'apk', 'Telkomsel', 'opened', 'buy', 'package', 'data', 'difficult', 'disappointed', 'update', 'system', 'error', ' Gini ',' ']</v>
      </c>
      <c r="D184" s="3">
        <v>1.0</v>
      </c>
    </row>
    <row r="185" ht="15.75" customHeight="1">
      <c r="A185" s="1">
        <v>183.0</v>
      </c>
      <c r="B185" s="3" t="s">
        <v>186</v>
      </c>
      <c r="C185" s="3" t="str">
        <f>IFERROR(__xludf.DUMMYFUNCTION("GOOGLETRANSLATE(B185,""id"",""en"")"),"['Really', 'disappointed', 'sadistic', 'open', 'application', 'contents',' quota ',' kaga ',' admit ',' doang ',' best ',' know ',' Disappointed ',' Telkomsel ',' expensive ',' Kaga ',' essence ',' disappointed ',' Telkomsel ', ""]")</f>
        <v>['Really', 'disappointed', 'sadistic', 'open', 'application', 'contents',' quota ',' kaga ',' admit ',' doang ',' best ',' know ',' Disappointed ',' Telkomsel ',' expensive ',' Kaga ',' essence ',' disappointed ',' Telkomsel ', "]</v>
      </c>
      <c r="D185" s="3">
        <v>1.0</v>
      </c>
    </row>
    <row r="186" ht="15.75" customHeight="1">
      <c r="A186" s="1">
        <v>184.0</v>
      </c>
      <c r="B186" s="3" t="s">
        <v>187</v>
      </c>
      <c r="C186" s="3" t="str">
        <f>IFERROR(__xludf.DUMMYFUNCTION("GOOGLETRANSLATE(B186,""id"",""en"")"),"['hah', 'what', 'update', 'log', 'contents',' content ',' features', 'DENALEM', 'Load', 'Network', 'Normal', 'Try', ' Contact ',' admin ',' contact ',' admin ',' entry ',' help ',' admin ',' hahh ',' payaaaahhh ',' ']")</f>
        <v>['hah', 'what', 'update', 'log', 'contents',' content ',' features', 'DENALEM', 'Load', 'Network', 'Normal', 'Try', ' Contact ',' admin ',' contact ',' admin ',' entry ',' help ',' admin ',' hahh ',' payaaaahhh ',' ']</v>
      </c>
      <c r="D186" s="3">
        <v>1.0</v>
      </c>
    </row>
    <row r="187" ht="15.75" customHeight="1">
      <c r="A187" s="1">
        <v>185.0</v>
      </c>
      <c r="B187" s="3" t="s">
        <v>188</v>
      </c>
      <c r="C187" s="3" t="str">
        <f>IFERROR(__xludf.DUMMYFUNCTION("GOOGLETRANSLATE(B187,""id"",""en"")"),"['Please', 'fix', 'enter', 'APK', 'Network', 'wifi', 'fast', 'network', 'slow', 'Telkomsel', 'go bankrupt', 'yaa', ' Gini ',' people ',' moved ',' provider ',' Aceh ',' Aceh ',' West ',' difficult ',' use ',' provider ',' Telkomsel ',' slow ',' troubled '"&amp;" ]")</f>
        <v>['Please', 'fix', 'enter', 'APK', 'Network', 'wifi', 'fast', 'network', 'slow', 'Telkomsel', 'go bankrupt', 'yaa', ' Gini ',' people ',' moved ',' provider ',' Aceh ',' Aceh ',' West ',' difficult ',' use ',' provider ',' Telkomsel ',' slow ',' troubled ' ]</v>
      </c>
      <c r="D187" s="3">
        <v>1.0</v>
      </c>
    </row>
    <row r="188" ht="15.75" customHeight="1">
      <c r="A188" s="1">
        <v>186.0</v>
      </c>
      <c r="B188" s="3" t="s">
        <v>189</v>
      </c>
      <c r="C188" s="3" t="str">
        <f>IFERROR(__xludf.DUMMYFUNCTION("GOOGLETRANSLATE(B188,""id"",""en"")"),"['Update', 'no', 'signal', 'network', 'stable', 'already', 'subscribe', 'yrs',' signal ',' good ',' here ',' signal ',' ugly ',' slow ',' quota ',' fast ',' abis', 'ntah', 'missing', 'where', 'please', 'update', 'listen', 'complaint', 'consumer' ]")</f>
        <v>['Update', 'no', 'signal', 'network', 'stable', 'already', 'subscribe', 'yrs',' signal ',' good ',' here ',' signal ',' ugly ',' slow ',' quota ',' fast ',' abis', 'ntah', 'missing', 'where', 'please', 'update', 'listen', 'complaint', 'consumer' ]</v>
      </c>
      <c r="D188" s="3">
        <v>1.0</v>
      </c>
    </row>
    <row r="189" ht="15.75" customHeight="1">
      <c r="A189" s="1">
        <v>187.0</v>
      </c>
      <c r="B189" s="3" t="s">
        <v>190</v>
      </c>
      <c r="C189" s="3" t="str">
        <f>IFERROR(__xludf.DUMMYFUNCTION("GOOGLETRANSLATE(B189,""id"",""en"")"),"['update', 'heavy', 'error', 'service', 'check', 'klw', 'gini', 'check', 'blm', 'claims',' already ',' error ',' Telkomsel ',' Points', '']")</f>
        <v>['update', 'heavy', 'error', 'service', 'check', 'klw', 'gini', 'check', 'blm', 'claims',' already ',' error ',' Telkomsel ',' Points', '']</v>
      </c>
      <c r="D189" s="3">
        <v>1.0</v>
      </c>
    </row>
    <row r="190" ht="15.75" customHeight="1">
      <c r="A190" s="1">
        <v>188.0</v>
      </c>
      <c r="B190" s="3" t="s">
        <v>191</v>
      </c>
      <c r="C190" s="3" t="str">
        <f>IFERROR(__xludf.DUMMYFUNCTION("GOOGLETRANSLATE(B190,""id"",""en"")"),"['Severe' '' update ',' application ',' slow ',' offer ',' quota ',' tricked ',' tricked ',' kuita ',' gb ',' rb ',' right ',' Pay ',' Error ',' reset ',' paraah ',' woiiiii ',' LuciITI ',' killing ',' quota ',' person ', ""]")</f>
        <v>['Severe' '' update ',' application ',' slow ',' offer ',' quota ',' tricked ',' tricked ',' kuita ',' gb ',' rb ',' right ',' Pay ',' Error ',' reset ',' paraah ',' woiiiii ',' LuciITI ',' killing ',' quota ',' person ', "]</v>
      </c>
      <c r="D190" s="3">
        <v>1.0</v>
      </c>
    </row>
    <row r="191" ht="15.75" customHeight="1">
      <c r="A191" s="1">
        <v>189.0</v>
      </c>
      <c r="B191" s="3" t="s">
        <v>192</v>
      </c>
      <c r="C191" s="3" t="str">
        <f>IFERROR(__xludf.DUMMYFUNCTION("GOOGLETRANSLATE(B191,""id"",""en"")"),"['application', 'Telkomsel', 'ugly', 'network', 'good', 'appears',' service ',' good ',' chatting ',' user ',' user ',' convenient ',' ']")</f>
        <v>['application', 'Telkomsel', 'ugly', 'network', 'good', 'appears',' service ',' good ',' chatting ',' user ',' user ',' convenient ',' ']</v>
      </c>
      <c r="D191" s="3">
        <v>1.0</v>
      </c>
    </row>
    <row r="192" ht="15.75" customHeight="1">
      <c r="A192" s="1">
        <v>190.0</v>
      </c>
      <c r="B192" s="3" t="s">
        <v>193</v>
      </c>
      <c r="C192" s="3" t="str">
        <f>IFERROR(__xludf.DUMMYFUNCTION("GOOGLETRANSLATE(B192,""id"",""en"")"),"['Please', 'Fix', 'Service', 'Dipake', 'Disruption', 'Mulu', 'Urgent', 'Buy', 'Quota', 'Disorders', 'Disappointed']")</f>
        <v>['Please', 'Fix', 'Service', 'Dipake', 'Disruption', 'Mulu', 'Urgent', 'Buy', 'Quota', 'Disorders', 'Disappointed']</v>
      </c>
      <c r="D192" s="3">
        <v>1.0</v>
      </c>
    </row>
    <row r="193" ht="15.75" customHeight="1">
      <c r="A193" s="1">
        <v>191.0</v>
      </c>
      <c r="B193" s="3" t="s">
        <v>194</v>
      </c>
      <c r="C193" s="3" t="str">
        <f>IFERROR(__xludf.DUMMYFUNCTION("GOOGLETRANSLATE(B193,""id"",""en"")"),"['disappointed', 'right', 'buy', 'package', 'internet', 'Telkomsel', 'display', 'list', 'package', 'internet', 'disorder']")</f>
        <v>['disappointed', 'right', 'buy', 'package', 'internet', 'Telkomsel', 'display', 'list', 'package', 'internet', 'disorder']</v>
      </c>
      <c r="D193" s="3">
        <v>1.0</v>
      </c>
    </row>
    <row r="194" ht="15.75" customHeight="1">
      <c r="A194" s="1">
        <v>192.0</v>
      </c>
      <c r="B194" s="3" t="s">
        <v>195</v>
      </c>
      <c r="C194" s="3" t="str">
        <f>IFERROR(__xludf.DUMMYFUNCTION("GOOGLETRANSLATE(B194,""id"",""en"")"),"['Dear', 'Developer', 'change', 'Device', 'experience', 'disorder', 'at the time', 'loading', 'App', 'written', 'unable', 'Load', ' Server ',' Data ',' Traffic ',' App ',' Device ',' Redmi ',' Note ',' Poco ',' Please ',' repaired ',' Thank you ', ""]")</f>
        <v>['Dear', 'Developer', 'change', 'Device', 'experience', 'disorder', 'at the time', 'loading', 'App', 'written', 'unable', 'Load', ' Server ',' Data ',' Traffic ',' App ',' Device ',' Redmi ',' Note ',' Poco ',' Please ',' repaired ',' Thank you ', "]</v>
      </c>
      <c r="D194" s="3">
        <v>4.0</v>
      </c>
    </row>
    <row r="195" ht="15.75" customHeight="1">
      <c r="A195" s="1">
        <v>193.0</v>
      </c>
      <c r="B195" s="3" t="s">
        <v>196</v>
      </c>
      <c r="C195" s="3" t="str">
        <f>IFERROR(__xludf.DUMMYFUNCTION("GOOGLETRANSLATE(B195,""id"",""en"")"),"['Application', 'updet', 'APK', 'check', 'quota', 'buy', 'quota', 'how', 'ktanya', 'jriana', 'good', 'Indonesia', ' kek ',' gini ',' kah ',' network ',' good ']")</f>
        <v>['Application', 'updet', 'APK', 'check', 'quota', 'buy', 'quota', 'how', 'ktanya', 'jriana', 'good', 'Indonesia', ' kek ',' gini ',' kah ',' network ',' good ']</v>
      </c>
      <c r="D195" s="3">
        <v>1.0</v>
      </c>
    </row>
    <row r="196" ht="15.75" customHeight="1">
      <c r="A196" s="1">
        <v>194.0</v>
      </c>
      <c r="B196" s="3" t="s">
        <v>197</v>
      </c>
      <c r="C196" s="3" t="str">
        <f>IFERROR(__xludf.DUMMYFUNCTION("GOOGLETRANSLATE(B196,""id"",""en"")"),"['APL', 'update', 'smooth', 'slow', 'like', 'gini', 'inhibits', 'Costumer', 'Formerly', 'like', 'annoyed', ""]")</f>
        <v>['APL', 'update', 'smooth', 'slow', 'like', 'gini', 'inhibits', 'Costumer', 'Formerly', 'like', 'annoyed', "]</v>
      </c>
      <c r="D196" s="3">
        <v>1.0</v>
      </c>
    </row>
    <row r="197" ht="15.75" customHeight="1">
      <c r="A197" s="1">
        <v>195.0</v>
      </c>
      <c r="B197" s="3" t="s">
        <v>198</v>
      </c>
      <c r="C197" s="3" t="str">
        <f>IFERROR(__xludf.DUMMYFUNCTION("GOOGLETRANSLATE(B197,""id"",""en"")"),"['Application', 'Useful', 'Open', 'Application', 'Waiting', 'Memorial', 'Watch', 'Worse', 'Already', 'Open', 'Load', 'Page', ' Substance ',' system ',' Loading ',' Information ',' Kouta ']")</f>
        <v>['Application', 'Useful', 'Open', 'Application', 'Waiting', 'Memorial', 'Watch', 'Worse', 'Already', 'Open', 'Load', 'Page', ' Substance ',' system ',' Loading ',' Information ',' Kouta ']</v>
      </c>
      <c r="D197" s="3">
        <v>1.0</v>
      </c>
    </row>
    <row r="198" ht="15.75" customHeight="1">
      <c r="A198" s="1">
        <v>196.0</v>
      </c>
      <c r="B198" s="3" t="s">
        <v>199</v>
      </c>
      <c r="C198" s="3" t="str">
        <f>IFERROR(__xludf.DUMMYFUNCTION("GOOGLETRANSLATE(B198,""id"",""en"")"),"['updated', 'opened', 'buy', 'quota', 'wait', 'forging', 'update', 'destination', 'difficult', 'tmbah', 'stress',' told ',' hub ',' menu ',' help ',' via ',' application ',' hilarious', 'understand', 'definition', 'application', 'opened', 'really', 'hurry"&amp;"', 'stress' , '']")</f>
        <v>['updated', 'opened', 'buy', 'quota', 'wait', 'forging', 'update', 'destination', 'difficult', 'tmbah', 'stress',' told ',' hub ',' menu ',' help ',' via ',' application ',' hilarious', 'understand', 'definition', 'application', 'opened', 'really', 'hurry', 'stress' , '']</v>
      </c>
      <c r="D198" s="3">
        <v>1.0</v>
      </c>
    </row>
    <row r="199" ht="15.75" customHeight="1">
      <c r="A199" s="1">
        <v>197.0</v>
      </c>
      <c r="B199" s="3" t="s">
        <v>200</v>
      </c>
      <c r="C199" s="3" t="str">
        <f>IFERROR(__xludf.DUMMYFUNCTION("GOOGLETRANSLATE(B199,""id"",""en"")"),"['Telkomsel', 'want', 'what', 'application', 'network', 'already', 'right', 'connection', 'open', 'application', 'Telkomsel', 'signal', ' Down ',' Sometimes', 'Access',' Load ',' Return ',' Mulu ',' Open ',' Application ',' Current ',' Jaya ',' Hotspot ',"&amp;"' People ',' Provider ' , 'access', 'smooth', 'Jaya', 'turn', 'enter', 'Telkomsel', 'hard', 'forgiveness', 'fed up', 'cave']")</f>
        <v>['Telkomsel', 'want', 'what', 'application', 'network', 'already', 'right', 'connection', 'open', 'application', 'Telkomsel', 'signal', ' Down ',' Sometimes', 'Access',' Load ',' Return ',' Mulu ',' Open ',' Application ',' Current ',' Jaya ',' Hotspot ',' People ',' Provider ' , 'access', 'smooth', 'Jaya', 'turn', 'enter', 'Telkomsel', 'hard', 'forgiveness', 'fed up', 'cave']</v>
      </c>
      <c r="D199" s="3">
        <v>1.0</v>
      </c>
    </row>
    <row r="200" ht="15.75" customHeight="1">
      <c r="A200" s="1">
        <v>198.0</v>
      </c>
      <c r="B200" s="3" t="s">
        <v>201</v>
      </c>
      <c r="C200" s="3" t="str">
        <f>IFERROR(__xludf.DUMMYFUNCTION("GOOGLETRANSLATE(B200,""id"",""en"")"),"['application', 'super', 'slow', 'open', 'loading', 'luamaaaaa', 'class',' Telkomsel ',' bad ',' the application ',' need ',' buy ',' Package ',' already ',' uninstall ',' ']")</f>
        <v>['application', 'super', 'slow', 'open', 'loading', 'luamaaaaa', 'class',' Telkomsel ',' bad ',' the application ',' need ',' buy ',' Package ',' already ',' uninstall ',' ']</v>
      </c>
      <c r="D200" s="3">
        <v>1.0</v>
      </c>
    </row>
    <row r="201" ht="15.75" customHeight="1">
      <c r="A201" s="1">
        <v>199.0</v>
      </c>
      <c r="B201" s="3" t="s">
        <v>202</v>
      </c>
      <c r="C201" s="3" t="str">
        <f>IFERROR(__xludf.DUMMYFUNCTION("GOOGLETRANSLATE(B201,""id"",""en"")"),"['update', 'enter', 'see', 'leftover', 'pulse', 'quota', 'fail', 'load', 'hard', 'send', 'photo', 'send', ' Schrenshot ',' Display ',' Telkomsel ',' Leet ']")</f>
        <v>['update', 'enter', 'see', 'leftover', 'pulse', 'quota', 'fail', 'load', 'hard', 'send', 'photo', 'send', ' Schrenshot ',' Display ',' Telkomsel ',' Leet ']</v>
      </c>
      <c r="D201" s="3">
        <v>1.0</v>
      </c>
    </row>
    <row r="202" ht="15.75" customHeight="1">
      <c r="A202" s="1">
        <v>200.0</v>
      </c>
      <c r="B202" s="3" t="s">
        <v>203</v>
      </c>
      <c r="C202" s="3" t="str">
        <f>IFERROR(__xludf.DUMMYFUNCTION("GOOGLETRANSLATE(B202,""id"",""en"")"),"['', 'application', 'check', 'quota', 'buy', 'pulse', 'darling', 'signal', 'slow', 'slow', 'please', 'min', 'min', 'fix ',' Increase ',' Sousal ',' experience ',' slow ',' Telkomsel ']")</f>
        <v>['', 'application', 'check', 'quota', 'buy', 'pulse', 'darling', 'signal', 'slow', 'slow', 'please', 'min', 'min', 'fix ',' Increase ',' Sousal ',' experience ',' slow ',' Telkomsel ']</v>
      </c>
      <c r="D202" s="3">
        <v>5.0</v>
      </c>
    </row>
    <row r="203" ht="15.75" customHeight="1">
      <c r="A203" s="1">
        <v>201.0</v>
      </c>
      <c r="B203" s="3" t="s">
        <v>204</v>
      </c>
      <c r="C203" s="3" t="str">
        <f>IFERROR(__xludf.DUMMYFUNCTION("GOOGLETRANSLATE(B203,""id"",""en"")"),"['Update', 'Severe', 'blank', 'white', 'box', 'his writing', 'please', 'fix', 'thank', 'love']")</f>
        <v>['Update', 'Severe', 'blank', 'white', 'box', 'his writing', 'please', 'fix', 'thank', 'love']</v>
      </c>
      <c r="D203" s="3">
        <v>1.0</v>
      </c>
    </row>
    <row r="204" ht="15.75" customHeight="1">
      <c r="A204" s="1">
        <v>202.0</v>
      </c>
      <c r="B204" s="3" t="s">
        <v>205</v>
      </c>
      <c r="C204" s="3" t="str">
        <f>IFERROR(__xludf.DUMMYFUNCTION("GOOGLETRANSLATE(B204,""id"",""en"")"),"['Open', 'Application', 'Screen', 'White', 'Error', 'System', 'People', 'Graduates',' Campus', 'Benerin', 'Rich', 'Gini', ' Doang ',' difficult ',' lose ',' competitiveness', 'freshgraduate', 'graduates',' campus', 'private']")</f>
        <v>['Open', 'Application', 'Screen', 'White', 'Error', 'System', 'People', 'Graduates',' Campus', 'Benerin', 'Rich', 'Gini', ' Doang ',' difficult ',' lose ',' competitiveness', 'freshgraduate', 'graduates',' campus', 'private']</v>
      </c>
      <c r="D204" s="3">
        <v>1.0</v>
      </c>
    </row>
    <row r="205" ht="15.75" customHeight="1">
      <c r="A205" s="1">
        <v>203.0</v>
      </c>
      <c r="B205" s="3" t="s">
        <v>206</v>
      </c>
      <c r="C205" s="3" t="str">
        <f>IFERROR(__xludf.DUMMYFUNCTION("GOOGLETRANSLATE(B205,""id"",""en"")"),"['FuckaSih', 'Season', 'AIHH', 'updated', 'go', 'person', 'network', 'updated', 'good', 'lazy', 'bad', 'Hadeh', ' era ',' performance ',' application ',' like ',' gini ',' worse ',' experience ',' obstacle ',' please ',' system ',' good ',' mending ',' ha"&amp;"rd ' , 'deh', 'pretentious', 'ciptain', 'the latest', '']")</f>
        <v>['FuckaSih', 'Season', 'AIHH', 'updated', 'go', 'person', 'network', 'updated', 'good', 'lazy', 'bad', 'Hadeh', ' era ',' performance ',' application ',' like ',' gini ',' worse ',' experience ',' obstacle ',' please ',' system ',' good ',' mending ',' hard ' , 'deh', 'pretentious', 'ciptain', 'the latest', '']</v>
      </c>
      <c r="D205" s="3">
        <v>1.0</v>
      </c>
    </row>
    <row r="206" ht="15.75" customHeight="1">
      <c r="A206" s="1">
        <v>204.0</v>
      </c>
      <c r="B206" s="3" t="s">
        <v>207</v>
      </c>
      <c r="C206" s="3" t="str">
        <f>IFERROR(__xludf.DUMMYFUNCTION("GOOGLETRANSLATE(B206,""id"",""en"")"),"['application', 'ugly', 'boobng', '']")</f>
        <v>['application', 'ugly', 'boobng', '']</v>
      </c>
      <c r="D206" s="3">
        <v>3.0</v>
      </c>
    </row>
    <row r="207" ht="15.75" customHeight="1">
      <c r="A207" s="1">
        <v>205.0</v>
      </c>
      <c r="B207" s="3" t="s">
        <v>208</v>
      </c>
      <c r="C207" s="3" t="str">
        <f>IFERROR(__xludf.DUMMYFUNCTION("GOOGLETRANSLATE(B207,""id"",""en"")"),"['update', 'bad', 'try', 'application', 'customer', 'comfortable', 'customer', 'angry', 'waste', 'quota', 'download', 'udh', ' Download ',' fit ',' opened ',' screen ',' white ',' give ',' convenience ',' maker ',' application ',' Telkomsel ',' attached t"&amp;"o ',' money ',' Import ' , 'customer', 'customer', 'think', 'acts', ""]")</f>
        <v>['update', 'bad', 'try', 'application', 'customer', 'comfortable', 'customer', 'angry', 'waste', 'quota', 'download', 'udh', ' Download ',' fit ',' opened ',' screen ',' white ',' give ',' convenience ',' maker ',' application ',' Telkomsel ',' attached to ',' money ',' Import ' , 'customer', 'customer', 'think', 'acts', "]</v>
      </c>
      <c r="D207" s="3">
        <v>1.0</v>
      </c>
    </row>
    <row r="208" ht="15.75" customHeight="1">
      <c r="A208" s="1">
        <v>206.0</v>
      </c>
      <c r="B208" s="3" t="s">
        <v>209</v>
      </c>
      <c r="C208" s="3" t="str">
        <f>IFERROR(__xludf.DUMMYFUNCTION("GOOGLETRANSLATE(B208,""id"",""en"")"),"['glass',' download ',' app ',' Telkomsel ',' it should be ',' screen ',' white ',' check ',' leftover ',' quota ',' leftover ',' pulses', ' difficult ',' play ', ""]")</f>
        <v>['glass',' download ',' app ',' Telkomsel ',' it should be ',' screen ',' white ',' check ',' leftover ',' quota ',' leftover ',' pulses', ' difficult ',' play ', "]</v>
      </c>
      <c r="D208" s="3">
        <v>1.0</v>
      </c>
    </row>
    <row r="209" ht="15.75" customHeight="1">
      <c r="A209" s="1">
        <v>207.0</v>
      </c>
      <c r="B209" s="3" t="s">
        <v>210</v>
      </c>
      <c r="C209" s="3" t="str">
        <f>IFERROR(__xludf.DUMMYFUNCTION("GOOGLETRANSLATE(B209,""id"",""en"")"),"['Network', 'good', 'open', 'application', 'smooth', 'right', 'open', 'telkomsel', 'just', 'color', 'white', 'picture', ' Come on ',' Telkomsel ',' Customer ',' Disappointed ',' Until ',' Out ',' Update ',' System ',' Troubled ',' Cepet ',' Fix ',' Thank "&amp;"',' Love ' ]")</f>
        <v>['Network', 'good', 'open', 'application', 'smooth', 'right', 'open', 'telkomsel', 'just', 'color', 'white', 'picture', ' Come on ',' Telkomsel ',' Customer ',' Disappointed ',' Until ',' Out ',' Update ',' System ',' Troubled ',' Cepet ',' Fix ',' Thank ',' Love ' ]</v>
      </c>
      <c r="D209" s="3">
        <v>2.0</v>
      </c>
    </row>
    <row r="210" ht="15.75" customHeight="1">
      <c r="A210" s="1">
        <v>208.0</v>
      </c>
      <c r="B210" s="3" t="s">
        <v>211</v>
      </c>
      <c r="C210" s="3" t="str">
        <f>IFERROR(__xludf.DUMMYFUNCTION("GOOGLETRANSLATE(B210,""id"",""en"")"),"['ugly', 'Bangat', 'Diliated', 'Good', 'Masah', 'no']")</f>
        <v>['ugly', 'Bangat', 'Diliated', 'Good', 'Masah', 'no']</v>
      </c>
      <c r="D210" s="3">
        <v>5.0</v>
      </c>
    </row>
    <row r="211" ht="15.75" customHeight="1">
      <c r="A211" s="1">
        <v>209.0</v>
      </c>
      <c r="B211" s="3" t="s">
        <v>212</v>
      </c>
      <c r="C211" s="3" t="str">
        <f>IFERROR(__xludf.DUMMYFUNCTION("GOOGLETRANSLATE(B211,""id"",""en"")"),"['APK', 'open', 'connection', 'stable', 'already', 'minjem', 'hotspot', 'brother', 'smooth', 'buy', 'quota', 'expensive', ' Doang ',' smooth ',' kagak ']")</f>
        <v>['APK', 'open', 'connection', 'stable', 'already', 'minjem', 'hotspot', 'brother', 'smooth', 'buy', 'quota', 'expensive', ' Doang ',' smooth ',' kagak ']</v>
      </c>
      <c r="D211" s="3">
        <v>1.0</v>
      </c>
    </row>
    <row r="212" ht="15.75" customHeight="1">
      <c r="A212" s="1">
        <v>210.0</v>
      </c>
      <c r="B212" s="3" t="s">
        <v>213</v>
      </c>
      <c r="C212" s="3" t="str">
        <f>IFERROR(__xludf.DUMMYFUNCTION("GOOGLETRANSLATE(B212,""id"",""en"")"),"['update', 'struck', 'quota', 'application', 'slow', 'open', 'right', 'open', 'told', 'load', 'reset', 'system', ' Error ',' wish ']")</f>
        <v>['update', 'struck', 'quota', 'application', 'slow', 'open', 'right', 'open', 'told', 'load', 'reset', 'system', ' Error ',' wish ']</v>
      </c>
      <c r="D212" s="3">
        <v>1.0</v>
      </c>
    </row>
    <row r="213" ht="15.75" customHeight="1">
      <c r="A213" s="1">
        <v>211.0</v>
      </c>
      <c r="B213" s="3" t="s">
        <v>214</v>
      </c>
      <c r="C213" s="3" t="str">
        <f>IFERROR(__xludf.DUMMYFUNCTION("GOOGLETRANSLATE(B213,""id"",""en"")"),"['activated', 'package', 'application', 'muter', 'doang', 'afternoon', 'network', 'muter', 'slow']")</f>
        <v>['activated', 'package', 'application', 'muter', 'doang', 'afternoon', 'network', 'muter', 'slow']</v>
      </c>
      <c r="D213" s="3">
        <v>1.0</v>
      </c>
    </row>
    <row r="214" ht="15.75" customHeight="1">
      <c r="A214" s="1">
        <v>212.0</v>
      </c>
      <c r="B214" s="3" t="s">
        <v>215</v>
      </c>
      <c r="C214" s="3" t="str">
        <f>IFERROR(__xludf.DUMMYFUNCTION("GOOGLETRANSLATE(B214,""id"",""en"")"),"['version', 'slow', 'failed', 'buy', 'package', 'unable', 'load', 'use', 'wifi', 'typed', 'google', 'play', ' fluent', '']")</f>
        <v>['version', 'slow', 'failed', 'buy', 'package', 'unable', 'load', 'use', 'wifi', 'typed', 'google', 'play', ' fluent', '']</v>
      </c>
      <c r="D214" s="3">
        <v>2.0</v>
      </c>
    </row>
    <row r="215" ht="15.75" customHeight="1">
      <c r="A215" s="1">
        <v>213.0</v>
      </c>
      <c r="B215" s="3" t="s">
        <v>216</v>
      </c>
      <c r="C215" s="3" t="str">
        <f>IFERROR(__xludf.DUMMYFUNCTION("GOOGLETRANSLATE(B215,""id"",""en"")"),"['entry', 'notification', 'promo', 'package', 'cheap', 'fit', 'open', 'then', 'application', 'difficult', 'connects',' opened ',' ']")</f>
        <v>['entry', 'notification', 'promo', 'package', 'cheap', 'fit', 'open', 'then', 'application', 'difficult', 'connects',' opened ',' ']</v>
      </c>
      <c r="D215" s="3">
        <v>3.0</v>
      </c>
    </row>
    <row r="216" ht="15.75" customHeight="1">
      <c r="A216" s="1">
        <v>214.0</v>
      </c>
      <c r="B216" s="3" t="s">
        <v>217</v>
      </c>
      <c r="C216" s="3" t="str">
        <f>IFERROR(__xludf.DUMMYFUNCTION("GOOGLETRANSLATE(B216,""id"",""en"")"),"['sympathy', 'network', 'Benerin', 'buy', 'package', 'mhal', 'signal', 'lost', 'mulu', 'please', 'response', 'apk', ' After ',' Update ',' Open ',' Pakek ',' Signal ',' Internet ',' Telkomsel ',' Customer ',' Move ',' Kayak ',' Gini ',' Package ',' Expens"&amp;"ive ' , 'Doang', 'Disappointed', 'Pakek', '']")</f>
        <v>['sympathy', 'network', 'Benerin', 'buy', 'package', 'mhal', 'signal', 'lost', 'mulu', 'please', 'response', 'apk', ' After ',' Update ',' Open ',' Pakek ',' Signal ',' Internet ',' Telkomsel ',' Customer ',' Move ',' Kayak ',' Gini ',' Package ',' Expensive ' , 'Doang', 'Disappointed', 'Pakek', '']</v>
      </c>
      <c r="D216" s="3">
        <v>1.0</v>
      </c>
    </row>
    <row r="217" ht="15.75" customHeight="1">
      <c r="A217" s="1">
        <v>215.0</v>
      </c>
      <c r="B217" s="3" t="s">
        <v>218</v>
      </c>
      <c r="C217" s="3" t="str">
        <f>IFERROR(__xludf.DUMMYFUNCTION("GOOGLETRANSLATE(B217,""id"",""en"")"),"['application', 'really', 'loading', 'NOT', 'then', 'internet', 'slow', 'price', 'quota', 'expensive', 'provider', 'internet', ' Cepet ',' slow ',' really ']")</f>
        <v>['application', 'really', 'loading', 'NOT', 'then', 'internet', 'slow', 'price', 'quota', 'expensive', 'provider', 'internet', ' Cepet ',' slow ',' really ']</v>
      </c>
      <c r="D217" s="3">
        <v>1.0</v>
      </c>
    </row>
    <row r="218" ht="15.75" customHeight="1">
      <c r="A218" s="1">
        <v>216.0</v>
      </c>
      <c r="B218" s="3" t="s">
        <v>219</v>
      </c>
      <c r="C218" s="3" t="str">
        <f>IFERROR(__xludf.DUMMYFUNCTION("GOOGLETRANSLATE(B218,""id"",""en"")"),"['', 'Telkomsel', 'opened', 'since' updated ',' version ',' aeran ',' quota ',' quota ',' msh ',' try ',' wifi ',' tetep ',' GKBS ',' opened ',' what ',' contents', 'package', 'please', 'repaired', 'bug', 'application', 'smooth', 'return', 'version', 'tha"&amp;"nk you', '']")</f>
        <v>['', 'Telkomsel', 'opened', 'since' updated ',' version ',' aeran ',' quota ',' quota ',' msh ',' try ',' wifi ',' tetep ',' GKBS ',' opened ',' what ',' contents', 'package', 'please', 'repaired', 'bug', 'application', 'smooth', 'return', 'version', 'thank you', '']</v>
      </c>
      <c r="D218" s="3">
        <v>2.0</v>
      </c>
    </row>
    <row r="219" ht="15.75" customHeight="1">
      <c r="A219" s="1">
        <v>217.0</v>
      </c>
      <c r="B219" s="3" t="s">
        <v>220</v>
      </c>
      <c r="C219" s="3" t="str">
        <f>IFERROR(__xludf.DUMMYFUNCTION("GOOGLETRANSLATE(B219,""id"",""en"")"),"['Sorry', 'Application', 'Update', 'Latest', 'Waiting', 'Quota', 'Credit', 'Have', 'Sometimes',' menu ',' unable ',' Load ',' network ',' stable ',' Please ',' update ',' it looks', 'enhanced', 'process',' load ',' data ',' charged ',' customer ',' waitin"&amp;"g ',' thank you ' , '']")</f>
        <v>['Sorry', 'Application', 'Update', 'Latest', 'Waiting', 'Quota', 'Credit', 'Have', 'Sometimes',' menu ',' unable ',' Load ',' network ',' stable ',' Please ',' update ',' it looks', 'enhanced', 'process',' load ',' data ',' charged ',' customer ',' waiting ',' thank you ' , '']</v>
      </c>
      <c r="D219" s="3">
        <v>2.0</v>
      </c>
    </row>
    <row r="220" ht="15.75" customHeight="1">
      <c r="A220" s="1">
        <v>218.0</v>
      </c>
      <c r="B220" s="3" t="s">
        <v>221</v>
      </c>
      <c r="C220" s="3" t="str">
        <f>IFERROR(__xludf.DUMMYFUNCTION("GOOGLETRANSLATE(B220,""id"",""en"")"),"['Disappointed', 'network', 'compared', 'competitors', 'speed', 'ping', 'sim', 'card', 'cheap', '']")</f>
        <v>['Disappointed', 'network', 'compared', 'competitors', 'speed', 'ping', 'sim', 'card', 'cheap', '']</v>
      </c>
      <c r="D220" s="3">
        <v>1.0</v>
      </c>
    </row>
    <row r="221" ht="15.75" customHeight="1">
      <c r="A221" s="1">
        <v>219.0</v>
      </c>
      <c r="B221" s="3" t="s">
        <v>222</v>
      </c>
      <c r="C221" s="3" t="str">
        <f>IFERROR(__xludf.DUMMYFUNCTION("GOOGLETRANSLATE(B221,""id"",""en"")"),"['Telkomsel', 'really', 'disruption', 'network', 'internet', 'already', 'mah', 'expensive', 'increase', 'rates',' notification ',' Please ',' repaired ',' service ',' quality ',' suits', 'price', 'tariff', 'expensive']")</f>
        <v>['Telkomsel', 'really', 'disruption', 'network', 'internet', 'already', 'mah', 'expensive', 'increase', 'rates',' notification ',' Please ',' repaired ',' service ',' quality ',' suits', 'price', 'tariff', 'expensive']</v>
      </c>
      <c r="D221" s="3">
        <v>1.0</v>
      </c>
    </row>
    <row r="222" ht="15.75" customHeight="1">
      <c r="A222" s="1">
        <v>220.0</v>
      </c>
      <c r="B222" s="3" t="s">
        <v>223</v>
      </c>
      <c r="C222" s="3" t="str">
        <f>IFERROR(__xludf.DUMMYFUNCTION("GOOGLETRANSLATE(B222,""id"",""en"")"),"['already', 'hold', 'original', 'want', 'replace', 'provider', 'darling', 'msh', 'number', 'because', 'udh', 'already', ' work ',' because ',' replace ',' number ',' replace ',' sustenance ',' lot ',' complaint ',' fix ',' severe ',' stack ',' situ ',' op"&amp;"en ' , 'application', 'buy', 'kouta', 'udh', 'for days', 'open', 'the application', '']")</f>
        <v>['already', 'hold', 'original', 'want', 'replace', 'provider', 'darling', 'msh', 'number', 'because', 'udh', 'already', ' work ',' because ',' replace ',' number ',' replace ',' sustenance ',' lot ',' complaint ',' fix ',' severe ',' stack ',' situ ',' open ' , 'application', 'buy', 'kouta', 'udh', 'for days', 'open', 'the application', '']</v>
      </c>
      <c r="D222" s="3">
        <v>1.0</v>
      </c>
    </row>
    <row r="223" ht="15.75" customHeight="1">
      <c r="A223" s="1">
        <v>221.0</v>
      </c>
      <c r="B223" s="3" t="s">
        <v>224</v>
      </c>
      <c r="C223" s="3" t="str">
        <f>IFERROR(__xludf.DUMMYFUNCTION("GOOGLETRANSLATE(B223,""id"",""en"")"),"['Please', 'enter', 'App', 'Telkomsel', 'complicated', 'difficult', 'extend', 'active', 'package', 'internet', 'reset', 'clock', ' run out ',' open ',' application ',' difficult ',' really ',' thank you ']")</f>
        <v>['Please', 'enter', 'App', 'Telkomsel', 'complicated', 'difficult', 'extend', 'active', 'package', 'internet', 'reset', 'clock', ' run out ',' open ',' application ',' difficult ',' really ',' thank you ']</v>
      </c>
      <c r="D223" s="3">
        <v>2.0</v>
      </c>
    </row>
    <row r="224" ht="15.75" customHeight="1">
      <c r="A224" s="1">
        <v>222.0</v>
      </c>
      <c r="B224" s="3" t="s">
        <v>225</v>
      </c>
      <c r="C224" s="3" t="str">
        <f>IFERROR(__xludf.DUMMYFUNCTION("GOOGLETRANSLATE(B224,""id"",""en"")"),"['updated', 'Gabisa', 'Loading', 'Update', 'Review', 'UDH', 'App', 'Launching', 'Update', 'Min', ""]")</f>
        <v>['updated', 'Gabisa', 'Loading', 'Update', 'Review', 'UDH', 'App', 'Launching', 'Update', 'Min', "]</v>
      </c>
      <c r="D224" s="3">
        <v>1.0</v>
      </c>
    </row>
    <row r="225" ht="15.75" customHeight="1">
      <c r="A225" s="1">
        <v>223.0</v>
      </c>
      <c r="B225" s="3" t="s">
        <v>226</v>
      </c>
      <c r="C225" s="3" t="str">
        <f>IFERROR(__xludf.DUMMYFUNCTION("GOOGLETRANSLATE(B225,""id"",""en"")"),"['BIS', 'updated', 'difficult', 'opened', 'customers',' loyal ',' Telkomsel ',' disappointed ',' application ',' repaired ',' chaotic ',' class', ' Telkomsel ',' ']")</f>
        <v>['BIS', 'updated', 'difficult', 'opened', 'customers',' loyal ',' Telkomsel ',' disappointed ',' application ',' repaired ',' chaotic ',' class', ' Telkomsel ',' ']</v>
      </c>
      <c r="D225" s="3">
        <v>1.0</v>
      </c>
    </row>
    <row r="226" ht="15.75" customHeight="1">
      <c r="A226" s="1">
        <v>224.0</v>
      </c>
      <c r="B226" s="3" t="s">
        <v>227</v>
      </c>
      <c r="C226" s="3" t="str">
        <f>IFERROR(__xludf.DUMMYFUNCTION("GOOGLETRANSLATE(B226,""id"",""en"")"),"['already', 'network', 'Telkomsel', 'bad', 'internet', 'difficult', 'Gunain', 'package', 'network', 'kek', 'gini', 'disappointed', ' Really ',' Telkomse ',' ']")</f>
        <v>['already', 'network', 'Telkomsel', 'bad', 'internet', 'difficult', 'Gunain', 'package', 'network', 'kek', 'gini', 'disappointed', ' Really ',' Telkomse ',' ']</v>
      </c>
      <c r="D226" s="3">
        <v>1.0</v>
      </c>
    </row>
    <row r="227" ht="15.75" customHeight="1">
      <c r="A227" s="1">
        <v>225.0</v>
      </c>
      <c r="B227" s="3" t="s">
        <v>228</v>
      </c>
      <c r="C227" s="3" t="str">
        <f>IFERROR(__xludf.DUMMYFUNCTION("GOOGLETRANSLATE(B227,""id"",""en"")"),"['Good', 'Application', 'Update', 'Opened', 'Disruption', 'Please', 'Sorry', 'Uninstall', 'Kmbali', 'The Application', 'Downlod', 'Solution', ' Customers', 'Telkomsel', 'smooth', '']")</f>
        <v>['Good', 'Application', 'Update', 'Opened', 'Disruption', 'Please', 'Sorry', 'Uninstall', 'Kmbali', 'The Application', 'Downlod', 'Solution', ' Customers', 'Telkomsel', 'smooth', '']</v>
      </c>
      <c r="D227" s="3">
        <v>1.0</v>
      </c>
    </row>
    <row r="228" ht="15.75" customHeight="1">
      <c r="A228" s="1">
        <v>226.0</v>
      </c>
      <c r="B228" s="3" t="s">
        <v>229</v>
      </c>
      <c r="C228" s="3" t="str">
        <f>IFERROR(__xludf.DUMMYFUNCTION("GOOGLETRANSLATE(B228,""id"",""en"")"),"['Ngawas',' bug ',' stupid ',' really ',' unstable ',' network ',' palalu ',' peang ',' network ',' good ',' gini ',' network ',' Unstable ',' Network ',' ugly ',' Telkomsel ',' really ',' Dego ', ""]")</f>
        <v>['Ngawas',' bug ',' stupid ',' really ',' unstable ',' network ',' palalu ',' peang ',' network ',' good ',' gini ',' network ',' Unstable ',' Network ',' ugly ',' Telkomsel ',' really ',' Dego ', "]</v>
      </c>
      <c r="D228" s="3">
        <v>1.0</v>
      </c>
    </row>
    <row r="229" ht="15.75" customHeight="1">
      <c r="A229" s="1">
        <v>227.0</v>
      </c>
      <c r="B229" s="3" t="s">
        <v>230</v>
      </c>
      <c r="C229" s="3" t="str">
        <f>IFERROR(__xludf.DUMMYFUNCTION("GOOGLETRANSLATE(B229,""id"",""en"")"),"['How', 'story', 'dev', 'buy', 'kouta', 'opened', 'gini', 'loading', 'doang', 'package', 'left', 'kouta', ' Please, 'easy', 'difficult']")</f>
        <v>['How', 'story', 'dev', 'buy', 'kouta', 'opened', 'gini', 'loading', 'doang', 'package', 'left', 'kouta', ' Please, 'easy', 'difficult']</v>
      </c>
      <c r="D229" s="3">
        <v>1.0</v>
      </c>
    </row>
    <row r="230" ht="15.75" customHeight="1">
      <c r="A230" s="1">
        <v>228.0</v>
      </c>
      <c r="B230" s="3" t="s">
        <v>231</v>
      </c>
      <c r="C230" s="3" t="str">
        <f>IFERROR(__xludf.DUMMYFUNCTION("GOOGLETRANSLATE(B230,""id"",""en"")"),"['updaetan', 'slow', 'check', 'network', 'open', 'application', 'social', 'media', 'GAM', 'pub', 'mobile', 'Lagen', ' Current ',' Open ',' Telkomsel ',' response ',' suru ',' Try ',' if so, 'beg', 'improved', 'already', 'love', 'star', ""]")</f>
        <v>['updaetan', 'slow', 'check', 'network', 'open', 'application', 'social', 'media', 'GAM', 'pub', 'mobile', 'Lagen', ' Current ',' Open ',' Telkomsel ',' response ',' suru ',' Try ',' if so, 'beg', 'improved', 'already', 'love', 'star', "]</v>
      </c>
      <c r="D230" s="3">
        <v>1.0</v>
      </c>
    </row>
    <row r="231" ht="15.75" customHeight="1">
      <c r="A231" s="1">
        <v>229.0</v>
      </c>
      <c r="B231" s="3" t="s">
        <v>232</v>
      </c>
      <c r="C231" s="3" t="str">
        <f>IFERROR(__xludf.DUMMYFUNCTION("GOOGLETRANSLATE(B231,""id"",""en"")"),"['Out', 'update', 'display', 'jdi', 'difficult', 'open', 'apk', 'look', 'white', 'contents',' update ',' repair ',' Bugs', 'fast', 'slow', '']")</f>
        <v>['Out', 'update', 'display', 'jdi', 'difficult', 'open', 'apk', 'look', 'white', 'contents',' update ',' repair ',' Bugs', 'fast', 'slow', '']</v>
      </c>
      <c r="D231" s="3">
        <v>1.0</v>
      </c>
    </row>
    <row r="232" ht="15.75" customHeight="1">
      <c r="A232" s="1">
        <v>230.0</v>
      </c>
      <c r="B232" s="3" t="s">
        <v>233</v>
      </c>
      <c r="C232" s="3" t="str">
        <f>IFERROR(__xludf.DUMMYFUNCTION("GOOGLETRANSLATE(B232,""id"",""en"")"),"['application', 'stupid', 'slow', 'forgiveness',' ngebug ',' mulu ',' load ',' how ',' error ',' system ',' mulu ',' apk ',' emotions', 'doang', 'usually', 'super', 'slow']")</f>
        <v>['application', 'stupid', 'slow', 'forgiveness',' ngebug ',' mulu ',' load ',' how ',' error ',' system ',' mulu ',' apk ',' emotions', 'doang', 'usually', 'super', 'slow']</v>
      </c>
      <c r="D232" s="3">
        <v>1.0</v>
      </c>
    </row>
    <row r="233" ht="15.75" customHeight="1">
      <c r="A233" s="1">
        <v>231.0</v>
      </c>
      <c r="B233" s="3" t="s">
        <v>234</v>
      </c>
      <c r="C233" s="3" t="str">
        <f>IFERROR(__xludf.DUMMYFUNCTION("GOOGLETRANSLATE(B233,""id"",""en"")"),"['', 'connection', 'stable', 'mean', 'contents', 'pulse', 'data', 'diminished', 'reduced', 'that's', 'mending', 'update', "" ]")</f>
        <v>['', 'connection', 'stable', 'mean', 'contents', 'pulse', 'data', 'diminished', 'reduced', 'that's', 'mending', 'update', " ]</v>
      </c>
      <c r="D233" s="3">
        <v>1.0</v>
      </c>
    </row>
    <row r="234" ht="15.75" customHeight="1">
      <c r="A234" s="1">
        <v>232.0</v>
      </c>
      <c r="B234" s="3" t="s">
        <v>235</v>
      </c>
      <c r="C234" s="3" t="str">
        <f>IFERROR(__xludf.DUMMYFUNCTION("GOOGLETRANSLATE(B234,""id"",""en"")"),"['Card', 'Telkomsel', 'number', 'customer', 'loyal', 'price', 'package', 'promo', 'cheap', 'expensive', 'price', 'card', ' Telkomsel ',' promo ',' internet ',' cheap ',' number ',' loyal ',' gonta ',' change ',' number ',' customer ',' loyal ',' considere"&amp;"d ',' that's' , 'Astaghfirullah', '']")</f>
        <v>['Card', 'Telkomsel', 'number', 'customer', 'loyal', 'price', 'package', 'promo', 'cheap', 'expensive', 'price', 'card', ' Telkomsel ',' promo ',' internet ',' cheap ',' number ',' loyal ',' gonta ',' change ',' number ',' customer ',' loyal ',' considered ',' that's' , 'Astaghfirullah', '']</v>
      </c>
      <c r="D234" s="3">
        <v>1.0</v>
      </c>
    </row>
    <row r="235" ht="15.75" customHeight="1">
      <c r="A235" s="1">
        <v>233.0</v>
      </c>
      <c r="B235" s="3" t="s">
        <v>236</v>
      </c>
      <c r="C235" s="3" t="str">
        <f>IFERROR(__xludf.DUMMYFUNCTION("GOOGLETRANSLATE(B235,""id"",""en"")"),"['ugly', 'APK', 'Loading', 'Eat', 'Package', 'Data', 'Againii', 'Open', 'APK', 'Package', 'Data', 'No', ' Package ',' Data ',' No ',' Loading ',' Really ',' Universe ',' ']")</f>
        <v>['ugly', 'APK', 'Loading', 'Eat', 'Package', 'Data', 'Againii', 'Open', 'APK', 'Package', 'Data', 'No', ' Package ',' Data ',' No ',' Loading ',' Really ',' Universe ',' ']</v>
      </c>
      <c r="D235" s="3">
        <v>1.0</v>
      </c>
    </row>
    <row r="236" ht="15.75" customHeight="1">
      <c r="A236" s="1">
        <v>234.0</v>
      </c>
      <c r="B236" s="3" t="s">
        <v>237</v>
      </c>
      <c r="C236" s="3" t="str">
        <f>IFERROR(__xludf.DUMMYFUNCTION("GOOGLETRANSLATE(B236,""id"",""en"")"),"['Since', 'Abis',' Update ',' Gabisa ',' Open ',' Screen ',' White ',' Doang ',' Apus', 'Install', 'reset', 'Tetep', ' play ',' game ',' signal ',' down ',' gajelas', 'intention', 'service', 'price', 'doang', 'expensive', 'service', 'according to', 'compl"&amp;"ement' , 'Disni', 'told', 'twiter', 'application', 'Playstore', 'complement', 'twiter', 'Connect', ""]")</f>
        <v>['Since', 'Abis',' Update ',' Gabisa ',' Open ',' Screen ',' White ',' Doang ',' Apus', 'Install', 'reset', 'Tetep', ' play ',' game ',' signal ',' down ',' gajelas', 'intention', 'service', 'price', 'doang', 'expensive', 'service', 'according to', 'complement' , 'Disni', 'told', 'twiter', 'application', 'Playstore', 'complement', 'twiter', 'Connect', "]</v>
      </c>
      <c r="D236" s="3">
        <v>1.0</v>
      </c>
    </row>
    <row r="237" ht="15.75" customHeight="1">
      <c r="A237" s="1">
        <v>235.0</v>
      </c>
      <c r="B237" s="3" t="s">
        <v>238</v>
      </c>
      <c r="C237" s="3" t="str">
        <f>IFERROR(__xludf.DUMMYFUNCTION("GOOGLETRANSLATE(B237,""id"",""en"")"),"['Haloo', 'Telkomsel', 'What', 'Contents',' Plsa ',' Open ',' Telkomsel ',' Open ',' Display ',' Update ',' Unable ',' Load ',' ']")</f>
        <v>['Haloo', 'Telkomsel', 'What', 'Contents',' Plsa ',' Open ',' Telkomsel ',' Open ',' Display ',' Update ',' Unable ',' Load ',' ']</v>
      </c>
      <c r="D237" s="3">
        <v>5.0</v>
      </c>
    </row>
    <row r="238" ht="15.75" customHeight="1">
      <c r="A238" s="1">
        <v>236.0</v>
      </c>
      <c r="B238" s="3" t="s">
        <v>239</v>
      </c>
      <c r="C238" s="3" t="str">
        <f>IFERROR(__xludf.DUMMYFUNCTION("GOOGLETRANSLATE(B238,""id"",""en"")"),"['slow', 'connection', 'annoying', 'performance', 'application', 'mbanking', 'slow', 'hbis',' update ',' sucks', 'forced', 'discarded', ' trash ',' bye ']")</f>
        <v>['slow', 'connection', 'annoying', 'performance', 'application', 'mbanking', 'slow', 'hbis',' update ',' sucks', 'forced', 'discarded', ' trash ',' bye ']</v>
      </c>
      <c r="D238" s="3">
        <v>1.0</v>
      </c>
    </row>
    <row r="239" ht="15.75" customHeight="1">
      <c r="A239" s="1">
        <v>237.0</v>
      </c>
      <c r="B239" s="3" t="s">
        <v>240</v>
      </c>
      <c r="C239" s="3" t="str">
        <f>IFERROR(__xludf.DUMMYFUNCTION("GOOGLETRANSLATE(B239,""id"",""en"")"),"['update', 'what is' changed ',' icon ',' bother ',' person ',' open ',' application ',' that's ',' internet ',' lanca ',' smooth ',' checked ',' buy ',' kouta ',' difficult ',' really ',' open ',' application ',' open ',' open ',' once ',' open ',' look "&amp;"',' mending ' , 'version', 'Yesterday', 'UDH', 'Good', 'annoyed', '']")</f>
        <v>['update', 'what is' changed ',' icon ',' bother ',' person ',' open ',' application ',' that's ',' internet ',' lanca ',' smooth ',' checked ',' buy ',' kouta ',' difficult ',' really ',' open ',' application ',' open ',' open ',' once ',' open ',' look ',' mending ' , 'version', 'Yesterday', 'UDH', 'Good', 'annoyed', '']</v>
      </c>
      <c r="D239" s="3">
        <v>2.0</v>
      </c>
    </row>
    <row r="240" ht="15.75" customHeight="1">
      <c r="A240" s="1">
        <v>238.0</v>
      </c>
      <c r="B240" s="3" t="s">
        <v>241</v>
      </c>
      <c r="C240" s="3" t="str">
        <f>IFERROR(__xludf.DUMMYFUNCTION("GOOGLETRANSLATE(B240,""id"",""en"")"),"['Severe', 'Since', 'Update', 'Buy', 'Package', 'Open', 'An hour', 'bsa', 'mnding', 'update', 'woy', 'difficult', ' GNI ',' Mending ',' Move ',' Card ',' Laen ']")</f>
        <v>['Severe', 'Since', 'Update', 'Buy', 'Package', 'Open', 'An hour', 'bsa', 'mnding', 'update', 'woy', 'difficult', ' GNI ',' Mending ',' Move ',' Card ',' Laen ']</v>
      </c>
      <c r="D240" s="3">
        <v>1.0</v>
      </c>
    </row>
    <row r="241" ht="15.75" customHeight="1">
      <c r="A241" s="1">
        <v>239.0</v>
      </c>
      <c r="B241" s="3" t="s">
        <v>242</v>
      </c>
      <c r="C241" s="3" t="str">
        <f>IFERROR(__xludf.DUMMYFUNCTION("GOOGLETRANSLATE(B241,""id"",""en"")"),"['open', 'application', 'suck', 'pulse', 'application', 'telkomsel', 'telkomsel', 'just', 'just', 'contents',' pulse ',' open ',' Application ',' Direct ',' Sumpot ',' GTU ',' Already ',' GTU ',' Error ',' Network ',' Contents', 'Credit', 'Maketin', ""]")</f>
        <v>['open', 'application', 'suck', 'pulse', 'application', 'telkomsel', 'telkomsel', 'just', 'just', 'contents',' pulse ',' open ',' Application ',' Direct ',' Sumpot ',' GTU ',' Already ',' GTU ',' Error ',' Network ',' Contents', 'Credit', 'Maketin', "]</v>
      </c>
      <c r="D241" s="3">
        <v>1.0</v>
      </c>
    </row>
    <row r="242" ht="15.75" customHeight="1">
      <c r="A242" s="1">
        <v>240.0</v>
      </c>
      <c r="B242" s="3" t="s">
        <v>243</v>
      </c>
      <c r="C242" s="3" t="str">
        <f>IFERROR(__xludf.DUMMYFUNCTION("GOOGLETRANSLATE(B242,""id"",""en"")"),"['apk', 'pakek', 'latest', 'nggk', 'open', 'disorder', 'then', 'udh', 'network', 'try', 'blank', 'white', ' Tlong ',' Developer ',' Pakek ',' Experienced ',' Money ',' Nganjangin ',' Software ',' Jngan ',' Corruption ',' all ',' idiot ']")</f>
        <v>['apk', 'pakek', 'latest', 'nggk', 'open', 'disorder', 'then', 'udh', 'network', 'try', 'blank', 'white', ' Tlong ',' Developer ',' Pakek ',' Experienced ',' Money ',' Nganjangin ',' Software ',' Jngan ',' Corruption ',' all ',' idiot ']</v>
      </c>
      <c r="D242" s="3">
        <v>1.0</v>
      </c>
    </row>
    <row r="243" ht="15.75" customHeight="1">
      <c r="A243" s="1">
        <v>241.0</v>
      </c>
      <c r="B243" s="3" t="s">
        <v>244</v>
      </c>
      <c r="C243" s="3" t="str">
        <f>IFERROR(__xludf.DUMMYFUNCTION("GOOGLETRANSLATE(B243,""id"",""en"")"),"['signal', 'wifi', 'good', 'say it', 'connection', 'problematic', 'open', 'youtube', 'smooth', 'open', 'application', 'gada', ' network ',' beki ',' quota ',' until ',' tomorrow ',' BERES ',' Bye ',' Telkomsel ']")</f>
        <v>['signal', 'wifi', 'good', 'say it', 'connection', 'problematic', 'open', 'youtube', 'smooth', 'open', 'application', 'gada', ' network ',' beki ',' quota ',' until ',' tomorrow ',' BERES ',' Bye ',' Telkomsel ']</v>
      </c>
      <c r="D243" s="3">
        <v>1.0</v>
      </c>
    </row>
    <row r="244" ht="15.75" customHeight="1">
      <c r="A244" s="1">
        <v>242.0</v>
      </c>
      <c r="B244" s="3" t="s">
        <v>245</v>
      </c>
      <c r="C244" s="3" t="str">
        <f>IFERROR(__xludf.DUMMYFUNCTION("GOOGLETRANSLATE(B244,""id"",""en"")"),"['Severe', 'application', 'error', 'gajelas',' screen ',' white ',' appears', 'strange', 'network', 'widest', 'TPI', 'quality', ' SEZ ',' Gini ',' please ',' Telkomsel ',' Optimize ',' ']")</f>
        <v>['Severe', 'application', 'error', 'gajelas',' screen ',' white ',' appears', 'strange', 'network', 'widest', 'TPI', 'quality', ' SEZ ',' Gini ',' please ',' Telkomsel ',' Optimize ',' ']</v>
      </c>
      <c r="D244" s="3">
        <v>1.0</v>
      </c>
    </row>
    <row r="245" ht="15.75" customHeight="1">
      <c r="A245" s="1">
        <v>243.0</v>
      </c>
      <c r="B245" s="3" t="s">
        <v>246</v>
      </c>
      <c r="C245" s="3" t="str">
        <f>IFERROR(__xludf.DUMMYFUNCTION("GOOGLETRANSLATE(B245,""id"",""en"")"),"['Hello', 'Telkomsel', 'KNPA', 'enter', 'Telkomsel', 'SLL', 'difficult', 'information', 'unable', 'load', 'kayak', 'CBA', ' See ',' Telkomsel ',' husband ',' pdhl ',' quota ',' plan ',' buy ',' quota ',' difficult ',' beg ',' fix ',' system ',' try ' , 'M"&amp;"any', 'Internet', 'Good', 'TPI', 'Enter', 'Telkomsel', 'Unable', 'Load', 'then']")</f>
        <v>['Hello', 'Telkomsel', 'KNPA', 'enter', 'Telkomsel', 'SLL', 'difficult', 'information', 'unable', 'load', 'kayak', 'CBA', ' See ',' Telkomsel ',' husband ',' pdhl ',' quota ',' plan ',' buy ',' quota ',' difficult ',' beg ',' fix ',' system ',' try ' , 'Many', 'Internet', 'Good', 'TPI', 'Enter', 'Telkomsel', 'Unable', 'Load', 'then']</v>
      </c>
      <c r="D245" s="3">
        <v>1.0</v>
      </c>
    </row>
    <row r="246" ht="15.75" customHeight="1">
      <c r="A246" s="1">
        <v>244.0</v>
      </c>
      <c r="B246" s="3" t="s">
        <v>247</v>
      </c>
      <c r="C246" s="3" t="str">
        <f>IFERROR(__xludf.DUMMYFUNCTION("GOOGLETRANSLATE(B246,""id"",""en"")"),"['Congratulations',' Telkomsel ',' Display ',' bother ',' The application ',' Difficult ',' Accessible ',' Repeat ',' Times', 'Uninstall', 'Install', 'Access',' nil ',' access', 'feature', 'application', 'thank you', 'the application', 'open']")</f>
        <v>['Congratulations',' Telkomsel ',' Display ',' bother ',' The application ',' Difficult ',' Accessible ',' Repeat ',' Times', 'Uninstall', 'Install', 'Access',' nil ',' access', 'feature', 'application', 'thank you', 'the application', 'open']</v>
      </c>
      <c r="D246" s="3">
        <v>1.0</v>
      </c>
    </row>
    <row r="247" ht="15.75" customHeight="1">
      <c r="A247" s="1">
        <v>245.0</v>
      </c>
      <c r="B247" s="3" t="s">
        <v>248</v>
      </c>
      <c r="C247" s="3" t="str">
        <f>IFERROR(__xludf.DUMMYFUNCTION("GOOGLETRANSLATE(B247,""id"",""en"")"),"['update', 'still', 'change', 'server', 'down', 'network', 'data', 'wifi', 'network', 'open', 'application', 'application' mytelkomsel ',' emang ',' useful ',' hope ',' bad ',' rating ',' app ']")</f>
        <v>['update', 'still', 'change', 'server', 'down', 'network', 'data', 'wifi', 'network', 'open', 'application', 'application' mytelkomsel ',' emang ',' useful ',' hope ',' bad ',' rating ',' app ']</v>
      </c>
      <c r="D247" s="3">
        <v>1.0</v>
      </c>
    </row>
    <row r="248" ht="15.75" customHeight="1">
      <c r="A248" s="1">
        <v>246.0</v>
      </c>
      <c r="B248" s="3" t="s">
        <v>249</v>
      </c>
      <c r="C248" s="3" t="str">
        <f>IFERROR(__xludf.DUMMYFUNCTION("GOOGLETRANSLATE(B248,""id"",""en"")"),"['WOI', 'APK', 'The network', 'deformed', 'service', 'good', 'quota', 'jngan', 'mahalin', 'already', 'pay', 'quota', ' Expensive ',' network ',' Kek ',' gini ']")</f>
        <v>['WOI', 'APK', 'The network', 'deformed', 'service', 'good', 'quota', 'jngan', 'mahalin', 'already', 'pay', 'quota', ' Expensive ',' network ',' Kek ',' gini ']</v>
      </c>
      <c r="D248" s="3">
        <v>1.0</v>
      </c>
    </row>
    <row r="249" ht="15.75" customHeight="1">
      <c r="A249" s="1">
        <v>247.0</v>
      </c>
      <c r="B249" s="3" t="s">
        <v>250</v>
      </c>
      <c r="C249" s="3" t="str">
        <f>IFERROR(__xludf.DUMMYFUNCTION("GOOGLETRANSLATE(B249,""id"",""en"")"),"['Update', 'Loading', 'Unable', 'Load', 'Minutes', 'Tetep', 'Gabisa', 'Opened', '']")</f>
        <v>['Update', 'Loading', 'Unable', 'Load', 'Minutes', 'Tetep', 'Gabisa', 'Opened', '']</v>
      </c>
      <c r="D249" s="3">
        <v>1.0</v>
      </c>
    </row>
    <row r="250" ht="15.75" customHeight="1">
      <c r="A250" s="1">
        <v>248.0</v>
      </c>
      <c r="B250" s="3" t="s">
        <v>251</v>
      </c>
      <c r="C250" s="3" t="str">
        <f>IFERROR(__xludf.DUMMYFUNCTION("GOOGLETRANSLATE(B250,""id"",""en"")"),"['', 'strange', 'update', 'difficult', 'open', 'open', 'reload', 'mulu', 'gini', 'application', 'already', 'convenient', 'application ',' Please ',' Fix ',' Thanks']")</f>
        <v>['', 'strange', 'update', 'difficult', 'open', 'open', 'reload', 'mulu', 'gini', 'application', 'already', 'convenient', 'application ',' Please ',' Fix ',' Thanks']</v>
      </c>
      <c r="D250" s="3">
        <v>1.0</v>
      </c>
    </row>
    <row r="251" ht="15.75" customHeight="1">
      <c r="A251" s="1">
        <v>249.0</v>
      </c>
      <c r="B251" s="3" t="s">
        <v>252</v>
      </c>
      <c r="C251" s="3" t="str">
        <f>IFERROR(__xludf.DUMMYFUNCTION("GOOGLETRANSLATE(B251,""id"",""en"")"),"['disappointing', 'package', 'expensive', 'connection', 'tetep', 'slow', 'complement', 'feels',' closed ',' eyes', 'hear', 'fix', ' customer complain', '']")</f>
        <v>['disappointing', 'package', 'expensive', 'connection', 'tetep', 'slow', 'complement', 'feels',' closed ',' eyes', 'hear', 'fix', ' customer complain', '']</v>
      </c>
      <c r="D251" s="3">
        <v>1.0</v>
      </c>
    </row>
    <row r="252" ht="15.75" customHeight="1">
      <c r="A252" s="1">
        <v>250.0</v>
      </c>
      <c r="B252" s="3" t="s">
        <v>253</v>
      </c>
      <c r="C252" s="3" t="str">
        <f>IFERROR(__xludf.DUMMYFUNCTION("GOOGLETRANSLATE(B252,""id"",""en"")"),"['Sorry', 'Union', 'installation', 'user', 'knpa', 'smnjak', 'the application', 'update', 'slow', 'open', 'commission', 'influence', ' Greetings', 'healthy', ""]")</f>
        <v>['Sorry', 'Union', 'installation', 'user', 'knpa', 'smnjak', 'the application', 'update', 'slow', 'open', 'commission', 'influence', ' Greetings', 'healthy', "]</v>
      </c>
      <c r="D252" s="3">
        <v>2.0</v>
      </c>
    </row>
    <row r="253" ht="15.75" customHeight="1">
      <c r="A253" s="1">
        <v>251.0</v>
      </c>
      <c r="B253" s="3" t="s">
        <v>254</v>
      </c>
      <c r="C253" s="3" t="str">
        <f>IFERROR(__xludf.DUMMYFUNCTION("GOOGLETRANSLATE(B253,""id"",""en"")"),"['', 'application', 'upgrade', 'bkn', 'good', 'severe', 'slow', 'open', 'application', 'slow', 'buy', 'package', 'quota ',' LBH ',' cheap ',' the application ',' the application ',' PST ',' LBH ',' BNYK ',' digits', 'all', 'users',' Telkomsel ',' Please '"&amp;",' Please ', 'BNR', 'server', 'network', 'MNT', 'upgrade', 'doang', 'shame', 'min', 'neighbor', 'next door', 'card', 'bnyk', 'used ',' Org ',' Indonesia ']")</f>
        <v>['', 'application', 'upgrade', 'bkn', 'good', 'severe', 'slow', 'open', 'application', 'slow', 'buy', 'package', 'quota ',' LBH ',' cheap ',' the application ',' the application ',' PST ',' LBH ',' BNYK ',' digits', 'all', 'users',' Telkomsel ',' Please ',' Please ', 'BNR', 'server', 'network', 'MNT', 'upgrade', 'doang', 'shame', 'min', 'neighbor', 'next door', 'card', 'bnyk', 'used ',' Org ',' Indonesia ']</v>
      </c>
      <c r="D253" s="3">
        <v>1.0</v>
      </c>
    </row>
    <row r="254" ht="15.75" customHeight="1">
      <c r="A254" s="1">
        <v>252.0</v>
      </c>
      <c r="B254" s="3" t="s">
        <v>255</v>
      </c>
      <c r="C254" s="3" t="str">
        <f>IFERROR(__xludf.DUMMYFUNCTION("GOOGLETRANSLATE(B254,""id"",""en"")"),"['Dear', 'all', 'team', 'Telkomsel', 'disruption', 'night', 'open', 'application', 'appear', 'information', 'card', 'disorder', ' Please ',' Application ',' Error ',' Server ',' Please ',' Handle ',' Problems', 'Customer', '']")</f>
        <v>['Dear', 'all', 'team', 'Telkomsel', 'disruption', 'night', 'open', 'application', 'appear', 'information', 'card', 'disorder', ' Please ',' Application ',' Error ',' Server ',' Please ',' Handle ',' Problems', 'Customer', '']</v>
      </c>
      <c r="D254" s="3">
        <v>1.0</v>
      </c>
    </row>
    <row r="255" ht="15.75" customHeight="1">
      <c r="A255" s="1">
        <v>253.0</v>
      </c>
      <c r="B255" s="3" t="s">
        <v>256</v>
      </c>
      <c r="C255" s="3" t="str">
        <f>IFERROR(__xludf.DUMMYFUNCTION("GOOGLETRANSLATE(B255,""id"",""en"")"),"['Ya'lah', 'Updated', 'Mlah', 'Nggk', 'checked', 'data', 'Loading', 'Mulu', 'already', 'Dihpus',' installed ',' TTAP ',' Mending ',' not ',' updated ',' gini ', ""]")</f>
        <v>['Ya'lah', 'Updated', 'Mlah', 'Nggk', 'checked', 'data', 'Loading', 'Mulu', 'already', 'Dihpus',' installed ',' TTAP ',' Mending ',' not ',' updated ',' gini ', "]</v>
      </c>
      <c r="D255" s="3">
        <v>1.0</v>
      </c>
    </row>
    <row r="256" ht="15.75" customHeight="1">
      <c r="A256" s="1">
        <v>254.0</v>
      </c>
      <c r="B256" s="3" t="s">
        <v>257</v>
      </c>
      <c r="C256" s="3" t="str">
        <f>IFERROR(__xludf.DUMMYFUNCTION("GOOGLETRANSLATE(B256,""id"",""en"")"),"['already', 'Buru', 'contents',' credit ',' buy ',' quota ',' app ',' urgent ',' ehh ',' skrg ',' look ',' latest ',' slow ',' app ',' enter ',' ']")</f>
        <v>['already', 'Buru', 'contents',' credit ',' buy ',' quota ',' app ',' urgent ',' ehh ',' skrg ',' look ',' latest ',' slow ',' app ',' enter ',' ']</v>
      </c>
      <c r="D256" s="3">
        <v>1.0</v>
      </c>
    </row>
    <row r="257" ht="15.75" customHeight="1">
      <c r="A257" s="1">
        <v>255.0</v>
      </c>
      <c r="B257" s="3" t="s">
        <v>258</v>
      </c>
      <c r="C257" s="3" t="str">
        <f>IFERROR(__xludf.DUMMYFUNCTION("GOOGLETRANSLATE(B257,""id"",""en"")"),"['What', 'Abis',' update ',' gabisa ',' open ',' expensive ',' signal ',' slow ',' expensive ',' signal ',' okay ',' good ',' Uklum ',' expensive ',' ugly ',' signal ',' how ',' service ',' Bkin ',' emotion ',' disappointing ',' swear ',' Telkomsel ']")</f>
        <v>['What', 'Abis',' update ',' gabisa ',' open ',' expensive ',' signal ',' slow ',' expensive ',' signal ',' okay ',' good ',' Uklum ',' expensive ',' ugly ',' signal ',' how ',' service ',' Bkin ',' emotion ',' disappointing ',' swear ',' Telkomsel ']</v>
      </c>
      <c r="D257" s="3">
        <v>1.0</v>
      </c>
    </row>
    <row r="258" ht="15.75" customHeight="1">
      <c r="A258" s="1">
        <v>256.0</v>
      </c>
      <c r="B258" s="3" t="s">
        <v>259</v>
      </c>
      <c r="C258" s="3" t="str">
        <f>IFERROR(__xludf.DUMMYFUNCTION("GOOGLETRANSLATE(B258,""id"",""en"")"),"['Severe', 'network', 'Telkomsel', 'worst', 'universe', 'raya', 'severe', 'severe', 'severe', 'MyTelkomsel', 'open', ""]")</f>
        <v>['Severe', 'network', 'Telkomsel', 'worst', 'universe', 'raya', 'severe', 'severe', 'severe', 'MyTelkomsel', 'open', "]</v>
      </c>
      <c r="D258" s="3">
        <v>1.0</v>
      </c>
    </row>
    <row r="259" ht="15.75" customHeight="1">
      <c r="A259" s="1">
        <v>257.0</v>
      </c>
      <c r="B259" s="3" t="s">
        <v>260</v>
      </c>
      <c r="C259" s="3" t="str">
        <f>IFERROR(__xludf.DUMMYFUNCTION("GOOGLETRANSLATE(B259,""id"",""en"")"),"['update', 'followed', 'change', 'logo', 'application', 'display', 'information', 'update', 'loading', 'just', 'connected', 'server', ' signal ',' constraints', 'uninstall', 'install', 'tetep', 'hmmm', 'hope', 'repaired', '']")</f>
        <v>['update', 'followed', 'change', 'logo', 'application', 'display', 'information', 'update', 'loading', 'just', 'connected', 'server', ' signal ',' constraints', 'uninstall', 'install', 'tetep', 'hmmm', 'hope', 'repaired', '']</v>
      </c>
      <c r="D259" s="3">
        <v>1.0</v>
      </c>
    </row>
    <row r="260" ht="15.75" customHeight="1">
      <c r="A260" s="1">
        <v>258.0</v>
      </c>
      <c r="B260" s="3" t="s">
        <v>261</v>
      </c>
      <c r="C260" s="3" t="str">
        <f>IFERROR(__xludf.DUMMYFUNCTION("GOOGLETRANSLATE(B260,""id"",""en"")"),"['Application', 'Dipake', 'Already', 'Delete', 'Cache', 'Delete', 'Data', 'Uninstall', 'Download', 'Tetep', 'Dipake', ""]")</f>
        <v>['Application', 'Dipake', 'Already', 'Delete', 'Cache', 'Delete', 'Data', 'Uninstall', 'Download', 'Tetep', 'Dipake', "]</v>
      </c>
      <c r="D260" s="3">
        <v>1.0</v>
      </c>
    </row>
    <row r="261" ht="15.75" customHeight="1">
      <c r="A261" s="1">
        <v>259.0</v>
      </c>
      <c r="B261" s="3" t="s">
        <v>262</v>
      </c>
      <c r="C261" s="3" t="str">
        <f>IFERROR(__xludf.DUMMYFUNCTION("GOOGLETRANSLATE(B261,""id"",""en"")"),"['App', 'update', 'severe', 'point', 'already', 'okay', 'point', 'already', 'send', 'complaint', 'tsel', 'response', ' Severe ',' disappointed ',' really ',' update ',' times', '']")</f>
        <v>['App', 'update', 'severe', 'point', 'already', 'okay', 'point', 'already', 'send', 'complaint', 'tsel', 'response', ' Severe ',' disappointed ',' really ',' update ',' times', '']</v>
      </c>
      <c r="D261" s="3">
        <v>1.0</v>
      </c>
    </row>
    <row r="262" ht="15.75" customHeight="1">
      <c r="A262" s="1">
        <v>260.0</v>
      </c>
      <c r="B262" s="3" t="s">
        <v>263</v>
      </c>
      <c r="C262" s="3" t="str">
        <f>IFERROR(__xludf.DUMMYFUNCTION("GOOGLETRANSLATE(B262,""id"",""en"")"),"['user', 'loyal', 'Telkomsel', 'taste', 'disappointed', 'network', 'updated', 'slow', 'please', 'service', 'network', ' Preferably ',' continuous', 'update', 'application', '']")</f>
        <v>['user', 'loyal', 'Telkomsel', 'taste', 'disappointed', 'network', 'updated', 'slow', 'please', 'service', 'network', ' Preferably ',' continuous', 'update', 'application', '']</v>
      </c>
      <c r="D262" s="3">
        <v>1.0</v>
      </c>
    </row>
    <row r="263" ht="15.75" customHeight="1">
      <c r="A263" s="1">
        <v>261.0</v>
      </c>
      <c r="B263" s="3" t="s">
        <v>264</v>
      </c>
      <c r="C263" s="3" t="str">
        <f>IFERROR(__xludf.DUMMYFUNCTION("GOOGLETRANSLATE(B263,""id"",""en"")"),"['Updated', 'Threat', 'Telkomsel', 'Best', 'Reversed', 'Application', 'Really', 'Disappointing', '']")</f>
        <v>['Updated', 'Threat', 'Telkomsel', 'Best', 'Reversed', 'Application', 'Really', 'Disappointing', '']</v>
      </c>
      <c r="D263" s="3">
        <v>1.0</v>
      </c>
    </row>
    <row r="264" ht="15.75" customHeight="1">
      <c r="A264" s="1">
        <v>262.0</v>
      </c>
      <c r="B264" s="3" t="s">
        <v>265</v>
      </c>
      <c r="C264" s="3" t="str">
        <f>IFERROR(__xludf.DUMMYFUNCTION("GOOGLETRANSLATE(B264,""id"",""en"")"),"['application', 'slow', 'difficult', 'buy', 'package', 'open', 'decent', 'love', 'star', 'whyaa', 'mytelkomsel', 'open', ' Woyyyyy ']")</f>
        <v>['application', 'slow', 'difficult', 'buy', 'package', 'open', 'decent', 'love', 'star', 'whyaa', 'mytelkomsel', 'open', ' Woyyyyy ']</v>
      </c>
      <c r="D264" s="3">
        <v>1.0</v>
      </c>
    </row>
    <row r="265" ht="15.75" customHeight="1">
      <c r="A265" s="1">
        <v>263.0</v>
      </c>
      <c r="B265" s="3" t="s">
        <v>266</v>
      </c>
      <c r="C265" s="3" t="str">
        <f>IFERROR(__xludf.DUMMYFUNCTION("GOOGLETRANSLATE(B265,""id"",""en"")"),"['Network', 'good', 'the application', 'good', 'update', 'load', 'check', 'connection', ""]")</f>
        <v>['Network', 'good', 'the application', 'good', 'update', 'load', 'check', 'connection', "]</v>
      </c>
      <c r="D265" s="3">
        <v>1.0</v>
      </c>
    </row>
    <row r="266" ht="15.75" customHeight="1">
      <c r="A266" s="1">
        <v>264.0</v>
      </c>
      <c r="B266" s="3" t="s">
        <v>267</v>
      </c>
      <c r="C266" s="3" t="str">
        <f>IFERROR(__xludf.DUMMYFUNCTION("GOOGLETRANSLATE(B266,""id"",""en"")"),"['Please', 'Admin', 'Confirmation', 'Network', 'Area', 'Serdang', 'Bedagai', 'Slow', 'Sipispis',' Open ',' App ',' MyTelkomsel ',' Screen ',' White ',' Wind ',' Connection ',' HostPot ',' Screen ',' White ',' App ',' Troubled ',' Update ',' Telkomsel ',' "&amp;"Promising ',' See ' , 'rating', 'down', 'disappointed', 'service', 'quota', 'buy', 'inconvenient', 'package', 'presented', '']")</f>
        <v>['Please', 'Admin', 'Confirmation', 'Network', 'Area', 'Serdang', 'Bedagai', 'Slow', 'Sipispis',' Open ',' App ',' MyTelkomsel ',' Screen ',' White ',' Wind ',' Connection ',' HostPot ',' Screen ',' White ',' App ',' Troubled ',' Update ',' Telkomsel ',' Promising ',' See ' , 'rating', 'down', 'disappointed', 'service', 'quota', 'buy', 'inconvenient', 'package', 'presented', '']</v>
      </c>
      <c r="D266" s="3">
        <v>2.0</v>
      </c>
    </row>
    <row r="267" ht="15.75" customHeight="1">
      <c r="A267" s="1">
        <v>265.0</v>
      </c>
      <c r="B267" s="3" t="s">
        <v>268</v>
      </c>
      <c r="C267" s="3" t="str">
        <f>IFERROR(__xludf.DUMMYFUNCTION("GOOGLETRANSLATE(B267,""id"",""en"")"),"['Professional', 'APK', 'Slow', 'Severe', 'Please', 'Repaired', 'Card', 'Mahalan', 'Card', 'System', 'How']")</f>
        <v>['Professional', 'APK', 'Slow', 'Severe', 'Please', 'Repaired', 'Card', 'Mahalan', 'Card', 'System', 'How']</v>
      </c>
      <c r="D267" s="3">
        <v>1.0</v>
      </c>
    </row>
    <row r="268" ht="15.75" customHeight="1">
      <c r="A268" s="1">
        <v>266.0</v>
      </c>
      <c r="B268" s="3" t="s">
        <v>269</v>
      </c>
      <c r="C268" s="3" t="str">
        <f>IFERROR(__xludf.DUMMYFUNCTION("GOOGLETRANSLATE(B268,""id"",""en"")"),"['APK', 'NYH', 'Load', 'Load', 'Reset', 'Signal', 'Good', 'Buy', 'Package', 'APK', 'Please', 'repair']")</f>
        <v>['APK', 'NYH', 'Load', 'Load', 'Reset', 'Signal', 'Good', 'Buy', 'Package', 'APK', 'Please', 'repair']</v>
      </c>
      <c r="D268" s="3">
        <v>1.0</v>
      </c>
    </row>
    <row r="269" ht="15.75" customHeight="1">
      <c r="A269" s="1">
        <v>267.0</v>
      </c>
      <c r="B269" s="3" t="s">
        <v>270</v>
      </c>
      <c r="C269" s="3" t="str">
        <f>IFERROR(__xludf.DUMMYFUNCTION("GOOGLETRANSLATE(B269,""id"",""en"")"),"['network', 'okay', 'app', 'Telkomsel', 'oath', 'severe', 'really', 'app', 'run', 'super', 'smooth', 'disorder', ' Internet ',' Telkomsel ',' difficult ',' really ',' access', 'description', 'signal', 'stable', 'serious',' already ',' update ',' tetep ','"&amp;" taTaaaa ' , 'right', 'gave', 'reviews',' already ',' squeezed ',' open ',' telkomsel ',' buy ',' package ',' ampuuuuuunnnnnnnnnnnnnnnnnnnnnnnnnnnnnnnnnnnnnnnnnnnnnnnnnnnnnnnnnnnnnnnnnnnnnnnnnnnnnnnnnnnnnnnnnnnnnnnnnnnnnnnnnnnnnnnnnnnnnnnnnnnnnnnnnnnnnnnn"&amp;"nnnnnnnnnnnnnnnnnnnnnnnnnnnnnnnnnnnnnnnnnnnnnnnnnnnnnnnnnnnnnnnnnnnnnnnnnnnnnnnn")</f>
        <v>['network', 'okay', 'app', 'Telkomsel', 'oath', 'severe', 'really', 'app', 'run', 'super', 'smooth', 'disorder', ' Internet ',' Telkomsel ',' difficult ',' really ',' access', 'description', 'signal', 'stable', 'serious',' already ',' update ',' tetep ',' taTaaaa ' , 'right', 'gave', 'reviews',' already ',' squeezed ',' open ',' telkomsel ',' buy ',' package ',' ampuuuuuunnnnnnnnnnnnnnnnnnnnnnnnnnnnnnnnnnnnnnnnnnnnnnnnnnnnnnnnnnnnnnnnnnnnnnnnnnnnnnnnnnnnnnnnnnnnnnnnnnnnnnnnnnnnnnnnnnnnnnnnnnnnnnnnnnnnnnnnnnnnnnnnnnnnnnnnnnnnnnnnnnnnnnnnnnnnnnnnnnnnnnnnnnnnnnnnnnnnnnnnnnnnnnnnnnnnnnnn</v>
      </c>
      <c r="D269" s="3">
        <v>1.0</v>
      </c>
    </row>
    <row r="270" ht="15.75" customHeight="1">
      <c r="A270" s="1">
        <v>268.0</v>
      </c>
      <c r="B270" s="3" t="s">
        <v>271</v>
      </c>
      <c r="C270" s="3" t="str">
        <f>IFERROR(__xludf.DUMMYFUNCTION("GOOGLETRANSLATE(B270,""id"",""en"")"),"['application', 'open', 'buy', 'package', 'bang', 'please', 'fix', 'as soon as possible', 'hotspot', 'friend', 'open', 'youtube', ' good ',' please ',' watch ',' Live ',' Brando ',' Bocil ',' Death ']")</f>
        <v>['application', 'open', 'buy', 'package', 'bang', 'please', 'fix', 'as soon as possible', 'hotspot', 'friend', 'open', 'youtube', ' good ',' please ',' watch ',' Live ',' Brando ',' Bocil ',' Death ']</v>
      </c>
      <c r="D270" s="3">
        <v>1.0</v>
      </c>
    </row>
    <row r="271" ht="15.75" customHeight="1">
      <c r="A271" s="1">
        <v>269.0</v>
      </c>
      <c r="B271" s="3" t="s">
        <v>272</v>
      </c>
      <c r="C271" s="3" t="str">
        <f>IFERROR(__xludf.DUMMYFUNCTION("GOOGLETRANSLATE(B271,""id"",""en"")"),"['buy', 'package', 'difficult', 'gmna', 'free', 'open', 'application', 'connection', 'bad', 'udh', 'use', 'wifi', ' Application ',' garbage ']")</f>
        <v>['buy', 'package', 'difficult', 'gmna', 'free', 'open', 'application', 'connection', 'bad', 'udh', 'use', 'wifi', ' Application ',' garbage ']</v>
      </c>
      <c r="D271" s="3">
        <v>1.0</v>
      </c>
    </row>
    <row r="272" ht="15.75" customHeight="1">
      <c r="A272" s="1">
        <v>270.0</v>
      </c>
      <c r="B272" s="3" t="s">
        <v>273</v>
      </c>
      <c r="C272" s="3" t="str">
        <f>IFERROR(__xludf.DUMMYFUNCTION("GOOGLETRANSLATE(B272,""id"",""en"")"),"['Sorry', 'APK', 'Update', 'APK', 'Error', 'System', 'Loading', 'Please', 'Fix', 'Thank you']")</f>
        <v>['Sorry', 'APK', 'Update', 'APK', 'Error', 'System', 'Loading', 'Please', 'Fix', 'Thank you']</v>
      </c>
      <c r="D272" s="3">
        <v>2.0</v>
      </c>
    </row>
    <row r="273" ht="15.75" customHeight="1">
      <c r="A273" s="1">
        <v>271.0</v>
      </c>
      <c r="B273" s="3" t="s">
        <v>274</v>
      </c>
      <c r="C273" s="3" t="str">
        <f>IFERROR(__xludf.DUMMYFUNCTION("GOOGLETRANSLATE(B273,""id"",""en"")"),"['buy', 'quota', 'gamesmax', 'pub', 'mobile', 'tissue', 'stable', 'operator', 'kah', 'telkomsel', 'quality', 'internet', ' bad', '']")</f>
        <v>['buy', 'quota', 'gamesmax', 'pub', 'mobile', 'tissue', 'stable', 'operator', 'kah', 'telkomsel', 'quality', 'internet', ' bad', '']</v>
      </c>
      <c r="D273" s="3">
        <v>1.0</v>
      </c>
    </row>
    <row r="274" ht="15.75" customHeight="1">
      <c r="A274" s="1">
        <v>272.0</v>
      </c>
      <c r="B274" s="3" t="s">
        <v>275</v>
      </c>
      <c r="C274" s="3" t="str">
        <f>IFERROR(__xludf.DUMMYFUNCTION("GOOGLETRANSLATE(B274,""id"",""en"")"),"['already', 'update', 'kayak', 'gini', 'show', 'data', 'user', 'hour', 'waiting', 'appears',' appears', 'nongol', ' White ',' please ',' fix ']")</f>
        <v>['already', 'update', 'kayak', 'gini', 'show', 'data', 'user', 'hour', 'waiting', 'appears',' appears', 'nongol', ' White ',' please ',' fix ']</v>
      </c>
      <c r="D274" s="3">
        <v>1.0</v>
      </c>
    </row>
    <row r="275" ht="15.75" customHeight="1">
      <c r="A275" s="1">
        <v>273.0</v>
      </c>
      <c r="B275" s="3" t="s">
        <v>276</v>
      </c>
      <c r="C275" s="3" t="str">
        <f>IFERROR(__xludf.DUMMYFUNCTION("GOOGLETRANSLATE(B275,""id"",""en"")"),"['Disappointed', 'Application', 'Actually', 'Good', 'The Application', 'Help', 'Very', 'Disorders', 'Signal', 'Good', 'Load', 'Re-reset']")</f>
        <v>['Disappointed', 'Application', 'Actually', 'Good', 'The Application', 'Help', 'Very', 'Disorders', 'Signal', 'Good', 'Load', 'Re-reset']</v>
      </c>
      <c r="D275" s="3">
        <v>3.0</v>
      </c>
    </row>
    <row r="276" ht="15.75" customHeight="1">
      <c r="A276" s="1">
        <v>274.0</v>
      </c>
      <c r="B276" s="3" t="s">
        <v>277</v>
      </c>
      <c r="C276" s="3" t="str">
        <f>IFERROR(__xludf.DUMMYFUNCTION("GOOGLETRANSLATE(B276,""id"",""en"")"),"['It's hard', 'really', 'Allah', 'Open', 'The application', 'Doang', 'buy', 'quota', 'Need', 'really', 'quota', 'Gini', ' very', '']")</f>
        <v>['It's hard', 'really', 'Allah', 'Open', 'The application', 'Doang', 'buy', 'quota', 'Need', 'really', 'quota', 'Gini', ' very', '']</v>
      </c>
      <c r="D276" s="3">
        <v>1.0</v>
      </c>
    </row>
    <row r="277" ht="15.75" customHeight="1">
      <c r="A277" s="1">
        <v>275.0</v>
      </c>
      <c r="B277" s="3" t="s">
        <v>278</v>
      </c>
      <c r="C277" s="3" t="str">
        <f>IFERROR(__xludf.DUMMYFUNCTION("GOOGLETRANSLATE(B277,""id"",""en"")"),"['update', 'June', 'please', 'repaired', 'admin', 'update', 'slow', 'process',' transaction ',' error ',' please ',' responded ',' Because ',' Satisfied ',' Application ',' Telkomsel ',' Trimakasi ', ""]")</f>
        <v>['update', 'June', 'please', 'repaired', 'admin', 'update', 'slow', 'process',' transaction ',' error ',' please ',' responded ',' Because ',' Satisfied ',' Application ',' Telkomsel ',' Trimakasi ', "]</v>
      </c>
      <c r="D277" s="3">
        <v>4.0</v>
      </c>
    </row>
    <row r="278" ht="15.75" customHeight="1">
      <c r="A278" s="1">
        <v>276.0</v>
      </c>
      <c r="B278" s="3" t="s">
        <v>279</v>
      </c>
      <c r="C278" s="3" t="str">
        <f>IFERROR(__xludf.DUMMYFUNCTION("GOOGLETRANSLATE(B278,""id"",""en"")"),"['Since', 'update', 'Telkomsel', 'difficult', 'entry', 'appears',' writing ',' error ',' check ',' package ',' Consider ',' DLU ',' User ',' Telkomsel ',' Comfortable ']")</f>
        <v>['Since', 'update', 'Telkomsel', 'difficult', 'entry', 'appears',' writing ',' error ',' check ',' package ',' Consider ',' DLU ',' User ',' Telkomsel ',' Comfortable ']</v>
      </c>
      <c r="D278" s="3">
        <v>1.0</v>
      </c>
    </row>
    <row r="279" ht="15.75" customHeight="1">
      <c r="A279" s="1">
        <v>277.0</v>
      </c>
      <c r="B279" s="3" t="s">
        <v>280</v>
      </c>
      <c r="C279" s="3" t="str">
        <f>IFERROR(__xludf.DUMMYFUNCTION("GOOGLETRANSLATE(B279,""id"",""en"")"),"['Response', 'Customer', 'servicenya', 'slow', 'application', 'error', 'choice', 'package', 'check', 'pulse', 'via', 'application', ' Hope ',' PerformIIIIIII ',' ']")</f>
        <v>['Response', 'Customer', 'servicenya', 'slow', 'application', 'error', 'choice', 'package', 'check', 'pulse', 'via', 'application', ' Hope ',' PerformIIIIIII ',' ']</v>
      </c>
      <c r="D279" s="3">
        <v>1.0</v>
      </c>
    </row>
    <row r="280" ht="15.75" customHeight="1">
      <c r="A280" s="1">
        <v>278.0</v>
      </c>
      <c r="B280" s="3" t="s">
        <v>281</v>
      </c>
      <c r="C280" s="3" t="str">
        <f>IFERROR(__xludf.DUMMYFUNCTION("GOOGLETRANSLATE(B280,""id"",""en"")"),"['bad', 'error', 'loading', 'Mulu', 'then', 'error', 'please', 'enhanced', 'expensive', 'service', 'quality', 'kayak', ' Gini ',' ']")</f>
        <v>['bad', 'error', 'loading', 'Mulu', 'then', 'error', 'please', 'enhanced', 'expensive', 'service', 'quality', 'kayak', ' Gini ',' ']</v>
      </c>
      <c r="D280" s="3">
        <v>1.0</v>
      </c>
    </row>
    <row r="281" ht="15.75" customHeight="1">
      <c r="A281" s="1">
        <v>279.0</v>
      </c>
      <c r="B281" s="3" t="s">
        <v>282</v>
      </c>
      <c r="C281" s="3" t="str">
        <f>IFERROR(__xludf.DUMMYFUNCTION("GOOGLETRANSLATE(B281,""id"",""en"")"),"['already', 'update', 'Telkomsel', 'right', 'loading', 'really', 'must', 'waiting', 'sleepy', 'loading', 'really', ""]")</f>
        <v>['already', 'update', 'Telkomsel', 'right', 'loading', 'really', 'must', 'waiting', 'sleepy', 'loading', 'really', "]</v>
      </c>
      <c r="D281" s="3">
        <v>1.0</v>
      </c>
    </row>
    <row r="282" ht="15.75" customHeight="1">
      <c r="A282" s="1">
        <v>280.0</v>
      </c>
      <c r="B282" s="3" t="s">
        <v>283</v>
      </c>
      <c r="C282" s="3" t="str">
        <f>IFERROR(__xludf.DUMMYFUNCTION("GOOGLETRANSLATE(B282,""id"",""en"")"),"['astaghfirullah', 'already', 'update', 'bad', 'difficult', 'really', 'accessible', 'buy', 'package', 'appears',' list ',' package ',' Loading ',' Mulu ',' postpaid ',' deh ',' subscription ',' postpaid ',' postpaid ',' byk ',' rights', 'special', 'proof'"&amp;", 'open', 'mytelkomsel' , 'Difficulty', 'Forgiveness', 'Severe', '']")</f>
        <v>['astaghfirullah', 'already', 'update', 'bad', 'difficult', 'really', 'accessible', 'buy', 'package', 'appears',' list ',' package ',' Loading ',' Mulu ',' postpaid ',' deh ',' subscription ',' postpaid ',' postpaid ',' byk ',' rights', 'special', 'proof', 'open', 'mytelkomsel' , 'Difficulty', 'Forgiveness', 'Severe', '']</v>
      </c>
      <c r="D282" s="3">
        <v>1.0</v>
      </c>
    </row>
    <row r="283" ht="15.75" customHeight="1">
      <c r="A283" s="1">
        <v>281.0</v>
      </c>
      <c r="B283" s="3" t="s">
        <v>284</v>
      </c>
      <c r="C283" s="3" t="str">
        <f>IFERROR(__xludf.DUMMYFUNCTION("GOOGLETRANSLATE(B283,""id"",""en"")"),"['Heaven', 'profit', 'slamming', 'afternoon', 'until', 'application', 'Loading', 'Mulu', 'Login', 'How', 'Telkom', ""]")</f>
        <v>['Heaven', 'profit', 'slamming', 'afternoon', 'until', 'application', 'Loading', 'Mulu', 'Login', 'How', 'Telkom', "]</v>
      </c>
      <c r="D283" s="3">
        <v>1.0</v>
      </c>
    </row>
    <row r="284" ht="15.75" customHeight="1">
      <c r="A284" s="1">
        <v>282.0</v>
      </c>
      <c r="B284" s="3" t="s">
        <v>285</v>
      </c>
      <c r="C284" s="3" t="str">
        <f>IFERROR(__xludf.DUMMYFUNCTION("GOOGLETRANSLATE(B284,""id"",""en"")"),"['MyTelkomsel', 'Loading', 'Mulu', 'connection', 'good', 'loading', 'finished', 'finished', 'pairs',' package ',' please ',' right ',' ']")</f>
        <v>['MyTelkomsel', 'Loading', 'Mulu', 'connection', 'good', 'loading', 'finished', 'finished', 'pairs',' package ',' please ',' right ',' ']</v>
      </c>
      <c r="D284" s="3">
        <v>1.0</v>
      </c>
    </row>
    <row r="285" ht="15.75" customHeight="1">
      <c r="A285" s="1">
        <v>283.0</v>
      </c>
      <c r="B285" s="3" t="s">
        <v>286</v>
      </c>
      <c r="C285" s="3" t="str">
        <f>IFERROR(__xludf.DUMMYFUNCTION("GOOGLETRANSLATE(B285,""id"",""en"")"),"['Daily', 'Check', 'Please', 'Donk', 'Jngan', 'Credit', 'Kantel', 'Credit', 'Unemployed', 'COVED', 'expect', ' Free ',' Telkomsel ',' ']")</f>
        <v>['Daily', 'Check', 'Please', 'Donk', 'Jngan', 'Credit', 'Kantel', 'Credit', 'Unemployed', 'COVED', 'expect', ' Free ',' Telkomsel ',' ']</v>
      </c>
      <c r="D285" s="3">
        <v>3.0</v>
      </c>
    </row>
    <row r="286" ht="15.75" customHeight="1">
      <c r="A286" s="1">
        <v>284.0</v>
      </c>
      <c r="B286" s="3" t="s">
        <v>287</v>
      </c>
      <c r="C286" s="3" t="str">
        <f>IFERROR(__xludf.DUMMYFUNCTION("GOOGLETRANSLATE(B286,""id"",""en"")"),"['Difficult', 'Open', 'Menu', 'Kink', 'Disappointed', 'Change', 'Perfect', 'Publish', 'App', 'Disabled', 'Public']")</f>
        <v>['Difficult', 'Open', 'Menu', 'Kink', 'Disappointed', 'Change', 'Perfect', 'Publish', 'App', 'Disabled', 'Public']</v>
      </c>
      <c r="D286" s="3">
        <v>1.0</v>
      </c>
    </row>
    <row r="287" ht="15.75" customHeight="1">
      <c r="A287" s="1">
        <v>285.0</v>
      </c>
      <c r="B287" s="3" t="s">
        <v>288</v>
      </c>
      <c r="C287" s="3" t="str">
        <f>IFERROR(__xludf.DUMMYFUNCTION("GOOGLETRANSLATE(B287,""id"",""en"")"),"['', 'apk', 'open', 'open', 'fill', 'white', 'signal', 'okay', 'open', 'apk', 'open', 'apk', 'slow ',' forgiveness', 'please', 'fix', 'min', 'already', 'emotion', 'hedeuhhh']")</f>
        <v>['', 'apk', 'open', 'open', 'fill', 'white', 'signal', 'okay', 'open', 'apk', 'open', 'apk', 'slow ',' forgiveness', 'please', 'fix', 'min', 'already', 'emotion', 'hedeuhhh']</v>
      </c>
      <c r="D287" s="3">
        <v>1.0</v>
      </c>
    </row>
    <row r="288" ht="15.75" customHeight="1">
      <c r="A288" s="1">
        <v>286.0</v>
      </c>
      <c r="B288" s="3" t="s">
        <v>289</v>
      </c>
      <c r="C288" s="3" t="str">
        <f>IFERROR(__xludf.DUMMYFUNCTION("GOOGLETRANSLATE(B288,""id"",""en"")"),"['Telkomsel', 'Error', 'updated', 'opened', 'DihPs',' Download ',' reset ',' screen ',' picture ',' white ',' use ',' Berthn ',' times', 'it seems',' Error ',' please ',' berenahin ',' ']")</f>
        <v>['Telkomsel', 'Error', 'updated', 'opened', 'DihPs',' Download ',' reset ',' screen ',' picture ',' white ',' use ',' Berthn ',' times', 'it seems',' Error ',' please ',' berenahin ',' ']</v>
      </c>
      <c r="D288" s="3">
        <v>1.0</v>
      </c>
    </row>
    <row r="289" ht="15.75" customHeight="1">
      <c r="A289" s="1">
        <v>287.0</v>
      </c>
      <c r="B289" s="3" t="s">
        <v>290</v>
      </c>
      <c r="C289" s="3" t="str">
        <f>IFERROR(__xludf.DUMMYFUNCTION("GOOGLETRANSLATE(B289,""id"",""en"")"),"['', 'told', 'update', 'already', 'update', 'already', 'update', 'how', 'love', 'value', 'Poor', 'according to' facts ']")</f>
        <v>['', 'told', 'update', 'already', 'update', 'already', 'update', 'how', 'love', 'value', 'Poor', 'according to' facts ']</v>
      </c>
      <c r="D289" s="3">
        <v>1.0</v>
      </c>
    </row>
    <row r="290" ht="15.75" customHeight="1">
      <c r="A290" s="1">
        <v>288.0</v>
      </c>
      <c r="B290" s="3" t="s">
        <v>291</v>
      </c>
      <c r="C290" s="3" t="str">
        <f>IFERROR(__xludf.DUMMYFUNCTION("GOOGLETRANSLATE(B290,""id"",""en"")"),"['Hello', 'Telkomsel', 'bankrupt', 'what', 'network', 'slow', 'price', 'expensive', 'deuhhh', 'application', 'Telkomsel', 'difficult', ' Accessible ',' Loadingggggh ',' annoyed ',' ']")</f>
        <v>['Hello', 'Telkomsel', 'bankrupt', 'what', 'network', 'slow', 'price', 'expensive', 'deuhhh', 'application', 'Telkomsel', 'difficult', ' Accessible ',' Loadingggggh ',' annoyed ',' ']</v>
      </c>
      <c r="D290" s="3">
        <v>1.0</v>
      </c>
    </row>
    <row r="291" ht="15.75" customHeight="1">
      <c r="A291" s="1">
        <v>289.0</v>
      </c>
      <c r="B291" s="3" t="s">
        <v>292</v>
      </c>
      <c r="C291" s="3" t="str">
        <f>IFERROR(__xludf.DUMMYFUNCTION("GOOGLETRANSLATE(B291,""id"",""en"")"),"['intention', 'application', 'original', 'lagg', 'really', 'open', 'app', 'application', 'smooth', 'network', 'slow', 'really', ' Buy ',' Package ',' Telkomsel ',' Application ',' Trash ',' Gausah ',' Dwonloaddd ',' Watch Out ',' Dissel ',' Download ','AA"&amp;"', ""]")</f>
        <v>['intention', 'application', 'original', 'lagg', 'really', 'open', 'app', 'application', 'smooth', 'network', 'slow', 'really', ' Buy ',' Package ',' Telkomsel ',' Application ',' Trash ',' Gausah ',' Dwonloaddd ',' Watch Out ',' Dissel ',' Download ','AA', "]</v>
      </c>
      <c r="D291" s="3">
        <v>1.0</v>
      </c>
    </row>
    <row r="292" ht="15.75" customHeight="1">
      <c r="A292" s="1">
        <v>290.0</v>
      </c>
      <c r="B292" s="3" t="s">
        <v>293</v>
      </c>
      <c r="C292" s="3" t="str">
        <f>IFERROR(__xludf.DUMMYFUNCTION("GOOGLETRANSLATE(B292,""id"",""en"")"),"['How', 'application', 'difficult', 'right', 'opened', 'yes', 'opened', 'download', 'exhausted', 'check', 'no', '']")</f>
        <v>['How', 'application', 'difficult', 'right', 'opened', 'yes', 'opened', 'download', 'exhausted', 'check', 'no', '']</v>
      </c>
      <c r="D292" s="3">
        <v>1.0</v>
      </c>
    </row>
    <row r="293" ht="15.75" customHeight="1">
      <c r="A293" s="1">
        <v>291.0</v>
      </c>
      <c r="B293" s="3" t="s">
        <v>294</v>
      </c>
      <c r="C293" s="3" t="str">
        <f>IFERROR(__xludf.DUMMYFUNCTION("GOOGLETRANSLATE(B293,""id"",""en"")"),"['What are you doing', 'update', 'Lola', 'Lemoot', 'really', 'disorder', 'Mulu', 'Nggk', 'smooth', 'because', 'repairs',' bug ',' slow ',' transaction ',' failed ',' trs', ""]")</f>
        <v>['What are you doing', 'update', 'Lola', 'Lemoot', 'really', 'disorder', 'Mulu', 'Nggk', 'smooth', 'because', 'repairs',' bug ',' slow ',' transaction ',' failed ',' trs', "]</v>
      </c>
      <c r="D293" s="3">
        <v>1.0</v>
      </c>
    </row>
    <row r="294" ht="15.75" customHeight="1">
      <c r="A294" s="1">
        <v>292.0</v>
      </c>
      <c r="B294" s="3" t="s">
        <v>295</v>
      </c>
      <c r="C294" s="3" t="str">
        <f>IFERROR(__xludf.DUMMYFUNCTION("GOOGLETRANSLATE(B294,""id"",""en"")"),"['MyTelkomsel', 'Date', 'update', 'Loading', 'appears', 'menu', 'internet', 'internet', 'slow', 'disorder', 'update']")</f>
        <v>['MyTelkomsel', 'Date', 'update', 'Loading', 'appears', 'menu', 'internet', 'internet', 'slow', 'disorder', 'update']</v>
      </c>
      <c r="D294" s="3">
        <v>1.0</v>
      </c>
    </row>
    <row r="295" ht="15.75" customHeight="1">
      <c r="A295" s="1">
        <v>293.0</v>
      </c>
      <c r="B295" s="3" t="s">
        <v>296</v>
      </c>
      <c r="C295" s="3" t="str">
        <f>IFERROR(__xludf.DUMMYFUNCTION("GOOGLETRANSLATE(B295,""id"",""en"")"),"['emang', 'error', 'system', 'Telkomsel', 'check', 'quota', 'contents',' internet ',' contents', 'pulse', 'quota', 'dying', ' Shame ',' GB ',' Telkomsel ',' already ',' leftover ',' GB ',' I'M'S'S, 'GB', 'GB', 'Fair', 'Play', 'Cut', 'People' , 'old', 'unt"&amp;"il', 'believes',' saving ',' quota ',' said ',' wasteful ',' please ',' justice ',' seam ',' people ',' rich ',' View ',' Plis', '']")</f>
        <v>['emang', 'error', 'system', 'Telkomsel', 'check', 'quota', 'contents',' internet ',' contents', 'pulse', 'quota', 'dying', ' Shame ',' GB ',' Telkomsel ',' already ',' leftover ',' GB ',' I'M'S'S, 'GB', 'GB', 'Fair', 'Play', 'Cut', 'People' , 'old', 'until', 'believes',' saving ',' quota ',' said ',' wasteful ',' please ',' justice ',' seam ',' people ',' rich ',' View ',' Plis', '']</v>
      </c>
      <c r="D295" s="3">
        <v>1.0</v>
      </c>
    </row>
    <row r="296" ht="15.75" customHeight="1">
      <c r="A296" s="1">
        <v>294.0</v>
      </c>
      <c r="B296" s="3" t="s">
        <v>297</v>
      </c>
      <c r="C296" s="3" t="str">
        <f>IFERROR(__xludf.DUMMYFUNCTION("GOOGLETRANSLATE(B296,""id"",""en"")"),"['Application', 'cheats',' network ',' best ',' worst ',' many ',' upgraded ',' upgrade ',' difficult ',' enter ',' connection ',' stable ',' Loading ',' Show ',' quota ',' internet ',' wasted ',' Sia ',' download ',' upgrade ']")</f>
        <v>['Application', 'cheats',' network ',' best ',' worst ',' many ',' upgraded ',' upgrade ',' difficult ',' enter ',' connection ',' stable ',' Loading ',' Show ',' quota ',' internet ',' wasted ',' Sia ',' download ',' upgrade ']</v>
      </c>
      <c r="D296" s="3">
        <v>1.0</v>
      </c>
    </row>
    <row r="297" ht="15.75" customHeight="1">
      <c r="A297" s="1">
        <v>295.0</v>
      </c>
      <c r="B297" s="3" t="s">
        <v>298</v>
      </c>
      <c r="C297" s="3" t="str">
        <f>IFERROR(__xludf.DUMMYFUNCTION("GOOGLETRANSLATE(B297,""id"",""en"")"),"['Telkomsel', 'how', 'the application', 'Severe', 'opened', 'signal', 'ugly', 'like', 'tlong', 'fix', 'gini', 'then', ' Males', 'Telkomsel', 'already', 'expensive', 'disappointing', '']")</f>
        <v>['Telkomsel', 'how', 'the application', 'Severe', 'opened', 'signal', 'ugly', 'like', 'tlong', 'fix', 'gini', 'then', ' Males', 'Telkomsel', 'already', 'expensive', 'disappointing', '']</v>
      </c>
      <c r="D297" s="3">
        <v>1.0</v>
      </c>
    </row>
    <row r="298" ht="15.75" customHeight="1">
      <c r="A298" s="1">
        <v>296.0</v>
      </c>
      <c r="B298" s="3" t="s">
        <v>299</v>
      </c>
      <c r="C298" s="3" t="str">
        <f>IFERROR(__xludf.DUMMYFUNCTION("GOOGLETRANSLATE(B298,""id"",""en"")"),"['difficult', 'enter', 'application', 'signal', 'full', 'kb', 'told', 'refresh', 'until', 'enter', 'judgment', 'star', ' Now ',' Turuni ',' Updated ',' Application ',' Difficult ',' Enter ',' Season ',' Bener ']")</f>
        <v>['difficult', 'enter', 'application', 'signal', 'full', 'kb', 'told', 'refresh', 'until', 'enter', 'judgment', 'star', ' Now ',' Turuni ',' Updated ',' Application ',' Difficult ',' Enter ',' Season ',' Bener ']</v>
      </c>
      <c r="D298" s="3">
        <v>1.0</v>
      </c>
    </row>
    <row r="299" ht="15.75" customHeight="1">
      <c r="A299" s="1">
        <v>297.0</v>
      </c>
      <c r="B299" s="3" t="s">
        <v>300</v>
      </c>
      <c r="C299" s="3" t="str">
        <f>IFERROR(__xludf.DUMMYFUNCTION("GOOGLETRANSLATE(B299,""id"",""en"")"),"['Woy', 'APK', 'opened', 'Udh', 'times',' cave ',' open ',' tetep ',' white ',' cave ',' mao ',' buy ',' Package ',' APK ',' quota ',' cave ',' just ',' little ',' intentionally ',' pulse ',' cave ',' sumps', 'because', 'package', 'cave' , 'Mao', 'Abis','"&amp;" Sampe ',' account ',' email ',' cave ',' cave ',' love ',' star ',' APK ',' you ',' network ',' Malem ',' Hour ',' Lemot ',' Jakarta ',' ']")</f>
        <v>['Woy', 'APK', 'opened', 'Udh', 'times',' cave ',' open ',' tetep ',' white ',' cave ',' mao ',' buy ',' Package ',' APK ',' quota ',' cave ',' just ',' little ',' intentionally ',' pulse ',' cave ',' sumps', 'because', 'package', 'cave' , 'Mao', 'Abis',' Sampe ',' account ',' email ',' cave ',' cave ',' love ',' star ',' APK ',' you ',' network ',' Malem ',' Hour ',' Lemot ',' Jakarta ',' ']</v>
      </c>
      <c r="D299" s="3">
        <v>1.0</v>
      </c>
    </row>
    <row r="300" ht="15.75" customHeight="1">
      <c r="A300" s="1">
        <v>298.0</v>
      </c>
      <c r="B300" s="3" t="s">
        <v>301</v>
      </c>
      <c r="C300" s="3" t="str">
        <f>IFERROR(__xludf.DUMMYFUNCTION("GOOGLETRANSLATE(B300,""id"",""en"")"),"['application', 'page', 'loaded', 'system', 'page', 'function', 'transact', 'just', 'check', 'quota', 'pulse']")</f>
        <v>['application', 'page', 'loaded', 'system', 'page', 'function', 'transact', 'just', 'check', 'quota', 'pulse']</v>
      </c>
      <c r="D300" s="3">
        <v>1.0</v>
      </c>
    </row>
    <row r="301" ht="15.75" customHeight="1">
      <c r="A301" s="1">
        <v>299.0</v>
      </c>
      <c r="B301" s="3" t="s">
        <v>302</v>
      </c>
      <c r="C301" s="3" t="str">
        <f>IFERROR(__xludf.DUMMYFUNCTION("GOOGLETRANSLATE(B301,""id"",""en"")"),"['', 'bad', 'how', 'Chek', 'quota', 'pulse', 'blank', 'Something', 'Wrong', 'blablablabla', 'abal']")</f>
        <v>['', 'bad', 'how', 'Chek', 'quota', 'pulse', 'blank', 'Something', 'Wrong', 'blablablabla', 'abal']</v>
      </c>
      <c r="D301" s="3">
        <v>1.0</v>
      </c>
    </row>
    <row r="302" ht="15.75" customHeight="1">
      <c r="A302" s="1">
        <v>300.0</v>
      </c>
      <c r="B302" s="3" t="s">
        <v>303</v>
      </c>
      <c r="C302" s="3" t="str">
        <f>IFERROR(__xludf.DUMMYFUNCTION("GOOGLETRANSLATE(B302,""id"",""en"")"),"['how', 'update', 'open', 'already', 'network', 'ugly', 'complaint', 'answer', 'disturbing', 'trs', ""]")</f>
        <v>['how', 'update', 'open', 'already', 'network', 'ugly', 'complaint', 'answer', 'disturbing', 'trs', "]</v>
      </c>
      <c r="D302" s="3">
        <v>1.0</v>
      </c>
    </row>
    <row r="303" ht="15.75" customHeight="1">
      <c r="A303" s="1">
        <v>301.0</v>
      </c>
      <c r="B303" s="3" t="s">
        <v>304</v>
      </c>
      <c r="C303" s="3" t="str">
        <f>IFERROR(__xludf.DUMMYFUNCTION("GOOGLETRANSLATE(B303,""id"",""en"")"),"['Hello', 'Telkomsel', 'The network', 'slow', 'Customer', 'Disappointed', 'System', 'Busy', 'Busy', 'Try', 'Rumpi', 'Service', ' public ',' satisfying ',' answer ',' response ',' most ',' recommendation ',' no ',' please ',' increase ',' performance ', """&amp;"]")</f>
        <v>['Hello', 'Telkomsel', 'The network', 'slow', 'Customer', 'Disappointed', 'System', 'Busy', 'Busy', 'Try', 'Rumpi', 'Service', ' public ',' satisfying ',' answer ',' response ',' most ',' recommendation ',' no ',' please ',' increase ',' performance ', "]</v>
      </c>
      <c r="D303" s="3">
        <v>1.0</v>
      </c>
    </row>
    <row r="304" ht="15.75" customHeight="1">
      <c r="A304" s="1">
        <v>302.0</v>
      </c>
      <c r="B304" s="3" t="s">
        <v>305</v>
      </c>
      <c r="C304" s="3" t="str">
        <f>IFERROR(__xludf.DUMMYFUNCTION("GOOGLETRANSLATE(B304,""id"",""en"")"),"['ugly', 'ugly', 'logo', 'ugly', 'loading', 'load', 'open', 'youtube', 'smooth', 'buy', 'package', 'difficult', ' strange ',' orng ',' comfortable ',' good ',' difficult ',' ']")</f>
        <v>['ugly', 'ugly', 'logo', 'ugly', 'loading', 'load', 'open', 'youtube', 'smooth', 'buy', 'package', 'difficult', ' strange ',' orng ',' comfortable ',' good ',' difficult ',' ']</v>
      </c>
      <c r="D304" s="3">
        <v>1.0</v>
      </c>
    </row>
    <row r="305" ht="15.75" customHeight="1">
      <c r="A305" s="1">
        <v>303.0</v>
      </c>
      <c r="B305" s="3" t="s">
        <v>306</v>
      </c>
      <c r="C305" s="3" t="str">
        <f>IFERROR(__xludf.DUMMYFUNCTION("GOOGLETRANSLATE(B305,""id"",""en"")"),"['What', 'Woiii', 'Gabisa', 'Open', 'Network', 'Full', 'Tetep', 'Load', 'Try', 'Udh', 'Restart', 'Tetep', ' Forgiveness', 'Dahhhhh', 'Since', 'Updet', 'Kek', 'Gini', 'continued', 'deliberate', 'love', 'star', ""]")</f>
        <v>['What', 'Woiii', 'Gabisa', 'Open', 'Network', 'Full', 'Tetep', 'Load', 'Try', 'Udh', 'Restart', 'Tetep', ' Forgiveness', 'Dahhhhh', 'Since', 'Updet', 'Kek', 'Gini', 'continued', 'deliberate', 'love', 'star', "]</v>
      </c>
      <c r="D305" s="3">
        <v>5.0</v>
      </c>
    </row>
    <row r="306" ht="15.75" customHeight="1">
      <c r="A306" s="1">
        <v>304.0</v>
      </c>
      <c r="B306" s="3" t="s">
        <v>307</v>
      </c>
      <c r="C306" s="3" t="str">
        <f>IFERROR(__xludf.DUMMYFUNCTION("GOOGLETRANSLATE(B306,""id"",""en"")"),"['signal', 'ugly', 'really', 'package', 'expensive', 'connection', 'price', 'comparable', 'disappointed', 'really', 'apps',' emang ',' Good ',' Quality ',' Signal ',' Samsek ',' Edit ',' Over ',' All ',' Rich ',' Plus', 'Update', 'Apps',' Very ',' System "&amp;"' , 'error', 'already', 'refresh', 'repeated', 'times',' tetep ',' error ',' until ',' install ',' reset ',' apps', 'start', ' cellphone ',' off ',' mode ',' fly ',' effect ',' tetep ',' error ',' jga ',' ']")</f>
        <v>['signal', 'ugly', 'really', 'package', 'expensive', 'connection', 'price', 'comparable', 'disappointed', 'really', 'apps',' emang ',' Good ',' Quality ',' Signal ',' Samsek ',' Edit ',' Over ',' All ',' Rich ',' Plus', 'Update', 'Apps',' Very ',' System ' , 'error', 'already', 'refresh', 'repeated', 'times',' tetep ',' error ',' until ',' install ',' reset ',' apps', 'start', ' cellphone ',' off ',' mode ',' fly ',' effect ',' tetep ',' error ',' jga ',' ']</v>
      </c>
      <c r="D306" s="3">
        <v>1.0</v>
      </c>
    </row>
    <row r="307" ht="15.75" customHeight="1">
      <c r="A307" s="1">
        <v>305.0</v>
      </c>
      <c r="B307" s="3" t="s">
        <v>308</v>
      </c>
      <c r="C307" s="3" t="str">
        <f>IFERROR(__xludf.DUMMYFUNCTION("GOOGLETRANSLATE(B307,""id"",""en"")"),"['knpa', 'update', 'version', 'open', 'just', 'screen', 'white', 'udh', 'delete', 'install', 'result', 'buy', ' Package ',' BNI ',' then ',' please ',' JabaNnya ', ""]")</f>
        <v>['knpa', 'update', 'version', 'open', 'just', 'screen', 'white', 'udh', 'delete', 'install', 'result', 'buy', ' Package ',' BNI ',' then ',' please ',' JabaNnya ', "]</v>
      </c>
      <c r="D307" s="3">
        <v>2.0</v>
      </c>
    </row>
    <row r="308" ht="15.75" customHeight="1">
      <c r="A308" s="1">
        <v>306.0</v>
      </c>
      <c r="B308" s="3" t="s">
        <v>309</v>
      </c>
      <c r="C308" s="3" t="str">
        <f>IFERROR(__xludf.DUMMYFUNCTION("GOOGLETRANSLATE(B308,""id"",""en"")"),"['Telkomsel', 'Belinded', 'Bad', 'Consumers', 'Disappointed', 'Want', 'Switch', 'Perdana', ""]")</f>
        <v>['Telkomsel', 'Belinded', 'Bad', 'Consumers', 'Disappointed', 'Want', 'Switch', 'Perdana', "]</v>
      </c>
      <c r="D308" s="3">
        <v>1.0</v>
      </c>
    </row>
    <row r="309" ht="15.75" customHeight="1">
      <c r="A309" s="1">
        <v>307.0</v>
      </c>
      <c r="B309" s="3" t="s">
        <v>310</v>
      </c>
      <c r="C309" s="3" t="str">
        <f>IFERROR(__xludf.DUMMYFUNCTION("GOOGLETRANSLATE(B309,""id"",""en"")"),"['Ngeluh', 'Sorry', 'Sis',' Follow ',' Telkomsel ',' company ',' BUMN ',' Search ',' Benefit ',' Outside ',' Star ',' Love ',' zero ',' star ',' regret ',' update ',' download ',' update ',' sain ',' disappointed ',' disappointing ',' updete ',' open ',' "&amp;"mending ',' change ' , 'Card', 'Disappointed', 'Makai', 'Telkomsel', 'Smart', 'Preen', 'Chest', 'Telkomsel']")</f>
        <v>['Ngeluh', 'Sorry', 'Sis',' Follow ',' Telkomsel ',' company ',' BUMN ',' Search ',' Benefit ',' Outside ',' Star ',' Love ',' zero ',' star ',' regret ',' update ',' download ',' update ',' sain ',' disappointed ',' disappointing ',' updete ',' open ',' mending ',' change ' , 'Card', 'Disappointed', 'Makai', 'Telkomsel', 'Smart', 'Preen', 'Chest', 'Telkomsel']</v>
      </c>
      <c r="D309" s="3">
        <v>1.0</v>
      </c>
    </row>
    <row r="310" ht="15.75" customHeight="1">
      <c r="A310" s="1">
        <v>308.0</v>
      </c>
      <c r="B310" s="3" t="s">
        <v>311</v>
      </c>
      <c r="C310" s="3" t="str">
        <f>IFERROR(__xludf.DUMMYFUNCTION("GOOGLETRANSLATE(B310,""id"",""en"")"),"['Since', 'Update', 'Application', 'Open', 'Delete', 'Delete', 'Many', 'Times',' Sister ',' People ',' Class', 'Telkomsel', ' Apalikasi ',' Becus', 'Lost', 'Below', 'Please', 'Fix']")</f>
        <v>['Since', 'Update', 'Application', 'Open', 'Delete', 'Delete', 'Many', 'Times',' Sister ',' People ',' Class', 'Telkomsel', ' Apalikasi ',' Becus', 'Lost', 'Below', 'Please', 'Fix']</v>
      </c>
      <c r="D310" s="3">
        <v>2.0</v>
      </c>
    </row>
    <row r="311" ht="15.75" customHeight="1">
      <c r="A311" s="1">
        <v>309.0</v>
      </c>
      <c r="B311" s="3" t="s">
        <v>312</v>
      </c>
      <c r="C311" s="3" t="str">
        <f>IFERROR(__xludf.DUMMYFUNCTION("GOOGLETRANSLATE(B311,""id"",""en"")"),"['signal', 'stable', 'price', 'expensive', 'lottery', 'no', 'win', 'already', 'exchange', 'point', 'draw', ' No ',' Credit ',' Motor ',' Ajah ', ""]")</f>
        <v>['signal', 'stable', 'price', 'expensive', 'lottery', 'no', 'win', 'already', 'exchange', 'point', 'draw', ' No ',' Credit ',' Motor ',' Ajah ', "]</v>
      </c>
      <c r="D311" s="3">
        <v>1.0</v>
      </c>
    </row>
    <row r="312" ht="15.75" customHeight="1">
      <c r="A312" s="1">
        <v>310.0</v>
      </c>
      <c r="B312" s="3" t="s">
        <v>313</v>
      </c>
      <c r="C312" s="3" t="str">
        <f>IFERROR(__xludf.DUMMYFUNCTION("GOOGLETRANSLATE(B312,""id"",""en"")"),"['Difficult', 'Claim', 'Daily', 'Check', 'Package', 'Combo', 'Sakti', 'Cuman', 'Get', 'Choice', 'Package', 'Kyk', ' Package ',' Combo ',' My husband ',' Choice ',' BYK ',' PDHL ',' sympathy ', ""]")</f>
        <v>['Difficult', 'Claim', 'Daily', 'Check', 'Package', 'Combo', 'Sakti', 'Cuman', 'Get', 'Choice', 'Package', 'Kyk', ' Package ',' Combo ',' My husband ',' Choice ',' BYK ',' PDHL ',' sympathy ', "]</v>
      </c>
      <c r="D312" s="3">
        <v>4.0</v>
      </c>
    </row>
    <row r="313" ht="15.75" customHeight="1">
      <c r="A313" s="1">
        <v>311.0</v>
      </c>
      <c r="B313" s="3" t="s">
        <v>314</v>
      </c>
      <c r="C313" s="3" t="str">
        <f>IFERROR(__xludf.DUMMYFUNCTION("GOOGLETRANSLATE(B313,""id"",""en"")"),"['Bad', 'buy', 'quota', 'loading', 'nyedot', 'quota', 'until', 'GB', 'right', 'buy', 'package', 'sometimes' entry ',' pulse ',' cut ',' please ',' intention ',' application ',' gini ',' use ',' ']")</f>
        <v>['Bad', 'buy', 'quota', 'loading', 'nyedot', 'quota', 'until', 'GB', 'right', 'buy', 'package', 'sometimes' entry ',' pulse ',' cut ',' please ',' intention ',' application ',' gini ',' use ',' ']</v>
      </c>
      <c r="D313" s="3">
        <v>1.0</v>
      </c>
    </row>
    <row r="314" ht="15.75" customHeight="1">
      <c r="A314" s="1">
        <v>312.0</v>
      </c>
      <c r="B314" s="3" t="s">
        <v>315</v>
      </c>
      <c r="C314" s="3" t="str">
        <f>IFERROR(__xludf.DUMMYFUNCTION("GOOGLETRANSLATE(B314,""id"",""en"")"),"['difficult', 'use', 'Telkomsel', 'updated', 'move', 'number', 'Telkomsel', 'check', 'quota', 'etc.', 'udh', 'opened', ' Check ',' reset ',' need ',' difficult ',' purchase ',' pulse ',' quota ',' compared ',' features ',' update ',' version ',' compared "&amp;"'version' , 'latest']")</f>
        <v>['difficult', 'use', 'Telkomsel', 'updated', 'move', 'number', 'Telkomsel', 'check', 'quota', 'etc.', 'udh', 'opened', ' Check ',' reset ',' need ',' difficult ',' purchase ',' pulse ',' quota ',' compared ',' features ',' update ',' version ',' compared 'version' , 'latest']</v>
      </c>
      <c r="D314" s="3">
        <v>1.0</v>
      </c>
    </row>
    <row r="315" ht="15.75" customHeight="1">
      <c r="A315" s="1">
        <v>313.0</v>
      </c>
      <c r="B315" s="3" t="s">
        <v>316</v>
      </c>
      <c r="C315" s="3" t="str">
        <f>IFERROR(__xludf.DUMMYFUNCTION("GOOGLETRANSLATE(B315,""id"",""en"")"),"['apk', 'open', 'yesterday', 'open', 'already', 'update', '']")</f>
        <v>['apk', 'open', 'yesterday', 'open', 'already', 'update', '']</v>
      </c>
      <c r="D315" s="3">
        <v>1.0</v>
      </c>
    </row>
    <row r="316" ht="15.75" customHeight="1">
      <c r="A316" s="1">
        <v>314.0</v>
      </c>
      <c r="B316" s="3" t="s">
        <v>317</v>
      </c>
      <c r="C316" s="3" t="str">
        <f>IFERROR(__xludf.DUMMYFUNCTION("GOOGLETRANSLATE(B316,""id"",""en"")"),"['use', 'application', 'ugly', 'network', 'slow', 'error', 'opened', 'rare', 'really', 'smooth', 'ttp', 'gini', ' updated ',' the latest ',' darling ',' really ',' according to ',' company ']")</f>
        <v>['use', 'application', 'ugly', 'network', 'slow', 'error', 'opened', 'rare', 'really', 'smooth', 'ttp', 'gini', ' updated ',' the latest ',' darling ',' really ',' according to ',' company ']</v>
      </c>
      <c r="D316" s="3">
        <v>1.0</v>
      </c>
    </row>
    <row r="317" ht="15.75" customHeight="1">
      <c r="A317" s="1">
        <v>315.0</v>
      </c>
      <c r="B317" s="3" t="s">
        <v>318</v>
      </c>
      <c r="C317" s="3" t="str">
        <f>IFERROR(__xludf.DUMMYFUNCTION("GOOGLETRANSLATE(B317,""id"",""en"")"),"['Tahah', 'Telkomsel', 'The name', 'poor', 'Please', 'Fix', 'Since', 'Update', 'Difficult', 'Open', 'Peagin']")</f>
        <v>['Tahah', 'Telkomsel', 'The name', 'poor', 'Please', 'Fix', 'Since', 'Update', 'Difficult', 'Open', 'Peagin']</v>
      </c>
      <c r="D317" s="3">
        <v>2.0</v>
      </c>
    </row>
    <row r="318" ht="15.75" customHeight="1">
      <c r="A318" s="1">
        <v>316.0</v>
      </c>
      <c r="B318" s="3" t="s">
        <v>319</v>
      </c>
      <c r="C318" s="3" t="str">
        <f>IFERROR(__xludf.DUMMYFUNCTION("GOOGLETRANSLATE(B318,""id"",""en"")"),"['Loading', 'Loading', 'Loading', 'Open', 'Kagak', 'Quota', 'Signal', 'Full', 'Realme', 'Pro', 'Wrong', ""]")</f>
        <v>['Loading', 'Loading', 'Loading', 'Open', 'Kagak', 'Quota', 'Signal', 'Full', 'Realme', 'Pro', 'Wrong', "]</v>
      </c>
      <c r="D318" s="3">
        <v>1.0</v>
      </c>
    </row>
    <row r="319" ht="15.75" customHeight="1">
      <c r="A319" s="1">
        <v>317.0</v>
      </c>
      <c r="B319" s="3" t="s">
        <v>320</v>
      </c>
      <c r="C319" s="3" t="str">
        <f>IFERROR(__xludf.DUMMYFUNCTION("GOOGLETRANSLATE(B319,""id"",""en"")"),"['Please', 'emng', 'signal', 'best', 'prove', 'troubling', 'users',' Telkomsel ',' open ',' application ',' Telkomsel ',' difficult ',' signal ',' weak ',' suggestion ',' fix ',' use ',' Telkomsel ',' reduced ',' thanks']")</f>
        <v>['Please', 'emng', 'signal', 'best', 'prove', 'troubling', 'users',' Telkomsel ',' open ',' application ',' Telkomsel ',' difficult ',' signal ',' weak ',' suggestion ',' fix ',' use ',' Telkomsel ',' reduced ',' thanks']</v>
      </c>
      <c r="D319" s="3">
        <v>3.0</v>
      </c>
    </row>
    <row r="320" ht="15.75" customHeight="1">
      <c r="A320" s="1">
        <v>318.0</v>
      </c>
      <c r="B320" s="3" t="s">
        <v>321</v>
      </c>
      <c r="C320" s="3" t="str">
        <f>IFERROR(__xludf.DUMMYFUNCTION("GOOGLETRANSLATE(B320,""id"",""en"")"),"['Lazy', 'Criticism', 'Review', 'Forced', 'Honest', 'Price', 'Application', 'Lemot', 'Network', 'Stable', 'Try', 'Prioritize', ' customers', 'income', 'application', 'please', 'convenience', 'choice', 'package', 'yng', 'mess']")</f>
        <v>['Lazy', 'Criticism', 'Review', 'Forced', 'Honest', 'Price', 'Application', 'Lemot', 'Network', 'Stable', 'Try', 'Prioritize', ' customers', 'income', 'application', 'please', 'convenience', 'choice', 'package', 'yng', 'mess']</v>
      </c>
      <c r="D320" s="3">
        <v>1.0</v>
      </c>
    </row>
    <row r="321" ht="15.75" customHeight="1">
      <c r="A321" s="1">
        <v>319.0</v>
      </c>
      <c r="B321" s="3" t="s">
        <v>322</v>
      </c>
      <c r="C321" s="3" t="str">
        <f>IFERROR(__xludf.DUMMYFUNCTION("GOOGLETRANSLATE(B321,""id"",""en"")"),"['alternating', 'update', 'mala', 'signal', 'ugly', 'user', 'Makai', 'kak', 'kakawa', 'kak', 'alternating', 'update', ' mala ',' signal ',' ugly ',' ngojek ',' difficult ',' looked ',' signal ',' climb ',' tree ',' luck ',' rain ',' fix ',' kak ' , '']")</f>
        <v>['alternating', 'update', 'mala', 'signal', 'ugly', 'user', 'Makai', 'kak', 'kakawa', 'kak', 'alternating', 'update', ' mala ',' signal ',' ugly ',' ngojek ',' difficult ',' looked ',' signal ',' climb ',' tree ',' luck ',' rain ',' fix ',' kak ' , '']</v>
      </c>
      <c r="D321" s="3">
        <v>1.0</v>
      </c>
    </row>
    <row r="322" ht="15.75" customHeight="1">
      <c r="A322" s="1">
        <v>320.0</v>
      </c>
      <c r="B322" s="3" t="s">
        <v>323</v>
      </c>
      <c r="C322" s="3" t="str">
        <f>IFERROR(__xludf.DUMMYFUNCTION("GOOGLETRANSLATE(B322,""id"",""en"")"),"['logo', 'high school', 'looks',' yng ',' quality ',' signal ',' backward ',' apk ',' ngk ',' bsa ',' opened ',' njing ',' Stars', 'minus',' mah ',' gwe ',' love ',' ']")</f>
        <v>['logo', 'high school', 'looks',' yng ',' quality ',' signal ',' backward ',' apk ',' ngk ',' bsa ',' opened ',' njing ',' Stars', 'minus',' mah ',' gwe ',' love ',' ']</v>
      </c>
      <c r="D322" s="3">
        <v>1.0</v>
      </c>
    </row>
    <row r="323" ht="15.75" customHeight="1">
      <c r="A323" s="1">
        <v>321.0</v>
      </c>
      <c r="B323" s="3" t="s">
        <v>324</v>
      </c>
      <c r="C323" s="3" t="str">
        <f>IFERROR(__xludf.DUMMYFUNCTION("GOOGLETRANSLATE(B323,""id"",""en"")"),"['', 'signal', 'application', 'Telkomsel', 'slow', 'malem', 'application', 'Telkomsel', 'opened', 'position', 'center', 'city', 'city ',' Lampung ',' strong ',' signal ',' AXIS ',' ']")</f>
        <v>['', 'signal', 'application', 'Telkomsel', 'slow', 'malem', 'application', 'Telkomsel', 'opened', 'position', 'center', 'city', 'city ',' Lampung ',' strong ',' signal ',' AXIS ',' ']</v>
      </c>
      <c r="D323" s="3">
        <v>1.0</v>
      </c>
    </row>
    <row r="324" ht="15.75" customHeight="1">
      <c r="A324" s="1">
        <v>322.0</v>
      </c>
      <c r="B324" s="3" t="s">
        <v>325</v>
      </c>
      <c r="C324" s="3" t="str">
        <f>IFERROR(__xludf.DUMMYFUNCTION("GOOGLETRANSLATE(B324,""id"",""en"")"),"['update', 'opened', 'Daily', 'check', 'collect', 'point', 'yaudahlah', 'promo', 'heart', 'keep', 'method', 'Telkomsel', ' spirit', '']")</f>
        <v>['update', 'opened', 'Daily', 'check', 'collect', 'point', 'yaudahlah', 'promo', 'heart', 'keep', 'method', 'Telkomsel', ' spirit', '']</v>
      </c>
      <c r="D324" s="3">
        <v>1.0</v>
      </c>
    </row>
    <row r="325" ht="15.75" customHeight="1">
      <c r="A325" s="1">
        <v>323.0</v>
      </c>
      <c r="B325" s="3" t="s">
        <v>326</v>
      </c>
      <c r="C325" s="3" t="str">
        <f>IFERROR(__xludf.DUMMYFUNCTION("GOOGLETRANSLATE(B325,""id"",""en"")"),"['Loading', 'Update', 'Opened', 'Loading', 'Update', 'Loading', 'That's',' That's', 'Ajalah', 'Sampe', 'Human', 'Already', ' Moving ',' Planet ',' Mars', 'Telkomsel', 'Busy', 'Benerin', 'Application', 'Bener', 'Ntar', 'Ntar', 'Review', 'Sorry', 'Sis' , 'B"&amp;"lablalaaa', 'please', 'twit', 'blah', 'ala', 'ala', ""]")</f>
        <v>['Loading', 'Update', 'Opened', 'Loading', 'Update', 'Loading', 'That's',' That's', 'Ajalah', 'Sampe', 'Human', 'Already', ' Moving ',' Planet ',' Mars', 'Telkomsel', 'Busy', 'Benerin', 'Application', 'Bener', 'Ntar', 'Ntar', 'Review', 'Sorry', 'Sis' , 'Blablalaaa', 'please', 'twit', 'blah', 'ala', 'ala', "]</v>
      </c>
      <c r="D325" s="3">
        <v>1.0</v>
      </c>
    </row>
    <row r="326" ht="15.75" customHeight="1">
      <c r="A326" s="1">
        <v>324.0</v>
      </c>
      <c r="B326" s="3" t="s">
        <v>327</v>
      </c>
      <c r="C326" s="3" t="str">
        <f>IFERROR(__xludf.DUMMYFUNCTION("GOOGLETRANSLATE(B326,""id"",""en"")"),"['The application', 'heavy', 'need', 'connection', 'stable', 'unfortunate', 'infrastructure', 'network', 'quality', 'minus',' mending ',' transaction ',' Olshop ',' ']")</f>
        <v>['The application', 'heavy', 'need', 'connection', 'stable', 'unfortunate', 'infrastructure', 'network', 'quality', 'minus',' mending ',' transaction ',' Olshop ',' ']</v>
      </c>
      <c r="D326" s="3">
        <v>2.0</v>
      </c>
    </row>
    <row r="327" ht="15.75" customHeight="1">
      <c r="A327" s="1">
        <v>325.0</v>
      </c>
      <c r="B327" s="3" t="s">
        <v>328</v>
      </c>
      <c r="C327" s="3" t="str">
        <f>IFERROR(__xludf.DUMMYFUNCTION("GOOGLETRANSLATE(B327,""id"",""en"")"),"['Forgiveness', 'Upgrade', 'Open', 'Android', 'Application', 'Opened', 'Until', 'Upset', 'Wait', 'Open']")</f>
        <v>['Forgiveness', 'Upgrade', 'Open', 'Android', 'Application', 'Opened', 'Until', 'Upset', 'Wait', 'Open']</v>
      </c>
      <c r="D327" s="3">
        <v>1.0</v>
      </c>
    </row>
    <row r="328" ht="15.75" customHeight="1">
      <c r="A328" s="1">
        <v>326.0</v>
      </c>
      <c r="B328" s="3" t="s">
        <v>329</v>
      </c>
      <c r="C328" s="3" t="str">
        <f>IFERROR(__xludf.DUMMYFUNCTION("GOOGLETRANSLATE(B328,""id"",""en"")"),"['', 'Telkomsel', 'slow', 'difficult', 'access',' application ',' slow ',' condition ',' network ',' try ',' admin ',' fix ',' application ',' compatible ',' makes it easy ',' user ',' troublesome ',' user ', ""]")</f>
        <v>['', 'Telkomsel', 'slow', 'difficult', 'access',' application ',' slow ',' condition ',' network ',' try ',' admin ',' fix ',' application ',' compatible ',' makes it easy ',' user ',' troublesome ',' user ', "]</v>
      </c>
      <c r="D328" s="3">
        <v>1.0</v>
      </c>
    </row>
    <row r="329" ht="15.75" customHeight="1">
      <c r="A329" s="1">
        <v>327.0</v>
      </c>
      <c r="B329" s="3" t="s">
        <v>330</v>
      </c>
      <c r="C329" s="3" t="str">
        <f>IFERROR(__xludf.DUMMYFUNCTION("GOOGLETRANSLATE(B329,""id"",""en"")"),"['application', 'garbage', 'no', 'network', 'slow', 'slow', 'SEINDONE', 'Telkomsel', 'expensive', 'Telkomsel', 'price', 'package', ' expensive ',' network ',' slow ',' garbage ',' ']")</f>
        <v>['application', 'garbage', 'no', 'network', 'slow', 'slow', 'SEINDONE', 'Telkomsel', 'expensive', 'Telkomsel', 'price', 'package', ' expensive ',' network ',' slow ',' garbage ',' ']</v>
      </c>
      <c r="D329" s="3">
        <v>1.0</v>
      </c>
    </row>
    <row r="330" ht="15.75" customHeight="1">
      <c r="A330" s="1">
        <v>328.0</v>
      </c>
      <c r="B330" s="3" t="s">
        <v>331</v>
      </c>
      <c r="C330" s="3" t="str">
        <f>IFERROR(__xludf.DUMMYFUNCTION("GOOGLETRANSLATE(B330,""id"",""en"")"),"['update', 'okay', 'child', 'young', 'understand', 'application', 'input', 'person', 'old', 'update', 'complicated', 'difficulty', ' understand it ',' compared ',' easy ',' understand ',' application ',' hope ']")</f>
        <v>['update', 'okay', 'child', 'young', 'understand', 'application', 'input', 'person', 'old', 'update', 'complicated', 'difficulty', ' understand it ',' compared ',' easy ',' understand ',' application ',' hope ']</v>
      </c>
      <c r="D330" s="3">
        <v>5.0</v>
      </c>
    </row>
    <row r="331" ht="15.75" customHeight="1">
      <c r="A331" s="1">
        <v>329.0</v>
      </c>
      <c r="B331" s="3" t="s">
        <v>332</v>
      </c>
      <c r="C331" s="3" t="str">
        <f>IFERROR(__xludf.DUMMYFUNCTION("GOOGLETRANSLATE(B331,""id"",""en"")"),"['network', 'founder', 'Telkomsel', 'network', 'bad', 'decent', 'star', 'cook', 'network', 'bad', 'lag', 'severe', ' come forward ',' slow ',' forgiveness', 'network', 'chaotic', 'founder', 'Telkomsel', 'destroyed', 'network', ""]")</f>
        <v>['network', 'founder', 'Telkomsel', 'network', 'bad', 'decent', 'star', 'cook', 'network', 'bad', 'lag', 'severe', ' come forward ',' slow ',' forgiveness', 'network', 'chaotic', 'founder', 'Telkomsel', 'destroyed', 'network', "]</v>
      </c>
      <c r="D331" s="3">
        <v>1.0</v>
      </c>
    </row>
    <row r="332" ht="15.75" customHeight="1">
      <c r="A332" s="1">
        <v>330.0</v>
      </c>
      <c r="B332" s="3" t="s">
        <v>333</v>
      </c>
      <c r="C332" s="3" t="str">
        <f>IFERROR(__xludf.DUMMYFUNCTION("GOOGLETRANSLATE(B332,""id"",""en"")"),"['Telkomsel', 'provider', 'sucker', 'pulse', 'subscribe', 'change', 'corruption', 'pulse', 'community', 'sucked', 'finished', 'subscribe', ' Internet ',' use ',' provider ',' forced ', ""]")</f>
        <v>['Telkomsel', 'provider', 'sucker', 'pulse', 'subscribe', 'change', 'corruption', 'pulse', 'community', 'sucked', 'finished', 'subscribe', ' Internet ',' use ',' provider ',' forced ', "]</v>
      </c>
      <c r="D332" s="3">
        <v>1.0</v>
      </c>
    </row>
    <row r="333" ht="15.75" customHeight="1">
      <c r="A333" s="1">
        <v>331.0</v>
      </c>
      <c r="B333" s="3" t="s">
        <v>334</v>
      </c>
      <c r="C333" s="3" t="str">
        <f>IFERROR(__xludf.DUMMYFUNCTION("GOOGLETRANSLATE(B333,""id"",""en"")"),"['', 'paan', 'city', 'signal', 'card', 'good', 'ngeapain', 'telkomsel', 'haa', 'emotion', 'maen', 'game', 'price ',' quota ',' expensive ',' TPI ',' signal ',' min ',' ']")</f>
        <v>['', 'paan', 'city', 'signal', 'card', 'good', 'ngeapain', 'telkomsel', 'haa', 'emotion', 'maen', 'game', 'price ',' quota ',' expensive ',' TPI ',' signal ',' min ',' ']</v>
      </c>
      <c r="D333" s="3">
        <v>1.0</v>
      </c>
    </row>
    <row r="334" ht="15.75" customHeight="1">
      <c r="A334" s="1">
        <v>332.0</v>
      </c>
      <c r="B334" s="3" t="s">
        <v>335</v>
      </c>
      <c r="C334" s="3" t="str">
        <f>IFERROR(__xludf.DUMMYFUNCTION("GOOGLETRANSLATE(B334,""id"",""en"")"),"['already', 'Annual', 'Pakek', 'Telkomsel', 'skrang', 'disappointed', 'update', 'karuan', 'price', 'expensive', 'promo', 'pressure', ' Promo ',' found ',' Network ',' Error ', ""]")</f>
        <v>['already', 'Annual', 'Pakek', 'Telkomsel', 'skrang', 'disappointed', 'update', 'karuan', 'price', 'expensive', 'promo', 'pressure', ' Promo ',' found ',' Network ',' Error ', "]</v>
      </c>
      <c r="D334" s="3">
        <v>2.0</v>
      </c>
    </row>
    <row r="335" ht="15.75" customHeight="1">
      <c r="A335" s="1">
        <v>333.0</v>
      </c>
      <c r="B335" s="3" t="s">
        <v>336</v>
      </c>
      <c r="C335" s="3" t="str">
        <f>IFERROR(__xludf.DUMMYFUNCTION("GOOGLETRANSLATE(B335,""id"",""en"")"),"['steady', 'already', 'week', 'signal', 'network', 'internet', 'experience', 'disruption', 'upset', 'comfortable', 'kayak', 'Please', ' Fix ',' signal ',' network ',' internat ',' ']")</f>
        <v>['steady', 'already', 'week', 'signal', 'network', 'internet', 'experience', 'disruption', 'upset', 'comfortable', 'kayak', 'Please', ' Fix ',' signal ',' network ',' internat ',' ']</v>
      </c>
      <c r="D335" s="3">
        <v>4.0</v>
      </c>
    </row>
    <row r="336" ht="15.75" customHeight="1">
      <c r="A336" s="1">
        <v>334.0</v>
      </c>
      <c r="B336" s="3" t="s">
        <v>337</v>
      </c>
      <c r="C336" s="3" t="str">
        <f>IFERROR(__xludf.DUMMYFUNCTION("GOOGLETRANSLATE(B336,""id"",""en"")"),"['App', 'good', 'dowload', 'ngeapain', 'see', 'already', 'good', 'already', 'said', 'good', '']")</f>
        <v>['App', 'good', 'dowload', 'ngeapain', 'see', 'already', 'good', 'already', 'said', 'good', '']</v>
      </c>
      <c r="D336" s="3">
        <v>5.0</v>
      </c>
    </row>
    <row r="337" ht="15.75" customHeight="1">
      <c r="A337" s="1">
        <v>335.0</v>
      </c>
      <c r="B337" s="3" t="s">
        <v>338</v>
      </c>
      <c r="C337" s="3" t="str">
        <f>IFERROR(__xludf.DUMMYFUNCTION("GOOGLETRANSLATE(B337,""id"",""en"")"),"['convenience', 'connection', 'mercy', 'package', 'package', 'unlimitedmax', 'FUP', 'user', 'operator', 'moved', 'Telkomsel', 'disappointed', ' Price ',' connection ',' FUP ',' Package ',' UnlimitedMax ',' Hopefully ',' Policy ',' Removal ',' FUP ',' Pack"&amp;"age ',' Unlimitedmax ',' FUP ',' Age ' , 'quota', 'free', 'chat', 'operator', '']")</f>
        <v>['convenience', 'connection', 'mercy', 'package', 'package', 'unlimitedmax', 'FUP', 'user', 'operator', 'moved', 'Telkomsel', 'disappointed', ' Price ',' connection ',' FUP ',' Package ',' UnlimitedMax ',' Hopefully ',' Policy ',' Removal ',' FUP ',' Package ',' Unlimitedmax ',' FUP ',' Age ' , 'quota', 'free', 'chat', 'operator', '']</v>
      </c>
      <c r="D337" s="3">
        <v>1.0</v>
      </c>
    </row>
    <row r="338" ht="15.75" customHeight="1">
      <c r="A338" s="1">
        <v>336.0</v>
      </c>
      <c r="B338" s="3" t="s">
        <v>339</v>
      </c>
      <c r="C338" s="3" t="str">
        <f>IFERROR(__xludf.DUMMYFUNCTION("GOOGLETRANSLATE(B338,""id"",""en"")"),"['buy', 'package', 'no', 'enter', 'enter', 'Telkomsel', 'responded', 'contents',' pulse ',' buy ',' package ',' internet ',' His writing ',' Purchase ',' Processed ',' Sia ',' Sia ',' Buy ',' Credit ',' No ',' Buy ',' Package ',' Please ',' Telkomsel ',' "&amp;"fix ' , 'use', 'Telkomsel', 'service', 'bad', '']")</f>
        <v>['buy', 'package', 'no', 'enter', 'enter', 'Telkomsel', 'responded', 'contents',' pulse ',' buy ',' package ',' internet ',' His writing ',' Purchase ',' Processed ',' Sia ',' Sia ',' Buy ',' Credit ',' No ',' Buy ',' Package ',' Please ',' Telkomsel ',' fix ' , 'use', 'Telkomsel', 'service', 'bad', '']</v>
      </c>
      <c r="D338" s="3">
        <v>1.0</v>
      </c>
    </row>
    <row r="339" ht="15.75" customHeight="1">
      <c r="A339" s="1">
        <v>337.0</v>
      </c>
      <c r="B339" s="3" t="s">
        <v>340</v>
      </c>
      <c r="C339" s="3" t="str">
        <f>IFERROR(__xludf.DUMMYFUNCTION("GOOGLETRANSLATE(B339,""id"",""en"")"),"['Disappointed', 'Very', 'Telkomsel', 'Fill', 'Credit', 'Wear', 'Network', 'WiFi', 'Credit', 'Sucked', 'Sampe', 'Transaction', ' whatever']")</f>
        <v>['Disappointed', 'Very', 'Telkomsel', 'Fill', 'Credit', 'Wear', 'Network', 'WiFi', 'Credit', 'Sucked', 'Sampe', 'Transaction', ' whatever']</v>
      </c>
      <c r="D339" s="3">
        <v>1.0</v>
      </c>
    </row>
    <row r="340" ht="15.75" customHeight="1">
      <c r="A340" s="1">
        <v>338.0</v>
      </c>
      <c r="B340" s="3" t="s">
        <v>341</v>
      </c>
      <c r="C340" s="3" t="str">
        <f>IFERROR(__xludf.DUMMYFUNCTION("GOOGLETRANSLATE(B340,""id"",""en"")"),"['update', 'version', 'latest', 'package', 'internet', 'weekly', 'daily', 'because', 'package', 'daily', 'weekly', 'because', ' at home ',' wifi ',' need ',' Inter ',' outside ',' home ',' disturbed ',' because '' package ']")</f>
        <v>['update', 'version', 'latest', 'package', 'internet', 'weekly', 'daily', 'because', 'package', 'daily', 'weekly', 'because', ' at home ',' wifi ',' need ',' Inter ',' outside ',' home ',' disturbed ',' because '' package ']</v>
      </c>
      <c r="D340" s="3">
        <v>2.0</v>
      </c>
    </row>
    <row r="341" ht="15.75" customHeight="1">
      <c r="A341" s="1">
        <v>339.0</v>
      </c>
      <c r="B341" s="3" t="s">
        <v>342</v>
      </c>
      <c r="C341" s="3" t="str">
        <f>IFERROR(__xludf.DUMMYFUNCTION("GOOGLETRANSLATE(B341,""id"",""en"")"),"['Taun', 'Yesterday', 'Not bad', 'Taun', 'Ancur', 'Severe', 'Network', 'Telkomsel', 'Forgiveness',' Chat ',' Hour ',' Red ',' Calls', 'Video', 'Call', 'Connect', 'Forgiveness',' Gini ']")</f>
        <v>['Taun', 'Yesterday', 'Not bad', 'Taun', 'Ancur', 'Severe', 'Network', 'Telkomsel', 'Forgiveness',' Chat ',' Hour ',' Red ',' Calls', 'Video', 'Call', 'Connect', 'Forgiveness',' Gini ']</v>
      </c>
      <c r="D341" s="3">
        <v>1.0</v>
      </c>
    </row>
    <row r="342" ht="15.75" customHeight="1">
      <c r="A342" s="1">
        <v>340.0</v>
      </c>
      <c r="B342" s="3" t="s">
        <v>343</v>
      </c>
      <c r="C342" s="3" t="str">
        <f>IFERROR(__xludf.DUMMYFUNCTION("GOOGLETRANSLATE(B342,""id"",""en"")"),"['Please', 'Kaa', 'got', 'signal', 'Telkomsel', 'ugly', 'expensive', 'doang', 'rich', 'gini', 'then', 'replace', ' cards', 'signal', 'sacrificed', 'rare', 'signal', 'diindonesia', 'please', 'Telkomsel', 'listen', 'complained', 'complain', 'complain', 'sig"&amp;"nal' , '']")</f>
        <v>['Please', 'Kaa', 'got', 'signal', 'Telkomsel', 'ugly', 'expensive', 'doang', 'rich', 'gini', 'then', 'replace', ' cards', 'signal', 'sacrificed', 'rare', 'signal', 'diindonesia', 'please', 'Telkomsel', 'listen', 'complained', 'complain', 'complain', 'signal' , '']</v>
      </c>
      <c r="D342" s="3">
        <v>1.0</v>
      </c>
    </row>
    <row r="343" ht="15.75" customHeight="1">
      <c r="A343" s="1">
        <v>341.0</v>
      </c>
      <c r="B343" s="3" t="s">
        <v>344</v>
      </c>
      <c r="C343" s="3" t="str">
        <f>IFERROR(__xludf.DUMMYFUNCTION("GOOGLETRANSLATE(B343,""id"",""en"")"),"['network', 'Telkomsel', 'really', 'error', 'already', 'pay', 'internet', 'expensive', 'network', 'error', 'taste', 'loss',' Pay ',' expensive ',' chat ',' application ',' computer ',' Bener ',' already ',' answer ',' help ',' employees', 'already', 'lazy"&amp;"', 'work' , 'Center', 'help', '']")</f>
        <v>['network', 'Telkomsel', 'really', 'error', 'already', 'pay', 'internet', 'expensive', 'network', 'error', 'taste', 'loss',' Pay ',' expensive ',' chat ',' application ',' computer ',' Bener ',' already ',' answer ',' help ',' employees', 'already', 'lazy', 'work' , 'Center', 'help', '']</v>
      </c>
      <c r="D343" s="3">
        <v>1.0</v>
      </c>
    </row>
    <row r="344" ht="15.75" customHeight="1">
      <c r="A344" s="1">
        <v>342.0</v>
      </c>
      <c r="B344" s="3" t="s">
        <v>345</v>
      </c>
      <c r="C344" s="3" t="str">
        <f>IFERROR(__xludf.DUMMYFUNCTION("GOOGLETRANSLATE(B344,""id"",""en"")"),"['Good', 'really', 'Telkomsel', 'Kasi', 'star', 'Ka'an', 'Download', 'Telkomsel', 'exciting', 'watch', 'ihh', 'exciting' Really ',' how ',' Sukak ',' Sorry ',' Beranyan ',' talk ',' download ',' road ',' how ',' download ',' downlod ',' how ' , 'Please', "&amp;"'Pliss', '']")</f>
        <v>['Good', 'really', 'Telkomsel', 'Kasi', 'star', 'Ka'an', 'Download', 'Telkomsel', 'exciting', 'watch', 'ihh', 'exciting' Really ',' how ',' Sukak ',' Sorry ',' Beranyan ',' talk ',' download ',' road ',' how ',' download ',' downlod ',' how ' , 'Please', 'Pliss', '']</v>
      </c>
      <c r="D344" s="3">
        <v>5.0</v>
      </c>
    </row>
    <row r="345" ht="15.75" customHeight="1">
      <c r="A345" s="1">
        <v>343.0</v>
      </c>
      <c r="B345" s="3" t="s">
        <v>346</v>
      </c>
      <c r="C345" s="3" t="str">
        <f>IFERROR(__xludf.DUMMYFUNCTION("GOOGLETRANSLATE(B345,""id"",""en"")"),"['expensive', 'expensive', 'buy', 'ehhhh', 'network', 'sometimes',' disappointed ',' that's', 'customer', 'loyal', 'buy', 'package', ' GB ']")</f>
        <v>['expensive', 'expensive', 'buy', 'ehhhh', 'network', 'sometimes',' disappointed ',' that's', 'customer', 'loyal', 'buy', 'package', ' GB ']</v>
      </c>
      <c r="D345" s="3">
        <v>1.0</v>
      </c>
    </row>
    <row r="346" ht="15.75" customHeight="1">
      <c r="A346" s="1">
        <v>344.0</v>
      </c>
      <c r="B346" s="3" t="s">
        <v>347</v>
      </c>
      <c r="C346" s="3" t="str">
        <f>IFERROR(__xludf.DUMMYFUNCTION("GOOGLETRANSLATE(B346,""id"",""en"")"),"['Dikasi', 'promo', 'contents',' pulse ',' thousand ',' right ',' contents', 'poor', 'Telkomsel', 'disappointed', 'term', 'kasi', ' Promo ',' ISI ']")</f>
        <v>['Dikasi', 'promo', 'contents',' pulse ',' thousand ',' right ',' contents', 'poor', 'Telkomsel', 'disappointed', 'term', 'kasi', ' Promo ',' ISI ']</v>
      </c>
      <c r="D346" s="3">
        <v>1.0</v>
      </c>
    </row>
    <row r="347" ht="15.75" customHeight="1">
      <c r="A347" s="1">
        <v>345.0</v>
      </c>
      <c r="B347" s="3" t="s">
        <v>348</v>
      </c>
      <c r="C347" s="3" t="str">
        <f>IFERROR(__xludf.DUMMYFUNCTION("GOOGLETRANSLATE(B347,""id"",""en"")"),"['application', 'smooth', 'service', 'combo', 'Sakti', 'expensive', 'GB', 'choice', 'lowest', 'approaching', 'service', 'wifi', ' Indihome ',' per month ',' trmksh ', ""]")</f>
        <v>['application', 'smooth', 'service', 'combo', 'Sakti', 'expensive', 'GB', 'choice', 'lowest', 'approaching', 'service', 'wifi', ' Indihome ',' per month ',' trmksh ', "]</v>
      </c>
      <c r="D347" s="3">
        <v>3.0</v>
      </c>
    </row>
    <row r="348" ht="15.75" customHeight="1">
      <c r="A348" s="1">
        <v>346.0</v>
      </c>
      <c r="B348" s="3" t="s">
        <v>349</v>
      </c>
      <c r="C348" s="3" t="str">
        <f>IFERROR(__xludf.DUMMYFUNCTION("GOOGLETRANSLATE(B348,""id"",""en"")"),"['Hello', 'Telkomsel', 'GMN', 'The network', 'Rich', 'Gini', 'Kah', 'Telkomsel', 'Severe', 'Sorry', 'Please', 'repaired', ' ']")</f>
        <v>['Hello', 'Telkomsel', 'GMN', 'The network', 'Rich', 'Gini', 'Kah', 'Telkomsel', 'Severe', 'Sorry', 'Please', 'repaired', ' ']</v>
      </c>
      <c r="D348" s="3">
        <v>1.0</v>
      </c>
    </row>
    <row r="349" ht="15.75" customHeight="1">
      <c r="A349" s="1">
        <v>347.0</v>
      </c>
      <c r="B349" s="3" t="s">
        <v>350</v>
      </c>
      <c r="C349" s="3" t="str">
        <f>IFERROR(__xludf.DUMMYFUNCTION("GOOGLETRANSLATE(B349,""id"",""en"")"),"['Hello', 'Telkomsel', 'pulse', 'drained', 'then', 'the rest', 'save', 'check', 'pulse', 'drained', 'quota', 'comfortable', ' Really ',' Telkomsel ',' purchase ',' quota ',' Telkomsel ',' slow ',' really ',' Telkomsel ']")</f>
        <v>['Hello', 'Telkomsel', 'pulse', 'drained', 'then', 'the rest', 'save', 'check', 'pulse', 'drained', 'quota', 'comfortable', ' Really ',' Telkomsel ',' purchase ',' quota ',' Telkomsel ',' slow ',' really ',' Telkomsel ']</v>
      </c>
      <c r="D349" s="3">
        <v>1.0</v>
      </c>
    </row>
    <row r="350" ht="15.75" customHeight="1">
      <c r="A350" s="1">
        <v>348.0</v>
      </c>
      <c r="B350" s="3" t="s">
        <v>351</v>
      </c>
      <c r="C350" s="3" t="str">
        <f>IFERROR(__xludf.DUMMYFUNCTION("GOOGLETRANSLATE(B350,""id"",""en"")"),"['Forgive', 'rating', 'star', 'Telkomsel', 'cool', 'jammed', 'register', 'package', 'unlimited', 'FUP', 'difficult', 'the reason', ' disorder ',' system ',' please ',' repaired ',' ']")</f>
        <v>['Forgive', 'rating', 'star', 'Telkomsel', 'cool', 'jammed', 'register', 'package', 'unlimited', 'FUP', 'difficult', 'the reason', ' disorder ',' system ',' please ',' repaired ',' ']</v>
      </c>
      <c r="D350" s="3">
        <v>1.0</v>
      </c>
    </row>
    <row r="351" ht="15.75" customHeight="1">
      <c r="A351" s="1">
        <v>349.0</v>
      </c>
      <c r="B351" s="3" t="s">
        <v>352</v>
      </c>
      <c r="C351" s="3" t="str">
        <f>IFERROR(__xludf.DUMMYFUNCTION("GOOGLETRANSLATE(B351,""id"",""en"")"),"['Bug', 'Application', 'Daily', 'Check', 'Exchange', 'Direct', 'Claim', 'Exchange', 'Quota', 'Please', 'Fix']")</f>
        <v>['Bug', 'Application', 'Daily', 'Check', 'Exchange', 'Direct', 'Claim', 'Exchange', 'Quota', 'Please', 'Fix']</v>
      </c>
      <c r="D351" s="3">
        <v>1.0</v>
      </c>
    </row>
    <row r="352" ht="15.75" customHeight="1">
      <c r="A352" s="1">
        <v>350.0</v>
      </c>
      <c r="B352" s="3" t="s">
        <v>353</v>
      </c>
      <c r="C352" s="3" t="str">
        <f>IFERROR(__xludf.DUMMYFUNCTION("GOOGLETRANSLATE(B352,""id"",""en"")"),"['knpa', 'here', 'down', 'signal', 'best', 'disappointed', 'hot', 'noon', 'hole', 'ujan', 'lag', 'work', ' Disturbs', 'UDH', 'Kek', 'remote', ""]")</f>
        <v>['knpa', 'here', 'down', 'signal', 'best', 'disappointed', 'hot', 'noon', 'hole', 'ujan', 'lag', 'work', ' Disturbs', 'UDH', 'Kek', 'remote', "]</v>
      </c>
      <c r="D352" s="3">
        <v>2.0</v>
      </c>
    </row>
    <row r="353" ht="15.75" customHeight="1">
      <c r="A353" s="1">
        <v>351.0</v>
      </c>
      <c r="B353" s="3" t="s">
        <v>354</v>
      </c>
      <c r="C353" s="3" t="str">
        <f>IFERROR(__xludf.DUMMYFUNCTION("GOOGLETRANSLATE(B353,""id"",""en"")"),"['Please', 'Telkomsel', 'Promo', 'Gedein', 'Note', 'Comfort', 'Customer', 'Signal', 'Internet', 'Severe', 'Gini', 'Nomer', ' Fill ',' Package ',' Internet ',' Rayes', 'Disappointed', 'Very']")</f>
        <v>['Please', 'Telkomsel', 'Promo', 'Gedein', 'Note', 'Comfort', 'Customer', 'Signal', 'Internet', 'Severe', 'Gini', 'Nomer', ' Fill ',' Package ',' Internet ',' Rayes', 'Disappointed', 'Very']</v>
      </c>
      <c r="D353" s="3">
        <v>1.0</v>
      </c>
    </row>
    <row r="354" ht="15.75" customHeight="1">
      <c r="A354" s="1">
        <v>352.0</v>
      </c>
      <c r="B354" s="3" t="s">
        <v>355</v>
      </c>
      <c r="C354" s="3" t="str">
        <f>IFERROR(__xludf.DUMMYFUNCTION("GOOGLETRANSLATE(B354,""id"",""en"")"),"['front', 'deteriorating', 'network', 'network', 'sympathy', 'bagusan', 'smooth', 'compared', 'slow', 'play', 'game', 'onlaine', ' Connection ',' Mulu ',' Stable ',' Comfortable ',' Kalu ',' ']")</f>
        <v>['front', 'deteriorating', 'network', 'network', 'sympathy', 'bagusan', 'smooth', 'compared', 'slow', 'play', 'game', 'onlaine', ' Connection ',' Mulu ',' Stable ',' Comfortable ',' Kalu ',' ']</v>
      </c>
      <c r="D354" s="3">
        <v>2.0</v>
      </c>
    </row>
    <row r="355" ht="15.75" customHeight="1">
      <c r="A355" s="1">
        <v>353.0</v>
      </c>
      <c r="B355" s="3" t="s">
        <v>356</v>
      </c>
      <c r="C355" s="3" t="str">
        <f>IFERROR(__xludf.DUMMYFUNCTION("GOOGLETRANSLATE(B355,""id"",""en"")"),"['Please', 'signal', 'area', 'Temon', 'ponorogo', 'plus',' path ',' alternative ',' trenggalek ',' there ',' signal ',' thank ',' love']")</f>
        <v>['Please', 'signal', 'area', 'Temon', 'ponorogo', 'plus',' path ',' alternative ',' trenggalek ',' there ',' signal ',' thank ',' love']</v>
      </c>
      <c r="D355" s="3">
        <v>5.0</v>
      </c>
    </row>
    <row r="356" ht="15.75" customHeight="1">
      <c r="A356" s="1">
        <v>354.0</v>
      </c>
      <c r="B356" s="3" t="s">
        <v>357</v>
      </c>
      <c r="C356" s="3" t="str">
        <f>IFERROR(__xludf.DUMMYFUNCTION("GOOGLETRANSLATE(B356,""id"",""en"")"),"['maxh', 'signal', 'NAA', 'use', 'Telkomsel', 'yesterday', 'good', 'slow', 'really', 'difficult', 'business',' online ',' Padaha ',' Uda ',' comfortable ',' forced ',' use ', ""]")</f>
        <v>['maxh', 'signal', 'NAA', 'use', 'Telkomsel', 'yesterday', 'good', 'slow', 'really', 'difficult', 'business',' online ',' Padaha ',' Uda ',' comfortable ',' forced ',' use ', "]</v>
      </c>
      <c r="D356" s="3">
        <v>1.0</v>
      </c>
    </row>
    <row r="357" ht="15.75" customHeight="1">
      <c r="A357" s="1">
        <v>355.0</v>
      </c>
      <c r="B357" s="3" t="s">
        <v>358</v>
      </c>
      <c r="C357" s="3" t="str">
        <f>IFERROR(__xludf.DUMMYFUNCTION("GOOGLETRANSLATE(B357,""id"",""en"")"),"['Good', 'please', 'quota', 'extra', 'unlimited', 'permanent', 'buy', 'extra', 'quota', 'unlimited', 'channeled', 'love', ' Stars', 'Telkomsel', 'like', 'combo', 'Sakti', 'Telkomsel', 'raised', 'price', 'filling', 'pulses',' no ',' raised ',' the price ' "&amp;", 'Lumps', 'Nut-']")</f>
        <v>['Good', 'please', 'quota', 'extra', 'unlimited', 'permanent', 'buy', 'extra', 'quota', 'unlimited', 'channeled', 'love', ' Stars', 'Telkomsel', 'like', 'combo', 'Sakti', 'Telkomsel', 'raised', 'price', 'filling', 'pulses',' no ',' raised ',' the price ' , 'Lumps', 'Nut-']</v>
      </c>
      <c r="D357" s="3">
        <v>3.0</v>
      </c>
    </row>
    <row r="358" ht="15.75" customHeight="1">
      <c r="A358" s="1">
        <v>356.0</v>
      </c>
      <c r="B358" s="3" t="s">
        <v>359</v>
      </c>
      <c r="C358" s="3" t="str">
        <f>IFERROR(__xludf.DUMMYFUNCTION("GOOGLETRANSLATE(B358,""id"",""en"")"),"['hours',' afternoon ',' towards', 'subih', 'signal', 'ilang', 'complement', 'response', 'buy', 'quota', 'use', 'money', ' Use ',' Leaves', '']")</f>
        <v>['hours',' afternoon ',' towards', 'subih', 'signal', 'ilang', 'complement', 'response', 'buy', 'quota', 'use', 'money', ' Use ',' Leaves', '']</v>
      </c>
      <c r="D358" s="3">
        <v>1.0</v>
      </c>
    </row>
    <row r="359" ht="15.75" customHeight="1">
      <c r="A359" s="1">
        <v>357.0</v>
      </c>
      <c r="B359" s="3" t="s">
        <v>360</v>
      </c>
      <c r="C359" s="3" t="str">
        <f>IFERROR(__xludf.DUMMYFUNCTION("GOOGLETRANSLATE(B359,""id"",""en"")"),"['Telkomsel', 'respect', 'customers',' Bngt ',' SPRTI ',' era ',' Telkomsel ',' loyal ',' trhadap ',' honest ',' Telkomsel ',' expensive ',' expensive ',' sya ',' see ',' diligent ',' bngt ',' raise ',' rates', 'hrga', 'package', 'body', 'telkomsel', 'sya"&amp;"', 'service' , 'Litu', 'ajah', 'please', 'slow', 'really', '']")</f>
        <v>['Telkomsel', 'respect', 'customers',' Bngt ',' SPRTI ',' era ',' Telkomsel ',' loyal ',' trhadap ',' honest ',' Telkomsel ',' expensive ',' expensive ',' sya ',' see ',' diligent ',' bngt ',' raise ',' rates', 'hrga', 'package', 'body', 'telkomsel', 'sya', 'service' , 'Litu', 'ajah', 'please', 'slow', 'really', '']</v>
      </c>
      <c r="D359" s="3">
        <v>1.0</v>
      </c>
    </row>
    <row r="360" ht="15.75" customHeight="1">
      <c r="A360" s="1">
        <v>358.0</v>
      </c>
      <c r="B360" s="3" t="s">
        <v>361</v>
      </c>
      <c r="C360" s="3" t="str">
        <f>IFERROR(__xludf.DUMMYFUNCTION("GOOGLETRANSLATE(B360,""id"",""en"")"),"['application', 'kayak', 'cave', 'already', 'take', 'quota', 'games',' kepake ',' ngegame ',' kayak ',' gini ',' Telkomsel ',' regret ',' Dahh ',' cave ',' download ',' application ',' really ',' better ',' cave ',' uninstall ',' ']")</f>
        <v>['application', 'kayak', 'cave', 'already', 'take', 'quota', 'games',' kepake ',' ngegame ',' kayak ',' gini ',' Telkomsel ',' regret ',' Dahh ',' cave ',' download ',' application ',' really ',' better ',' cave ',' uninstall ',' ']</v>
      </c>
      <c r="D360" s="3">
        <v>1.0</v>
      </c>
    </row>
    <row r="361" ht="15.75" customHeight="1">
      <c r="A361" s="1">
        <v>359.0</v>
      </c>
      <c r="B361" s="3" t="s">
        <v>362</v>
      </c>
      <c r="C361" s="3" t="str">
        <f>IFERROR(__xludf.DUMMYFUNCTION("GOOGLETRANSLATE(B361,""id"",""en"")"),"['Login', 'MyTelkomsel', 'Tetep', 'Description', 'Link', 'Expired', '']")</f>
        <v>['Login', 'MyTelkomsel', 'Tetep', 'Description', 'Link', 'Expired', '']</v>
      </c>
      <c r="D361" s="3">
        <v>1.0</v>
      </c>
    </row>
    <row r="362" ht="15.75" customHeight="1">
      <c r="A362" s="1">
        <v>360.0</v>
      </c>
      <c r="B362" s="3" t="s">
        <v>363</v>
      </c>
      <c r="C362" s="3" t="str">
        <f>IFERROR(__xludf.DUMMYFUNCTION("GOOGLETRANSLATE(B362,""id"",""en"")"),"['enter', 'voucher', 'Telkomsel', 'minn', 'card', 'friend', 'right', 'sya', 'try', 'network', 'busy', 'begged', ' Try ',' Please ',' Help ']")</f>
        <v>['enter', 'voucher', 'Telkomsel', 'minn', 'card', 'friend', 'right', 'sya', 'try', 'network', 'busy', 'begged', ' Try ',' Please ',' Help ']</v>
      </c>
      <c r="D362" s="3">
        <v>5.0</v>
      </c>
    </row>
    <row r="363" ht="15.75" customHeight="1">
      <c r="A363" s="1">
        <v>361.0</v>
      </c>
      <c r="B363" s="3" t="s">
        <v>364</v>
      </c>
      <c r="C363" s="3" t="str">
        <f>IFERROR(__xludf.DUMMYFUNCTION("GOOGLETRANSLATE(B363,""id"",""en"")"),"['package', 'package', 'unlimited', 'buy', 'please', 'repeat', 'really', 'annoying']")</f>
        <v>['package', 'package', 'unlimited', 'buy', 'please', 'repeat', 'really', 'annoying']</v>
      </c>
      <c r="D363" s="3">
        <v>1.0</v>
      </c>
    </row>
    <row r="364" ht="15.75" customHeight="1">
      <c r="A364" s="1">
        <v>362.0</v>
      </c>
      <c r="B364" s="3" t="s">
        <v>365</v>
      </c>
      <c r="C364" s="3" t="str">
        <f>IFERROR(__xludf.DUMMYFUNCTION("GOOGLETRANSLATE(B364,""id"",""en"")"),"['logo', 'ugly', 'reverse', 'logo', 'purchase', 'package', 'promo', 'pay', 'ttp', 'msh', 'blm', 'entry', ' Credit ',' Cut ',' buy ',' repeat ',' reset ',' strange ']")</f>
        <v>['logo', 'ugly', 'reverse', 'logo', 'purchase', 'package', 'promo', 'pay', 'ttp', 'msh', 'blm', 'entry', ' Credit ',' Cut ',' buy ',' repeat ',' reset ',' strange ']</v>
      </c>
      <c r="D364" s="3">
        <v>4.0</v>
      </c>
    </row>
    <row r="365" ht="15.75" customHeight="1">
      <c r="A365" s="1">
        <v>363.0</v>
      </c>
      <c r="B365" s="3" t="s">
        <v>366</v>
      </c>
      <c r="C365" s="3" t="str">
        <f>IFERROR(__xludf.DUMMYFUNCTION("GOOGLETRANSLATE(B365,""id"",""en"")"),"['Satisfied', 'cmn', 'kmrn', 'night', 'buy', 'package', 'unlimited', 'telkomsel', 'notification', 'quota', 'active', 'pay', ' Via ',' Shoppe ',' Pay ']")</f>
        <v>['Satisfied', 'cmn', 'kmrn', 'night', 'buy', 'package', 'unlimited', 'telkomsel', 'notification', 'quota', 'active', 'pay', ' Via ',' Shoppe ',' Pay ']</v>
      </c>
      <c r="D365" s="3">
        <v>5.0</v>
      </c>
    </row>
    <row r="366" ht="15.75" customHeight="1">
      <c r="A366" s="1">
        <v>364.0</v>
      </c>
      <c r="B366" s="3" t="s">
        <v>367</v>
      </c>
      <c r="C366" s="3" t="str">
        <f>IFERROR(__xludf.DUMMYFUNCTION("GOOGLETRANSLATE(B366,""id"",""en"")"),"['signal', 'bad', 'as good', 'ayok', 'moved', 'sorry', 'sorry', 'fix', 'quality', 'network', 'bad', ""]")</f>
        <v>['signal', 'bad', 'as good', 'ayok', 'moved', 'sorry', 'sorry', 'fix', 'quality', 'network', 'bad', "]</v>
      </c>
      <c r="D366" s="3">
        <v>1.0</v>
      </c>
    </row>
    <row r="367" ht="15.75" customHeight="1">
      <c r="A367" s="1">
        <v>365.0</v>
      </c>
      <c r="B367" s="3" t="s">
        <v>368</v>
      </c>
      <c r="C367" s="3" t="str">
        <f>IFERROR(__xludf.DUMMYFUNCTION("GOOGLETRANSLATE(B367,""id"",""en"")"),"['Samsung', 'Plus',' Internal ',' Lega ',' Times', 'Open', 'Application', 'Telkomsel', 'Forest', 'Heat', 'Direct', 'Posts',' system ',' responding ',' open ',' application ',' heavy ',' smooth ',' please ',' fix ',' ngegulating ',' really ']")</f>
        <v>['Samsung', 'Plus',' Internal ',' Lega ',' Times', 'Open', 'Application', 'Telkomsel', 'Forest', 'Heat', 'Direct', 'Posts',' system ',' responding ',' open ',' application ',' heavy ',' smooth ',' please ',' fix ',' ngegulating ',' really ']</v>
      </c>
      <c r="D367" s="3">
        <v>1.0</v>
      </c>
    </row>
    <row r="368" ht="15.75" customHeight="1">
      <c r="A368" s="1">
        <v>366.0</v>
      </c>
      <c r="B368" s="3" t="s">
        <v>369</v>
      </c>
      <c r="C368" s="3" t="str">
        <f>IFERROR(__xludf.DUMMYFUNCTION("GOOGLETRANSLATE(B368,""id"",""en"")"),"['Since', 'update', 'error', 'mulu', 'buy', 'quota', 'then', 'server', 'error', 'cmn', 'a day', ' error ',' ehh ',' udh ',' for days', 'error', 'bsa', 'gmna', 'knpa', 'telkomsel', 'maybe', 'bgus',' mah ',' maybe ' , 'bad', '']")</f>
        <v>['Since', 'update', 'error', 'mulu', 'buy', 'quota', 'then', 'server', 'error', 'cmn', 'a day', ' error ',' ehh ',' udh ',' for days', 'error', 'bsa', 'gmna', 'knpa', 'telkomsel', 'maybe', 'bgus',' mah ',' maybe ' , 'bad', '']</v>
      </c>
      <c r="D368" s="3">
        <v>1.0</v>
      </c>
    </row>
    <row r="369" ht="15.75" customHeight="1">
      <c r="A369" s="1">
        <v>367.0</v>
      </c>
      <c r="B369" s="3" t="s">
        <v>370</v>
      </c>
      <c r="C369" s="3" t="str">
        <f>IFERROR(__xludf.DUMMYFUNCTION("GOOGLETRANSLATE(B369,""id"",""en"")"),"['internet', 'package', 'already', 'calculated', 'just', 'shopping', 'circlek', 'turn on', 'internet', 'pay', 'nyampe', 'a minute', ' Direct ',' Get ',' SMS ',' Wear ',' Credit ',' Access', 'Internet', 'Non', 'Package', 'Allah', 'Astaghfirullah', 'Allahhu"&amp;"', 'Akbar' , 'Lailalahailallah', '']")</f>
        <v>['internet', 'package', 'already', 'calculated', 'just', 'shopping', 'circlek', 'turn on', 'internet', 'pay', 'nyampe', 'a minute', ' Direct ',' Get ',' SMS ',' Wear ',' Credit ',' Access', 'Internet', 'Non', 'Package', 'Allah', 'Astaghfirullah', 'Allahhu', 'Akbar' , 'Lailalahailallah', '']</v>
      </c>
      <c r="D369" s="3">
        <v>1.0</v>
      </c>
    </row>
    <row r="370" ht="15.75" customHeight="1">
      <c r="A370" s="1">
        <v>368.0</v>
      </c>
      <c r="B370" s="3" t="s">
        <v>371</v>
      </c>
      <c r="C370" s="3" t="str">
        <f>IFERROR(__xludf.DUMMYFUNCTION("GOOGLETRANSLATE(B370,""id"",""en"")"),"['Rating', 'The application', 'People', 'Economy', 'down', 'buy', 'quota', 'missing', 'useful', 'kepepet', 'money', 'buy', ' quota ',' quota ',' price ',' classified ',' expensive ',' maintained ',' quota ',' buy ',' keep ',' network ',' tsel ',' disorder"&amp;" ',' please ' , 'Tsel', 'solution', 'thank you']")</f>
        <v>['Rating', 'The application', 'People', 'Economy', 'down', 'buy', 'quota', 'missing', 'useful', 'kepepet', 'money', 'buy', ' quota ',' quota ',' price ',' classified ',' expensive ',' maintained ',' quota ',' buy ',' keep ',' network ',' tsel ',' disorder ',' please ' , 'Tsel', 'solution', 'thank you']</v>
      </c>
      <c r="D370" s="3">
        <v>3.0</v>
      </c>
    </row>
    <row r="371" ht="15.75" customHeight="1">
      <c r="A371" s="1">
        <v>369.0</v>
      </c>
      <c r="B371" s="3" t="s">
        <v>372</v>
      </c>
      <c r="C371" s="3" t="str">
        <f>IFERROR(__xludf.DUMMYFUNCTION("GOOGLETRANSLATE(B371,""id"",""en"")"),"['Telkomsel', 'Severe', 'Price', 'Package', 'Combo', 'Credit', 'Reduced', 'Remnant', 'Credit', 'thousand', 'skrg', 'stay', ' Thousands', 'Severe', '']")</f>
        <v>['Telkomsel', 'Severe', 'Price', 'Package', 'Combo', 'Credit', 'Reduced', 'Remnant', 'Credit', 'thousand', 'skrg', 'stay', ' Thousands', 'Severe', '']</v>
      </c>
      <c r="D371" s="3">
        <v>1.0</v>
      </c>
    </row>
    <row r="372" ht="15.75" customHeight="1">
      <c r="A372" s="1">
        <v>370.0</v>
      </c>
      <c r="B372" s="3" t="s">
        <v>373</v>
      </c>
      <c r="C372" s="3" t="str">
        <f>IFERROR(__xludf.DUMMYFUNCTION("GOOGLETRANSLATE(B372,""id"",""en"")"),"['confused', 'deh', 'see', 'apk', 'buy', 'package', 'internet', 'response', 'sms', 'promo', 'safety', ""]")</f>
        <v>['confused', 'deh', 'see', 'apk', 'buy', 'package', 'internet', 'response', 'sms', 'promo', 'safety', "]</v>
      </c>
      <c r="D372" s="3">
        <v>2.0</v>
      </c>
    </row>
    <row r="373" ht="15.75" customHeight="1">
      <c r="A373" s="1">
        <v>371.0</v>
      </c>
      <c r="B373" s="3" t="s">
        <v>374</v>
      </c>
      <c r="C373" s="3" t="str">
        <f>IFERROR(__xludf.DUMMYFUNCTION("GOOGLETRANSLATE(B373,""id"",""en"")"),"['Telkomsel', 'offer', 'package', 'emergency', 'run out', 'pulse', 'pay', 'at the same time', 'contents',' pulse ',' automatic ',' cut ',' Requirements', 'obey', 'rules',' charging ',' pulse ',' paying ',' package ',' emergency ',' disappointed ',' servic"&amp;"e ',' emergency ',' offer ',' kit ' , 'Need', 'response', 'reason', 'sorry', 'system', 'busy', 'chat', 'Telkomsel', 'according to', 'offered', 'charging', 'pulses',' A week ',' thousand ',' ']")</f>
        <v>['Telkomsel', 'offer', 'package', 'emergency', 'run out', 'pulse', 'pay', 'at the same time', 'contents',' pulse ',' automatic ',' cut ',' Requirements', 'obey', 'rules',' charging ',' pulse ',' paying ',' package ',' emergency ',' disappointed ',' service ',' emergency ',' offer ',' kit ' , 'Need', 'response', 'reason', 'sorry', 'system', 'busy', 'chat', 'Telkomsel', 'according to', 'offered', 'charging', 'pulses',' A week ',' thousand ',' ']</v>
      </c>
      <c r="D373" s="3">
        <v>2.0</v>
      </c>
    </row>
    <row r="374" ht="15.75" customHeight="1">
      <c r="A374" s="1">
        <v>372.0</v>
      </c>
      <c r="B374" s="3" t="s">
        <v>375</v>
      </c>
      <c r="C374" s="3" t="str">
        <f>IFERROR(__xludf.DUMMYFUNCTION("GOOGLETRANSLATE(B374,""id"",""en"")"),"['Network', 'ugly', 'package', 'data', 'expensive', 'TPI', 'quality', 'deteriorating', 'buy', 'kouta', 'TPI', 'feels',' Gkad ',' opened ',' please ',' repaired ',' thank you ']")</f>
        <v>['Network', 'ugly', 'package', 'data', 'expensive', 'TPI', 'quality', 'deteriorating', 'buy', 'kouta', 'TPI', 'feels',' Gkad ',' opened ',' please ',' repaired ',' thank you ']</v>
      </c>
      <c r="D374" s="3">
        <v>1.0</v>
      </c>
    </row>
    <row r="375" ht="15.75" customHeight="1">
      <c r="A375" s="1">
        <v>373.0</v>
      </c>
      <c r="B375" s="3" t="s">
        <v>376</v>
      </c>
      <c r="C375" s="3" t="str">
        <f>IFERROR(__xludf.DUMMYFUNCTION("GOOGLETRANSLATE(B375,""id"",""en"")"),"['Network', 'oath', 'ugly', 'bangeddd', 'package', 'expensive', 'oath', 'consumer', 'really', 'lose', 'udh', 'Mari', ' application ',' reply ',' hi ',' sorry ',' discomfort ',' please ',' contact ',' nye ',' nye ',' nye ',' ']")</f>
        <v>['Network', 'oath', 'ugly', 'bangeddd', 'package', 'expensive', 'oath', 'consumer', 'really', 'lose', 'udh', 'Mari', ' application ',' reply ',' hi ',' sorry ',' discomfort ',' please ',' contact ',' nye ',' nye ',' nye ',' ']</v>
      </c>
      <c r="D375" s="3">
        <v>1.0</v>
      </c>
    </row>
    <row r="376" ht="15.75" customHeight="1">
      <c r="A376" s="1">
        <v>374.0</v>
      </c>
      <c r="B376" s="3" t="s">
        <v>377</v>
      </c>
      <c r="C376" s="3" t="str">
        <f>IFERROR(__xludf.DUMMYFUNCTION("GOOGLETRANSLATE(B376,""id"",""en"")"),"['', 'notification', 'message', 'notif', 'increase', 'message', 'enter', 'message', 'read', 'marked', 'read', 'notification', 'lost ', 'reduce']")</f>
        <v>['', 'notification', 'message', 'notif', 'increase', 'message', 'enter', 'message', 'read', 'marked', 'read', 'notification', 'lost ', 'reduce']</v>
      </c>
      <c r="D376" s="3">
        <v>5.0</v>
      </c>
    </row>
    <row r="377" ht="15.75" customHeight="1">
      <c r="A377" s="1">
        <v>375.0</v>
      </c>
      <c r="B377" s="3" t="s">
        <v>378</v>
      </c>
      <c r="C377" s="3" t="str">
        <f>IFERROR(__xludf.DUMMYFUNCTION("GOOGLETRANSLATE(B377,""id"",""en"")"),"['', 'Telkomsel', 'closed', 'continuous',' already ',' expensive ',' network ',' reliable ',' regret ',' buy ',' card ',' Telkomsel ',' moved ']")</f>
        <v>['', 'Telkomsel', 'closed', 'continuous',' already ',' expensive ',' network ',' reliable ',' regret ',' buy ',' card ',' Telkomsel ',' moved ']</v>
      </c>
      <c r="D377" s="3">
        <v>1.0</v>
      </c>
    </row>
    <row r="378" ht="15.75" customHeight="1">
      <c r="A378" s="1">
        <v>376.0</v>
      </c>
      <c r="B378" s="3" t="s">
        <v>379</v>
      </c>
      <c r="C378" s="3" t="str">
        <f>IFERROR(__xludf.DUMMYFUNCTION("GOOGLETRANSLATE(B378,""id"",""en"")"),"['love', 'star', 'network', 'ugly', 'signal', 'can be', 'home', 'search', 'signal', 'data', 'home', 'please', ' repair']")</f>
        <v>['love', 'star', 'network', 'ugly', 'signal', 'can be', 'home', 'search', 'signal', 'data', 'home', 'please', ' repair']</v>
      </c>
      <c r="D378" s="3">
        <v>2.0</v>
      </c>
    </row>
    <row r="379" ht="15.75" customHeight="1">
      <c r="A379" s="1">
        <v>377.0</v>
      </c>
      <c r="B379" s="3" t="s">
        <v>380</v>
      </c>
      <c r="C379" s="3" t="str">
        <f>IFERROR(__xludf.DUMMYFUNCTION("GOOGLETRANSLATE(B379,""id"",""en"")"),"['strange', 'send', 'gift', 'enter', 'enter', 'package', 'times', 'sent', 'enter', 'enter', ""]")</f>
        <v>['strange', 'send', 'gift', 'enter', 'enter', 'package', 'times', 'sent', 'enter', 'enter', "]</v>
      </c>
      <c r="D379" s="3">
        <v>1.0</v>
      </c>
    </row>
    <row r="380" ht="15.75" customHeight="1">
      <c r="A380" s="1">
        <v>378.0</v>
      </c>
      <c r="B380" s="3" t="s">
        <v>381</v>
      </c>
      <c r="C380" s="3" t="str">
        <f>IFERROR(__xludf.DUMMYFUNCTION("GOOGLETRANSLATE(B380,""id"",""en"")"),"['expensive', 'package', 'combo', 'magic', 'expensive', 'expensive', 'kayak', 'buy', 'land', 'nya', 'combo', 'sakti', ' make it easy ',' mala ',' persuhit ',' expensive ',' wild ',' price ',' package ',' Telkomsel ',' expensive ', ""]")</f>
        <v>['expensive', 'package', 'combo', 'magic', 'expensive', 'expensive', 'kayak', 'buy', 'land', 'nya', 'combo', 'sakti', ' make it easy ',' mala ',' persuhit ',' expensive ',' wild ',' price ',' package ',' Telkomsel ',' expensive ', "]</v>
      </c>
      <c r="D380" s="3">
        <v>1.0</v>
      </c>
    </row>
    <row r="381" ht="15.75" customHeight="1">
      <c r="A381" s="1">
        <v>379.0</v>
      </c>
      <c r="B381" s="3" t="s">
        <v>382</v>
      </c>
      <c r="C381" s="3" t="str">
        <f>IFERROR(__xludf.DUMMYFUNCTION("GOOGLETRANSLATE(B381,""id"",""en"")"),"['Good', 'The application', 'Open', 'Telkomsel', 'loading', 'The application', 'Please', 'Help', '']")</f>
        <v>['Good', 'The application', 'Open', 'Telkomsel', 'loading', 'The application', 'Please', 'Help', '']</v>
      </c>
      <c r="D381" s="3">
        <v>5.0</v>
      </c>
    </row>
    <row r="382" ht="15.75" customHeight="1">
      <c r="A382" s="1">
        <v>380.0</v>
      </c>
      <c r="B382" s="3" t="s">
        <v>383</v>
      </c>
      <c r="C382" s="3" t="str">
        <f>IFERROR(__xludf.DUMMYFUNCTION("GOOGLETRANSLATE(B382,""id"",""en"")"),"['Severe', 'Telkomsel', 'Network', 'Customer', 'Telkomsel', 'Disappointed', 'Provider', 'Belongs',' Government ',' Must ',' Best ',' Please ',' Fix ',' Service ',' Network ',' You ',' Senior ',' Power ',' Fix ',' Service ',' Best ', ""]")</f>
        <v>['Severe', 'Telkomsel', 'Network', 'Customer', 'Telkomsel', 'Disappointed', 'Provider', 'Belongs',' Government ',' Must ',' Best ',' Please ',' Fix ',' Service ',' Network ',' You ',' Senior ',' Power ',' Fix ',' Service ',' Best ', "]</v>
      </c>
      <c r="D382" s="3">
        <v>1.0</v>
      </c>
    </row>
    <row r="383" ht="15.75" customHeight="1">
      <c r="A383" s="1">
        <v>381.0</v>
      </c>
      <c r="B383" s="3" t="s">
        <v>384</v>
      </c>
      <c r="C383" s="3" t="str">
        <f>IFERROR(__xludf.DUMMYFUNCTION("GOOGLETRANSLATE(B383,""id"",""en"")"),"['strange', 'update', 'package', 'combo', 'Sakti', 'missing', 'no', 'leftover', 'GB', 'Where', ""]")</f>
        <v>['strange', 'update', 'package', 'combo', 'Sakti', 'missing', 'no', 'leftover', 'GB', 'Where', "]</v>
      </c>
      <c r="D383" s="3">
        <v>3.0</v>
      </c>
    </row>
    <row r="384" ht="15.75" customHeight="1">
      <c r="A384" s="1">
        <v>382.0</v>
      </c>
      <c r="B384" s="3" t="s">
        <v>385</v>
      </c>
      <c r="C384" s="3" t="str">
        <f>IFERROR(__xludf.DUMMYFUNCTION("GOOGLETRANSLATE(B384,""id"",""en"")"),"['Price', 'Paketan', 'expensive', 'Mending', 'Network', 'Good', 'DKI', 'Network', 'ugly', 'Switch', 'Operator', 'Next to' Telkomsel ',' bankrupt ',' rich ',' gini ']")</f>
        <v>['Price', 'Paketan', 'expensive', 'Mending', 'Network', 'Good', 'DKI', 'Network', 'ugly', 'Switch', 'Operator', 'Next to' Telkomsel ',' bankrupt ',' rich ',' gini ']</v>
      </c>
      <c r="D384" s="3">
        <v>1.0</v>
      </c>
    </row>
    <row r="385" ht="15.75" customHeight="1">
      <c r="A385" s="1">
        <v>383.0</v>
      </c>
      <c r="B385" s="3" t="s">
        <v>386</v>
      </c>
      <c r="C385" s="3" t="str">
        <f>IFERROR(__xludf.DUMMYFUNCTION("GOOGLETRANSLATE(B385,""id"",""en"")"),"['Please', 'sell', 'package', 'according to', 'Dongg', 'price', 'package', 'mslnya', 'then', 'continued', 'purchase', 'price', ' Fraud ',' Greetings', 'Kupang', 'NTT', '']")</f>
        <v>['Please', 'sell', 'package', 'according to', 'Dongg', 'price', 'package', 'mslnya', 'then', 'continued', 'purchase', 'price', ' Fraud ',' Greetings', 'Kupang', 'NTT', '']</v>
      </c>
      <c r="D385" s="3">
        <v>1.0</v>
      </c>
    </row>
    <row r="386" ht="15.75" customHeight="1">
      <c r="A386" s="1">
        <v>384.0</v>
      </c>
      <c r="B386" s="3" t="s">
        <v>387</v>
      </c>
      <c r="C386" s="3" t="str">
        <f>IFERROR(__xludf.DUMMYFUNCTION("GOOGLETRANSLATE(B386,""id"",""en"")"),"['Package', 'Datta', 'expensive', 'Quality', 'Network', 'Bad', 'Card', 'Telkomsel', 'chaotic', 'Paketan', 'expensive', 'Quality', ' network ',' bad ',' Come ',' stay ',' stupid ']")</f>
        <v>['Package', 'Datta', 'expensive', 'Quality', 'Network', 'Bad', 'Card', 'Telkomsel', 'chaotic', 'Paketan', 'expensive', 'Quality', ' network ',' bad ',' Come ',' stay ',' stupid ']</v>
      </c>
      <c r="D386" s="3">
        <v>1.0</v>
      </c>
    </row>
    <row r="387" ht="15.75" customHeight="1">
      <c r="A387" s="1">
        <v>385.0</v>
      </c>
      <c r="B387" s="3" t="s">
        <v>388</v>
      </c>
      <c r="C387" s="3" t="str">
        <f>IFERROR(__xludf.DUMMYFUNCTION("GOOGLETRANSLATE(B387,""id"",""en"")"),"['Telkomsel', 'SATA', 'user', 'card', 'Telkomsel', 'disappointed', 'network', 'said', 'unlimitite', 'speed', 'network', 'bad', ' Comfortable ',' Telkomsel ',' Please ',' Fix ',' Jarjianya ',' ']")</f>
        <v>['Telkomsel', 'SATA', 'user', 'card', 'Telkomsel', 'disappointed', 'network', 'said', 'unlimitite', 'speed', 'network', 'bad', ' Comfortable ',' Telkomsel ',' Please ',' Fix ',' Jarjianya ',' ']</v>
      </c>
      <c r="D387" s="3">
        <v>1.0</v>
      </c>
    </row>
    <row r="388" ht="15.75" customHeight="1">
      <c r="A388" s="1">
        <v>386.0</v>
      </c>
      <c r="B388" s="3" t="s">
        <v>389</v>
      </c>
      <c r="C388" s="3" t="str">
        <f>IFERROR(__xludf.DUMMYFUNCTION("GOOGLETRANSLATE(B388,""id"",""en"")"),"['MyTelkomsel', 'Dear', 'please', 'Donk', 'company', 'biggest', 'Indonesia', 'promo', 'internet', 'enter', 'sense', 'price', ' Paketan ',' expensive ',' can ',' my computer ',' pandemic ',' customer ',' Indonesia ',' cheap ',' kouta ', ""]")</f>
        <v>['MyTelkomsel', 'Dear', 'please', 'Donk', 'company', 'biggest', 'Indonesia', 'promo', 'internet', 'enter', 'sense', 'price', ' Paketan ',' expensive ',' can ',' my computer ',' pandemic ',' customer ',' Indonesia ',' cheap ',' kouta ', "]</v>
      </c>
      <c r="D388" s="3">
        <v>1.0</v>
      </c>
    </row>
    <row r="389" ht="15.75" customHeight="1">
      <c r="A389" s="1">
        <v>387.0</v>
      </c>
      <c r="B389" s="3" t="s">
        <v>390</v>
      </c>
      <c r="C389" s="3" t="str">
        <f>IFERROR(__xludf.DUMMYFUNCTION("GOOGLETRANSLATE(B389,""id"",""en"")"),"['bad', 'tired', 'login', 'no', 'link', 'no', 'click', 'reset', 'reset', 'result', 'no', 'list', ' ']")</f>
        <v>['bad', 'tired', 'login', 'no', 'link', 'no', 'click', 'reset', 'reset', 'result', 'no', 'list', ' ']</v>
      </c>
      <c r="D389" s="3">
        <v>1.0</v>
      </c>
    </row>
    <row r="390" ht="15.75" customHeight="1">
      <c r="A390" s="1">
        <v>388.0</v>
      </c>
      <c r="B390" s="3" t="s">
        <v>391</v>
      </c>
      <c r="C390" s="3" t="str">
        <f>IFERROR(__xludf.DUMMYFUNCTION("GOOGLETRANSLATE(B390,""id"",""en"")"),"['purchase', 'product', 'application', 'cheap', 'experience', 'failure', 'Telkomsel', 'responsible', 'complete', 'process']")</f>
        <v>['purchase', 'product', 'application', 'cheap', 'experience', 'failure', 'Telkomsel', 'responsible', 'complete', 'process']</v>
      </c>
      <c r="D390" s="3">
        <v>5.0</v>
      </c>
    </row>
    <row r="391" ht="15.75" customHeight="1">
      <c r="A391" s="1">
        <v>389.0</v>
      </c>
      <c r="B391" s="3" t="s">
        <v>392</v>
      </c>
      <c r="C391" s="3" t="str">
        <f>IFERROR(__xludf.DUMMYFUNCTION("GOOGLETRANSLATE(B391,""id"",""en"")"),"['Please', 'Restore', 'FUP', 'Unlimited', 'mwnjadi', 'price', 'unlimited', 'service', 'mala', 'subtract', 'satisfied', ""]")</f>
        <v>['Please', 'Restore', 'FUP', 'Unlimited', 'mwnjadi', 'price', 'unlimited', 'service', 'mala', 'subtract', 'satisfied', "]</v>
      </c>
      <c r="D391" s="3">
        <v>1.0</v>
      </c>
    </row>
    <row r="392" ht="15.75" customHeight="1">
      <c r="A392" s="1">
        <v>390.0</v>
      </c>
      <c r="B392" s="3" t="s">
        <v>393</v>
      </c>
      <c r="C392" s="3" t="str">
        <f>IFERROR(__xludf.DUMMYFUNCTION("GOOGLETRANSLATE(B392,""id"",""en"")"),"['Please', 'repair', 'Nukar', 'Points',' balance ',' FAILURE ',' Swap ',' Points', 'GPP', 'Original', 'GPP', 'But think', ' Lahhhh ', ""]")</f>
        <v>['Please', 'repair', 'Nukar', 'Points',' balance ',' FAILURE ',' Swap ',' Points', 'GPP', 'Original', 'GPP', 'But think', ' Lahhhh ', "]</v>
      </c>
      <c r="D392" s="3">
        <v>5.0</v>
      </c>
    </row>
    <row r="393" ht="15.75" customHeight="1">
      <c r="A393" s="1">
        <v>391.0</v>
      </c>
      <c r="B393" s="3" t="s">
        <v>394</v>
      </c>
      <c r="C393" s="3" t="str">
        <f>IFERROR(__xludf.DUMMYFUNCTION("GOOGLETRANSLATE(B393,""id"",""en"")"),"['min', 'kouta', 'gamesmax', 'unlimited', 'slow', 'severe', 'apk', 'normal', 'please', 'love', 'convenience', ' Lights', 'access',' internet ',' here ',' ugly ',' service ',' disappointed ',' bngt ',' UDH ',' Telkomsel ',' speed ',' network ']")</f>
        <v>['min', 'kouta', 'gamesmax', 'unlimited', 'slow', 'severe', 'apk', 'normal', 'please', 'love', 'convenience', ' Lights', 'access',' internet ',' here ',' ugly ',' service ',' disappointed ',' bngt ',' UDH ',' Telkomsel ',' speed ',' network ']</v>
      </c>
      <c r="D393" s="3">
        <v>1.0</v>
      </c>
    </row>
    <row r="394" ht="15.75" customHeight="1">
      <c r="A394" s="1">
        <v>392.0</v>
      </c>
      <c r="B394" s="3" t="s">
        <v>395</v>
      </c>
      <c r="C394" s="3" t="str">
        <f>IFERROR(__xludf.DUMMYFUNCTION("GOOGLETRANSLATE(B394,""id"",""en"")"),"['Please', 'Telkomsel', 'buy', 'kuoata', 'prnh', 'cheap', 'yaaa', 'jrngaan', 'slow', 'forgiveness',' please ',' concerned ',' Listen ',' complaints', 'Kisah', 'users',' Telkomsel ',' Pngen ',' Change ',' card ', ""]")</f>
        <v>['Please', 'Telkomsel', 'buy', 'kuoata', 'prnh', 'cheap', 'yaaa', 'jrngaan', 'slow', 'forgiveness',' please ',' concerned ',' Listen ',' complaints', 'Kisah', 'users',' Telkomsel ',' Pngen ',' Change ',' card ', "]</v>
      </c>
      <c r="D394" s="3">
        <v>1.0</v>
      </c>
    </row>
    <row r="395" ht="15.75" customHeight="1">
      <c r="A395" s="1">
        <v>393.0</v>
      </c>
      <c r="B395" s="3" t="s">
        <v>396</v>
      </c>
      <c r="C395" s="3" t="str">
        <f>IFERROR(__xludf.DUMMYFUNCTION("GOOGLETRANSLATE(B395,""id"",""en"")"),"['Please', 'Donk', 'Sidak', 'Tower', 'Telkomsel', 'Region', 'Kab', 'Garut', 'Network', 'Error', 'right', 'Dead', ' Lights', 'missing', 'signal', 'kyk', 'card', 'raskin', 'package', 'expensive', 'loss']")</f>
        <v>['Please', 'Donk', 'Sidak', 'Tower', 'Telkomsel', 'Region', 'Kab', 'Garut', 'Network', 'Error', 'right', 'Dead', ' Lights', 'missing', 'signal', 'kyk', 'card', 'raskin', 'package', 'expensive', 'loss']</v>
      </c>
      <c r="D395" s="3">
        <v>1.0</v>
      </c>
    </row>
    <row r="396" ht="15.75" customHeight="1">
      <c r="A396" s="1">
        <v>394.0</v>
      </c>
      <c r="B396" s="3" t="s">
        <v>397</v>
      </c>
      <c r="C396" s="3" t="str">
        <f>IFERROR(__xludf.DUMMYFUNCTION("GOOGLETRANSLATE(B396,""id"",""en"")"),"['Date', 'price', 'package', 'strange', 'bknya', 'network', 'BENAHIN', 'price', 'package', 'ride', 'expensive', 'doang', ' network ',' slow ',' move ',' tower ',' next door ',' ']")</f>
        <v>['Date', 'price', 'package', 'strange', 'bknya', 'network', 'BENAHIN', 'price', 'package', 'ride', 'expensive', 'doang', ' network ',' slow ',' move ',' tower ',' next door ',' ']</v>
      </c>
      <c r="D396" s="3">
        <v>1.0</v>
      </c>
    </row>
    <row r="397" ht="15.75" customHeight="1">
      <c r="A397" s="1">
        <v>395.0</v>
      </c>
      <c r="B397" s="3" t="s">
        <v>398</v>
      </c>
      <c r="C397" s="3" t="str">
        <f>IFERROR(__xludf.DUMMYFUNCTION("GOOGLETRANSLATE(B397,""id"",""en"")"),"['Network', 'Telkomsel', 'Network', 'Sometimes',' Full ',' TPI ',' Direct ',' Lost ',' get ',' use ',' internet ',' Kah ',' network ',' Telkomsel ',' cost ',' expensive ',' quality ',' bad ',' responsibility ',' comfortable ',' user ']")</f>
        <v>['Network', 'Telkomsel', 'Network', 'Sometimes',' Full ',' TPI ',' Direct ',' Lost ',' get ',' use ',' internet ',' Kah ',' network ',' Telkomsel ',' cost ',' expensive ',' quality ',' bad ',' responsibility ',' comfortable ',' user ']</v>
      </c>
      <c r="D397" s="3">
        <v>1.0</v>
      </c>
    </row>
    <row r="398" ht="15.75" customHeight="1">
      <c r="A398" s="1">
        <v>396.0</v>
      </c>
      <c r="B398" s="3" t="s">
        <v>399</v>
      </c>
      <c r="C398" s="3" t="str">
        <f>IFERROR(__xludf.DUMMYFUNCTION("GOOGLETRANSLATE(B398,""id"",""en"")"),"['mhn', 'sorry', 'just', 'suggestion', 'view', 'user', 'card', 'hello', 'telkomsel', 'mhn', 'permission', 'input', ' side ',' user ',' product ',' Hello ',' logo ',' logo ',' view ',' interesting ',' corresponding ',' display ',' menu ',' application ',' "&amp;"appear ' , 'Application', 'interesting', 'friendly', 'if', 'propose', 'logo', 'menu', 'Tempilan', 'service', 'quality', 'enhanced', 'tks']")</f>
        <v>['mhn', 'sorry', 'just', 'suggestion', 'view', 'user', 'card', 'hello', 'telkomsel', 'mhn', 'permission', 'input', ' side ',' user ',' product ',' Hello ',' logo ',' logo ',' view ',' interesting ',' corresponding ',' display ',' menu ',' application ',' appear ' , 'Application', 'interesting', 'friendly', 'if', 'propose', 'logo', 'menu', 'Tempilan', 'service', 'quality', 'enhanced', 'tks']</v>
      </c>
      <c r="D398" s="3">
        <v>1.0</v>
      </c>
    </row>
    <row r="399" ht="15.75" customHeight="1">
      <c r="A399" s="1">
        <v>397.0</v>
      </c>
      <c r="B399" s="3" t="s">
        <v>400</v>
      </c>
      <c r="C399" s="3" t="str">
        <f>IFERROR(__xludf.DUMMYFUNCTION("GOOGLETRANSLATE(B399,""id"",""en"")"),"['Quota', 'Application', 'On', 'On', 'Internet', 'Out', 'Open', 'Application', 'Buy', 'Data', 'Out', 'Via', ' ']")</f>
        <v>['Quota', 'Application', 'On', 'On', 'Internet', 'Out', 'Open', 'Application', 'Buy', 'Data', 'Out', 'Via', ' ']</v>
      </c>
      <c r="D399" s="3">
        <v>5.0</v>
      </c>
    </row>
    <row r="400" ht="15.75" customHeight="1">
      <c r="A400" s="1">
        <v>398.0</v>
      </c>
      <c r="B400" s="3" t="s">
        <v>401</v>
      </c>
      <c r="C400" s="3" t="str">
        <f>IFERROR(__xludf.DUMMYFUNCTION("GOOGLETRANSLATE(B400,""id"",""en"")"),"['Telkomsel', 'Telkomsel', 'package', 'expensive', 'quality', 'bad', 'already', 'that's',' number ',' plow ',' person ',' responsible ',' Users', 'Telkomsel', 'Disappointed', 'Mending', 'Moving', 'GSM', 'Rich', 'Gini', ""]")</f>
        <v>['Telkomsel', 'Telkomsel', 'package', 'expensive', 'quality', 'bad', 'already', 'that's',' number ',' plow ',' person ',' responsible ',' Users', 'Telkomsel', 'Disappointed', 'Mending', 'Moving', 'GSM', 'Rich', 'Gini', "]</v>
      </c>
      <c r="D400" s="3">
        <v>1.0</v>
      </c>
    </row>
    <row r="401" ht="15.75" customHeight="1">
      <c r="A401" s="1">
        <v>399.0</v>
      </c>
      <c r="B401" s="3" t="s">
        <v>402</v>
      </c>
      <c r="C401" s="3" t="str">
        <f>IFERROR(__xludf.DUMMYFUNCTION("GOOGLETRANSLATE(B401,""id"",""en"")"),"['Temple', 'Telkomsel', 'buy', 'package', 'Thinking', 'Yutub', 'Gakemake', 'She', 'quota', 'main', 'buy', 'pulses',' rb ',' sumps', 'quota', 'active', 'quota', 'times',' rich ',' gini ',' please ',' loss', 'consumer', 'money', 'smooth' , 'because', 'pande"&amp;"mic', 'because', 'students', 'Segara', 'repaired', 'loss']")</f>
        <v>['Temple', 'Telkomsel', 'buy', 'package', 'Thinking', 'Yutub', 'Gakemake', 'She', 'quota', 'main', 'buy', 'pulses',' rb ',' sumps', 'quota', 'active', 'quota', 'times',' rich ',' gini ',' please ',' loss', 'consumer', 'money', 'smooth' , 'because', 'pandemic', 'because', 'students', 'Segara', 'repaired', 'loss']</v>
      </c>
      <c r="D401" s="3">
        <v>1.0</v>
      </c>
    </row>
    <row r="402" ht="15.75" customHeight="1">
      <c r="A402" s="1">
        <v>400.0</v>
      </c>
      <c r="B402" s="3" t="s">
        <v>403</v>
      </c>
      <c r="C402" s="3" t="str">
        <f>IFERROR(__xludf.DUMMYFUNCTION("GOOGLETRANSLATE(B402,""id"",""en"")"),"['Package', 'Combo', 'Sakti', 'Buy', 'Lost', 'subscribe', 'Telkomsel', 'here', 'annoying', 'Sinyal', 'Karuan', 'Package', ' Lost ',' notification ',' replaced ',' package ',' useful ',' disappointing ',' ']")</f>
        <v>['Package', 'Combo', 'Sakti', 'Buy', 'Lost', 'subscribe', 'Telkomsel', 'here', 'annoying', 'Sinyal', 'Karuan', 'Package', ' Lost ',' notification ',' replaced ',' package ',' useful ',' disappointing ',' ']</v>
      </c>
      <c r="D402" s="3">
        <v>1.0</v>
      </c>
    </row>
    <row r="403" ht="15.75" customHeight="1">
      <c r="A403" s="1">
        <v>401.0</v>
      </c>
      <c r="B403" s="3" t="s">
        <v>404</v>
      </c>
      <c r="C403" s="3" t="str">
        <f>IFERROR(__xludf.DUMMYFUNCTION("GOOGLETRANSLATE(B403,""id"",""en"")"),"['Ngerti', 'Telkomsel', 'here', 'quota', 'expensive', 'slow', 'internet', 'according to', 'bngt', 'price', 'stay', 'smooth', ' Access', 'internet']")</f>
        <v>['Ngerti', 'Telkomsel', 'here', 'quota', 'expensive', 'slow', 'internet', 'according to', 'bngt', 'price', 'stay', 'smooth', ' Access', 'internet']</v>
      </c>
      <c r="D403" s="3">
        <v>1.0</v>
      </c>
    </row>
    <row r="404" ht="15.75" customHeight="1">
      <c r="A404" s="1">
        <v>402.0</v>
      </c>
      <c r="B404" s="3" t="s">
        <v>405</v>
      </c>
      <c r="C404" s="3" t="str">
        <f>IFERROR(__xludf.DUMMYFUNCTION("GOOGLETRANSLATE(B404,""id"",""en"")"),"['here', 'good', 'price', 'expensive', 'connection', 'bad', 'you're', 'provider', 'lbh', 'product', 'sincere', 'willing', ' ']")</f>
        <v>['here', 'good', 'price', 'expensive', 'connection', 'bad', 'you're', 'provider', 'lbh', 'product', 'sincere', 'willing', ' ']</v>
      </c>
      <c r="D404" s="3">
        <v>2.0</v>
      </c>
    </row>
    <row r="405" ht="15.75" customHeight="1">
      <c r="A405" s="1">
        <v>403.0</v>
      </c>
      <c r="B405" s="3" t="s">
        <v>406</v>
      </c>
      <c r="C405" s="3" t="str">
        <f>IFERROR(__xludf.DUMMYFUNCTION("GOOGLETRANSLATE(B405,""id"",""en"")"),"['Network', 'missing', 'application', 'ugly', 'pulse', 'like', 'run out', 'pkok', 'telkomsel', 'like', 'take', 'pulses',' package ',' expensive ',' like ',' steal ',' pulses', 'person', 'haram', 'package', 'cheerful', 'try', 'network', 'like', 'kamantan' "&amp;", 'eat', 'money', 'haram', 'eat', 'halal', 'boss']")</f>
        <v>['Network', 'missing', 'application', 'ugly', 'pulse', 'like', 'run out', 'pkok', 'telkomsel', 'like', 'take', 'pulses',' package ',' expensive ',' like ',' steal ',' pulses', 'person', 'haram', 'package', 'cheerful', 'try', 'network', 'like', 'kamantan' , 'eat', 'money', 'haram', 'eat', 'halal', 'boss']</v>
      </c>
      <c r="D405" s="3">
        <v>1.0</v>
      </c>
    </row>
    <row r="406" ht="15.75" customHeight="1">
      <c r="A406" s="1">
        <v>404.0</v>
      </c>
      <c r="B406" s="3" t="s">
        <v>407</v>
      </c>
      <c r="C406" s="3" t="str">
        <f>IFERROR(__xludf.DUMMYFUNCTION("GOOGLETRANSLATE(B406,""id"",""en"")"),"['open', 'application', 'package', 'spend', 'MB', 'suggestion', 'free', 'special', 'users',' Telkomsel ',' access', 'application', ' Easy ',' transact ',' owned ',' Telkomsel ',' thank you ']")</f>
        <v>['open', 'application', 'package', 'spend', 'MB', 'suggestion', 'free', 'special', 'users',' Telkomsel ',' access', 'application', ' Easy ',' transact ',' owned ',' Telkomsel ',' thank you ']</v>
      </c>
      <c r="D406" s="3">
        <v>1.0</v>
      </c>
    </row>
    <row r="407" ht="15.75" customHeight="1">
      <c r="A407" s="1">
        <v>405.0</v>
      </c>
      <c r="B407" s="3" t="s">
        <v>408</v>
      </c>
      <c r="C407" s="3" t="str">
        <f>IFERROR(__xludf.DUMMYFUNCTION("GOOGLETRANSLATE(B407,""id"",""en"")"),"['area', 'purwakarta', 'quality', 'network', 'price', 'package', 'expensive', 'buy', 'package', 'omg', 'for', 'rb', ' RB ',' TPI ',' Quality ',' Network ',' Bad ',' ']")</f>
        <v>['area', 'purwakarta', 'quality', 'network', 'price', 'package', 'expensive', 'buy', 'package', 'omg', 'for', 'rb', ' RB ',' TPI ',' Quality ',' Network ',' Bad ',' ']</v>
      </c>
      <c r="D407" s="3">
        <v>1.0</v>
      </c>
    </row>
    <row r="408" ht="15.75" customHeight="1">
      <c r="A408" s="1">
        <v>406.0</v>
      </c>
      <c r="B408" s="3" t="s">
        <v>409</v>
      </c>
      <c r="C408" s="3" t="str">
        <f>IFERROR(__xludf.DUMMYFUNCTION("GOOGLETRANSLATE(B408,""id"",""en"")"),"['Please', 'Restore', 'Package', 'Combo', 'Sakti', 'Unlimited', 'Society', 'Help', 'Package', 'Package', 'Expensive', 'Unlimited', ' ']")</f>
        <v>['Please', 'Restore', 'Package', 'Combo', 'Sakti', 'Unlimited', 'Society', 'Help', 'Package', 'Package', 'Expensive', 'Unlimited', ' ']</v>
      </c>
      <c r="D408" s="3">
        <v>5.0</v>
      </c>
    </row>
    <row r="409" ht="15.75" customHeight="1">
      <c r="A409" s="1">
        <v>407.0</v>
      </c>
      <c r="B409" s="3" t="s">
        <v>410</v>
      </c>
      <c r="C409" s="3" t="str">
        <f>IFERROR(__xludf.DUMMYFUNCTION("GOOGLETRANSLATE(B409,""id"",""en"")"),"['steady', 'Telkomsel', 'usage', 'already', 'signal', 'bad', 'darling', 'numbers',' beautiful ',' emotion ',' gara ',' network ',' ugly ',' open ',' slow ',' mercy ',' mending ',' provider ',' serve ',' customer ',' ']")</f>
        <v>['steady', 'Telkomsel', 'usage', 'already', 'signal', 'bad', 'darling', 'numbers',' beautiful ',' emotion ',' gara ',' network ',' ugly ',' open ',' slow ',' mercy ',' mending ',' provider ',' serve ',' customer ',' ']</v>
      </c>
      <c r="D409" s="3">
        <v>1.0</v>
      </c>
    </row>
    <row r="410" ht="15.75" customHeight="1">
      <c r="A410" s="1">
        <v>408.0</v>
      </c>
      <c r="B410" s="3" t="s">
        <v>411</v>
      </c>
      <c r="C410" s="3" t="str">
        <f>IFERROR(__xludf.DUMMYFUNCTION("GOOGLETRANSLATE(B410,""id"",""en"")"),"['Telkomsel', 'signal', 'slow', 'really', 'already', 'that's',' application ',' sometimes', 'like', 'slow', 'buy', 'quota', ' expensive ',' price ',' ']")</f>
        <v>['Telkomsel', 'signal', 'slow', 'really', 'already', 'that's',' application ',' sometimes', 'like', 'slow', 'buy', 'quota', ' expensive ',' price ',' ']</v>
      </c>
      <c r="D410" s="3">
        <v>1.0</v>
      </c>
    </row>
    <row r="411" ht="15.75" customHeight="1">
      <c r="A411" s="1">
        <v>409.0</v>
      </c>
      <c r="B411" s="3" t="s">
        <v>412</v>
      </c>
      <c r="C411" s="3" t="str">
        <f>IFERROR(__xludf.DUMMYFUNCTION("GOOGLETRANSLATE(B411,""id"",""en"")"),"['Apasih', 'Telkomsel', 'buy', 'pulse', 'Alfamart', 'mas',' already ',' enter ',' lowbat ',' leave ',' house ',' home ',' check ',' pulse ',' buy ',' package ',' weekly ',' GB ',' buy ',' refresh ',' times', 'situ', 'like', 'Telkomsel', 'Genesis' , 'Times"&amp;"', 'use', 'Telkomsel', 'hope', 'Telkomsel']")</f>
        <v>['Apasih', 'Telkomsel', 'buy', 'pulse', 'Alfamart', 'mas',' already ',' enter ',' lowbat ',' leave ',' house ',' home ',' check ',' pulse ',' buy ',' package ',' weekly ',' GB ',' buy ',' refresh ',' times', 'situ', 'like', 'Telkomsel', 'Genesis' , 'Times', 'use', 'Telkomsel', 'hope', 'Telkomsel']</v>
      </c>
      <c r="D411" s="3">
        <v>1.0</v>
      </c>
    </row>
    <row r="412" ht="15.75" customHeight="1">
      <c r="A412" s="1">
        <v>410.0</v>
      </c>
      <c r="B412" s="3" t="s">
        <v>413</v>
      </c>
      <c r="C412" s="3" t="str">
        <f>IFERROR(__xludf.DUMMYFUNCTION("GOOGLETRANSLATE(B412,""id"",""en"")"),"['faithful', 'please', 'network', 'fix', 'quota', 'please', 'friendly', 'bag', 'era', 'online', 'trimakasih', 'telkomsel']")</f>
        <v>['faithful', 'please', 'network', 'fix', 'quota', 'please', 'friendly', 'bag', 'era', 'online', 'trimakasih', 'telkomsel']</v>
      </c>
      <c r="D412" s="3">
        <v>4.0</v>
      </c>
    </row>
    <row r="413" ht="15.75" customHeight="1">
      <c r="A413" s="1">
        <v>411.0</v>
      </c>
      <c r="B413" s="3" t="s">
        <v>414</v>
      </c>
      <c r="C413" s="3" t="str">
        <f>IFERROR(__xludf.DUMMYFUNCTION("GOOGLETRANSLATE(B413,""id"",""en"")"),"['Telkomsel', 'minus',' signal ',' down ',' Severe ',' Maen ',' game ',' online ',' pink ',' good ',' red ',' buy ',' quota ',' application ',' process', 'times',' uda ',' kya ',' gini ', ""]")</f>
        <v>['Telkomsel', 'minus',' signal ',' down ',' Severe ',' Maen ',' game ',' online ',' pink ',' good ',' red ',' buy ',' quota ',' application ',' process', 'times',' uda ',' kya ',' gini ', "]</v>
      </c>
      <c r="D413" s="3">
        <v>1.0</v>
      </c>
    </row>
    <row r="414" ht="15.75" customHeight="1">
      <c r="A414" s="1">
        <v>412.0</v>
      </c>
      <c r="B414" s="3" t="s">
        <v>415</v>
      </c>
      <c r="C414" s="3" t="str">
        <f>IFERROR(__xludf.DUMMYFUNCTION("GOOGLETRANSLATE(B414,""id"",""en"")"),"['No', 'spend', 'package', 'Ditageek', 'Package', 'Season', 'Telkomsel', 'Free', 'Credit', 'No', 'Dipake', 'Please']")</f>
        <v>['No', 'spend', 'package', 'Ditageek', 'Package', 'Season', 'Telkomsel', 'Free', 'Credit', 'No', 'Dipake', 'Please']</v>
      </c>
      <c r="D414" s="3">
        <v>1.0</v>
      </c>
    </row>
    <row r="415" ht="15.75" customHeight="1">
      <c r="A415" s="1">
        <v>413.0</v>
      </c>
      <c r="B415" s="3" t="s">
        <v>416</v>
      </c>
      <c r="C415" s="3" t="str">
        <f>IFERROR(__xludf.DUMMYFUNCTION("GOOGLETRANSLATE(B415,""id"",""en"")"),"['Here', 'Samakin', 'Bad', 'The network', 'friend', 'Mending', 'Change', 'Simcard', 'Kouta', 'GB', 'Sosmed', 'slow', ' Forgiveness', '']")</f>
        <v>['Here', 'Samakin', 'Bad', 'The network', 'friend', 'Mending', 'Change', 'Simcard', 'Kouta', 'GB', 'Sosmed', 'slow', ' Forgiveness', '']</v>
      </c>
      <c r="D415" s="3">
        <v>1.0</v>
      </c>
    </row>
    <row r="416" ht="15.75" customHeight="1">
      <c r="A416" s="1">
        <v>414.0</v>
      </c>
      <c r="B416" s="3" t="s">
        <v>417</v>
      </c>
      <c r="C416" s="3" t="str">
        <f>IFERROR(__xludf.DUMMYFUNCTION("GOOGLETRANSLATE(B416,""id"",""en"")"),"['already', 'application', 'already', 'replace', 'buy', 'card', 'Telkomsel', 'because', 'package', 'user', 'here', 'expensive', ' signal ',' baguank ',' developer ',' package ',' price ',' jnga ',' mhal ',' mhal ', ""]")</f>
        <v>['already', 'application', 'already', 'replace', 'buy', 'card', 'Telkomsel', 'because', 'package', 'user', 'here', 'expensive', ' signal ',' baguank ',' developer ',' package ',' price ',' jnga ',' mhal ',' mhal ', "]</v>
      </c>
      <c r="D416" s="3">
        <v>5.0</v>
      </c>
    </row>
    <row r="417" ht="15.75" customHeight="1">
      <c r="A417" s="1">
        <v>415.0</v>
      </c>
      <c r="B417" s="3" t="s">
        <v>418</v>
      </c>
      <c r="C417" s="3" t="str">
        <f>IFERROR(__xludf.DUMMYFUNCTION("GOOGLETRANSLATE(B417,""id"",""en"")"),"['Telkomsel', 'network', 'slow', 'really', 'buy', 'package', 'giga', 'stressed', 'smakin', 'severe', 'service', 'its network', ' Depok ',' Region ',' Hello ',' Official ',' Telkom ', ""]")</f>
        <v>['Telkomsel', 'network', 'slow', 'really', 'buy', 'package', 'giga', 'stressed', 'smakin', 'severe', 'service', 'its network', ' Depok ',' Region ',' Hello ',' Official ',' Telkom ', "]</v>
      </c>
      <c r="D417" s="3">
        <v>1.0</v>
      </c>
    </row>
    <row r="418" ht="15.75" customHeight="1">
      <c r="A418" s="1">
        <v>416.0</v>
      </c>
      <c r="B418" s="3" t="s">
        <v>419</v>
      </c>
      <c r="C418" s="3" t="str">
        <f>IFERROR(__xludf.DUMMYFUNCTION("GOOGLETRANSLATE(B418,""id"",""en"")"),"['Network', 'cook', 'game', 'signal', 'ms',' gini ',' pakek ',' telkomsel ',' already ',' expensive ',' signal ',' bad ',' Please, 'Devloeper', 'Note', 'APK', 'Out', 'Update', 'Good', 'Nambah', 'ugly', 'right', 'Open', 'DAK', 'Responding' , 'thanks', '']")</f>
        <v>['Network', 'cook', 'game', 'signal', 'ms',' gini ',' pakek ',' telkomsel ',' already ',' expensive ',' signal ',' bad ',' Please, 'Devloeper', 'Note', 'APK', 'Out', 'Update', 'Good', 'Nambah', 'ugly', 'right', 'Open', 'DAK', 'Responding' , 'thanks', '']</v>
      </c>
      <c r="D418" s="3">
        <v>1.0</v>
      </c>
    </row>
    <row r="419" ht="15.75" customHeight="1">
      <c r="A419" s="1">
        <v>417.0</v>
      </c>
      <c r="B419" s="3" t="s">
        <v>420</v>
      </c>
      <c r="C419" s="3" t="str">
        <f>IFERROR(__xludf.DUMMYFUNCTION("GOOGLETRANSLATE(B419,""id"",""en"")"),"['Contents',' pulse ',' buy ',' package ',' already ',' habus', 'first', 'pulse', 'kantel', 'package', 'pulse', 'run out', ' Please, 'Bari', 'Features', 'Key', 'Credit', 'Out', 'Package', 'Rich', 'Axis', ""]")</f>
        <v>['Contents',' pulse ',' buy ',' package ',' already ',' habus', 'first', 'pulse', 'kantel', 'package', 'pulse', 'run out', ' Please, 'Bari', 'Features', 'Key', 'Credit', 'Out', 'Package', 'Rich', 'Axis', "]</v>
      </c>
      <c r="D419" s="3">
        <v>2.0</v>
      </c>
    </row>
    <row r="420" ht="15.75" customHeight="1">
      <c r="A420" s="1">
        <v>418.0</v>
      </c>
      <c r="B420" s="3" t="s">
        <v>421</v>
      </c>
      <c r="C420" s="3" t="str">
        <f>IFERROR(__xludf.DUMMYFUNCTION("GOOGLETRANSLATE(B420,""id"",""en"")"),"['purpose', 'pulse', 'buy', 'package', 'night', 'price', 'message', 'written', 'pulse', 'mecukupi', 'service', 'base', ' Telkomsel ']")</f>
        <v>['purpose', 'pulse', 'buy', 'package', 'night', 'price', 'message', 'written', 'pulse', 'mecukupi', 'service', 'base', ' Telkomsel ']</v>
      </c>
      <c r="D420" s="3">
        <v>1.0</v>
      </c>
    </row>
    <row r="421" ht="15.75" customHeight="1">
      <c r="A421" s="1">
        <v>419.0</v>
      </c>
      <c r="B421" s="3" t="s">
        <v>422</v>
      </c>
      <c r="C421" s="3" t="str">
        <f>IFERROR(__xludf.DUMMYFUNCTION("GOOGLETRANSLATE(B421,""id"",""en"")"),"['Males',' Pakek ',' APK ',' SLL ',' SLL ',' appears', 'APK', 'Stop', 'Disappointed', 'Pokkk', 'kmren', 'Kirain', ' BLM ',' UPTUDATE ',' PAS ',' already ',' UPTUDATE ',' SLL ',' Enter ']")</f>
        <v>['Males',' Pakek ',' APK ',' SLL ',' SLL ',' appears', 'APK', 'Stop', 'Disappointed', 'Pokkk', 'kmren', 'Kirain', ' BLM ',' UPTUDATE ',' PAS ',' already ',' UPTUDATE ',' SLL ',' Enter ']</v>
      </c>
      <c r="D421" s="3">
        <v>1.0</v>
      </c>
    </row>
    <row r="422" ht="15.75" customHeight="1">
      <c r="A422" s="1">
        <v>420.0</v>
      </c>
      <c r="B422" s="3" t="s">
        <v>423</v>
      </c>
      <c r="C422" s="3" t="str">
        <f>IFERROR(__xludf.DUMMYFUNCTION("GOOGLETRANSLATE(B422,""id"",""en"")"),"['', 'Telkomsel', 'network', 'slow', 'sometimes',' sometimes', 'connection', 'disconnected', 'city', 'disappointing', 'package', 'expensive', 'bought ',' package ',' internet ',' night ',' quota ',' main ',' sumps', 'buy', 'quota', 'main', 'tetep', 'abis'"&amp;", ""]")</f>
        <v>['', 'Telkomsel', 'network', 'slow', 'sometimes',' sometimes', 'connection', 'disconnected', 'city', 'disappointing', 'package', 'expensive', 'bought ',' package ',' internet ',' night ',' quota ',' main ',' sumps', 'buy', 'quota', 'main', 'tetep', 'abis', "]</v>
      </c>
      <c r="D422" s="3">
        <v>1.0</v>
      </c>
    </row>
    <row r="423" ht="15.75" customHeight="1">
      <c r="A423" s="1">
        <v>421.0</v>
      </c>
      <c r="B423" s="3" t="s">
        <v>424</v>
      </c>
      <c r="C423" s="3" t="str">
        <f>IFERROR(__xludf.DUMMYFUNCTION("GOOGLETRANSLATE(B423,""id"",""en"")"),"['card', 'signal', 'yesterday', 'used', 'enter', 'SIM', 'clarity', 'replied', 'Min', 'Mengutan', 'in' Help ',' Nomers', 'Sousal', 'Help', 'Box', 'Amal']")</f>
        <v>['card', 'signal', 'yesterday', 'used', 'enter', 'SIM', 'clarity', 'replied', 'Min', 'Mengutan', 'in' Help ',' Nomers', 'Sousal', 'Help', 'Box', 'Amal']</v>
      </c>
      <c r="D423" s="3">
        <v>1.0</v>
      </c>
    </row>
    <row r="424" ht="15.75" customHeight="1">
      <c r="A424" s="1">
        <v>422.0</v>
      </c>
      <c r="B424" s="3" t="s">
        <v>425</v>
      </c>
      <c r="C424" s="3" t="str">
        <f>IFERROR(__xludf.DUMMYFUNCTION("GOOGLETRANSLATE(B424,""id"",""en"")"),"['Debbest', 'Bat', 'Apligaasih', 'Credit', 'Rb', 'Applikasih', 'Kemang', 'Best', 'Applikasih', 'Booong', 'Hayyuk', ""]")</f>
        <v>['Debbest', 'Bat', 'Apligaasih', 'Credit', 'Rb', 'Applikasih', 'Kemang', 'Best', 'Applikasih', 'Booong', 'Hayyuk', "]</v>
      </c>
      <c r="D424" s="3">
        <v>5.0</v>
      </c>
    </row>
    <row r="425" ht="15.75" customHeight="1">
      <c r="A425" s="1">
        <v>423.0</v>
      </c>
      <c r="B425" s="3" t="s">
        <v>426</v>
      </c>
      <c r="C425" s="3" t="str">
        <f>IFERROR(__xludf.DUMMYFUNCTION("GOOGLETRANSLATE(B425,""id"",""en"")"),"['Telkomsel', 'Network', 'worst', 'price', 'expensive', 'bngst', 'broken', 'yesterday', 'because', 'buy', 'package', 'the network', ' Want ',' Emotion ',' Want ',' Chat ',' Telkomsel ',' Service ',' Bot ',' Telkomsel ',' Loro ',' Atike ',' Tap ',' Nang ',"&amp;"' Hereafter ' , 'Eleng', 'iku', ""]")</f>
        <v>['Telkomsel', 'Network', 'worst', 'price', 'expensive', 'bngst', 'broken', 'yesterday', 'because', 'buy', 'package', 'the network', ' Want ',' Emotion ',' Want ',' Chat ',' Telkomsel ',' Service ',' Bot ',' Telkomsel ',' Loro ',' Atike ',' Tap ',' Nang ',' Hereafter ' , 'Eleng', 'iku', "]</v>
      </c>
      <c r="D425" s="3">
        <v>1.0</v>
      </c>
    </row>
    <row r="426" ht="15.75" customHeight="1">
      <c r="A426" s="1">
        <v>424.0</v>
      </c>
      <c r="B426" s="3" t="s">
        <v>427</v>
      </c>
      <c r="C426" s="3" t="str">
        <f>IFERROR(__xludf.DUMMYFUNCTION("GOOGLETRANSLATE(B426,""id"",""en"")"),"['please', 'Telkomsel', 'really', 'sucked', 'pulse', 'gal', 'determination', 'tariff', 'change', 'change', 'tired', 'jngn', ' Fill ',' pulse ',' deh ',' suck ',' little ',' little ']")</f>
        <v>['please', 'Telkomsel', 'really', 'sucked', 'pulse', 'gal', 'determination', 'tariff', 'change', 'change', 'tired', 'jngn', ' Fill ',' pulse ',' deh ',' suck ',' little ',' little ']</v>
      </c>
      <c r="D426" s="3">
        <v>1.0</v>
      </c>
    </row>
    <row r="427" ht="15.75" customHeight="1">
      <c r="A427" s="1">
        <v>425.0</v>
      </c>
      <c r="B427" s="3" t="s">
        <v>428</v>
      </c>
      <c r="C427" s="3" t="str">
        <f>IFERROR(__xludf.DUMMYFUNCTION("GOOGLETRANSLATE(B427,""id"",""en"")"),"['contents',' pulse ',' open ',' application ',' Telkomsel ',' already ',' chopped ',' expensive ',' kire ',' looked ',' money ',' axan ',' Nyari ',' Gravel ',' Thinking ',' HRD ',' Response ',' Public Relations']")</f>
        <v>['contents',' pulse ',' open ',' application ',' Telkomsel ',' already ',' chopped ',' expensive ',' kire ',' looked ',' money ',' axan ',' Nyari ',' Gravel ',' Thinking ',' HRD ',' Response ',' Public Relations']</v>
      </c>
      <c r="D427" s="3">
        <v>1.0</v>
      </c>
    </row>
    <row r="428" ht="15.75" customHeight="1">
      <c r="A428" s="1">
        <v>426.0</v>
      </c>
      <c r="B428" s="3" t="s">
        <v>429</v>
      </c>
      <c r="C428" s="3" t="str">
        <f>IFERROR(__xludf.DUMMYFUNCTION("GOOGLETRANSLATE(B428,""id"",""en"")"),"['sympathy', 'here', 'rich', 'exsis',' package ',' ojol ',' giga ',' slow ',' cave ',' moved ',' ugly ',' sympathy ',' Quota ',' access', 'internet', 'stable', '']")</f>
        <v>['sympathy', 'here', 'rich', 'exsis',' package ',' ojol ',' giga ',' slow ',' cave ',' moved ',' ugly ',' sympathy ',' Quota ',' access', 'internet', 'stable', '']</v>
      </c>
      <c r="D428" s="3">
        <v>1.0</v>
      </c>
    </row>
    <row r="429" ht="15.75" customHeight="1">
      <c r="A429" s="1">
        <v>427.0</v>
      </c>
      <c r="B429" s="3" t="s">
        <v>430</v>
      </c>
      <c r="C429" s="3" t="str">
        <f>IFERROR(__xludf.DUMMYFUNCTION("GOOGLETRANSLATE(B429,""id"",""en"")"),"['Cool', 'App', 'Like', 'Karna', 'Chek', 'Data', 'Free', 'Vocer', 'Credit', 'Purchase', 'App', 'Price', ' Cheap ',' makes it easy ',' ugly ',' just ',' just ',' people ',' stupid ',' nda ',' app ',' success', 'always',' Telkomsel ', ""]")</f>
        <v>['Cool', 'App', 'Like', 'Karna', 'Chek', 'Data', 'Free', 'Vocer', 'Credit', 'Purchase', 'App', 'Price', ' Cheap ',' makes it easy ',' ugly ',' just ',' just ',' people ',' stupid ',' nda ',' app ',' success', 'always',' Telkomsel ', "]</v>
      </c>
      <c r="D429" s="3">
        <v>5.0</v>
      </c>
    </row>
    <row r="430" ht="15.75" customHeight="1">
      <c r="A430" s="1">
        <v>428.0</v>
      </c>
      <c r="B430" s="3" t="s">
        <v>431</v>
      </c>
      <c r="C430" s="3" t="str">
        <f>IFERROR(__xludf.DUMMYFUNCTION("GOOGLETRANSLATE(B430,""id"",""en"")"),"['Anjim', 'Network', 'Slimatu', 'Sign', 'Mulu', 'Cave', 'Life', 'City', 'Goa', 'Expensive', 'Doang', 'Signal', ' ugly ',' rich ',' Keonh ',' cave ',' deliberate ',' install ',' just ',' want ',' love ',' star ',' then ',' comment ',' Karna ' , 'cave', 'fe"&amp;"el', 'loss',' sympathy ',' expensive ',' doang ',' signal ',' standard ',' here ',' severe ',' udh ',' bnyak ',' Ngeluh ',' Tuu ',' Signal ',' LOL ',' Diem ',' Mao ',' Money ',' Doang ',' Asuuu ']")</f>
        <v>['Anjim', 'Network', 'Slimatu', 'Sign', 'Mulu', 'Cave', 'Life', 'City', 'Goa', 'Expensive', 'Doang', 'Signal', ' ugly ',' rich ',' Keonh ',' cave ',' deliberate ',' install ',' just ',' want ',' love ',' star ',' then ',' comment ',' Karna ' , 'cave', 'feel', 'loss',' sympathy ',' expensive ',' doang ',' signal ',' standard ',' here ',' severe ',' udh ',' bnyak ',' Ngeluh ',' Tuu ',' Signal ',' LOL ',' Diem ',' Mao ',' Money ',' Doang ',' Asuuu ']</v>
      </c>
      <c r="D430" s="3">
        <v>1.0</v>
      </c>
    </row>
    <row r="431" ht="15.75" customHeight="1">
      <c r="A431" s="1">
        <v>429.0</v>
      </c>
      <c r="B431" s="3" t="s">
        <v>432</v>
      </c>
      <c r="C431" s="3" t="str">
        <f>IFERROR(__xludf.DUMMYFUNCTION("GOOGLETRANSLATE(B431,""id"",""en"")"),"['Excuse', 'Developer', 'MyTelkomsel', 'like', 'Display', 'Home', 'Themed', 'Neat', 'Display', 'Update', 'Latest', 'Simple', ' neat']")</f>
        <v>['Excuse', 'Developer', 'MyTelkomsel', 'like', 'Display', 'Home', 'Themed', 'Neat', 'Display', 'Update', 'Latest', 'Simple', ' neat']</v>
      </c>
      <c r="D431" s="3">
        <v>5.0</v>
      </c>
    </row>
    <row r="432" ht="15.75" customHeight="1">
      <c r="A432" s="1">
        <v>430.0</v>
      </c>
      <c r="B432" s="3" t="s">
        <v>433</v>
      </c>
      <c r="C432" s="3" t="str">
        <f>IFERROR(__xludf.DUMMYFUNCTION("GOOGLETRANSLATE(B432,""id"",""en"")"),"['jakarta', 'east', 'remote', 'mountain', 'signal', 'ugly', 'think', 'consumer', 'sorry', 'action', 'work', ' work', '']")</f>
        <v>['jakarta', 'east', 'remote', 'mountain', 'signal', 'ugly', 'think', 'consumer', 'sorry', 'action', 'work', ' work', '']</v>
      </c>
      <c r="D432" s="3">
        <v>1.0</v>
      </c>
    </row>
    <row r="433" ht="15.75" customHeight="1">
      <c r="A433" s="1">
        <v>431.0</v>
      </c>
      <c r="B433" s="3" t="s">
        <v>434</v>
      </c>
      <c r="C433" s="3" t="str">
        <f>IFERROR(__xludf.DUMMYFUNCTION("GOOGLETRANSLATE(B433,""id"",""en"")"),"['update', 'can', 'report', 'system', 'busy', 'buy', 'package', 'difficult', 'entry', 'check', 'connectioniiiiiiii', 'report', ' System ',' Sibuuuuuuuuk ',' Report ',' Dissel ',' Update ',' Application ',' ']")</f>
        <v>['update', 'can', 'report', 'system', 'busy', 'buy', 'package', 'difficult', 'entry', 'check', 'connectioniiiiiiii', 'report', ' System ',' Sibuuuuuuuuk ',' Report ',' Dissel ',' Update ',' Application ',' ']</v>
      </c>
      <c r="D433" s="3">
        <v>1.0</v>
      </c>
    </row>
    <row r="434" ht="15.75" customHeight="1">
      <c r="A434" s="1">
        <v>432.0</v>
      </c>
      <c r="B434" s="3" t="s">
        <v>435</v>
      </c>
      <c r="C434" s="3" t="str">
        <f>IFERROR(__xludf.DUMMYFUNCTION("GOOGLETRANSLATE(B434,""id"",""en"")"),"['choose', 'option', 'menu', 'click', 'anything', 'loading', 'raises',' leftover ',' quota ',' signal ',' good ',' city ',' Please ',' repaired ',' application ',' trims']")</f>
        <v>['choose', 'option', 'menu', 'click', 'anything', 'loading', 'raises',' leftover ',' quota ',' signal ',' good ',' city ',' Please ',' repaired ',' application ',' trims']</v>
      </c>
      <c r="D434" s="3">
        <v>2.0</v>
      </c>
    </row>
    <row r="435" ht="15.75" customHeight="1">
      <c r="A435" s="1">
        <v>433.0</v>
      </c>
      <c r="B435" s="3" t="s">
        <v>436</v>
      </c>
      <c r="C435" s="3" t="str">
        <f>IFERROR(__xludf.DUMMYFUNCTION("GOOGLETRANSLATE(B435,""id"",""en"")"),"['Please', 'min', 'love', 'promo', 'cheap', 'card', 'mass',' what ',' times', 'promo', 'no', 'Perna', ' cheap expensive', '']")</f>
        <v>['Please', 'min', 'love', 'promo', 'cheap', 'card', 'mass',' what ',' times', 'promo', 'no', 'Perna', ' cheap expensive', '']</v>
      </c>
      <c r="D435" s="3">
        <v>5.0</v>
      </c>
    </row>
    <row r="436" ht="15.75" customHeight="1">
      <c r="A436" s="1">
        <v>434.0</v>
      </c>
      <c r="B436" s="3" t="s">
        <v>437</v>
      </c>
      <c r="C436" s="3" t="str">
        <f>IFERROR(__xludf.DUMMYFUNCTION("GOOGLETRANSLATE(B436,""id"",""en"")"),"['Sorry', 'min', 'already', 'buy', 'package', 'pulse', 'already', 'transfer', 'no', 'enter', 'quota', 'lost', ' pulse', '']")</f>
        <v>['Sorry', 'min', 'already', 'buy', 'package', 'pulse', 'already', 'transfer', 'no', 'enter', 'quota', 'lost', ' pulse', '']</v>
      </c>
      <c r="D436" s="3">
        <v>3.0</v>
      </c>
    </row>
    <row r="437" ht="15.75" customHeight="1">
      <c r="A437" s="1">
        <v>435.0</v>
      </c>
      <c r="B437" s="3" t="s">
        <v>438</v>
      </c>
      <c r="C437" s="3" t="str">
        <f>IFERROR(__xludf.DUMMYFUNCTION("GOOGLETRANSLATE(B437,""id"",""en"")"),"['GMANA', 'Status',' complement ',' number ',' LC ',' Fill ',' Quota ',' Family ',' Credit ',' Cut ',' Quota ',' Active ',' TGL ',' CLAIM ',' Process', 'Gada', 'Clarity', 'Gada', 'Certainty', 'Waiting', 'Waiting', 'Impact', 'Error', 'Bill', 'Card' , 'Hell"&amp;"o', 'wife', 'Tetiba', 'Sumpot', 'data', 'extra', 'buy', 'quota', 'daily', 'all', 'member', 'register', ' Packageb ',' quota ',' family ',' gegara ',' error ',' impact ',' boss', ""]")</f>
        <v>['GMANA', 'Status',' complement ',' number ',' LC ',' Fill ',' Quota ',' Family ',' Credit ',' Cut ',' Quota ',' Active ',' TGL ',' CLAIM ',' Process', 'Gada', 'Clarity', 'Gada', 'Certainty', 'Waiting', 'Waiting', 'Impact', 'Error', 'Bill', 'Card' , 'Hello', 'wife', 'Tetiba', 'Sumpot', 'data', 'extra', 'buy', 'quota', 'daily', 'all', 'member', 'register', ' Packageb ',' quota ',' family ',' gegara ',' error ',' impact ',' boss', "]</v>
      </c>
      <c r="D437" s="3">
        <v>1.0</v>
      </c>
    </row>
    <row r="438" ht="15.75" customHeight="1">
      <c r="A438" s="1">
        <v>436.0</v>
      </c>
      <c r="B438" s="3" t="s">
        <v>439</v>
      </c>
      <c r="C438" s="3" t="str">
        <f>IFERROR(__xludf.DUMMYFUNCTION("GOOGLETRANSLATE(B438,""id"",""en"")"),"['here', 'signal', 'ugly', 'feeling', 'download', 'anything', 'slow', 'really', 'original', 'system', 'please', 'barein', ' Exist ',' ']")</f>
        <v>['here', 'signal', 'ugly', 'feeling', 'download', 'anything', 'slow', 'really', 'original', 'system', 'please', 'barein', ' Exist ',' ']</v>
      </c>
      <c r="D438" s="3">
        <v>1.0</v>
      </c>
    </row>
    <row r="439" ht="15.75" customHeight="1">
      <c r="A439" s="1">
        <v>437.0</v>
      </c>
      <c r="B439" s="3" t="s">
        <v>440</v>
      </c>
      <c r="C439" s="3" t="str">
        <f>IFERROR(__xludf.DUMMYFUNCTION("GOOGLETRANSLATE(B439,""id"",""en"")"),"['Lombok', 'represent', 'friend', 'friend', 'family', 'disappointment', 'dead', 'lights',' signal ',' mampus', 'package', 'unlimited', ' Unlimited ',' Price ',' Package ',' Intend ',' Tears', 'Propaidider', 'Bejamaah', 'Propaidider', 'previous']")</f>
        <v>['Lombok', 'represent', 'friend', 'friend', 'family', 'disappointment', 'dead', 'lights',' signal ',' mampus', 'package', 'unlimited', ' Unlimited ',' Price ',' Package ',' Intend ',' Tears', 'Propaidider', 'Bejamaah', 'Propaidider', 'previous']</v>
      </c>
      <c r="D439" s="3">
        <v>1.0</v>
      </c>
    </row>
    <row r="440" ht="15.75" customHeight="1">
      <c r="A440" s="1">
        <v>438.0</v>
      </c>
      <c r="B440" s="3" t="s">
        <v>441</v>
      </c>
      <c r="C440" s="3" t="str">
        <f>IFERROR(__xludf.DUMMYFUNCTION("GOOGLETRANSLATE(B440,""id"",""en"")"),"['Severe', 'Come here', 'Package', 'Unlimited', 'UDH', 'NGK', 'Taudah', 'Ama', 'Telkomsel']")</f>
        <v>['Severe', 'Come here', 'Package', 'Unlimited', 'UDH', 'NGK', 'Taudah', 'Ama', 'Telkomsel']</v>
      </c>
      <c r="D440" s="3">
        <v>1.0</v>
      </c>
    </row>
    <row r="441" ht="15.75" customHeight="1">
      <c r="A441" s="1">
        <v>439.0</v>
      </c>
      <c r="B441" s="3" t="s">
        <v>442</v>
      </c>
      <c r="C441" s="3" t="str">
        <f>IFERROR(__xludf.DUMMYFUNCTION("GOOGLETRANSLATE(B441,""id"",""en"")"),"['Star', 'Karna', 'Update', 'Login', 'Application', 'Ribet', 'Enter', 'Number', 'Official', 'Mash', 'Difficult', 'Enter', ' Enter ',' enter ',' email ',' notification ',' email ',' registered ',' application ',' garbage ', ""]")</f>
        <v>['Star', 'Karna', 'Update', 'Login', 'Application', 'Ribet', 'Enter', 'Number', 'Official', 'Mash', 'Difficult', 'Enter', ' Enter ',' enter ',' email ',' notification ',' email ',' registered ',' application ',' garbage ', "]</v>
      </c>
      <c r="D441" s="3">
        <v>1.0</v>
      </c>
    </row>
    <row r="442" ht="15.75" customHeight="1">
      <c r="A442" s="1">
        <v>440.0</v>
      </c>
      <c r="B442" s="3" t="s">
        <v>443</v>
      </c>
      <c r="C442" s="3" t="str">
        <f>IFERROR(__xludf.DUMMYFUNCTION("GOOGLETRANSLATE(B442,""id"",""en"")"),"['application', 'mantapppppppppppp', 'quota', 'free', 'check', 'pretty', 'yap', 'basically', 'steady']")</f>
        <v>['application', 'mantapppppppppppp', 'quota', 'free', 'check', 'pretty', 'yap', 'basically', 'steady']</v>
      </c>
      <c r="D442" s="3">
        <v>5.0</v>
      </c>
    </row>
    <row r="443" ht="15.75" customHeight="1">
      <c r="A443" s="1">
        <v>441.0</v>
      </c>
      <c r="B443" s="3" t="s">
        <v>444</v>
      </c>
      <c r="C443" s="3" t="str">
        <f>IFERROR(__xludf.DUMMYFUNCTION("GOOGLETRANSLATE(B443,""id"",""en"")"),"['Service', 'Telkomsel', 'Good', 'Quality', 'Network', 'Internet', 'Superior', 'Try', 'Increase', 'Customer', 'Faithful', 'Faithful', ' ']")</f>
        <v>['Service', 'Telkomsel', 'Good', 'Quality', 'Network', 'Internet', 'Superior', 'Try', 'Increase', 'Customer', 'Faithful', 'Faithful', ' ']</v>
      </c>
      <c r="D443" s="3">
        <v>4.0</v>
      </c>
    </row>
    <row r="444" ht="15.75" customHeight="1">
      <c r="A444" s="1">
        <v>442.0</v>
      </c>
      <c r="B444" s="3" t="s">
        <v>445</v>
      </c>
      <c r="C444" s="3" t="str">
        <f>IFERROR(__xludf.DUMMYFUNCTION("GOOGLETRANSLATE(B444,""id"",""en"")"),"['', 'update', 'Severe', 'buy', 'package', 'answer', 'sorry', 'disorder', 'system', 'wait', 'minute', 'udh', "" ]")</f>
        <v>['', 'update', 'Severe', 'buy', 'package', 'answer', 'sorry', 'disorder', 'system', 'wait', 'minute', 'udh', " ]</v>
      </c>
      <c r="D444" s="3">
        <v>1.0</v>
      </c>
    </row>
    <row r="445" ht="15.75" customHeight="1">
      <c r="A445" s="1">
        <v>443.0</v>
      </c>
      <c r="B445" s="3" t="s">
        <v>446</v>
      </c>
      <c r="C445" s="3" t="str">
        <f>IFERROR(__xludf.DUMMYFUNCTION("GOOGLETRANSLATE(B445,""id"",""en"")"),"['expensive', 'package', 'data', 'knpa', 'delete', 'cook', 'yes',' skrg ',' gb ',' rb ',' really ',' suntuk ',' Telkomsel ',' over ',' package ',' expensive ',' kek ',' gini ']")</f>
        <v>['expensive', 'package', 'data', 'knpa', 'delete', 'cook', 'yes',' skrg ',' gb ',' rb ',' really ',' suntuk ',' Telkomsel ',' over ',' package ',' expensive ',' kek ',' gini ']</v>
      </c>
      <c r="D445" s="3">
        <v>1.0</v>
      </c>
    </row>
    <row r="446" ht="15.75" customHeight="1">
      <c r="A446" s="1">
        <v>444.0</v>
      </c>
      <c r="B446" s="3" t="s">
        <v>447</v>
      </c>
      <c r="C446" s="3" t="str">
        <f>IFERROR(__xludf.DUMMYFUNCTION("GOOGLETRANSLATE(B446,""id"",""en"")"),"['application', 'Telkomsel', 'use', 'user', 'help', 'Telkomsel', 'speed', 'data', 'fair', 'slow', 'beg', 'enhanced', ' Aslined ',' Customer ',' ']")</f>
        <v>['application', 'Telkomsel', 'use', 'user', 'help', 'Telkomsel', 'speed', 'data', 'fair', 'slow', 'beg', 'enhanced', ' Aslined ',' Customer ',' ']</v>
      </c>
      <c r="D446" s="3">
        <v>5.0</v>
      </c>
    </row>
    <row r="447" ht="15.75" customHeight="1">
      <c r="A447" s="1">
        <v>445.0</v>
      </c>
      <c r="B447" s="3" t="s">
        <v>448</v>
      </c>
      <c r="C447" s="3" t="str">
        <f>IFERROR(__xludf.DUMMYFUNCTION("GOOGLETRANSLATE(B447,""id"",""en"")"),"['Please', 'notification', 'rare', 'Most', 'annoying', 'a day', 'notification', 'enter', 'sms',' application ',' time ',' tells', ' Credit ',' Quota ',' Most ',' Devcolector ']")</f>
        <v>['Please', 'notification', 'rare', 'Most', 'annoying', 'a day', 'notification', 'enter', 'sms',' application ',' time ',' tells', ' Credit ',' Quota ',' Most ',' Devcolector ']</v>
      </c>
      <c r="D447" s="3">
        <v>4.0</v>
      </c>
    </row>
    <row r="448" ht="15.75" customHeight="1">
      <c r="A448" s="1">
        <v>446.0</v>
      </c>
      <c r="B448" s="3" t="s">
        <v>449</v>
      </c>
      <c r="C448" s="3" t="str">
        <f>IFERROR(__xludf.DUMMYFUNCTION("GOOGLETRANSLATE(B448,""id"",""en"")"),"['Program', 'Daily', 'Check', 'Not bad', 'Purchase', 'Application', 'Current', 'BTW', 'BTW', 'Love', 'Star', 'Application', ' ']")</f>
        <v>['Program', 'Daily', 'Check', 'Not bad', 'Purchase', 'Application', 'Current', 'BTW', 'BTW', 'Love', 'Star', 'Application', ' ']</v>
      </c>
      <c r="D448" s="3">
        <v>5.0</v>
      </c>
    </row>
    <row r="449" ht="15.75" customHeight="1">
      <c r="A449" s="1">
        <v>447.0</v>
      </c>
      <c r="B449" s="3" t="s">
        <v>450</v>
      </c>
      <c r="C449" s="3" t="str">
        <f>IFERROR(__xludf.DUMMYFUNCTION("GOOGLETRANSLATE(B449,""id"",""en"")"),"['KPAWE', 'KPD', 'Telkomsel', 'expensive', 'package', 'NOT', 'User', 'Cheap', 'Feature', 'Changed', 'Distinguishing', 'Card', ' Users', 'loyal', 'Telkomseh', 'age', 'card', 'cheap', 'price', 'kouta', 'please', 'distinguish', '']")</f>
        <v>['KPAWE', 'KPD', 'Telkomsel', 'expensive', 'package', 'NOT', 'User', 'Cheap', 'Feature', 'Changed', 'Distinguishing', 'Card', ' Users', 'loyal', 'Telkomseh', 'age', 'card', 'cheap', 'price', 'kouta', 'please', 'distinguish', '']</v>
      </c>
      <c r="D449" s="3">
        <v>1.0</v>
      </c>
    </row>
    <row r="450" ht="15.75" customHeight="1">
      <c r="A450" s="1">
        <v>448.0</v>
      </c>
      <c r="B450" s="3" t="s">
        <v>451</v>
      </c>
      <c r="C450" s="3" t="str">
        <f>IFERROR(__xludf.DUMMYFUNCTION("GOOGLETRANSLATE(B450,""id"",""en"")"),"['quota', 'omg', 'GB', 'application', 'tick', 'tok', 'disappointed', 'suggested', 'restat', 'minutes',' do ',' result ',' zonk ',' klu ',' use ',' provaider ',' ']")</f>
        <v>['quota', 'omg', 'GB', 'application', 'tick', 'tok', 'disappointed', 'suggested', 'restat', 'minutes',' do ',' result ',' zonk ',' klu ',' use ',' provaider ',' ']</v>
      </c>
      <c r="D450" s="3">
        <v>1.0</v>
      </c>
    </row>
    <row r="451" ht="15.75" customHeight="1">
      <c r="A451" s="1">
        <v>449.0</v>
      </c>
      <c r="B451" s="3" t="s">
        <v>452</v>
      </c>
      <c r="C451" s="3" t="str">
        <f>IFERROR(__xludf.DUMMYFUNCTION("GOOGLETRANSLATE(B451,""id"",""en"")"),"['card', 'no', 'get', 'signal', 'Mulu', 'enter', 'application', 'list', 'enter', 'number', 'notification', 'gmail', ' Nge ',' Register ',' Tetep ',' No ',' Signal ', ""]")</f>
        <v>['card', 'no', 'get', 'signal', 'Mulu', 'enter', 'application', 'list', 'enter', 'number', 'notification', 'gmail', ' Nge ',' Register ',' Tetep ',' No ',' Signal ', "]</v>
      </c>
      <c r="D451" s="3">
        <v>1.0</v>
      </c>
    </row>
    <row r="452" ht="15.75" customHeight="1">
      <c r="A452" s="1">
        <v>450.0</v>
      </c>
      <c r="B452" s="3" t="s">
        <v>453</v>
      </c>
      <c r="C452" s="3" t="str">
        <f>IFERROR(__xludf.DUMMYFUNCTION("GOOGLETRANSLATE(B452,""id"",""en"")"),"['What', 'Understand', 'Telkomsel', 'Package', 'Main', 'Out', 'Package', 'Multimedia', 'Remnant', 'Loading', 'Open', 'APK', ' emang ',' limit ',' comfortable ',' user ',' buy ',' package ',' expensive ',' multimedia ',' use ',' run out ',' package ',' mai"&amp;"n ',' finished ' , 'Loading', 'deh', 'mending', 'sekrng', 'signal', 'stable', 'ugly', 'really', 'king', 'nntn', 'bapring']")</f>
        <v>['What', 'Understand', 'Telkomsel', 'Package', 'Main', 'Out', 'Package', 'Multimedia', 'Remnant', 'Loading', 'Open', 'APK', ' emang ',' limit ',' comfortable ',' user ',' buy ',' package ',' expensive ',' multimedia ',' use ',' run out ',' package ',' main ',' finished ' , 'Loading', 'deh', 'mending', 'sekrng', 'signal', 'stable', 'ugly', 'really', 'king', 'nntn', 'bapring']</v>
      </c>
      <c r="D452" s="3">
        <v>3.0</v>
      </c>
    </row>
    <row r="453" ht="15.75" customHeight="1">
      <c r="A453" s="1">
        <v>451.0</v>
      </c>
      <c r="B453" s="3" t="s">
        <v>454</v>
      </c>
      <c r="C453" s="3" t="str">
        <f>IFERROR(__xludf.DUMMYFUNCTION("GOOGLETRANSLATE(B453,""id"",""en"")"),"['', 'card', 'full', 'reason', 'make', 'card', 'signal', 'price', 'good', 'price', 'okay', 'contents', 'pulses' ',' RB ',' DPT ',' bonus', 'quota', 'GB', 'GB', 'then', 'gpp', 'abis',' price ',' package ',' rb ', 'GB', 'RB', 'GB', 'Separated', 'Internet', "&amp;"'AKA', 'OMG', 'TRUS', 'RB', 'Package', 'Lost', ""]")</f>
        <v>['', 'card', 'full', 'reason', 'make', 'card', 'signal', 'price', 'good', 'price', 'okay', 'contents', 'pulses' ',' RB ',' DPT ',' bonus', 'quota', 'GB', 'GB', 'then', 'gpp', 'abis',' price ',' package ',' rb ', 'GB', 'RB', 'GB', 'Separated', 'Internet', 'AKA', 'OMG', 'TRUS', 'RB', 'Package', 'Lost', "]</v>
      </c>
      <c r="D453" s="3">
        <v>3.0</v>
      </c>
    </row>
    <row r="454" ht="15.75" customHeight="1">
      <c r="A454" s="1">
        <v>452.0</v>
      </c>
      <c r="B454" s="3" t="s">
        <v>455</v>
      </c>
      <c r="C454" s="3" t="str">
        <f>IFERROR(__xludf.DUMMYFUNCTION("GOOGLETRANSLATE(B454,""id"",""en"")"),"['Purchase', 'pulse', 'package', 'meets',' late ',' contents', 'quota', 'pulse', 'contents',' quota ',' buy ',' package ',' Quota ',' Buy ',' Package ',' Combo ',' Sakti ',' Combo ',' Sakti ',' Lost ',' Notice ',' Good ',' Service ', ""]")</f>
        <v>['Purchase', 'pulse', 'package', 'meets',' late ',' contents', 'quota', 'pulse', 'contents',' quota ',' buy ',' package ',' Quota ',' Buy ',' Package ',' Combo ',' Sakti ',' Combo ',' Sakti ',' Lost ',' Notice ',' Good ',' Service ', "]</v>
      </c>
      <c r="D454" s="3">
        <v>1.0</v>
      </c>
    </row>
    <row r="455" ht="15.75" customHeight="1">
      <c r="A455" s="1">
        <v>453.0</v>
      </c>
      <c r="B455" s="3" t="s">
        <v>456</v>
      </c>
      <c r="C455" s="3" t="str">
        <f>IFERROR(__xludf.DUMMYFUNCTION("GOOGLETRANSLATE(B455,""id"",""en"")"),"['udh', 'brap', 'times',' pulse ',' leftover ',' rb ',' bsk ',' ilang ',' quota ',' maish ',' whole ',' notification ',' Suction ',' pulses', 'mending', 'make', 'kyk', 'gini', 'signal', 'ugly']")</f>
        <v>['udh', 'brap', 'times',' pulse ',' leftover ',' rb ',' bsk ',' ilang ',' quota ',' maish ',' whole ',' notification ',' Suction ',' pulses', 'mending', 'make', 'kyk', 'gini', 'signal', 'ugly']</v>
      </c>
      <c r="D455" s="3">
        <v>1.0</v>
      </c>
    </row>
    <row r="456" ht="15.75" customHeight="1">
      <c r="A456" s="1">
        <v>454.0</v>
      </c>
      <c r="B456" s="3" t="s">
        <v>457</v>
      </c>
      <c r="C456" s="3" t="str">
        <f>IFERROR(__xludf.DUMMYFUNCTION("GOOGLETRANSLATE(B456,""id"",""en"")"),"['Hold', 'Bad', 'Network', 'Telkomsel', 'Undur', 'In', 'Change', 'Provider', 'Bln', 'Disappointed', 'Telkomsel', 'Error', ' network ',' slow ',' pke ',' play ',' game ',' buffering ',' disappointed ',' mainly ',' change ',' provider ',' ajah ',' oath ',' "&amp;"disappointed ' , '']")</f>
        <v>['Hold', 'Bad', 'Network', 'Telkomsel', 'Undur', 'In', 'Change', 'Provider', 'Bln', 'Disappointed', 'Telkomsel', 'Error', ' network ',' slow ',' pke ',' play ',' game ',' buffering ',' disappointed ',' mainly ',' change ',' provider ',' ajah ',' oath ',' disappointed ' , '']</v>
      </c>
      <c r="D456" s="3">
        <v>1.0</v>
      </c>
    </row>
    <row r="457" ht="15.75" customHeight="1">
      <c r="A457" s="1">
        <v>455.0</v>
      </c>
      <c r="B457" s="3" t="s">
        <v>458</v>
      </c>
      <c r="C457" s="3" t="str">
        <f>IFERROR(__xludf.DUMMYFUNCTION("GOOGLETRANSLATE(B457,""id"",""en"")"),"['Good', 'application', 'MyTelkomsel', 'makes it easier', 'choose', 'subscribe', 'package', 'internet', 'price', 'capitalist', 'woaaaaaaah', ""]")</f>
        <v>['Good', 'application', 'MyTelkomsel', 'makes it easier', 'choose', 'subscribe', 'package', 'internet', 'price', 'capitalist', 'woaaaaaaah', "]</v>
      </c>
      <c r="D457" s="3">
        <v>5.0</v>
      </c>
    </row>
    <row r="458" ht="15.75" customHeight="1">
      <c r="A458" s="1">
        <v>456.0</v>
      </c>
      <c r="B458" s="3" t="s">
        <v>459</v>
      </c>
      <c r="C458" s="3" t="str">
        <f>IFERROR(__xludf.DUMMYFUNCTION("GOOGLETRANSLATE(B458,""id"",""en"")"),"['Thinking', 'Consumers',' Telkomsel ',' improvement ',' improved ',' deteriorated ',' sinyalll ',' network ',' lost ',' dead ',' teruuss', 'planing', ' Upgrade ',' Qok ',' chaotic ',' please ',' repaired ',' criticism ', ""]")</f>
        <v>['Thinking', 'Consumers',' Telkomsel ',' improvement ',' improved ',' deteriorated ',' sinyalll ',' network ',' lost ',' dead ',' teruuss', 'planing', ' Upgrade ',' Qok ',' chaotic ',' please ',' repaired ',' criticism ', "]</v>
      </c>
      <c r="D458" s="3">
        <v>1.0</v>
      </c>
    </row>
    <row r="459" ht="15.75" customHeight="1">
      <c r="A459" s="1">
        <v>457.0</v>
      </c>
      <c r="B459" s="3" t="s">
        <v>460</v>
      </c>
      <c r="C459" s="3" t="str">
        <f>IFERROR(__xludf.DUMMYFUNCTION("GOOGLETRANSLATE(B459,""id"",""en"")"),"['package', 'internet', 'expensive', 'quality', 'network', 'decreases',' ping ',' below ',' tested ',' speedtest ',' please ',' repaired ',' Provider ',' pleasee ']")</f>
        <v>['package', 'internet', 'expensive', 'quality', 'network', 'decreases',' ping ',' below ',' tested ',' speedtest ',' please ',' repaired ',' Provider ',' pleasee ']</v>
      </c>
      <c r="D459" s="3">
        <v>1.0</v>
      </c>
    </row>
    <row r="460" ht="15.75" customHeight="1">
      <c r="A460" s="1">
        <v>458.0</v>
      </c>
      <c r="B460" s="3" t="s">
        <v>461</v>
      </c>
      <c r="C460" s="3" t="str">
        <f>IFERROR(__xludf.DUMMYFUNCTION("GOOGLETRANSLATE(B460,""id"",""en"")"),"['Best', 'Worst', 'Severe', 'Region', 'Telkomsel', 'Krang', 'Moving', 'SIM', 'Card', '']")</f>
        <v>['Best', 'Worst', 'Severe', 'Region', 'Telkomsel', 'Krang', 'Moving', 'SIM', 'Card', '']</v>
      </c>
      <c r="D460" s="3">
        <v>1.0</v>
      </c>
    </row>
    <row r="461" ht="15.75" customHeight="1">
      <c r="A461" s="1">
        <v>459.0</v>
      </c>
      <c r="B461" s="3" t="s">
        <v>462</v>
      </c>
      <c r="C461" s="3" t="str">
        <f>IFERROR(__xludf.DUMMYFUNCTION("GOOGLETRANSLATE(B461,""id"",""en"")"),"['Telkomsel', 'chaotic', 'list', 'package', 'quota', 'use', 'quota', 'intact', 'pulse', 'eat', 'what', 'sia', ' ',' list ',' package ',' stop ',' package ',' quota ',' subscription ',' then ',' pulse ',' pulses', ""]")</f>
        <v>['Telkomsel', 'chaotic', 'list', 'package', 'quota', 'use', 'quota', 'intact', 'pulse', 'eat', 'what', 'sia', ' ',' list ',' package ',' stop ',' package ',' quota ',' subscription ',' then ',' pulse ',' pulses', "]</v>
      </c>
      <c r="D461" s="3">
        <v>1.0</v>
      </c>
    </row>
    <row r="462" ht="15.75" customHeight="1">
      <c r="A462" s="1">
        <v>460.0</v>
      </c>
      <c r="B462" s="3" t="s">
        <v>463</v>
      </c>
      <c r="C462" s="3" t="str">
        <f>IFERROR(__xludf.DUMMYFUNCTION("GOOGLETRANSLATE(B462,""id"",""en"")"),"['', 'Bener', 'Donk', 'Min', 'Lose', 'Ama', 'Axis',' shoot ',' package ',' internet ',' main ',' night ',' right away ',' Scorched ',' MLM ',' Jancuuukkkk ',' It's', 'KLW', 'Shoot', 'As',' Shoot ',' Exhaustible ',' Nipu ', ""]")</f>
        <v>['', 'Bener', 'Donk', 'Min', 'Lose', 'Ama', 'Axis',' shoot ',' package ',' internet ',' main ',' night ',' right away ',' Scorched ',' MLM ',' Jancuuukkkk ',' It's', 'KLW', 'Shoot', 'As',' Shoot ',' Exhaustible ',' Nipu ', "]</v>
      </c>
      <c r="D462" s="3">
        <v>1.0</v>
      </c>
    </row>
    <row r="463" ht="15.75" customHeight="1">
      <c r="A463" s="1">
        <v>461.0</v>
      </c>
      <c r="B463" s="3" t="s">
        <v>464</v>
      </c>
      <c r="C463" s="3" t="str">
        <f>IFERROR(__xludf.DUMMYFUNCTION("GOOGLETRANSLATE(B463,""id"",""en"")"),"['Wonder', 'cave', 'provider', 'best', 'network', 'ugly', 'price', 'kouta', 'pulse', 'lost', 'where', 'Telkomsel', ' Keep ',' Performance ',' BNYK ',' Move ',' Provider ',' Cut ',' Teroooos', 'Credit', 'Guaaa', 'Potonggggg', 'Logo', 'Update', 'Basic' ]")</f>
        <v>['Wonder', 'cave', 'provider', 'best', 'network', 'ugly', 'price', 'kouta', 'pulse', 'lost', 'where', 'Telkomsel', ' Keep ',' Performance ',' BNYK ',' Move ',' Provider ',' Cut ',' Teroooos', 'Credit', 'Guaaa', 'Potonggggg', 'Logo', 'Update', 'Basic' ]</v>
      </c>
      <c r="D463" s="3">
        <v>1.0</v>
      </c>
    </row>
    <row r="464" ht="15.75" customHeight="1">
      <c r="A464" s="1">
        <v>462.0</v>
      </c>
      <c r="B464" s="3" t="s">
        <v>465</v>
      </c>
      <c r="C464" s="3" t="str">
        <f>IFERROR(__xludf.DUMMYFUNCTION("GOOGLETRANSLATE(B464,""id"",""en"")"),"['Telomsel', 'Severe', 'Sekarng', 'Network', 'Signal', 'Paranh', 'Multiple', 'Customer', 'Udh', 'No', 'Rich', 'Current', ' UDH ',' Telkomsel ',' bad ',' Network ',' no ',' noon ',' no ',' afternoon ',' night ',' network ',' ugly ',' lose ',' high school '"&amp;" , 'high school', 'card', 'next door', 'Ujan', 'poko', 'disappointing', '']")</f>
        <v>['Telomsel', 'Severe', 'Sekarng', 'Network', 'Signal', 'Paranh', 'Multiple', 'Customer', 'Udh', 'No', 'Rich', 'Current', ' UDH ',' Telkomsel ',' bad ',' Network ',' no ',' noon ',' no ',' afternoon ',' night ',' network ',' ugly ',' lose ',' high school ' , 'high school', 'card', 'next door', 'Ujan', 'poko', 'disappointing', '']</v>
      </c>
      <c r="D464" s="3">
        <v>1.0</v>
      </c>
    </row>
    <row r="465" ht="15.75" customHeight="1">
      <c r="A465" s="1">
        <v>463.0</v>
      </c>
      <c r="B465" s="3" t="s">
        <v>466</v>
      </c>
      <c r="C465" s="3" t="str">
        <f>IFERROR(__xludf.DUMMYFUNCTION("GOOGLETRANSLATE(B465,""id"",""en"")"),"['Gosha', 'Telkomsel', 'Network', 'Severe', 'really', 'already', 'complaints',' Customer ',' let stand ',' close ',' eyes', 'proof', ' Nyelesain ',' ']")</f>
        <v>['Gosha', 'Telkomsel', 'Network', 'Severe', 'really', 'already', 'complaints',' Customer ',' let stand ',' close ',' eyes', 'proof', ' Nyelesain ',' ']</v>
      </c>
      <c r="D465" s="3">
        <v>3.0</v>
      </c>
    </row>
    <row r="466" ht="15.75" customHeight="1">
      <c r="A466" s="1">
        <v>464.0</v>
      </c>
      <c r="B466" s="3" t="s">
        <v>467</v>
      </c>
      <c r="C466" s="3" t="str">
        <f>IFERROR(__xludf.DUMMYFUNCTION("GOOGLETRANSLATE(B466,""id"",""en"")"),"['Maketin', 'quota', 'how', 'apk', 'Telkomsel', 'open', 'direct', 'menu', 'main', 'telkomsel', 'already', '' years ',' sekrang ',' bad ',' service ',' ']")</f>
        <v>['Maketin', 'quota', 'how', 'apk', 'Telkomsel', 'open', 'direct', 'menu', 'main', 'telkomsel', 'already', '' years ',' sekrang ',' bad ',' service ',' ']</v>
      </c>
      <c r="D466" s="3">
        <v>1.0</v>
      </c>
    </row>
    <row r="467" ht="15.75" customHeight="1">
      <c r="A467" s="1">
        <v>465.0</v>
      </c>
      <c r="B467" s="3" t="s">
        <v>468</v>
      </c>
      <c r="C467" s="3" t="str">
        <f>IFERROR(__xludf.DUMMYFUNCTION("GOOGLETRANSLATE(B467,""id"",""en"")"),"['Disappointed', 'really', 'update', 'update', 'package', 'uninited', 'thousand', 'update', 'lost', 'woee', 'that's',' loss', ' cave ',' already ',' already ',' buy ',' pulse ',' buy ',' package ',' missing ',' update ',' my apk ',' ']")</f>
        <v>['Disappointed', 'really', 'update', 'update', 'package', 'uninited', 'thousand', 'update', 'lost', 'woee', 'that's',' loss', ' cave ',' already ',' already ',' buy ',' pulse ',' buy ',' package ',' missing ',' update ',' my apk ',' ']</v>
      </c>
      <c r="D467" s="3">
        <v>2.0</v>
      </c>
    </row>
    <row r="468" ht="15.75" customHeight="1">
      <c r="A468" s="1">
        <v>466.0</v>
      </c>
      <c r="B468" s="3" t="s">
        <v>469</v>
      </c>
      <c r="C468" s="3" t="str">
        <f>IFERROR(__xludf.DUMMYFUNCTION("GOOGLETRANSLATE(B468,""id"",""en"")"),"['package', 'then', 'network', 'broken', 'Please', 'min', 'package', 'rise', 'little', 'sometimes',' sometimes', 'sampek', ' ']")</f>
        <v>['package', 'then', 'network', 'broken', 'Please', 'min', 'package', 'rise', 'little', 'sometimes',' sometimes', 'sampek', ' ']</v>
      </c>
      <c r="D468" s="3">
        <v>3.0</v>
      </c>
    </row>
    <row r="469" ht="15.75" customHeight="1">
      <c r="A469" s="1">
        <v>467.0</v>
      </c>
      <c r="B469" s="3" t="s">
        <v>470</v>
      </c>
      <c r="C469" s="3" t="str">
        <f>IFERROR(__xludf.DUMMYFUNCTION("GOOGLETRANSLATE(B469,""id"",""en"")"),"['Sad', 'really', 'skrng', 'customers',' sympathy ',' buy ',' pulse ',' rb ',' right ',' chek ',' just ',' nge ',' activated ',' data ',' SIM ',' sympathy ',' sender ',' already ',' entry ',' pulse ',' enter ',' strange ',' strange ',' lazy ',' sympathy '"&amp;" , 'already', 'slow', 'network', 'pulses', 'ilang', 'poor', 'pepayhh']")</f>
        <v>['Sad', 'really', 'skrng', 'customers',' sympathy ',' buy ',' pulse ',' rb ',' right ',' chek ',' just ',' nge ',' activated ',' data ',' SIM ',' sympathy ',' sender ',' already ',' entry ',' pulse ',' enter ',' strange ',' strange ',' lazy ',' sympathy ' , 'already', 'slow', 'network', 'pulses', 'ilang', 'poor', 'pepayhh']</v>
      </c>
      <c r="D469" s="3">
        <v>1.0</v>
      </c>
    </row>
    <row r="470" ht="15.75" customHeight="1">
      <c r="A470" s="1">
        <v>468.0</v>
      </c>
      <c r="B470" s="3" t="s">
        <v>471</v>
      </c>
      <c r="C470" s="3" t="str">
        <f>IFERROR(__xludf.DUMMYFUNCTION("GOOGLETRANSLATE(B470,""id"",""en"")"),"['Cool', 'buy', 'quota', 'signal', 'smooth', 'good', 'play', 'game', 'ngeleg', 'lho', 'kirain', 'buy', ' and above ',' JDI ',' good ',' signal ',' yes', 'Jngn', 'MOTININ', 'Internet', 'Local', 'Internet', 'All', 'Mending', 'multiply' , 'Internet', 'All', "&amp;"'Woke', 'Mksh', 'Say', 'Wassalamu', 'Alaikum', 'Warahmatullah', 'wabarakatuh']")</f>
        <v>['Cool', 'buy', 'quota', 'signal', 'smooth', 'good', 'play', 'game', 'ngeleg', 'lho', 'kirain', 'buy', ' and above ',' JDI ',' good ',' signal ',' yes', 'Jngn', 'MOTININ', 'Internet', 'Local', 'Internet', 'All', 'Mending', 'multiply' , 'Internet', 'All', 'Woke', 'Mksh', 'Say', 'Wassalamu', 'Alaikum', 'Warahmatullah', 'wabarakatuh']</v>
      </c>
      <c r="D470" s="3">
        <v>1.0</v>
      </c>
    </row>
    <row r="471" ht="15.75" customHeight="1">
      <c r="A471" s="1">
        <v>469.0</v>
      </c>
      <c r="B471" s="3" t="s">
        <v>472</v>
      </c>
      <c r="C471" s="3" t="str">
        <f>IFERROR(__xludf.DUMMYFUNCTION("GOOGLETRANSLATE(B471,""id"",""en"")"),"['many years',' Tsel ',' safe ',' a year ',' network ',' slow ',' outside ',' slow ',' Didlm ',' room ',' enhanced ',' maslah ',' Constraints', 'Costumer', 'Left', 'Provider', '']")</f>
        <v>['many years',' Tsel ',' safe ',' a year ',' network ',' slow ',' outside ',' slow ',' Didlm ',' room ',' enhanced ',' maslah ',' Constraints', 'Costumer', 'Left', 'Provider', '']</v>
      </c>
      <c r="D471" s="3">
        <v>5.0</v>
      </c>
    </row>
    <row r="472" ht="15.75" customHeight="1">
      <c r="A472" s="1">
        <v>470.0</v>
      </c>
      <c r="B472" s="3" t="s">
        <v>473</v>
      </c>
      <c r="C472" s="3" t="str">
        <f>IFERROR(__xludf.DUMMYFUNCTION("GOOGLETRANSLATE(B472,""id"",""en"")"),"['disappointed', 'package', 'expensive', 'signal', 'cheap', 'according to', 'use', 'product', 'Telkomsel', 'suggest', 'replace', 'provider', ' late ',' regret ', ""]")</f>
        <v>['disappointed', 'package', 'expensive', 'signal', 'cheap', 'according to', 'use', 'product', 'Telkomsel', 'suggest', 'replace', 'provider', ' late ',' regret ', "]</v>
      </c>
      <c r="D472" s="3">
        <v>1.0</v>
      </c>
    </row>
    <row r="473" ht="15.75" customHeight="1">
      <c r="A473" s="1">
        <v>471.0</v>
      </c>
      <c r="B473" s="3" t="s">
        <v>474</v>
      </c>
      <c r="C473" s="3" t="str">
        <f>IFERROR(__xludf.DUMMYFUNCTION("GOOGLETRANSLATE(B473,""id"",""en"")"),"['Hello', 'min', 'complain', 'right', 'already', 'contents',' pulse ',' direct ',' cut ',' buy ',' package ',' quota ',' annoyed', '']")</f>
        <v>['Hello', 'min', 'complain', 'right', 'already', 'contents',' pulse ',' direct ',' cut ',' buy ',' package ',' quota ',' annoyed', '']</v>
      </c>
      <c r="D473" s="3">
        <v>1.0</v>
      </c>
    </row>
    <row r="474" ht="15.75" customHeight="1">
      <c r="A474" s="1">
        <v>472.0</v>
      </c>
      <c r="B474" s="3" t="s">
        <v>475</v>
      </c>
      <c r="C474" s="3" t="str">
        <f>IFERROR(__xludf.DUMMYFUNCTION("GOOGLETRANSLATE(B474,""id"",""en"")"),"['Change', 'restrictions',' Fair ',' FUP ',' then ',' Addin ',' Price ',' PKE ',' Unlimited ',' Taik ',' Klu ',' Abis', ' Jringn ',' Down ',' Nipu ',' Card ',' Unlimited ',' Abis', 'Unlimited', 'Sosmed', 'Kenpa', 'Afraid', 'Loss',' Taik ']")</f>
        <v>['Change', 'restrictions',' Fair ',' FUP ',' then ',' Addin ',' Price ',' PKE ',' Unlimited ',' Taik ',' Klu ',' Abis', ' Jringn ',' Down ',' Nipu ',' Card ',' Unlimited ',' Abis', 'Unlimited', 'Sosmed', 'Kenpa', 'Afraid', 'Loss',' Taik ']</v>
      </c>
      <c r="D474" s="3">
        <v>1.0</v>
      </c>
    </row>
    <row r="475" ht="15.75" customHeight="1">
      <c r="A475" s="1">
        <v>473.0</v>
      </c>
      <c r="B475" s="3" t="s">
        <v>476</v>
      </c>
      <c r="C475" s="3" t="str">
        <f>IFERROR(__xludf.DUMMYFUNCTION("GOOGLETRANSLATE(B475,""id"",""en"")"),"['APK', 'APK', 'already', 'good', 'really', 'TPI', 'card', 'Telkomsel', 'broken', 'change', 'card', 'Telcom', ' his signal ',' data ',' lost ',' card ',' good ',' my place ',' meter ',' tower ',' signal ',' disappointed ',' already ',' every year ',' pake"&amp;"k ' , 'Telkomsel', '']")</f>
        <v>['APK', 'APK', 'already', 'good', 'really', 'TPI', 'card', 'Telkomsel', 'broken', 'change', 'card', 'Telcom', ' his signal ',' data ',' lost ',' card ',' good ',' my place ',' meter ',' tower ',' signal ',' disappointed ',' already ',' every year ',' pakek ' , 'Telkomsel', '']</v>
      </c>
      <c r="D475" s="3">
        <v>1.0</v>
      </c>
    </row>
    <row r="476" ht="15.75" customHeight="1">
      <c r="A476" s="1">
        <v>474.0</v>
      </c>
      <c r="B476" s="3" t="s">
        <v>477</v>
      </c>
      <c r="C476" s="3" t="str">
        <f>IFERROR(__xludf.DUMMYFUNCTION("GOOGLETRANSLATE(B476,""id"",""en"")"),"['Bad', 'Quality', 'Network', 'Internet', 'Telkomsel', 'Rely on', 'Browsing', 'Mending', 'Move', 'Card', 'Telkomsel', 'Bankrupt', ' time', '']")</f>
        <v>['Bad', 'Quality', 'Network', 'Internet', 'Telkomsel', 'Rely on', 'Browsing', 'Mending', 'Move', 'Card', 'Telkomsel', 'Bankrupt', ' time', '']</v>
      </c>
      <c r="D476" s="3">
        <v>1.0</v>
      </c>
    </row>
    <row r="477" ht="15.75" customHeight="1">
      <c r="A477" s="1">
        <v>475.0</v>
      </c>
      <c r="B477" s="3" t="s">
        <v>478</v>
      </c>
      <c r="C477" s="3" t="str">
        <f>IFERROR(__xludf.DUMMYFUNCTION("GOOGLETRANSLATE(B477,""id"",""en"")"),"['Please', 'Telkomsel', 'Eliminate', 'Package', 'Combo', 'Sakti', 'GB', 'Package', 'Move', 'Card', 'Package']")</f>
        <v>['Please', 'Telkomsel', 'Eliminate', 'Package', 'Combo', 'Sakti', 'GB', 'Package', 'Move', 'Card', 'Package']</v>
      </c>
      <c r="D477" s="3">
        <v>1.0</v>
      </c>
    </row>
    <row r="478" ht="15.75" customHeight="1">
      <c r="A478" s="1">
        <v>476.0</v>
      </c>
      <c r="B478" s="3" t="s">
        <v>479</v>
      </c>
      <c r="C478" s="3" t="str">
        <f>IFERROR(__xludf.DUMMYFUNCTION("GOOGLETRANSLATE(B478,""id"",""en"")"),"['Destroyed', 'Sinyal', 'Mending', 'Change', 'Quota', 'Emotion', 'Use', 'Quota', 'Play', 'Ngelag', 'Open', 'Photo', ' Ngellag ']")</f>
        <v>['Destroyed', 'Sinyal', 'Mending', 'Change', 'Quota', 'Emotion', 'Use', 'Quota', 'Play', 'Ngelag', 'Open', 'Photo', ' Ngellag ']</v>
      </c>
      <c r="D478" s="3">
        <v>1.0</v>
      </c>
    </row>
    <row r="479" ht="15.75" customHeight="1">
      <c r="A479" s="1">
        <v>477.0</v>
      </c>
      <c r="B479" s="3" t="s">
        <v>480</v>
      </c>
      <c r="C479" s="3" t="str">
        <f>IFERROR(__xludf.DUMMYFUNCTION("GOOGLETRANSLATE(B479,""id"",""en"")"),"['Please', 'explanation', 'already', 'a week', 'signal', 'komsel', 'bad', 'really', 'change', 'number', 'sympathy', 'signal', ' Strong ',' Open ',' Application ',' News', 'MULE', 'Sometimes',' Connection ',' ']")</f>
        <v>['Please', 'explanation', 'already', 'a week', 'signal', 'komsel', 'bad', 'really', 'change', 'number', 'sympathy', 'signal', ' Strong ',' Open ',' Application ',' News', 'MULE', 'Sometimes',' Connection ',' ']</v>
      </c>
      <c r="D479" s="3">
        <v>1.0</v>
      </c>
    </row>
    <row r="480" ht="15.75" customHeight="1">
      <c r="A480" s="1">
        <v>478.0</v>
      </c>
      <c r="B480" s="3" t="s">
        <v>481</v>
      </c>
      <c r="C480" s="3" t="str">
        <f>IFERROR(__xludf.DUMMYFUNCTION("GOOGLETRANSLATE(B480,""id"",""en"")"),"['Application', 'ask', 'complaints',' really ',' response ',' employees', 'work', 'Rumpi', 'consumers',' dilayanin ',' Telkomsel ',' Lwat ',' Chatt ',' Tel ',' Wait ',' aspect ',' quota ',' already ',' expensive ',' compared to ',' provider ',' love ',' s"&amp;"ervice ',' good ',' read ' , 'Reviews', 'most', 'disappointed', 'network', '']")</f>
        <v>['Application', 'ask', 'complaints',' really ',' response ',' employees', 'work', 'Rumpi', 'consumers',' dilayanin ',' Telkomsel ',' Lwat ',' Chatt ',' Tel ',' Wait ',' aspect ',' quota ',' already ',' expensive ',' compared to ',' provider ',' love ',' service ',' good ',' read ' , 'Reviews', 'most', 'disappointed', 'network', '']</v>
      </c>
      <c r="D480" s="3">
        <v>1.0</v>
      </c>
    </row>
    <row r="481" ht="15.75" customHeight="1">
      <c r="A481" s="1">
        <v>479.0</v>
      </c>
      <c r="B481" s="3" t="s">
        <v>482</v>
      </c>
      <c r="C481" s="3" t="str">
        <f>IFERROR(__xludf.DUMMYFUNCTION("GOOGLETRANSLATE(B481,""id"",""en"")"),"['Telkomsel', 'bad', 'Yesterday', 'bought', 'package', 'games',' max ',' silver ',' mobile ',' legend ',' reduced ',' package ',' internet ',' main ',' package ',' mainly ',' run out ',' package ',' game ',' GB ',' Main ',' mobile ',' Legend ',' experienc"&amp;"e ',' price ' , 'expensive', 'problematic', 'tekomsel', 'Please', 'repaired', 'left', 'read', 'reviews', '']")</f>
        <v>['Telkomsel', 'bad', 'Yesterday', 'bought', 'package', 'games',' max ',' silver ',' mobile ',' legend ',' reduced ',' package ',' internet ',' main ',' package ',' mainly ',' run out ',' package ',' game ',' GB ',' Main ',' mobile ',' Legend ',' experience ',' price ' , 'expensive', 'problematic', 'tekomsel', 'Please', 'repaired', 'left', 'read', 'reviews', '']</v>
      </c>
      <c r="D481" s="3">
        <v>1.0</v>
      </c>
    </row>
    <row r="482" ht="15.75" customHeight="1">
      <c r="A482" s="1">
        <v>480.0</v>
      </c>
      <c r="B482" s="3" t="s">
        <v>483</v>
      </c>
      <c r="C482" s="3" t="str">
        <f>IFERROR(__xludf.DUMMYFUNCTION("GOOGLETRANSLATE(B482,""id"",""en"")"),"['network', 'the widest', 'Indonesia', 'kah', 'Telkomsel', 'connection', 'internet', 'down', 'location', 'in the city', 'dipedaan', ""]")</f>
        <v>['network', 'the widest', 'Indonesia', 'kah', 'Telkomsel', 'connection', 'internet', 'down', 'location', 'in the city', 'dipedaan', "]</v>
      </c>
      <c r="D482" s="3">
        <v>2.0</v>
      </c>
    </row>
    <row r="483" ht="15.75" customHeight="1">
      <c r="A483" s="1">
        <v>481.0</v>
      </c>
      <c r="B483" s="3" t="s">
        <v>484</v>
      </c>
      <c r="C483" s="3" t="str">
        <f>IFERROR(__xludf.DUMMYFUNCTION("GOOGLETRANSLATE(B483,""id"",""en"")"),"['Severe', 'Telkomsel', 'Signal', 'Lost', 'LTE', 'Worse', 'Stay', 'Movers',' Please ',' Fix ',' Twitter ',' Email ',' Please, 'admin', 'Telkomsel']")</f>
        <v>['Severe', 'Telkomsel', 'Signal', 'Lost', 'LTE', 'Worse', 'Stay', 'Movers',' Please ',' Fix ',' Twitter ',' Email ',' Please, 'admin', 'Telkomsel']</v>
      </c>
      <c r="D483" s="3">
        <v>1.0</v>
      </c>
    </row>
    <row r="484" ht="15.75" customHeight="1">
      <c r="A484" s="1">
        <v>482.0</v>
      </c>
      <c r="B484" s="3" t="s">
        <v>485</v>
      </c>
      <c r="C484" s="3" t="str">
        <f>IFERROR(__xludf.DUMMYFUNCTION("GOOGLETRANSLATE(B484,""id"",""en"")"),"['logo', 'spirit', 'Telkomsel', 'use', 'your service', 'difficult', 'happy', 'like', 'package', 'cheap', 'festive', 'quota', ' As low as', 'sad', 'abis',' package ',' quota ',' main ',' sucked ',' network ',' lost ',' lost ',' sms', 'blast', 'fraud' , '']")</f>
        <v>['logo', 'spirit', 'Telkomsel', 'use', 'your service', 'difficult', 'happy', 'like', 'package', 'cheap', 'festive', 'quota', ' As low as', 'sad', 'abis',' package ',' quota ',' main ',' sucked ',' network ',' lost ',' lost ',' sms', 'blast', 'fraud' , '']</v>
      </c>
      <c r="D484" s="3">
        <v>5.0</v>
      </c>
    </row>
    <row r="485" ht="15.75" customHeight="1">
      <c r="A485" s="1">
        <v>483.0</v>
      </c>
      <c r="B485" s="3" t="s">
        <v>486</v>
      </c>
      <c r="C485" s="3" t="str">
        <f>IFERROR(__xludf.DUMMYFUNCTION("GOOGLETRANSLATE(B485,""id"",""en"")"),"['Knp', 'buy', 'quota', 'right', 'check', 'Telkomsel', 'quota', 'tidk', 'reason', 'purchase', 'error', 'please', ' Try ',' right ',' Try ',' Knp ',' credit ',' missing ',' buy ',' please ',' Telkomsel ']")</f>
        <v>['Knp', 'buy', 'quota', 'right', 'check', 'Telkomsel', 'quota', 'tidk', 'reason', 'purchase', 'error', 'please', ' Try ',' right ',' Try ',' Knp ',' credit ',' missing ',' buy ',' please ',' Telkomsel ']</v>
      </c>
      <c r="D485" s="3">
        <v>1.0</v>
      </c>
    </row>
    <row r="486" ht="15.75" customHeight="1">
      <c r="A486" s="1">
        <v>484.0</v>
      </c>
      <c r="B486" s="3" t="s">
        <v>487</v>
      </c>
      <c r="C486" s="3" t="str">
        <f>IFERROR(__xludf.DUMMYFUNCTION("GOOGLETRANSLATE(B486,""id"",""en"")"),"['dlm', 'range', 'price', 'quota', 'wonder', 'signal', 'stable', 'missing', 'sometimes',' signal ',' weather ',' decline ',' The quality ',' stay ',' area ',' difficult ',' reach ',' replace ',' number ',' contact ',' problem ',' resolved ',' permanent ',"&amp;"' review ',' purpose ' , 'consideration', 'improvement', 'quality', 'told', 'contact', '']")</f>
        <v>['dlm', 'range', 'price', 'quota', 'wonder', 'signal', 'stable', 'missing', 'sometimes',' signal ',' weather ',' decline ',' The quality ',' stay ',' area ',' difficult ',' reach ',' replace ',' number ',' contact ',' problem ',' resolved ',' permanent ',' review ',' purpose ' , 'consideration', 'improvement', 'quality', 'told', 'contact', '']</v>
      </c>
      <c r="D486" s="3">
        <v>3.0</v>
      </c>
    </row>
    <row r="487" ht="15.75" customHeight="1">
      <c r="A487" s="1">
        <v>485.0</v>
      </c>
      <c r="B487" s="3" t="s">
        <v>488</v>
      </c>
      <c r="C487" s="3" t="str">
        <f>IFERROR(__xludf.DUMMYFUNCTION("GOOGLETRANSLATE(B487,""id"",""en"")"),"['Gini', 'Abis',' birthday ',' functioning ',' application ',' right ',' opened ',' nge ',' lag ',' until ',' notif ',' aplicasiom ',' not ',' responding ',' promo ',' good ',' good ',' function ',' gausah ',' thinking ',' tip ',' function ',' apk ',' exa"&amp;"mple ',' apk ' , 'SUCCESS', 'LIAT', 'APK', 'Function', 'APK']")</f>
        <v>['Gini', 'Abis',' birthday ',' functioning ',' application ',' right ',' opened ',' nge ',' lag ',' until ',' notif ',' aplicasiom ',' not ',' responding ',' promo ',' good ',' good ',' function ',' gausah ',' thinking ',' tip ',' function ',' apk ',' example ',' apk ' , 'SUCCESS', 'LIAT', 'APK', 'Function', 'APK']</v>
      </c>
      <c r="D487" s="3">
        <v>1.0</v>
      </c>
    </row>
    <row r="488" ht="15.75" customHeight="1">
      <c r="A488" s="1">
        <v>486.0</v>
      </c>
      <c r="B488" s="3" t="s">
        <v>489</v>
      </c>
      <c r="C488" s="3" t="str">
        <f>IFERROR(__xludf.DUMMYFUNCTION("GOOGLETRANSLATE(B488,""id"",""en"")"),"['damn', 'damn', 'damn', 'buy', 'package', 'unlimited', 'pulse', 'main', 'suction', 'crime', 'operator', 'quota', ' unlimited ',' active ',' pulse ',' main ',' sucked ',' crime ',' hope ',' operator ',' cheating ',' perish ',' amin ']")</f>
        <v>['damn', 'damn', 'damn', 'buy', 'package', 'unlimited', 'pulse', 'main', 'suction', 'crime', 'operator', 'quota', ' unlimited ',' active ',' pulse ',' main ',' sucked ',' crime ',' hope ',' operator ',' cheating ',' perish ',' amin ']</v>
      </c>
      <c r="D488" s="3">
        <v>1.0</v>
      </c>
    </row>
    <row r="489" ht="15.75" customHeight="1">
      <c r="A489" s="1">
        <v>487.0</v>
      </c>
      <c r="B489" s="3" t="s">
        <v>490</v>
      </c>
      <c r="C489" s="3" t="str">
        <f>IFERROR(__xludf.DUMMYFUNCTION("GOOGLETRANSLATE(B489,""id"",""en"")"),"['buy', 'package', 'package', 'quota', 'mainly', 'package', 'quota', 'multimedia', 'used', 'use', 'application', 'quota', ' Multimedia ',' Macem ',' please ',' donk ']")</f>
        <v>['buy', 'package', 'package', 'quota', 'mainly', 'package', 'quota', 'multimedia', 'used', 'use', 'application', 'quota', ' Multimedia ',' Macem ',' please ',' donk ']</v>
      </c>
      <c r="D489" s="3">
        <v>1.0</v>
      </c>
    </row>
    <row r="490" ht="15.75" customHeight="1">
      <c r="A490" s="1">
        <v>488.0</v>
      </c>
      <c r="B490" s="3" t="s">
        <v>491</v>
      </c>
      <c r="C490" s="3" t="str">
        <f>IFERROR(__xludf.DUMMYFUNCTION("GOOGLETRANSLATE(B490,""id"",""en"")"),"['pls',' really ',' sometimes', 'buy', 'unlimited', 'right', 'quota', 'internet', 'abis',' unlimited ',' ngilan ',' kepake ',' Nastling ',' Anyway ',' Ngeselin ',' I ',' Her gap ',' Money ',' just 'now,' Midnight ',' his writing ',' right ',' bought ',' a"&amp;"ctive ' , 'Kayak', 'Gini', 'Benerin', '']")</f>
        <v>['pls',' really ',' sometimes', 'buy', 'unlimited', 'right', 'quota', 'internet', 'abis',' unlimited ',' ngilan ',' kepake ',' Nastling ',' Anyway ',' Ngeselin ',' I ',' Her gap ',' Money ',' just 'now,' Midnight ',' his writing ',' right ',' bought ',' active ' , 'Kayak', 'Gini', 'Benerin', '']</v>
      </c>
      <c r="D490" s="3">
        <v>2.0</v>
      </c>
    </row>
    <row r="491" ht="15.75" customHeight="1">
      <c r="A491" s="1">
        <v>489.0</v>
      </c>
      <c r="B491" s="3" t="s">
        <v>492</v>
      </c>
      <c r="C491" s="3" t="str">
        <f>IFERROR(__xludf.DUMMYFUNCTION("GOOGLETRANSLATE(B491,""id"",""en"")"),"['mode', 'contents',' package ',' unlimited ',' youtube ',' tried ',' open ',' youtube ',' loding ',' trs', 'check', 'pulses',' cave ',' run out ',' leftover ',' rb ',' severe ',' really ',' buy ',' package ',' quota ',' big ',' network ',' slow ',' bette"&amp;"r ' ]")</f>
        <v>['mode', 'contents',' package ',' unlimited ',' youtube ',' tried ',' open ',' youtube ',' loding ',' trs', 'check', 'pulses',' cave ',' run out ',' leftover ',' rb ',' severe ',' really ',' buy ',' package ',' quota ',' big ',' network ',' slow ',' better ' ]</v>
      </c>
      <c r="D491" s="3">
        <v>1.0</v>
      </c>
    </row>
    <row r="492" ht="15.75" customHeight="1">
      <c r="A492" s="1">
        <v>490.0</v>
      </c>
      <c r="B492" s="3" t="s">
        <v>493</v>
      </c>
      <c r="C492" s="3" t="str">
        <f>IFERROR(__xludf.DUMMYFUNCTION("GOOGLETRANSLATE(B492,""id"",""en"")"),"['Disappointed', 'bought', 'pulse', 'minimal', 'buy', 'quota', 'emergency', 'for', 'Naturally', 'leftover', 'pulses',' buy ',' package ',' Combo ',' Sakti ',' for ',' buy it ',' pulse ',' please ',' admin ',' fix ',' error ']")</f>
        <v>['Disappointed', 'bought', 'pulse', 'minimal', 'buy', 'quota', 'emergency', 'for', 'Naturally', 'leftover', 'pulses',' buy ',' package ',' Combo ',' Sakti ',' for ',' buy it ',' pulse ',' please ',' admin ',' fix ',' error ']</v>
      </c>
      <c r="D492" s="3">
        <v>2.0</v>
      </c>
    </row>
    <row r="493" ht="15.75" customHeight="1">
      <c r="A493" s="1">
        <v>491.0</v>
      </c>
      <c r="B493" s="3" t="s">
        <v>494</v>
      </c>
      <c r="C493" s="3" t="str">
        <f>IFERROR(__xludf.DUMMYFUNCTION("GOOGLETRANSLATE(B493,""id"",""en"")"),"['Telkomsel', 'YTH', 'QUALITY', 'Network', 'Please', 'Repaired', 'Internet', 'Stable', 'Promotion', 'Offer', 'Package', 'Via', ' SMS ',' MyTelkomsel ',' appears', 'application', 'etc.', 'annoying', 'Making', 'was',' was', 'accidentally', 'squashing', 'lis"&amp;"t', 'confirm' , 'Debt', 'pulses', '']")</f>
        <v>['Telkomsel', 'YTH', 'QUALITY', 'Network', 'Please', 'Repaired', 'Internet', 'Stable', 'Promotion', 'Offer', 'Package', 'Via', ' SMS ',' MyTelkomsel ',' appears', 'application', 'etc.', 'annoying', 'Making', 'was',' was', 'accidentally', 'squashing', 'list', 'confirm' , 'Debt', 'pulses', '']</v>
      </c>
      <c r="D493" s="3">
        <v>1.0</v>
      </c>
    </row>
    <row r="494" ht="15.75" customHeight="1">
      <c r="A494" s="1">
        <v>492.0</v>
      </c>
      <c r="B494" s="3" t="s">
        <v>495</v>
      </c>
      <c r="C494" s="3" t="str">
        <f>IFERROR(__xludf.DUMMYFUNCTION("GOOGLETRANSLATE(B494,""id"",""en"")"),"['Comfortable', 'Please', 'Server', 'Package', 'Game', 'FreeFirenya', 'Upgrade', 'Experiencing', 'Constraints',' Wear ',' Package ',' Game ',' quota ',' main ',' run out ',' sudh ',' entry ',' lobby ',' free ',' fire ',' please ',' help ',' yaaaa ']")</f>
        <v>['Comfortable', 'Please', 'Server', 'Package', 'Game', 'FreeFirenya', 'Upgrade', 'Experiencing', 'Constraints',' Wear ',' Package ',' Game ',' quota ',' main ',' run out ',' sudh ',' entry ',' lobby ',' free ',' fire ',' please ',' help ',' yaaaa ']</v>
      </c>
      <c r="D494" s="3">
        <v>1.0</v>
      </c>
    </row>
    <row r="495" ht="15.75" customHeight="1">
      <c r="A495" s="1">
        <v>493.0</v>
      </c>
      <c r="B495" s="3" t="s">
        <v>496</v>
      </c>
      <c r="C495" s="3" t="str">
        <f>IFERROR(__xludf.DUMMYFUNCTION("GOOGLETRANSLATE(B495,""id"",""en"")"),"['Telkomsel', 'name', 'doang', 'quality', 'network', 'zero', 'signal', 'quota', 'internet', 'walk', 'muter', 'rich', ' Gangsing ',' Gemes', 'disgust', 'The network', 'evenly distributed']")</f>
        <v>['Telkomsel', 'name', 'doang', 'quality', 'network', 'zero', 'signal', 'quota', 'internet', 'walk', 'muter', 'rich', ' Gangsing ',' Gemes', 'disgust', 'The network', 'evenly distributed']</v>
      </c>
      <c r="D495" s="3">
        <v>1.0</v>
      </c>
    </row>
    <row r="496" ht="15.75" customHeight="1">
      <c r="A496" s="1">
        <v>494.0</v>
      </c>
      <c r="B496" s="3" t="s">
        <v>497</v>
      </c>
      <c r="C496" s="3" t="str">
        <f>IFERROR(__xludf.DUMMYFUNCTION("GOOGLETRANSLATE(B496,""id"",""en"")"),"['In the future', 'ugly', 'service', 'application', 'difficult', 'open', 'sorry', 'application', 'Telkomsel', 'good', 'Indosat', 'service', ' ']")</f>
        <v>['In the future', 'ugly', 'service', 'application', 'difficult', 'open', 'sorry', 'application', 'Telkomsel', 'good', 'Indosat', 'service', ' ']</v>
      </c>
      <c r="D496" s="3">
        <v>1.0</v>
      </c>
    </row>
    <row r="497" ht="15.75" customHeight="1">
      <c r="A497" s="1">
        <v>495.0</v>
      </c>
      <c r="B497" s="3" t="s">
        <v>498</v>
      </c>
      <c r="C497" s="3" t="str">
        <f>IFERROR(__xludf.DUMMYFUNCTION("GOOGLETRANSLATE(B497,""id"",""en"")"),"['Please', 'Price', 'Package', 'Monthly', 'Dlurunin', 'Difference', 'Indosat', 'People', 'Rich', 'Telkomsel', 'Internet', 'Good', ' Klonmahal ',' CMN ',' DPT ',' Quota ',' little ',' Youtub ',' Out ',' Age ',' Age ',' promo ',' telephone ',' sms', 'via' ,"&amp;" 'Internet', '']")</f>
        <v>['Please', 'Price', 'Package', 'Monthly', 'Dlurunin', 'Difference', 'Indosat', 'People', 'Rich', 'Telkomsel', 'Internet', 'Good', ' Klonmahal ',' CMN ',' DPT ',' Quota ',' little ',' Youtub ',' Out ',' Age ',' Age ',' promo ',' telephone ',' sms', 'via' , 'Internet', '']</v>
      </c>
      <c r="D497" s="3">
        <v>3.0</v>
      </c>
    </row>
    <row r="498" ht="15.75" customHeight="1">
      <c r="A498" s="1">
        <v>496.0</v>
      </c>
      <c r="B498" s="3" t="s">
        <v>499</v>
      </c>
      <c r="C498" s="3" t="str">
        <f>IFERROR(__xludf.DUMMYFUNCTION("GOOGLETRANSLATE(B498,""id"",""en"")"),"['check', 'reset', 'App', 'update', 'device', 'crash', 'open', 'Telkomsel', 'app', 'stop', 'message', 'Google', ' Google ',' Play ',' Telkomsel ',' Crash ',' version ',' Lite ']")</f>
        <v>['check', 'reset', 'App', 'update', 'device', 'crash', 'open', 'Telkomsel', 'app', 'stop', 'message', 'Google', ' Google ',' Play ',' Telkomsel ',' Crash ',' version ',' Lite ']</v>
      </c>
      <c r="D498" s="3">
        <v>3.0</v>
      </c>
    </row>
    <row r="499" ht="15.75" customHeight="1">
      <c r="A499" s="1">
        <v>497.0</v>
      </c>
      <c r="B499" s="3" t="s">
        <v>500</v>
      </c>
      <c r="C499" s="3" t="str">
        <f>IFERROR(__xludf.DUMMYFUNCTION("GOOGLETRANSLATE(B499,""id"",""en"")"),"['liar', 'Anjinq', 'Sales',' Telkomsel ',' upgred ',' card ',' Hello ',' bonus', 'telephone', 'minutes',' nelfon ',' all ',' Oprator ',' Terbitu ',' lie ',' Anjinq ',' savage ',' Sales', 'Hopefully', 'get', 'Ajab', 'World', 'Face', 'liar', ""]")</f>
        <v>['liar', 'Anjinq', 'Sales',' Telkomsel ',' upgred ',' card ',' Hello ',' bonus', 'telephone', 'minutes',' nelfon ',' all ',' Oprator ',' Terbitu ',' lie ',' Anjinq ',' savage ',' Sales', 'Hopefully', 'get', 'Ajab', 'World', 'Face', 'liar', "]</v>
      </c>
      <c r="D499" s="3">
        <v>1.0</v>
      </c>
    </row>
    <row r="500" ht="15.75" customHeight="1">
      <c r="A500" s="1">
        <v>498.0</v>
      </c>
      <c r="B500" s="3" t="s">
        <v>501</v>
      </c>
      <c r="C500" s="3" t="str">
        <f>IFERROR(__xludf.DUMMYFUNCTION("GOOGLETRANSLATE(B500,""id"",""en"")"),"['Sad', 'famous',' card ',' elite ',' package ',' fair ',' medium ',' up ',' performance ',' signal ',' forgiveness', 'Dahh', ' Until ',' play ',' Game ',' Sya ',' Delete ',' Upset ',' Signal ',' So Look ',' The Greatest ',' Network ',' Indonesia ',' Unti"&amp;"l ',' Movers' , 'in the city', 'signal', 'rich', 'tower', 'risk']")</f>
        <v>['Sad', 'famous',' card ',' elite ',' package ',' fair ',' medium ',' up ',' performance ',' signal ',' forgiveness', 'Dahh', ' Until ',' play ',' Game ',' Sya ',' Delete ',' Upset ',' Signal ',' So Look ',' The Greatest ',' Network ',' Indonesia ',' Until ',' Movers' , 'in the city', 'signal', 'rich', 'tower', 'risk']</v>
      </c>
      <c r="D500" s="3">
        <v>1.0</v>
      </c>
    </row>
    <row r="501" ht="15.75" customHeight="1">
      <c r="A501" s="1">
        <v>499.0</v>
      </c>
      <c r="B501" s="3" t="s">
        <v>502</v>
      </c>
      <c r="C501" s="3" t="str">
        <f>IFERROR(__xludf.DUMMYFUNCTION("GOOGLETRANSLATE(B501,""id"",""en"")"),"['Telkomsel', 'already', 'stay', 'in the city', 'ngellag', 'ngelag', 'switch', 'provider', 'astagaaa', 'Telkomsel', 'stingy', 'what', ' focus', 'internet', 'special', 'online', 'doang', 'package', 'blah', 'blah', 'blah', 'reproduced', 'pursued', 'network'"&amp;", 'repaired' , 'Samsek', ""]")</f>
        <v>['Telkomsel', 'already', 'stay', 'in the city', 'ngellag', 'ngelag', 'switch', 'provider', 'astagaaa', 'Telkomsel', 'stingy', 'what', ' focus', 'internet', 'special', 'online', 'doang', 'package', 'blah', 'blah', 'blah', 'reproduced', 'pursued', 'network', 'repaired' , 'Samsek', "]</v>
      </c>
      <c r="D501" s="3">
        <v>1.0</v>
      </c>
    </row>
    <row r="502" ht="15.75" customHeight="1">
      <c r="A502" s="1">
        <v>500.0</v>
      </c>
      <c r="B502" s="3" t="s">
        <v>503</v>
      </c>
      <c r="C502" s="3" t="str">
        <f>IFERROR(__xludf.DUMMYFUNCTION("GOOGLETRANSLATE(B502,""id"",""en"")"),"['Ouch', 'payer', 'via', 'virtual', 'account', 'eliminated', 'it's easy', 'really', 'use', 'virtual', 'account', 'no', ' people ',' cards', 'credit', 'etc.', 'users',' application ',' kurneb ',' annual ',' ']")</f>
        <v>['Ouch', 'payer', 'via', 'virtual', 'account', 'eliminated', 'it's easy', 'really', 'use', 'virtual', 'account', 'no', ' people ',' cards', 'credit', 'etc.', 'users',' application ',' kurneb ',' annual ',' ']</v>
      </c>
      <c r="D502" s="3">
        <v>1.0</v>
      </c>
    </row>
    <row r="503" ht="15.75" customHeight="1">
      <c r="A503" s="1">
        <v>501.0</v>
      </c>
      <c r="B503" s="3" t="s">
        <v>504</v>
      </c>
      <c r="C503" s="3" t="str">
        <f>IFERROR(__xludf.DUMMYFUNCTION("GOOGLETRANSLATE(B503,""id"",""en"")"),"['network', 'slow', 'Telkomsel', 'furious',' Season ',' Network ',' Muter ',' already ',' Telkomsel ',' network ',' stressed ',' it seems', ' Replace ',' card ']")</f>
        <v>['network', 'slow', 'Telkomsel', 'furious',' Season ',' Network ',' Muter ',' already ',' Telkomsel ',' network ',' stressed ',' it seems', ' Replace ',' card ']</v>
      </c>
      <c r="D503" s="3">
        <v>1.0</v>
      </c>
    </row>
    <row r="504" ht="15.75" customHeight="1">
      <c r="A504" s="1">
        <v>502.0</v>
      </c>
      <c r="B504" s="3" t="s">
        <v>505</v>
      </c>
      <c r="C504" s="3" t="str">
        <f>IFERROR(__xludf.DUMMYFUNCTION("GOOGLETRANSLATE(B504,""id"",""en"")"),"['As soon as possible', 'repaired', 'no', 'signal', 'already', 'uncomfortable', 'Telkomsel', 'already', 'signal', 'difficult', 'quota', 'expensive', ' Ngilake ',' little ',' mass', 'quota', 'expensive', 'expensive', 'signal', 'bad', 'ngelair']")</f>
        <v>['As soon as possible', 'repaired', 'no', 'signal', 'already', 'uncomfortable', 'Telkomsel', 'already', 'signal', 'difficult', 'quota', 'expensive', ' Ngilake ',' little ',' mass', 'quota', 'expensive', 'expensive', 'signal', 'bad', 'ngelair']</v>
      </c>
      <c r="D504" s="3">
        <v>1.0</v>
      </c>
    </row>
    <row r="505" ht="15.75" customHeight="1">
      <c r="A505" s="1">
        <v>503.0</v>
      </c>
      <c r="B505" s="3" t="s">
        <v>506</v>
      </c>
      <c r="C505" s="3" t="str">
        <f>IFERROR(__xludf.DUMMYFUNCTION("GOOGLETRANSLATE(B505,""id"",""en"")"),"['WOI', 'Telkomsel', 'quota', 'combo', 'Sakti', 'GB', 'Woiii', 'PLIS', 'Lahh', 'Turnover', 'Package', 'Bener', ' Need ',' omitted ',' Package ',' Sad ',' ']")</f>
        <v>['WOI', 'Telkomsel', 'quota', 'combo', 'Sakti', 'GB', 'Woiii', 'PLIS', 'Lahh', 'Turnover', 'Package', 'Bener', ' Need ',' omitted ',' Package ',' Sad ',' ']</v>
      </c>
      <c r="D505" s="3">
        <v>3.0</v>
      </c>
    </row>
    <row r="506" ht="15.75" customHeight="1">
      <c r="A506" s="1">
        <v>504.0</v>
      </c>
      <c r="B506" s="3" t="s">
        <v>507</v>
      </c>
      <c r="C506" s="3" t="str">
        <f>IFERROR(__xludf.DUMMYFUNCTION("GOOGLETRANSLATE(B506,""id"",""en"")"),"['Keku', 'Package', 'Telkomsel', 'Expensive', 'then', 'servicen', 'croined', 'already', 'network', 'saggy', 'package', 'package', ' Unlimited ',' Unlimited ',' Sosmed ',' YouTube ',' etc. ',' downgrade ',' speed ',' abis', 'package', 'main', 'package', 's"&amp;"osmed' , 'ulimited', 'Abis', 'Yuk', 'stay']")</f>
        <v>['Keku', 'Package', 'Telkomsel', 'Expensive', 'then', 'servicen', 'croined', 'already', 'network', 'saggy', 'package', 'package', ' Unlimited ',' Unlimited ',' Sosmed ',' YouTube ',' etc. ',' downgrade ',' speed ',' abis', 'package', 'main', 'package', 'sosmed' , 'ulimited', 'Abis', 'Yuk', 'stay']</v>
      </c>
      <c r="D506" s="3">
        <v>1.0</v>
      </c>
    </row>
    <row r="507" ht="15.75" customHeight="1">
      <c r="A507" s="1">
        <v>505.0</v>
      </c>
      <c r="B507" s="3" t="s">
        <v>508</v>
      </c>
      <c r="C507" s="3" t="str">
        <f>IFERROR(__xludf.DUMMYFUNCTION("GOOGLETRANSLATE(B507,""id"",""en"")"),"['application', 'difficult', 'enters',' number ',' card ',' cellphone ',' handful ',' difficult ',' entry ',' magic ',' link ',' month ',' Please, 'Fix', 'Logo', 'Telkomsel', 'Change', ""]")</f>
        <v>['application', 'difficult', 'enters',' number ',' card ',' cellphone ',' handful ',' difficult ',' entry ',' magic ',' link ',' month ',' Please, 'Fix', 'Logo', 'Telkomsel', 'Change', "]</v>
      </c>
      <c r="D507" s="3">
        <v>5.0</v>
      </c>
    </row>
    <row r="508" ht="15.75" customHeight="1">
      <c r="A508" s="1">
        <v>506.0</v>
      </c>
      <c r="B508" s="3" t="s">
        <v>509</v>
      </c>
      <c r="C508" s="3" t="str">
        <f>IFERROR(__xludf.DUMMYFUNCTION("GOOGLETRANSLATE(B508,""id"",""en"")"),"['signal', 'already', 'good', 'regretting', 'price', 'package', 'internet', 'expensive', 'people', 'conditions',' stable ',' please ',' Colently ',' proverb ',' price ',' already ',' down ', ""]")</f>
        <v>['signal', 'already', 'good', 'regretting', 'price', 'package', 'internet', 'expensive', 'people', 'conditions',' stable ',' please ',' Colently ',' proverb ',' price ',' already ',' down ', "]</v>
      </c>
      <c r="D508" s="3">
        <v>2.0</v>
      </c>
    </row>
    <row r="509" ht="15.75" customHeight="1">
      <c r="A509" s="1">
        <v>507.0</v>
      </c>
      <c r="B509" s="3" t="s">
        <v>510</v>
      </c>
      <c r="C509" s="3" t="str">
        <f>IFERROR(__xludf.DUMMYFUNCTION("GOOGLETRANSLATE(B509,""id"",""en"")"),"['fit', 'package', 'unlimited', 'restricted', 'speed', 'use', 'speed', 'network', 'limit', 'consistent', 'unlimited', 'limit', ' Speed ​​',' SAA ',' lie ',' ']")</f>
        <v>['fit', 'package', 'unlimited', 'restricted', 'speed', 'use', 'speed', 'network', 'limit', 'consistent', 'unlimited', 'limit', ' Speed ​​',' SAA ',' lie ',' ']</v>
      </c>
      <c r="D509" s="3">
        <v>2.0</v>
      </c>
    </row>
    <row r="510" ht="15.75" customHeight="1">
      <c r="A510" s="1">
        <v>508.0</v>
      </c>
      <c r="B510" s="3" t="s">
        <v>511</v>
      </c>
      <c r="C510" s="3" t="str">
        <f>IFERROR(__xludf.DUMMYFUNCTION("GOOGLETRANSLATE(B510,""id"",""en"")"),"['Telkomsel', 'here', 'strength', 'stabilan', 'network', 'decline', 'speed', 'network', 'slow', 'era', 'based', 'slow', ' Price ',' Package ',' Telkomsel ',' expensive ',' PDA ',' card ',' Karna ',' Telkomsel ',' Network ',' signal ',' strongest ',' expen"&amp;"sive ',' expensive ' , 'slow', 'count', 'monthly', 'slow', 'severe', 'a week', 'severe', ""]")</f>
        <v>['Telkomsel', 'here', 'strength', 'stabilan', 'network', 'decline', 'speed', 'network', 'slow', 'era', 'based', 'slow', ' Price ',' Package ',' Telkomsel ',' expensive ',' PDA ',' card ',' Karna ',' Telkomsel ',' Network ',' signal ',' strongest ',' expensive ',' expensive ' , 'slow', 'count', 'monthly', 'slow', 'severe', 'a week', 'severe', "]</v>
      </c>
      <c r="D510" s="3">
        <v>1.0</v>
      </c>
    </row>
    <row r="511" ht="15.75" customHeight="1">
      <c r="A511" s="1">
        <v>509.0</v>
      </c>
      <c r="B511" s="3" t="s">
        <v>512</v>
      </c>
      <c r="C511" s="3" t="str">
        <f>IFERROR(__xludf.DUMMYFUNCTION("GOOGLETRANSLATE(B511,""id"",""en"")"),"['size', 'font', 'according to', 'easy', 'read', 'display', 'home', 'according to', 'information', 'displayed', 'complete', 'description', ' Products', 'language', 'impressed', 'trapped', 'use', 'package', 'unlimited', 'max', 'change', 'name', 'restrictio"&amp;"ns',' quota ',' unlimited ' , 'limitation', '']")</f>
        <v>['size', 'font', 'according to', 'easy', 'read', 'display', 'home', 'according to', 'information', 'displayed', 'complete', 'description', ' Products', 'language', 'impressed', 'trapped', 'use', 'package', 'unlimited', 'max', 'change', 'name', 'restrictions',' quota ',' unlimited ' , 'limitation', '']</v>
      </c>
      <c r="D511" s="3">
        <v>3.0</v>
      </c>
    </row>
    <row r="512" ht="15.75" customHeight="1">
      <c r="A512" s="1">
        <v>510.0</v>
      </c>
      <c r="B512" s="3" t="s">
        <v>513</v>
      </c>
      <c r="C512" s="3" t="str">
        <f>IFERROR(__xludf.DUMMYFUNCTION("GOOGLETRANSLATE(B512,""id"",""en"")"),"['application', 'good', 'darling', 'already', 'network', 'area', 'jdi', 'stable', 'hope', 'network', 'Telkomsel', 'good', ' Urban ']")</f>
        <v>['application', 'good', 'darling', 'already', 'network', 'area', 'jdi', 'stable', 'hope', 'network', 'Telkomsel', 'good', ' Urban ']</v>
      </c>
      <c r="D512" s="3">
        <v>4.0</v>
      </c>
    </row>
    <row r="513" ht="15.75" customHeight="1">
      <c r="A513" s="1">
        <v>511.0</v>
      </c>
      <c r="B513" s="3" t="s">
        <v>514</v>
      </c>
      <c r="C513" s="3" t="str">
        <f>IFERROR(__xludf.DUMMYFUNCTION("GOOGLETRANSLATE(B513,""id"",""en"")"),"['Telkomsel', 'severe', 'signal', 'internet', 'down', 'already', 'refresh', 'tetep', 'slow', 'star', 'zero', 'udh', ' kasi ',' zero ',' paraahhhh ',' operator ',' goblooook ',' udh ',' understand ',' times', 'network', 'slow', 'slow', 'aesthan', 'refresh'"&amp;" , 'Matiin', 'Data', 'Turn on', 'Bobroook', 'Price', 'Quality', 'Comparable', 'Pig']")</f>
        <v>['Telkomsel', 'severe', 'signal', 'internet', 'down', 'already', 'refresh', 'tetep', 'slow', 'star', 'zero', 'udh', ' kasi ',' zero ',' paraahhhh ',' operator ',' goblooook ',' udh ',' understand ',' times', 'network', 'slow', 'slow', 'aesthan', 'refresh' , 'Matiin', 'Data', 'Turn on', 'Bobroook', 'Price', 'Quality', 'Comparable', 'Pig']</v>
      </c>
      <c r="D513" s="3">
        <v>1.0</v>
      </c>
    </row>
    <row r="514" ht="15.75" customHeight="1">
      <c r="A514" s="1">
        <v>512.0</v>
      </c>
      <c r="B514" s="3" t="s">
        <v>515</v>
      </c>
      <c r="C514" s="3" t="str">
        <f>IFERROR(__xludf.DUMMYFUNCTION("GOOGLETRANSLATE(B514,""id"",""en"")"),"['Telkomsel', 'Severe', 'ugly', 'dilapidated', 'already', 'network', 'jumping', 'dilapidated', 'quota', 'MB', 'buy', 'package', ' Telkomsel ',' Price ',' OMG ',' GB ',' RB ',' Top ',' Credit ',' Price ',' OMG ',' GB ',' RB ',' What ',' The ' , 'Hell', 'Wa"&amp;"it', 'Clock', 'Check', 'Changed', 'Down', 'OMG', 'GB', 'RB', 'Are', 'You', 'Paying', ' With ',' Your ',' Customers', 'Daaafck', 'Change', 'Provider', 'Beach', 'SPRTI', '']")</f>
        <v>['Telkomsel', 'Severe', 'ugly', 'dilapidated', 'already', 'network', 'jumping', 'dilapidated', 'quota', 'MB', 'buy', 'package', ' Telkomsel ',' Price ',' OMG ',' GB ',' RB ',' Top ',' Credit ',' Price ',' OMG ',' GB ',' RB ',' What ',' The ' , 'Hell', 'Wait', 'Clock', 'Check', 'Changed', 'Down', 'OMG', 'GB', 'RB', 'Are', 'You', 'Paying', ' With ',' Your ',' Customers', 'Daaafck', 'Change', 'Provider', 'Beach', 'SPRTI', '']</v>
      </c>
      <c r="D514" s="3">
        <v>1.0</v>
      </c>
    </row>
    <row r="515" ht="15.75" customHeight="1">
      <c r="A515" s="1">
        <v>513.0</v>
      </c>
      <c r="B515" s="3" t="s">
        <v>516</v>
      </c>
      <c r="C515" s="3" t="str">
        <f>IFERROR(__xludf.DUMMYFUNCTION("GOOGLETRANSLATE(B515,""id"",""en"")"),"['Please', 'Sorry', 'Min', 'Sekeda', 'Quota', 'GB', 'Network', 'Lemot', 'Pancar', 'What', 'Min', 'Pdhal', ' quota ',' pakw ',' Telkomsel ',' lam ',' times', 'slow', 'forgiveness',' quota ',' GB ']")</f>
        <v>['Please', 'Sorry', 'Min', 'Sekeda', 'Quota', 'GB', 'Network', 'Lemot', 'Pancar', 'What', 'Min', 'Pdhal', ' quota ',' pakw ',' Telkomsel ',' lam ',' times', 'slow', 'forgiveness',' quota ',' GB ']</v>
      </c>
      <c r="D515" s="3">
        <v>3.0</v>
      </c>
    </row>
    <row r="516" ht="15.75" customHeight="1">
      <c r="A516" s="1">
        <v>514.0</v>
      </c>
      <c r="B516" s="3" t="s">
        <v>517</v>
      </c>
      <c r="C516" s="3" t="str">
        <f>IFERROR(__xludf.DUMMYFUNCTION("GOOGLETRANSLATE(B516,""id"",""en"")"),"['Recommended', 'really', 'yrs',' sympathy ',' BBRAPA ',' disappointed ',' package ',' quota ',' already ',' according to ',' written ',' apk ',' mytelkomsel ',' original ',' disappointed ']")</f>
        <v>['Recommended', 'really', 'yrs',' sympathy ',' BBRAPA ',' disappointed ',' package ',' quota ',' already ',' according to ',' written ',' apk ',' mytelkomsel ',' original ',' disappointed ']</v>
      </c>
      <c r="D516" s="3">
        <v>1.0</v>
      </c>
    </row>
    <row r="517" ht="15.75" customHeight="1">
      <c r="A517" s="1">
        <v>515.0</v>
      </c>
      <c r="B517" s="3" t="s">
        <v>518</v>
      </c>
      <c r="C517" s="3" t="str">
        <f>IFERROR(__xludf.DUMMYFUNCTION("GOOGLETRANSLATE(B517,""id"",""en"")"),"['Time', 'Disappointed', 'Telkomsel', 'Play', 'Game', 'Signal', 'Slalu', 'Down', 'Mentang', 'Region', 'Region', 'Remote', ' Rely on ',' Tissue ',' Telkom ',' Network ',' Telkomsel ',' Use ',' Network ',' Disappointed ',' Telkomsel ', ""]")</f>
        <v>['Time', 'Disappointed', 'Telkomsel', 'Play', 'Game', 'Signal', 'Slalu', 'Down', 'Mentang', 'Region', 'Region', 'Remote', ' Rely on ',' Tissue ',' Telkom ',' Network ',' Telkomsel ',' Use ',' Network ',' Disappointed ',' Telkomsel ', "]</v>
      </c>
      <c r="D517" s="3">
        <v>1.0</v>
      </c>
    </row>
    <row r="518" ht="15.75" customHeight="1">
      <c r="A518" s="1">
        <v>516.0</v>
      </c>
      <c r="B518" s="3" t="s">
        <v>519</v>
      </c>
      <c r="C518" s="3" t="str">
        <f>IFERROR(__xludf.DUMMYFUNCTION("GOOGLETRANSLATE(B518,""id"",""en"")"),"['steady', 'help', 'hehehe', 'every purchase', 'pulses',' dpat ',' point ',' stamp ',' check ',' point ',' darling ',' Really ',' just ',' dihamped ',' open ',' heavy ',' really ', ""]")</f>
        <v>['steady', 'help', 'hehehe', 'every purchase', 'pulses',' dpat ',' point ',' stamp ',' check ',' point ',' darling ',' Really ',' just ',' dihamped ',' open ',' heavy ',' really ', "]</v>
      </c>
      <c r="D518" s="3">
        <v>4.0</v>
      </c>
    </row>
    <row r="519" ht="15.75" customHeight="1">
      <c r="A519" s="1">
        <v>517.0</v>
      </c>
      <c r="B519" s="3" t="s">
        <v>520</v>
      </c>
      <c r="C519" s="3" t="str">
        <f>IFERROR(__xludf.DUMMYFUNCTION("GOOGLETRANSLATE(B519,""id"",""en"")"),"['Corruption', 'quota', 'internet', 'can', 'notif', 'tariff', 'non', 'package', 'pulse', 'hit', 'scroll', 'tiktok', ' quota ',' pulses', 'pulses',' Not bad ',' Thanks', 'Udh', 'corrupt', ""]")</f>
        <v>['Corruption', 'quota', 'internet', 'can', 'notif', 'tariff', 'non', 'package', 'pulse', 'hit', 'scroll', 'tiktok', ' quota ',' pulses', 'pulses',' Not bad ',' Thanks', 'Udh', 'corrupt', "]</v>
      </c>
      <c r="D519" s="3">
        <v>1.0</v>
      </c>
    </row>
    <row r="520" ht="15.75" customHeight="1">
      <c r="A520" s="1">
        <v>518.0</v>
      </c>
      <c r="B520" s="3" t="s">
        <v>521</v>
      </c>
      <c r="C520" s="3" t="str">
        <f>IFERROR(__xludf.DUMMYFUNCTION("GOOGLETRANSLATE(B520,""id"",""en"")"),"['Claim', 'Gift', 'Check', 'Gift', 'Considered', 'Automatic', 'Credit', 'Out', 'Dri', 'Rb', 'Out', 'Package', ' Data ',' times', 'TLFN', 'Call', 'Center', 'JGA', 'Fix', 'BLG', 'Karna', 'Maps',' Maps', 'Turn on', 'right' , 'Package', 'Data', 'CMA', 'Times'"&amp;", 'Out', 'Credit', 'Fill', 'Pls', 'Card', 'Telkomsel', 'Krna', 'Out']")</f>
        <v>['Claim', 'Gift', 'Check', 'Gift', 'Considered', 'Automatic', 'Credit', 'Out', 'Dri', 'Rb', 'Out', 'Package', ' Data ',' times', 'TLFN', 'Call', 'Center', 'JGA', 'Fix', 'BLG', 'Karna', 'Maps',' Maps', 'Turn on', 'right' , 'Package', 'Data', 'CMA', 'Times', 'Out', 'Credit', 'Fill', 'Pls', 'Card', 'Telkomsel', 'Krna', 'Out']</v>
      </c>
      <c r="D520" s="3">
        <v>2.0</v>
      </c>
    </row>
    <row r="521" ht="15.75" customHeight="1">
      <c r="A521" s="1">
        <v>519.0</v>
      </c>
      <c r="B521" s="3" t="s">
        <v>522</v>
      </c>
      <c r="C521" s="3" t="str">
        <f>IFERROR(__xludf.DUMMYFUNCTION("GOOGLETRANSLATE(B521,""id"",""en"")"),"['right', 'buy', 'package', 'already', 'signs',' succeed ',' right ',' data ',' turned on ',' package ',' belom ',' active ',' Drift ',' pulses', 'tens',' ribuku ',' disappointed ',' really ',' Telkomsel ']")</f>
        <v>['right', 'buy', 'package', 'already', 'signs',' succeed ',' right ',' data ',' turned on ',' package ',' belom ',' active ',' Drift ',' pulses', 'tens',' ribuku ',' disappointed ',' really ',' Telkomsel ']</v>
      </c>
      <c r="D521" s="3">
        <v>1.0</v>
      </c>
    </row>
    <row r="522" ht="15.75" customHeight="1">
      <c r="A522" s="1">
        <v>520.0</v>
      </c>
      <c r="B522" s="3" t="s">
        <v>523</v>
      </c>
      <c r="C522" s="3" t="str">
        <f>IFERROR(__xludf.DUMMYFUNCTION("GOOGLETRANSLATE(B522,""id"",""en"")"),"['Telkomsel', 'bankrupt', 'as if', 'Telkomsel', 'king', 'arrogant', 'because' believe ',' speed ',' signal ',' easy ',' TPI ',' As if ',' cheats', 'community', 'believes',' signal ',' no ',' stable ',' Life ',' City ',' Surabaya ',' Sleman ',' Jogja ',' q"&amp;"uota ' , 'expensive', 'cheap', 'unlimited', 'TPI', 'quota', 'main', 'used', 'run out', 'no', 'lag', 'his question', 'where' Unlimited ',' njinc ',' ']")</f>
        <v>['Telkomsel', 'bankrupt', 'as if', 'Telkomsel', 'king', 'arrogant', 'because' believe ',' speed ',' signal ',' easy ',' TPI ',' As if ',' cheats', 'community', 'believes',' signal ',' no ',' stable ',' Life ',' City ',' Surabaya ',' Sleman ',' Jogja ',' quota ' , 'expensive', 'cheap', 'unlimited', 'TPI', 'quota', 'main', 'used', 'run out', 'no', 'lag', 'his question', 'where' Unlimited ',' njinc ',' ']</v>
      </c>
      <c r="D522" s="3">
        <v>1.0</v>
      </c>
    </row>
    <row r="523" ht="15.75" customHeight="1">
      <c r="A523" s="1">
        <v>521.0</v>
      </c>
      <c r="B523" s="3" t="s">
        <v>524</v>
      </c>
      <c r="C523" s="3" t="str">
        <f>IFERROR(__xludf.DUMMYFUNCTION("GOOGLETRANSLATE(B523,""id"",""en"")"),"['', 'Sya', 'Win', 'Lottery', 'Win', 'Receive', 'Gift', 'Telkomsel', 'Sya', 'Love', ""]")</f>
        <v>['', 'Sya', 'Win', 'Lottery', 'Win', 'Receive', 'Gift', 'Telkomsel', 'Sya', 'Love', "]</v>
      </c>
      <c r="D523" s="3">
        <v>2.0</v>
      </c>
    </row>
    <row r="524" ht="15.75" customHeight="1">
      <c r="A524" s="1">
        <v>522.0</v>
      </c>
      <c r="B524" s="3" t="s">
        <v>525</v>
      </c>
      <c r="C524" s="3" t="str">
        <f>IFERROR(__xludf.DUMMYFUNCTION("GOOGLETRANSLATE(B524,""id"",""en"")"),"['signal', 'bar', 'status',' full ',' turn ',' searching ',' slow ',' writing ',' offline ',' signal ',' Telkomsel ',' deteriorate ',' People ',' Good ', ""]")</f>
        <v>['signal', 'bar', 'status',' full ',' turn ',' searching ',' slow ',' writing ',' offline ',' signal ',' Telkomsel ',' deteriorate ',' People ',' Good ', "]</v>
      </c>
      <c r="D524" s="3">
        <v>1.0</v>
      </c>
    </row>
    <row r="525" ht="15.75" customHeight="1">
      <c r="A525" s="1">
        <v>523.0</v>
      </c>
      <c r="B525" s="3" t="s">
        <v>526</v>
      </c>
      <c r="C525" s="3" t="str">
        <f>IFERROR(__xludf.DUMMYFUNCTION("GOOGLETRANSLATE(B525,""id"",""en"")"),"['Telkomsel', 'Ahhh', 'plumps',' signal ',' buy ',' quota ',' expensive ',' disappointing ',' gini ',' expensive ',' good ',' signal ',' fast ',' price ',' items', 'expensive', 'doang', 'signal', 'easy', 'ilang', '']")</f>
        <v>['Telkomsel', 'Ahhh', 'plumps',' signal ',' buy ',' quota ',' expensive ',' disappointing ',' gini ',' expensive ',' good ',' signal ',' fast ',' price ',' items', 'expensive', 'doang', 'signal', 'easy', 'ilang', '']</v>
      </c>
      <c r="D525" s="3">
        <v>1.0</v>
      </c>
    </row>
    <row r="526" ht="15.75" customHeight="1">
      <c r="A526" s="1">
        <v>524.0</v>
      </c>
      <c r="B526" s="3" t="s">
        <v>527</v>
      </c>
      <c r="C526" s="3" t="str">
        <f>IFERROR(__xludf.DUMMYFUNCTION("GOOGLETRANSLATE(B526,""id"",""en"")"),"['', 'workers',' work ',' risk ',' lives', 'me', 'risk', 'workers',' officer ',' I ',' user ',' worker ',' assignment ',' serve ',' user ',' quota ',' me ',' GB ',' signal ',' kayak ',' pig ',' ']")</f>
        <v>['', 'workers',' work ',' risk ',' lives', 'me', 'risk', 'workers',' officer ',' I ',' user ',' worker ',' assignment ',' serve ',' user ',' quota ',' me ',' GB ',' signal ',' kayak ',' pig ',' ']</v>
      </c>
      <c r="D526" s="3">
        <v>1.0</v>
      </c>
    </row>
    <row r="527" ht="15.75" customHeight="1">
      <c r="A527" s="1">
        <v>525.0</v>
      </c>
      <c r="B527" s="3" t="s">
        <v>528</v>
      </c>
      <c r="C527" s="3" t="str">
        <f>IFERROR(__xludf.DUMMYFUNCTION("GOOGLETRANSLATE(B527,""id"",""en"")"),"['person', 'old', 'no', 'use', 'application', 'menu', 'use', 'language', 'English', 'application', 'child', 'country', ' Indonesia ',' Nidak ',' given ',' default ',' Language ',' Indonesia ']")</f>
        <v>['person', 'old', 'no', 'use', 'application', 'menu', 'use', 'language', 'English', 'application', 'child', 'country', ' Indonesia ',' Nidak ',' given ',' default ',' Language ',' Indonesia ']</v>
      </c>
      <c r="D527" s="3">
        <v>3.0</v>
      </c>
    </row>
    <row r="528" ht="15.75" customHeight="1">
      <c r="A528" s="1">
        <v>526.0</v>
      </c>
      <c r="B528" s="3" t="s">
        <v>529</v>
      </c>
      <c r="C528" s="3" t="str">
        <f>IFERROR(__xludf.DUMMYFUNCTION("GOOGLETRANSLATE(B528,""id"",""en"")"),"['Sorry', 'price', 'expensive', 'comparable', 'quality', 'signal', 'slow', 'dead', 'lights',' signal ',' die ',' told ',' Upgrade ',' Application ',' expandable ',' Price ',' Package ',' UNTK ',' Fluency ',' Communication ',' Internet ',' Telegram ',' Ple"&amp;"ase ',' Robbing ',' Customer ' , 'Fix', 'Quality', 'Switch', 'Operator']")</f>
        <v>['Sorry', 'price', 'expensive', 'comparable', 'quality', 'signal', 'slow', 'dead', 'lights',' signal ',' die ',' told ',' Upgrade ',' Application ',' expandable ',' Price ',' Package ',' UNTK ',' Fluency ',' Communication ',' Internet ',' Telegram ',' Please ',' Robbing ',' Customer ' , 'Fix', 'Quality', 'Switch', 'Operator']</v>
      </c>
      <c r="D528" s="3">
        <v>1.0</v>
      </c>
    </row>
    <row r="529" ht="15.75" customHeight="1">
      <c r="A529" s="1">
        <v>527.0</v>
      </c>
      <c r="B529" s="3" t="s">
        <v>530</v>
      </c>
      <c r="C529" s="3" t="str">
        <f>IFERROR(__xludf.DUMMYFUNCTION("GOOGLETRANSLATE(B529,""id"",""en"")"),"['Network', 'ugly', 'application', 'ngaco', 'robot', 'admin', 'darting', 'buy', 'package', 'quota', 'its use', 'chick', ' quota ',' mainly ',' program ',' promo ',' quota ',' detail ',' profit ',' loss', 'consumer', 'wind', 'heaven', 'exhumper', 'need' , "&amp;"'Admin', 'Hapal', ""]")</f>
        <v>['Network', 'ugly', 'application', 'ngaco', 'robot', 'admin', 'darting', 'buy', 'package', 'quota', 'its use', 'chick', ' quota ',' mainly ',' program ',' promo ',' quota ',' detail ',' profit ',' loss', 'consumer', 'wind', 'heaven', 'exhumper', 'need' , 'Admin', 'Hapal', "]</v>
      </c>
      <c r="D529" s="3">
        <v>1.0</v>
      </c>
    </row>
    <row r="530" ht="15.75" customHeight="1">
      <c r="A530" s="1">
        <v>528.0</v>
      </c>
      <c r="B530" s="3" t="s">
        <v>531</v>
      </c>
      <c r="C530" s="3" t="str">
        <f>IFERROR(__xludf.DUMMYFUNCTION("GOOGLETRANSLATE(B530,""id"",""en"")"),"['Please', 'Telkomsel', 'price', 'sell', 'Vouch', 'Data', 'expensive', 'contents',' learn ',' child ',' home ',' covid ',' struggling ',' buy ',' package ',' data ',' child ',' child ',' learn ',' home ', ""]")</f>
        <v>['Please', 'Telkomsel', 'price', 'sell', 'Vouch', 'Data', 'expensive', 'contents',' learn ',' child ',' home ',' covid ',' struggling ',' buy ',' package ',' data ',' child ',' child ',' learn ',' home ', "]</v>
      </c>
      <c r="D530" s="3">
        <v>3.0</v>
      </c>
    </row>
    <row r="531" ht="15.75" customHeight="1">
      <c r="A531" s="1">
        <v>529.0</v>
      </c>
      <c r="B531" s="3" t="s">
        <v>532</v>
      </c>
      <c r="C531" s="3" t="str">
        <f>IFERROR(__xludf.DUMMYFUNCTION("GOOGLETRANSLATE(B531,""id"",""en"")"),"['quota', 'expensive', 'sii', 'cave', 'get', 'combo', 'sakti', 'then', 'cave', 'want', 'quota', 'gymna', ' sii ',' may ',' expensive ',' ajj ',' quota ',' network ',' ajj ',' rich ',' laen ',' org ',' buy ',' quota ',' used ' , 'poor']")</f>
        <v>['quota', 'expensive', 'sii', 'cave', 'get', 'combo', 'sakti', 'then', 'cave', 'want', 'quota', 'gymna', ' sii ',' may ',' expensive ',' ajj ',' quota ',' network ',' ajj ',' rich ',' laen ',' org ',' buy ',' quota ',' used ' , 'poor']</v>
      </c>
      <c r="D531" s="3">
        <v>1.0</v>
      </c>
    </row>
    <row r="532" ht="15.75" customHeight="1">
      <c r="A532" s="1">
        <v>530.0</v>
      </c>
      <c r="B532" s="3" t="s">
        <v>533</v>
      </c>
      <c r="C532" s="3" t="str">
        <f>IFERROR(__xludf.DUMMYFUNCTION("GOOGLETRANSLATE(B532,""id"",""en"")"),"['ratting', 'show', 'quality', 'a month', 'signal', 'ilang', 'price', 'expensive', 'quality', 'Ancurrr', 'shy', 'name', ' Customers', 'disappointed', 'heavy', 'the capital', 'taste', 'forest', 'wilderness',' forgiveness', 'deh', 'telkomsell', 'cost', 'doa"&amp;"nk', 'skr' , 'package', 'expensive', 'yes', 'package', 'division', 'package', 'multimedia', 'useful', 'right', 'chaotic', 'provider']")</f>
        <v>['ratting', 'show', 'quality', 'a month', 'signal', 'ilang', 'price', 'expensive', 'quality', 'Ancurrr', 'shy', 'name', ' Customers', 'disappointed', 'heavy', 'the capital', 'taste', 'forest', 'wilderness',' forgiveness', 'deh', 'telkomsell', 'cost', 'doank', 'skr' , 'package', 'expensive', 'yes', 'package', 'division', 'package', 'multimedia', 'useful', 'right', 'chaotic', 'provider']</v>
      </c>
      <c r="D532" s="3">
        <v>1.0</v>
      </c>
    </row>
    <row r="533" ht="15.75" customHeight="1">
      <c r="A533" s="1">
        <v>531.0</v>
      </c>
      <c r="B533" s="3" t="s">
        <v>534</v>
      </c>
      <c r="C533" s="3" t="str">
        <f>IFERROR(__xludf.DUMMYFUNCTION("GOOGLETRANSLATE(B533,""id"",""en"")"),"['Good', 'Version', 'Virsi', 'Benefits', 'Appsi', 'ugly', '']")</f>
        <v>['Good', 'Version', 'Virsi', 'Benefits', 'Appsi', 'ugly', '']</v>
      </c>
      <c r="D533" s="3">
        <v>1.0</v>
      </c>
    </row>
    <row r="534" ht="15.75" customHeight="1">
      <c r="A534" s="1">
        <v>532.0</v>
      </c>
      <c r="B534" s="3" t="s">
        <v>535</v>
      </c>
      <c r="C534" s="3" t="str">
        <f>IFERROR(__xludf.DUMMYFUNCTION("GOOGLETRANSLATE(B534,""id"",""en"")"),"['app', 'supports',' users', 'cell', 'sometimes',' promo ',' offered ',' reddem ',' point ',' the rest ',' good ',' work ',' ']")</f>
        <v>['app', 'supports',' users', 'cell', 'sometimes',' promo ',' offered ',' reddem ',' point ',' the rest ',' good ',' work ',' ']</v>
      </c>
      <c r="D534" s="3">
        <v>5.0</v>
      </c>
    </row>
    <row r="535" ht="15.75" customHeight="1">
      <c r="A535" s="1">
        <v>533.0</v>
      </c>
      <c r="B535" s="3" t="s">
        <v>536</v>
      </c>
      <c r="C535" s="3" t="str">
        <f>IFERROR(__xludf.DUMMYFUNCTION("GOOGLETRANSLATE(B535,""id"",""en"")"),"['contents',' package ',' sometimes', 'difficult', 'signal', 'beg', 'attention', 'purchase', 'package', 'price', 'please', 'repair', ' Price ',' Customized ',' ']")</f>
        <v>['contents',' package ',' sometimes', 'difficult', 'signal', 'beg', 'attention', 'purchase', 'package', 'price', 'please', 'repair', ' Price ',' Customized ',' ']</v>
      </c>
      <c r="D535" s="3">
        <v>4.0</v>
      </c>
    </row>
    <row r="536" ht="15.75" customHeight="1">
      <c r="A536" s="1">
        <v>534.0</v>
      </c>
      <c r="B536" s="3" t="s">
        <v>537</v>
      </c>
      <c r="C536" s="3" t="str">
        <f>IFERROR(__xludf.DUMMYFUNCTION("GOOGLETRANSLATE(B536,""id"",""en"")"),"['package', 'data', 'unlimited', 'dipake', 'network', 'ugly', 'quota', 'open', 'app', 'loding', 'mulu', 'game', ' signal ',' ugly ',' rich ',' signal ',' ']")</f>
        <v>['package', 'data', 'unlimited', 'dipake', 'network', 'ugly', 'quota', 'open', 'app', 'loding', 'mulu', 'game', ' signal ',' ugly ',' rich ',' signal ',' ']</v>
      </c>
      <c r="D536" s="3">
        <v>1.0</v>
      </c>
    </row>
    <row r="537" ht="15.75" customHeight="1">
      <c r="A537" s="1">
        <v>535.0</v>
      </c>
      <c r="B537" s="3" t="s">
        <v>538</v>
      </c>
      <c r="C537" s="3" t="str">
        <f>IFERROR(__xludf.DUMMYFUNCTION("GOOGLETRANSLATE(B537,""id"",""en"")"),"['The application', 'good', 'really', 'buy', 'pulse', 'right', 'money', 'point', 'combo', 'saktinya', 'given', 'knp', ' Different ',' buy ',' Credit ',' Combo ',' Sakti ',' Cheap ',' ']")</f>
        <v>['The application', 'good', 'really', 'buy', 'pulse', 'right', 'money', 'point', 'combo', 'saktinya', 'given', 'knp', ' Different ',' buy ',' Credit ',' Combo ',' Sakti ',' Cheap ',' ']</v>
      </c>
      <c r="D537" s="3">
        <v>5.0</v>
      </c>
    </row>
    <row r="538" ht="15.75" customHeight="1">
      <c r="A538" s="1">
        <v>536.0</v>
      </c>
      <c r="B538" s="3" t="s">
        <v>539</v>
      </c>
      <c r="C538" s="3" t="str">
        <f>IFERROR(__xludf.DUMMYFUNCTION("GOOGLETRANSLATE(B538,""id"",""en"")"),"['Lock', 'Lock', 'Credit', 'Credit', 'Used', 'Telefon', 'SMS', 'Used', 'Data', 'SMS', 'commercial', ""]")</f>
        <v>['Lock', 'Lock', 'Credit', 'Credit', 'Used', 'Telefon', 'SMS', 'Used', 'Data', 'SMS', 'commercial', "]</v>
      </c>
      <c r="D538" s="3">
        <v>3.0</v>
      </c>
    </row>
    <row r="539" ht="15.75" customHeight="1">
      <c r="A539" s="1">
        <v>537.0</v>
      </c>
      <c r="B539" s="3" t="s">
        <v>540</v>
      </c>
      <c r="C539" s="3" t="str">
        <f>IFERROR(__xludf.DUMMYFUNCTION("GOOGLETRANSLATE(B539,""id"",""en"")"),"['loyal', 'Telkomsel', 'Region', 'Lemot', 'The network', 'exact', 'Region', 'Nusa', 'southeast', 'East', 'Please', 'Benerin', ' Disappointed ',' Telkomsel ']")</f>
        <v>['loyal', 'Telkomsel', 'Region', 'Lemot', 'The network', 'exact', 'Region', 'Nusa', 'southeast', 'East', 'Please', 'Benerin', ' Disappointed ',' Telkomsel ']</v>
      </c>
      <c r="D539" s="3">
        <v>5.0</v>
      </c>
    </row>
    <row r="540" ht="15.75" customHeight="1">
      <c r="A540" s="1">
        <v>538.0</v>
      </c>
      <c r="B540" s="3" t="s">
        <v>541</v>
      </c>
      <c r="C540" s="3" t="str">
        <f>IFERROR(__xludf.DUMMYFUNCTION("GOOGLETRANSLATE(B540,""id"",""en"")"),"['Dear', 'Telkomsel', 'Please', 'Need', 'Escalation', 'Signal', 'Team', 'reporting', 'Move', 'Card', 'Hallo', 'Feel', ' Change ',' thinking ',' card ',' Hallo ',' taste ',' Promote ',' priority ',' Open ',' Story ',' rendering ',' 4 hours', 'hours' , 'oat"&amp;"h', 'crazy', ""]")</f>
        <v>['Dear', 'Telkomsel', 'Please', 'Need', 'Escalation', 'Signal', 'Team', 'reporting', 'Move', 'Card', 'Hallo', 'Feel', ' Change ',' thinking ',' card ',' Hallo ',' taste ',' Promote ',' priority ',' Open ',' Story ',' rendering ',' 4 hours', 'hours' , 'oath', 'crazy', "]</v>
      </c>
      <c r="D540" s="3">
        <v>1.0</v>
      </c>
    </row>
    <row r="541" ht="15.75" customHeight="1">
      <c r="A541" s="1">
        <v>539.0</v>
      </c>
      <c r="B541" s="3" t="s">
        <v>542</v>
      </c>
      <c r="C541" s="3" t="str">
        <f>IFERROR(__xludf.DUMMYFUNCTION("GOOGLETRANSLATE(B541,""id"",""en"")"),"['Application', 'Datean', 'Latest', 'Cool', 'Language', 'Easy', 'Understanding', 'Main', 'Curious',' Program ',' Open ',' offer ',' Stop by ',' Application ',' ']")</f>
        <v>['Application', 'Datean', 'Latest', 'Cool', 'Language', 'Easy', 'Understanding', 'Main', 'Curious',' Program ',' Open ',' offer ',' Stop by ',' Application ',' ']</v>
      </c>
      <c r="D541" s="3">
        <v>5.0</v>
      </c>
    </row>
    <row r="542" ht="15.75" customHeight="1">
      <c r="A542" s="1">
        <v>540.0</v>
      </c>
      <c r="B542" s="3" t="s">
        <v>543</v>
      </c>
      <c r="C542" s="3" t="str">
        <f>IFERROR(__xludf.DUMMYFUNCTION("GOOGLETRANSLATE(B542,""id"",""en"")"),"['card', 'safe', 'safe', 'offer', 'card', 'hello', 'annoyed', 'really', 'bill', 'until', 'card', 'scorched', ' Bangking ',' access', 'Gara', 'Gara', 'card', 'promise', 'card', 'Mending', 'card', 'tri', 'bro', 'cheap', 'safe' , 'signal', 'strong']")</f>
        <v>['card', 'safe', 'safe', 'offer', 'card', 'hello', 'annoyed', 'really', 'bill', 'until', 'card', 'scorched', ' Bangking ',' access', 'Gara', 'Gara', 'card', 'promise', 'card', 'Mending', 'card', 'tri', 'bro', 'cheap', 'safe' , 'signal', 'strong']</v>
      </c>
      <c r="D542" s="3">
        <v>1.0</v>
      </c>
    </row>
    <row r="543" ht="15.75" customHeight="1">
      <c r="A543" s="1">
        <v>541.0</v>
      </c>
      <c r="B543" s="3" t="s">
        <v>544</v>
      </c>
      <c r="C543" s="3" t="str">
        <f>IFERROR(__xludf.DUMMYFUNCTION("GOOGLETRANSLATE(B543,""id"",""en"")"),"['Love', 'Star', 'Application', 'Times',' Credit ',' Cutting ',' Points', 'Lost', 'Package', 'Cancel', 'Telkomsel', 'Disappointing', ' In the future ',' Change ',' Provider ',' ']")</f>
        <v>['Love', 'Star', 'Application', 'Times',' Credit ',' Cutting ',' Points', 'Lost', 'Package', 'Cancel', 'Telkomsel', 'Disappointing', ' In the future ',' Change ',' Provider ',' ']</v>
      </c>
      <c r="D543" s="3">
        <v>1.0</v>
      </c>
    </row>
    <row r="544" ht="15.75" customHeight="1">
      <c r="A544" s="1">
        <v>542.0</v>
      </c>
      <c r="B544" s="3" t="s">
        <v>545</v>
      </c>
      <c r="C544" s="3" t="str">
        <f>IFERROR(__xludf.DUMMYFUNCTION("GOOGLETRANSLATE(B544,""id"",""en"")"),"['Package', 'Swadaya', 'Gojek', 'Package', 'Call', 'Kaga', 'Sound', 'Call', 'Call', 'Kastamer', 'Sound', 'Driver', ' Sent ',' Kastamer ',' As if ',' Mobile ',' Error ',' Cheap ',' Footage ',' Quality ',' Cheap ',' Your Name ',' Quality ',' Low ',' Sorry '"&amp;" , 'Disappointed', 'Package', 'Swadaya', 'Package', 'Call', 'Connect', 'Voice', 'Corruption', 'Bug', 'Improvement', 'Moor', 'Moon']")</f>
        <v>['Package', 'Swadaya', 'Gojek', 'Package', 'Call', 'Kaga', 'Sound', 'Call', 'Call', 'Kastamer', 'Sound', 'Driver', ' Sent ',' Kastamer ',' As if ',' Mobile ',' Error ',' Cheap ',' Footage ',' Quality ',' Cheap ',' Your Name ',' Quality ',' Low ',' Sorry ' , 'Disappointed', 'Package', 'Swadaya', 'Package', 'Call', 'Connect', 'Voice', 'Corruption', 'Bug', 'Improvement', 'Moor', 'Moon']</v>
      </c>
      <c r="D544" s="3">
        <v>1.0</v>
      </c>
    </row>
    <row r="545" ht="15.75" customHeight="1">
      <c r="A545" s="1">
        <v>543.0</v>
      </c>
      <c r="B545" s="3" t="s">
        <v>546</v>
      </c>
      <c r="C545" s="3" t="str">
        <f>IFERROR(__xludf.DUMMYFUNCTION("GOOGLETRANSLATE(B545,""id"",""en"")"),"['UDH', 'Telkomsel', 'UDH', 'a year', 'Telokomsel', 'service', 'ugly', 'Package', 'expensive', 'card', 'pakek', 'yok', ' Moving ',' Provider ',' Eat ',' Guys', 'Network', 'Good', 'Price', 'Kouta', 'Cheap']")</f>
        <v>['UDH', 'Telkomsel', 'UDH', 'a year', 'Telokomsel', 'service', 'ugly', 'Package', 'expensive', 'card', 'pakek', 'yok', ' Moving ',' Provider ',' Eat ',' Guys', 'Network', 'Good', 'Price', 'Kouta', 'Cheap']</v>
      </c>
      <c r="D545" s="3">
        <v>1.0</v>
      </c>
    </row>
    <row r="546" ht="15.75" customHeight="1">
      <c r="A546" s="1">
        <v>544.0</v>
      </c>
      <c r="B546" s="3" t="s">
        <v>547</v>
      </c>
      <c r="C546" s="3" t="str">
        <f>IFERROR(__xludf.DUMMYFUNCTION("GOOGLETRANSLATE(B546,""id"",""en"")"),"['according to', 'innovation', 'Display', 'Dri', 'Telkomsel', 'plus',' Available ',' Gift ',' Daily ',' Check ',' Complaint ',' Pesen ',' Please ',' pay attention ',' complaints', 'Consumers',' Boyband ',' BTS ',' Hibler ',' Satisfied ',' Telkomsel ',' Pl"&amp;"ease ',' Example ',' TSB ',' Success' , 'In the future', 'advanced', 'BUMN', 'Indonesia', ""]")</f>
        <v>['according to', 'innovation', 'Display', 'Dri', 'Telkomsel', 'plus',' Available ',' Gift ',' Daily ',' Check ',' Complaint ',' Pesen ',' Please ',' pay attention ',' complaints', 'Consumers',' Boyband ',' BTS ',' Hibler ',' Satisfied ',' Telkomsel ',' Please ',' Example ',' TSB ',' Success' , 'In the future', 'advanced', 'BUMN', 'Indonesia', "]</v>
      </c>
      <c r="D546" s="3">
        <v>5.0</v>
      </c>
    </row>
    <row r="547" ht="15.75" customHeight="1">
      <c r="A547" s="1">
        <v>545.0</v>
      </c>
      <c r="B547" s="3" t="s">
        <v>548</v>
      </c>
      <c r="C547" s="3" t="str">
        <f>IFERROR(__xludf.DUMMYFUNCTION("GOOGLETRANSLATE(B547,""id"",""en"")"),"['', 'Linkaja', 'Points',' Telkomsel ',' exchanged ',' balance ',' Linkaja ',' worth ',' Points', 'Telkomsel', 'exchanged', 'balance', 'Linkaja ',' in fact ',' noon ',' see ',' price ',' point ',' Tsel ',' exchanged ',' balance ',' Linkaja ',' really ',' "&amp;"php ']")</f>
        <v>['', 'Linkaja', 'Points',' Telkomsel ',' exchanged ',' balance ',' Linkaja ',' worth ',' Points', 'Telkomsel', 'exchanged', 'balance', 'Linkaja ',' in fact ',' noon ',' see ',' price ',' point ',' Tsel ',' exchanged ',' balance ',' Linkaja ',' really ',' php ']</v>
      </c>
      <c r="D547" s="3">
        <v>1.0</v>
      </c>
    </row>
    <row r="548" ht="15.75" customHeight="1">
      <c r="A548" s="1">
        <v>546.0</v>
      </c>
      <c r="B548" s="3" t="s">
        <v>549</v>
      </c>
      <c r="C548" s="3" t="str">
        <f>IFERROR(__xludf.DUMMYFUNCTION("GOOGLETRANSLATE(B548,""id"",""en"")"),"['family', 'customers',' loyal ',' Telkomsel ',' tens', 'entry', 'Telkomsel', 'priority', 'subscription', 'magazine', 'GTW', 'Telkomsel', ' Burik ',' virtue ',' disappointed ',' replace ',' provider ',' thank ',' love ', ""]")</f>
        <v>['family', 'customers',' loyal ',' Telkomsel ',' tens', 'entry', 'Telkomsel', 'priority', 'subscription', 'magazine', 'GTW', 'Telkomsel', ' Burik ',' virtue ',' disappointed ',' replace ',' provider ',' thank ',' love ', "]</v>
      </c>
      <c r="D548" s="3">
        <v>2.0</v>
      </c>
    </row>
    <row r="549" ht="15.75" customHeight="1">
      <c r="A549" s="1">
        <v>547.0</v>
      </c>
      <c r="B549" s="3" t="s">
        <v>550</v>
      </c>
      <c r="C549" s="3" t="str">
        <f>IFERROR(__xludf.DUMMYFUNCTION("GOOGLETRANSLATE(B549,""id"",""en"")"),"['cave', 'confused', 'telkom', 'corrupt', 'bet', 'njir', 'cave', 'buy', 'pulse', 'quota', 'cave', 'deliberate', ' Cave ',' Credit ',' credit ',' quota ',' abis', 'buy', 'application', 'pulse', 'abis',' njir ',' cave ',' blm ',' make ' , 'because', 'cave',"&amp;" 'turn on', 'data', 'cellular', 'kannamasih', 'pulse', 'hadeh', 'loss', ""]")</f>
        <v>['cave', 'confused', 'telkom', 'corrupt', 'bet', 'njir', 'cave', 'buy', 'pulse', 'quota', 'cave', 'deliberate', ' Cave ',' Credit ',' credit ',' quota ',' abis', 'buy', 'application', 'pulse', 'abis',' njir ',' cave ',' blm ',' make ' , 'because', 'cave', 'turn on', 'data', 'cellular', 'kannamasih', 'pulse', 'hadeh', 'loss', "]</v>
      </c>
      <c r="D549" s="3">
        <v>1.0</v>
      </c>
    </row>
    <row r="550" ht="15.75" customHeight="1">
      <c r="A550" s="1">
        <v>548.0</v>
      </c>
      <c r="B550" s="3" t="s">
        <v>551</v>
      </c>
      <c r="C550" s="3" t="str">
        <f>IFERROR(__xludf.DUMMYFUNCTION("GOOGLETRANSLATE(B550,""id"",""en"")"),"['Dear', 'Telkomsel', 'please', 'perman', 'price', 'quota', 'student', 'difficulty', 'buy', 'quota', 'village', 'network', ' Telkomsel ',' Hopefully ',' Comment ',' Read ',' Telkomsel ',' Thank ',' Love ', ""]")</f>
        <v>['Dear', 'Telkomsel', 'please', 'perman', 'price', 'quota', 'student', 'difficulty', 'buy', 'quota', 'village', 'network', ' Telkomsel ',' Hopefully ',' Comment ',' Read ',' Telkomsel ',' Thank ',' Love ', "]</v>
      </c>
      <c r="D550" s="3">
        <v>3.0</v>
      </c>
    </row>
    <row r="551" ht="15.75" customHeight="1">
      <c r="A551" s="1">
        <v>549.0</v>
      </c>
      <c r="B551" s="3" t="s">
        <v>552</v>
      </c>
      <c r="C551" s="3" t="str">
        <f>IFERROR(__xludf.DUMMYFUNCTION("GOOGLETRANSLATE(B551,""id"",""en"")"),"['Steady', 'Telkomsel', 'Package', 'Unlimitite', 'FUP', 'Help', 'Dipedaan', 'inland', 'Aceh', 'Takengon', 'difficult', 'network', ' difficult ',' signal ',' thank God ',' hope ',' can ',' keep ',' easy ',' price ',' package ',' down ',' per month ',' thq "&amp;"',' greetings' , 'pole', 'city', 'coffee', 'country', 'above', 'cloud', 'zone', 'solid', 'qouta', ""]")</f>
        <v>['Steady', 'Telkomsel', 'Package', 'Unlimitite', 'FUP', 'Help', 'Dipedaan', 'inland', 'Aceh', 'Takengon', 'difficult', 'network', ' difficult ',' signal ',' thank God ',' hope ',' can ',' keep ',' easy ',' price ',' package ',' down ',' per month ',' thq ',' greetings' , 'pole', 'city', 'coffee', 'country', 'above', 'cloud', 'zone', 'solid', 'qouta', "]</v>
      </c>
      <c r="D551" s="3">
        <v>5.0</v>
      </c>
    </row>
    <row r="552" ht="15.75" customHeight="1">
      <c r="A552" s="1">
        <v>550.0</v>
      </c>
      <c r="B552" s="3" t="s">
        <v>553</v>
      </c>
      <c r="C552" s="3" t="str">
        <f>IFERROR(__xludf.DUMMYFUNCTION("GOOGLETRANSLATE(B552,""id"",""en"")"),"['The application', 'network', 'package', 'already', 'expensive', 'network', 'here', 'dilapidated', 'Telkomsel', 'Please', 'maintenance', 'the network', ' good, thank you']")</f>
        <v>['The application', 'network', 'package', 'already', 'expensive', 'network', 'here', 'dilapidated', 'Telkomsel', 'Please', 'maintenance', 'the network', ' good, thank you']</v>
      </c>
      <c r="D552" s="3">
        <v>1.0</v>
      </c>
    </row>
    <row r="553" ht="15.75" customHeight="1">
      <c r="A553" s="1">
        <v>551.0</v>
      </c>
      <c r="B553" s="3" t="s">
        <v>554</v>
      </c>
      <c r="C553" s="3" t="str">
        <f>IFERROR(__xludf.DUMMYFUNCTION("GOOGLETRANSLATE(B553,""id"",""en"")"),"['Bener', 'Bener', 'Changed', 'Package', 'above', 'Price', 'RB', 'Below', 'Network', 'Bad', 'Yesterday', 'Outside', ' City ',' network ',' slow ',' right ',' already ',' city ',' network ',' normal ',' please ',' customize ',' package ',' expensive ',' si"&amp;"gnal ' , 'Bad', 'lie', 'think', 'think', ""]")</f>
        <v>['Bener', 'Bener', 'Changed', 'Package', 'above', 'Price', 'RB', 'Below', 'Network', 'Bad', 'Yesterday', 'Outside', ' City ',' network ',' slow ',' right ',' already ',' city ',' network ',' normal ',' please ',' customize ',' package ',' expensive ',' signal ' , 'Bad', 'lie', 'think', 'think', "]</v>
      </c>
      <c r="D553" s="3">
        <v>2.0</v>
      </c>
    </row>
    <row r="554" ht="15.75" customHeight="1">
      <c r="A554" s="1">
        <v>552.0</v>
      </c>
      <c r="B554" s="3" t="s">
        <v>555</v>
      </c>
      <c r="C554" s="3" t="str">
        <f>IFERROR(__xludf.DUMMYFUNCTION("GOOGLETRANSLATE(B554,""id"",""en"")"),"['signal', 'play', 'game', 'bad', 'offer', 'unlimited', 'changed', 'signal', 'down', 'price', 'move', 'operator', ' price ',' expensive ',' quality ',' bad ',' quality ',' bad ',' customer ',' run ',' star ',' below ',' already ',' click ',' ']")</f>
        <v>['signal', 'play', 'game', 'bad', 'offer', 'unlimited', 'changed', 'signal', 'down', 'price', 'move', 'operator', ' price ',' expensive ',' quality ',' bad ',' quality ',' bad ',' customer ',' run ',' star ',' below ',' already ',' click ',' ']</v>
      </c>
      <c r="D554" s="3">
        <v>1.0</v>
      </c>
    </row>
    <row r="555" ht="15.75" customHeight="1">
      <c r="A555" s="1">
        <v>553.0</v>
      </c>
      <c r="B555" s="3" t="s">
        <v>556</v>
      </c>
      <c r="C555" s="3" t="str">
        <f>IFERROR(__xludf.DUMMYFUNCTION("GOOGLETRANSLATE(B555,""id"",""en"")"),"['open', 'application', 'Telkomsel', 'wasteful', 'quota', 'rich', 'download', 'open', 'Telkomsel', 'fast', 'abis',' quota ',' Please ',' Looked ',' Open ',' Litu ',' Data ',' ']")</f>
        <v>['open', 'application', 'Telkomsel', 'wasteful', 'quota', 'rich', 'download', 'open', 'Telkomsel', 'fast', 'abis',' quota ',' Please ',' Looked ',' Open ',' Litu ',' Data ',' ']</v>
      </c>
      <c r="D555" s="3">
        <v>1.0</v>
      </c>
    </row>
    <row r="556" ht="15.75" customHeight="1">
      <c r="A556" s="1">
        <v>554.0</v>
      </c>
      <c r="B556" s="3" t="s">
        <v>557</v>
      </c>
      <c r="C556" s="3" t="str">
        <f>IFERROR(__xludf.DUMMYFUNCTION("GOOGLETRANSLATE(B556,""id"",""en"")"),"['complicated', 'Telkomsel', 'user', 'card', 'change', 'difficult', 'contact', 'Telkomsel', 'obstacle', 'mandatory', 'lgsg', 'grapari', ' Service ',' Direct ',' Talk ',' Complaints', 'Bot', 'Wither', 'Email', 'Number', 'Discard', 'Card', 'Please', 'Call',"&amp;" 'Call' , 'held', '']")</f>
        <v>['complicated', 'Telkomsel', 'user', 'card', 'change', 'difficult', 'contact', 'Telkomsel', 'obstacle', 'mandatory', 'lgsg', 'grapari', ' Service ',' Direct ',' Talk ',' Complaints', 'Bot', 'Wither', 'Email', 'Number', 'Discard', 'Card', 'Please', 'Call', 'Call' , 'held', '']</v>
      </c>
      <c r="D556" s="3">
        <v>1.0</v>
      </c>
    </row>
    <row r="557" ht="15.75" customHeight="1">
      <c r="A557" s="1">
        <v>555.0</v>
      </c>
      <c r="B557" s="3" t="s">
        <v>558</v>
      </c>
      <c r="C557" s="3" t="str">
        <f>IFERROR(__xludf.DUMMYFUNCTION("GOOGLETRANSLATE(B557,""id"",""en"")"),"['buy', 'quota', 'lapse', 'Instagram', 'already', 'active', 'Instagraman', 'Kekeke', 'quota', 'main', 'what', 'Sis',' already ',' times', 'that's',' please ',' fix ',' what ']]")</f>
        <v>['buy', 'quota', 'lapse', 'Instagram', 'already', 'active', 'Instagraman', 'Kekeke', 'quota', 'main', 'what', 'Sis',' already ',' times', 'that's',' please ',' fix ',' what ']]</v>
      </c>
      <c r="D557" s="3">
        <v>1.0</v>
      </c>
    </row>
    <row r="558" ht="15.75" customHeight="1">
      <c r="A558" s="1">
        <v>556.0</v>
      </c>
      <c r="B558" s="3" t="s">
        <v>559</v>
      </c>
      <c r="C558" s="3" t="str">
        <f>IFERROR(__xludf.DUMMYFUNCTION("GOOGLETRANSLATE(B558,""id"",""en"")"),"['please', 'Telkomsel', 'company', 'telecommunications',' biggest ',' Indonesia ',' disappointed ',' quality ',' network ',' internet ',' Telkomsel ',' play ',' Game ',' online ',' entry ',' reconnect ',' get ',' price ',' expensive ',' price ',' quota ',"&amp;"' provider ',' cheap ',' network ',' stable ' , 'Pelangement', 'loyal', 'run', 'provider', '']")</f>
        <v>['please', 'Telkomsel', 'company', 'telecommunications',' biggest ',' Indonesia ',' disappointed ',' quality ',' network ',' internet ',' Telkomsel ',' play ',' Game ',' online ',' entry ',' reconnect ',' get ',' price ',' expensive ',' price ',' quota ',' provider ',' cheap ',' network ',' stable ' , 'Pelangement', 'loyal', 'run', 'provider', '']</v>
      </c>
      <c r="D558" s="3">
        <v>1.0</v>
      </c>
    </row>
    <row r="559" ht="15.75" customHeight="1">
      <c r="A559" s="1">
        <v>557.0</v>
      </c>
      <c r="B559" s="3" t="s">
        <v>560</v>
      </c>
      <c r="C559" s="3" t="str">
        <f>IFERROR(__xludf.DUMMYFUNCTION("GOOGLETRANSLATE(B559,""id"",""en"")"),"['The writing', 'has',' quota ',' multimedia ',' reality ',' quota ',' main ',' used ',' run out ',' quota ',' main ',' contents', ' Quota ',' shown ',' quota ',' multimedia ',' ambiguous', 'thank you']")</f>
        <v>['The writing', 'has',' quota ',' multimedia ',' reality ',' quota ',' main ',' used ',' run out ',' quota ',' main ',' contents', ' Quota ',' shown ',' quota ',' multimedia ',' ambiguous', 'thank you']</v>
      </c>
      <c r="D559" s="3">
        <v>1.0</v>
      </c>
    </row>
    <row r="560" ht="15.75" customHeight="1">
      <c r="A560" s="1">
        <v>558.0</v>
      </c>
      <c r="B560" s="3" t="s">
        <v>561</v>
      </c>
      <c r="C560" s="3" t="str">
        <f>IFERROR(__xludf.DUMMYFUNCTION("GOOGLETRANSLATE(B560,""id"",""en"")"),"['Russy', 'buy', 'card', 'Perdana', 'Telkomsel', 'Nggk', 'APK', 'Maketin', 'Nggk', 'PFTT', 'Loss',' Change ',' ',' GPP ',' money ',' Telkomsel ',' see ',' dlu ',' deh ',' already ',' nggk ',' rich ', ""]")</f>
        <v>['Russy', 'buy', 'card', 'Perdana', 'Telkomsel', 'Nggk', 'APK', 'Maketin', 'Nggk', 'PFTT', 'Loss',' Change ',' ',' GPP ',' money ',' Telkomsel ',' see ',' dlu ',' deh ',' already ',' nggk ',' rich ', "]</v>
      </c>
      <c r="D560" s="3">
        <v>1.0</v>
      </c>
    </row>
    <row r="561" ht="15.75" customHeight="1">
      <c r="A561" s="1">
        <v>559.0</v>
      </c>
      <c r="B561" s="3" t="s">
        <v>562</v>
      </c>
      <c r="C561" s="3" t="str">
        <f>IFERROR(__xludf.DUMMYFUNCTION("GOOGLETRANSLATE(B561,""id"",""en"")"),"['Mending', 'gausah', 'use', 'Telkomsel', 'use', 'provider', 'good', 'Telkomsel', 'network', 'ugly', 'price', 'quota', ' expensive ',' according to ',' price ',' expensive ',' network ',' ugly ',' disband ',' selling ',' rice ',' fried ']")</f>
        <v>['Mending', 'gausah', 'use', 'Telkomsel', 'use', 'provider', 'good', 'Telkomsel', 'network', 'ugly', 'price', 'quota', ' expensive ',' according to ',' price ',' expensive ',' network ',' ugly ',' disband ',' selling ',' rice ',' fried ']</v>
      </c>
      <c r="D561" s="3">
        <v>1.0</v>
      </c>
    </row>
    <row r="562" ht="15.75" customHeight="1">
      <c r="A562" s="1">
        <v>560.0</v>
      </c>
      <c r="B562" s="3" t="s">
        <v>563</v>
      </c>
      <c r="C562" s="3" t="str">
        <f>IFERROR(__xludf.DUMMYFUNCTION("GOOGLETRANSLATE(B562,""id"",""en"")"),"['The network', 'down', 'Terocos',' Telkomsel ',' wherever ',' signal ',' skrng ',' difficult ',' because ',' numbers', 'communication', 'relations',' already ',' change ',' Provide ',' next door ']")</f>
        <v>['The network', 'down', 'Terocos',' Telkomsel ',' wherever ',' signal ',' skrng ',' difficult ',' because ',' numbers', 'communication', 'relations',' already ',' change ',' Provide ',' next door ']</v>
      </c>
      <c r="D562" s="3">
        <v>1.0</v>
      </c>
    </row>
    <row r="563" ht="15.75" customHeight="1">
      <c r="A563" s="1">
        <v>561.0</v>
      </c>
      <c r="B563" s="3" t="s">
        <v>564</v>
      </c>
      <c r="C563" s="3" t="str">
        <f>IFERROR(__xludf.DUMMYFUNCTION("GOOGLETRANSLATE(B563,""id"",""en"")"),"['network', 'Telkomsel', 'bad', 'congratulations',' reset ',' sympathy ',' hope ',' bankrupt ',' company ',' network ',' telkomsel ',' threat ',' BNGET ']")</f>
        <v>['network', 'Telkomsel', 'bad', 'congratulations',' reset ',' sympathy ',' hope ',' bankrupt ',' company ',' network ',' telkomsel ',' threat ',' BNGET ']</v>
      </c>
      <c r="D563" s="3">
        <v>1.0</v>
      </c>
    </row>
    <row r="564" ht="15.75" customHeight="1">
      <c r="A564" s="1">
        <v>562.0</v>
      </c>
      <c r="B564" s="3" t="s">
        <v>565</v>
      </c>
      <c r="C564" s="3" t="str">
        <f>IFERROR(__xludf.DUMMYFUNCTION("GOOGLETRANSLATE(B564,""id"",""en"")"),"['Update', 'buy', 'package', 'promotion', 'no', 'trs',' promote ',' missing ',' uninstall ',' install ',' please ',' fix ',' thank you', '']")</f>
        <v>['Update', 'buy', 'package', 'promotion', 'no', 'trs',' promote ',' missing ',' uninstall ',' install ',' please ',' fix ',' thank you', '']</v>
      </c>
      <c r="D564" s="3">
        <v>1.0</v>
      </c>
    </row>
    <row r="565" ht="15.75" customHeight="1">
      <c r="A565" s="1">
        <v>563.0</v>
      </c>
      <c r="B565" s="3" t="s">
        <v>566</v>
      </c>
      <c r="C565" s="3" t="str">
        <f>IFERROR(__xludf.DUMMYFUNCTION("GOOGLETRANSLATE(B565,""id"",""en"")"),"['Application', 'okay', 'good', 'just', 'connection', 'network', 'here', 'stable', 'likes',' sleep ',' maen ',' mobile ',' Legend ',' Ping ',' Red ',' Down ',' Change ',' Network ',' Provider ', ""]")</f>
        <v>['Application', 'okay', 'good', 'just', 'connection', 'network', 'here', 'stable', 'likes',' sleep ',' maen ',' mobile ',' Legend ',' Ping ',' Red ',' Down ',' Change ',' Network ',' Provider ', "]</v>
      </c>
      <c r="D565" s="3">
        <v>5.0</v>
      </c>
    </row>
    <row r="566" ht="15.75" customHeight="1">
      <c r="A566" s="1">
        <v>564.0</v>
      </c>
      <c r="B566" s="3" t="s">
        <v>567</v>
      </c>
      <c r="C566" s="3" t="str">
        <f>IFERROR(__xludf.DUMMYFUNCTION("GOOGLETRANSLATE(B566,""id"",""en"")"),"['application', 'Telkomsel', 'closing', 'signal', 'Telkomsel', 'slow', 'mentang', 'mentang', 'upgrade', 'service', 'decline', 'according to' Costs', 'Remove', 'buy', 'package', 'expensive', 'quota', 'thank', 'little', ""]")</f>
        <v>['application', 'Telkomsel', 'closing', 'signal', 'Telkomsel', 'slow', 'mentang', 'mentang', 'upgrade', 'service', 'decline', 'according to' Costs', 'Remove', 'buy', 'package', 'expensive', 'quota', 'thank', 'little', "]</v>
      </c>
      <c r="D566" s="3">
        <v>1.0</v>
      </c>
    </row>
    <row r="567" ht="15.75" customHeight="1">
      <c r="A567" s="1">
        <v>565.0</v>
      </c>
      <c r="B567" s="3" t="s">
        <v>568</v>
      </c>
      <c r="C567" s="3" t="str">
        <f>IFERROR(__xludf.DUMMYFUNCTION("GOOGLETRANSLATE(B567,""id"",""en"")"),"['application', 'made', 'child', 'country', 'buy', 'country', 'language', 'foreign', 'aka', 'hope', 'correction', ""]")</f>
        <v>['application', 'made', 'child', 'country', 'buy', 'country', 'language', 'foreign', 'aka', 'hope', 'correction', "]</v>
      </c>
      <c r="D567" s="3">
        <v>4.0</v>
      </c>
    </row>
    <row r="568" ht="15.75" customHeight="1">
      <c r="A568" s="1">
        <v>566.0</v>
      </c>
      <c r="B568" s="3" t="s">
        <v>569</v>
      </c>
      <c r="C568" s="3" t="str">
        <f>IFERROR(__xludf.DUMMYFUNCTION("GOOGLETRANSLATE(B568,""id"",""en"")"),"['Hopefully', 'Your mama', 'Died', 'Enter', 'Hell', 'Network', 'Ngeleg', 'Very', 'Data', 'expensive', 'strange', 'really', ' price ',' nge "", 'ugly', 'hope', 'enter', 'hell']")</f>
        <v>['Hopefully', 'Your mama', 'Died', 'Enter', 'Hell', 'Network', 'Ngeleg', 'Very', 'Data', 'expensive', 'strange', 'really', ' price ',' nge ", 'ugly', 'hope', 'enter', 'hell']</v>
      </c>
      <c r="D568" s="3">
        <v>1.0</v>
      </c>
    </row>
    <row r="569" ht="15.75" customHeight="1">
      <c r="A569" s="1">
        <v>567.0</v>
      </c>
      <c r="B569" s="3" t="s">
        <v>570</v>
      </c>
      <c r="C569" s="3" t="str">
        <f>IFERROR(__xludf.DUMMYFUNCTION("GOOGLETRANSLATE(B569,""id"",""en"")"),"['home', 'distance', 'tower', 'BTS', 'Telkomsel', 'meter', 'bar', 'signal', 'bar', 'signal', 'bar', 'signal', ' Safe ',' Bar ',' Signal ',' Telkomsel ',' Please ',' Assisted ',' Thank you ',' The ',' Best ',' for ',' Telkomsel ',' Anyway ', ""]")</f>
        <v>['home', 'distance', 'tower', 'BTS', 'Telkomsel', 'meter', 'bar', 'signal', 'bar', 'signal', 'bar', 'signal', ' Safe ',' Bar ',' Signal ',' Telkomsel ',' Please ',' Assisted ',' Thank you ',' The ',' Best ',' for ',' Telkomsel ',' Anyway ', "]</v>
      </c>
      <c r="D569" s="3">
        <v>5.0</v>
      </c>
    </row>
    <row r="570" ht="15.75" customHeight="1">
      <c r="A570" s="1">
        <v>568.0</v>
      </c>
      <c r="B570" s="3" t="s">
        <v>571</v>
      </c>
      <c r="C570" s="3" t="str">
        <f>IFERROR(__xludf.DUMMYFUNCTION("GOOGLETRANSLATE(B570,""id"",""en"")"),"['Update', 'Vivo', 'APK', 'Used', 'Karna', 'Tool', 'Competible', 'Version', 'Donlot', 'Child', 'Redmi', 'Note', ' Login ',' Krna ',' Card ',' Vivo ',' Yaaa ',' Kaalliii ',' Mirus', 'Change', 'Donlot', 'APK', ""]")</f>
        <v>['Update', 'Vivo', 'APK', 'Used', 'Karna', 'Tool', 'Competible', 'Version', 'Donlot', 'Child', 'Redmi', 'Note', ' Login ',' Krna ',' Card ',' Vivo ',' Yaaa ',' Kaalliii ',' Mirus', 'Change', 'Donlot', 'APK', "]</v>
      </c>
      <c r="D570" s="3">
        <v>2.0</v>
      </c>
    </row>
    <row r="571" ht="15.75" customHeight="1">
      <c r="A571" s="1">
        <v>569.0</v>
      </c>
      <c r="B571" s="3" t="s">
        <v>572</v>
      </c>
      <c r="C571" s="3" t="str">
        <f>IFERROR(__xludf.DUMMYFUNCTION("GOOGLETRANSLATE(B571,""id"",""en"")"),"['Sousiny', 'ugly', 'really', 'malem', 'week', 'slow', 'severe', 'district', 'pasuruan', 'Please', 'quality', 'the network', ' Enhanced ',' Dahulumpan ',' Improved ', ""]")</f>
        <v>['Sousiny', 'ugly', 'really', 'malem', 'week', 'slow', 'severe', 'district', 'pasuruan', 'Please', 'quality', 'the network', ' Enhanced ',' Dahulumpan ',' Improved ', "]</v>
      </c>
      <c r="D571" s="3">
        <v>1.0</v>
      </c>
    </row>
    <row r="572" ht="15.75" customHeight="1">
      <c r="A572" s="1">
        <v>570.0</v>
      </c>
      <c r="B572" s="3" t="s">
        <v>573</v>
      </c>
      <c r="C572" s="3" t="str">
        <f>IFERROR(__xludf.DUMMYFUNCTION("GOOGLETRANSLATE(B572,""id"",""en"")"),"['', 'PKE', 'TELKOMSEL', 'KNPA', 'AHIR', 'Kreta', 'Fill', 'HRI', 'Lost', 'Ktanya', 'Crete', 'Out', 'PDHL ',' Make ',' Pling ',' Open ',' Tiktok ',' Child ',' Lost ',' BGTU ',' Shrimp ',' Bakwan ',' Please ',' Honest ',' Nmbah ', 'forward', 'bgin', 'then',"&amp;" 'canally', 'mba', 'ngk', 'routine', 'people']")</f>
        <v>['', 'PKE', 'TELKOMSEL', 'KNPA', 'AHIR', 'Kreta', 'Fill', 'HRI', 'Lost', 'Ktanya', 'Crete', 'Out', 'PDHL ',' Make ',' Pling ',' Open ',' Tiktok ',' Child ',' Lost ',' BGTU ',' Shrimp ',' Bakwan ',' Please ',' Honest ',' Nmbah ', 'forward', 'bgin', 'then', 'canally', 'mba', 'ngk', 'routine', 'people']</v>
      </c>
      <c r="D572" s="3">
        <v>1.0</v>
      </c>
    </row>
    <row r="573" ht="15.75" customHeight="1">
      <c r="A573" s="1">
        <v>571.0</v>
      </c>
      <c r="B573" s="3" t="s">
        <v>574</v>
      </c>
      <c r="C573" s="3" t="str">
        <f>IFERROR(__xludf.DUMMYFUNCTION("GOOGLETRANSLATE(B573,""id"",""en"")"),"['TLNG', 'Developer', 'provides',' mode ',' dark ',' display ',' glare ',' btw ',' price ',' package ',' data ',' expensive ',' Cheap ',' choice ',' interesting ']")</f>
        <v>['TLNG', 'Developer', 'provides',' mode ',' dark ',' display ',' glare ',' btw ',' price ',' package ',' data ',' expensive ',' Cheap ',' choice ',' interesting ']</v>
      </c>
      <c r="D573" s="3">
        <v>5.0</v>
      </c>
    </row>
    <row r="574" ht="15.75" customHeight="1">
      <c r="A574" s="1">
        <v>572.0</v>
      </c>
      <c r="B574" s="3" t="s">
        <v>575</v>
      </c>
      <c r="C574" s="3" t="str">
        <f>IFERROR(__xludf.DUMMYFUNCTION("GOOGLETRANSLATE(B574,""id"",""en"")"),"['disappointed', 'network', 'muter', 'muter', 'karuan', 'package', 'internet', 'installed', 'slamming', 'victim', 'resentment', 'network', ' Telkomsel ']")</f>
        <v>['disappointed', 'network', 'muter', 'muter', 'karuan', 'package', 'internet', 'installed', 'slamming', 'victim', 'resentment', 'network', ' Telkomsel ']</v>
      </c>
      <c r="D574" s="3">
        <v>1.0</v>
      </c>
    </row>
    <row r="575" ht="15.75" customHeight="1">
      <c r="A575" s="1">
        <v>573.0</v>
      </c>
      <c r="B575" s="3" t="s">
        <v>576</v>
      </c>
      <c r="C575" s="3" t="str">
        <f>IFERROR(__xludf.DUMMYFUNCTION("GOOGLETRANSLATE(B575,""id"",""en"")"),"['How', 'cave', 'buy', 'package', 'GB', 'balance', 'right', 'purchase', 'UDH', 'SUCCESS', 'KATANX', 'Processed', ' Payment ',' UDH ',' Awaited ',' Pulses', 'Reduced', 'Mainin', 'Customer', 'Telkomsel', 'Please', 'Kek', ""]")</f>
        <v>['How', 'cave', 'buy', 'package', 'GB', 'balance', 'right', 'purchase', 'UDH', 'SUCCESS', 'KATANX', 'Processed', ' Payment ',' UDH ',' Awaited ',' Pulses', 'Reduced', 'Mainin', 'Customer', 'Telkomsel', 'Please', 'Kek', "]</v>
      </c>
      <c r="D575" s="3">
        <v>3.0</v>
      </c>
    </row>
    <row r="576" ht="15.75" customHeight="1">
      <c r="A576" s="1">
        <v>574.0</v>
      </c>
      <c r="B576" s="3" t="s">
        <v>577</v>
      </c>
      <c r="C576" s="3" t="str">
        <f>IFERROR(__xludf.DUMMYFUNCTION("GOOGLETRANSLATE(B576,""id"",""en"")"),"['Link', 'Verification', 'Email', 'Enter', 'Email', 'Click', 'Error', 'What', 'Verification', 'Email', 'Donk', 'Error', ' ',' ']")</f>
        <v>['Link', 'Verification', 'Email', 'Enter', 'Email', 'Click', 'Error', 'What', 'Verification', 'Email', 'Donk', 'Error', ' ',' ']</v>
      </c>
      <c r="D576" s="3">
        <v>1.0</v>
      </c>
    </row>
    <row r="577" ht="15.75" customHeight="1">
      <c r="A577" s="1">
        <v>575.0</v>
      </c>
      <c r="B577" s="3" t="s">
        <v>578</v>
      </c>
      <c r="C577" s="3" t="str">
        <f>IFERROR(__xludf.DUMMYFUNCTION("GOOGLETRANSLATE(B577,""id"",""en"")"),"['Disappointed', 'Telkomsel', 'introspection', 'disappointed', 'SMS', 'then', 'Network', 'Severe', 'Untung', 'RMH', 'First', 'Media', ' In the future ',' off ',' card ',' card ',' card ',' Telkomsel ',' Remnant ',' Telfon ',' Telkomsel ',' thumbs', 'BKN',"&amp;" 'Bintang', 'hopefully' , 'Telkomsel', 'Read']")</f>
        <v>['Disappointed', 'Telkomsel', 'introspection', 'disappointed', 'SMS', 'then', 'Network', 'Severe', 'Untung', 'RMH', 'First', 'Media', ' In the future ',' off ',' card ',' card ',' card ',' Telkomsel ',' Remnant ',' Telfon ',' Telkomsel ',' thumbs', 'BKN', 'Bintang', 'hopefully' , 'Telkomsel', 'Read']</v>
      </c>
      <c r="D577" s="3">
        <v>1.0</v>
      </c>
    </row>
    <row r="578" ht="15.75" customHeight="1">
      <c r="A578" s="1">
        <v>576.0</v>
      </c>
      <c r="B578" s="3" t="s">
        <v>579</v>
      </c>
      <c r="C578" s="3" t="str">
        <f>IFERROR(__xludf.DUMMYFUNCTION("GOOGLETRANSLATE(B578,""id"",""en"")"),"['Make it easier', 'work', 'Daa', 'deliver', 'service', 'internet', 'telephone', 'sms',' hope ',' bnyk ',' promo ',' cheap ',' Users', 'burdened', 'fees',' ']")</f>
        <v>['Make it easier', 'work', 'Daa', 'deliver', 'service', 'internet', 'telephone', 'sms',' hope ',' bnyk ',' promo ',' cheap ',' Users', 'burdened', 'fees',' ']</v>
      </c>
      <c r="D578" s="3">
        <v>5.0</v>
      </c>
    </row>
    <row r="579" ht="15.75" customHeight="1">
      <c r="A579" s="1">
        <v>577.0</v>
      </c>
      <c r="B579" s="3" t="s">
        <v>580</v>
      </c>
      <c r="C579" s="3" t="str">
        <f>IFERROR(__xludf.DUMMYFUNCTION("GOOGLETRANSLATE(B579,""id"",""en"")"),"['', 'Telkomsel', 'price', 'package', 'suits',' need ',' user ',' force ',' user ',' price ',' expensive ',' balanced ',' strength ',' signal ',' sometimes', 'buy', 'package', 'managed', 'entered', 'bad', 'services',' disappointed ',' with ',' Telkomsel '"&amp;",' reply ', 'complain', 'it's', 'directed', 'media', 'social', 'company', 'replication', 'balanced', 'improvement', 'service', ""]")</f>
        <v>['', 'Telkomsel', 'price', 'package', 'suits',' need ',' user ',' force ',' user ',' price ',' expensive ',' balanced ',' strength ',' signal ',' sometimes', 'buy', 'package', 'managed', 'entered', 'bad', 'services',' disappointed ',' with ',' Telkomsel ',' reply ', 'complain', 'it's', 'directed', 'media', 'social', 'company', 'replication', 'balanced', 'improvement', 'service', "]</v>
      </c>
      <c r="D579" s="3">
        <v>1.0</v>
      </c>
    </row>
    <row r="580" ht="15.75" customHeight="1">
      <c r="A580" s="1">
        <v>578.0</v>
      </c>
      <c r="B580" s="3" t="s">
        <v>581</v>
      </c>
      <c r="C580" s="3" t="str">
        <f>IFERROR(__xludf.DUMMYFUNCTION("GOOGLETRANSLATE(B580,""id"",""en"")"),"['quota', 'learn', 'Gigamax', 'quota', 'bnayak', 'designation', 'explanation', 'difficult', 'understand', 'community', 'example', 'buy', ' quota ',' prime ',' GB ',' written ',' quota ',' Utaam ',' GB ',' used ',' lure ',' lure ',' fooling ',' please ',' "&amp;"separate ' , 'prime', 'quota', 'game', 'MAXT', 'Regular', 'community', 'Filling', 'needed', 'strange', 'quota', 'study', 'bro', ' Chat ',' Search ',' Material ',' Browsing ',' Signal ',' Hilng ']")</f>
        <v>['quota', 'learn', 'Gigamax', 'quota', 'bnayak', 'designation', 'explanation', 'difficult', 'understand', 'community', 'example', 'buy', ' quota ',' prime ',' GB ',' written ',' quota ',' Utaam ',' GB ',' used ',' lure ',' lure ',' fooling ',' please ',' separate ' , 'prime', 'quota', 'game', 'MAXT', 'Regular', 'community', 'Filling', 'needed', 'strange', 'quota', 'study', 'bro', ' Chat ',' Search ',' Material ',' Browsing ',' Signal ',' Hilng ']</v>
      </c>
      <c r="D580" s="3">
        <v>1.0</v>
      </c>
    </row>
    <row r="581" ht="15.75" customHeight="1">
      <c r="A581" s="1">
        <v>579.0</v>
      </c>
      <c r="B581" s="3" t="s">
        <v>582</v>
      </c>
      <c r="C581" s="3" t="str">
        <f>IFERROR(__xludf.DUMMYFUNCTION("GOOGLETRANSLATE(B581,""id"",""en"")"),"['week', 'signal', 'network', 'stable', 'ugly', 'play', 'game', 'network', 'lost', ""]")</f>
        <v>['week', 'signal', 'network', 'stable', 'ugly', 'play', 'game', 'network', 'lost', "]</v>
      </c>
      <c r="D581" s="3">
        <v>2.0</v>
      </c>
    </row>
    <row r="582" ht="15.75" customHeight="1">
      <c r="A582" s="1">
        <v>580.0</v>
      </c>
      <c r="B582" s="3" t="s">
        <v>583</v>
      </c>
      <c r="C582" s="3" t="str">
        <f>IFERROR(__xludf.DUMMYFUNCTION("GOOGLETRANSLATE(B582,""id"",""en"")"),"['woooiii', 'Telkomsel', 'mentang', 'mentang', 'use', 'company', 'arrogant', 'fix', 'system', 'charging', 'pulse', 'voucher', ' Yesterday ',' fill in ',' voucher ',' price ',' expensive ',' price ',' voucher ']")</f>
        <v>['woooiii', 'Telkomsel', 'mentang', 'mentang', 'use', 'company', 'arrogant', 'fix', 'system', 'charging', 'pulse', 'voucher', ' Yesterday ',' fill in ',' voucher ',' price ',' expensive ',' price ',' voucher ']</v>
      </c>
      <c r="D582" s="3">
        <v>1.0</v>
      </c>
    </row>
    <row r="583" ht="15.75" customHeight="1">
      <c r="A583" s="1">
        <v>581.0</v>
      </c>
      <c r="B583" s="3" t="s">
        <v>584</v>
      </c>
      <c r="C583" s="3" t="str">
        <f>IFERROR(__xludf.DUMMYFUNCTION("GOOGLETRANSLATE(B583,""id"",""en"")"),"['buy', 'Thinking', 'YouTube', 'unlimited', 'week', 'access',' YouTube ',' mobile ',' lie ',' already ',' that's', 'signal', ' Full ',' Speed ​​',' Internet ',' ugly ',' Ngelag ',' BUMN ',' Quality ',' Gini ',' How ',' Compete ',' Pantes', 'Shake', 'Road'"&amp;" , '']")</f>
        <v>['buy', 'Thinking', 'YouTube', 'unlimited', 'week', 'access',' YouTube ',' mobile ',' lie ',' already ',' that's', 'signal', ' Full ',' Speed ​​',' Internet ',' ugly ',' Ngelag ',' BUMN ',' Quality ',' Gini ',' How ',' Compete ',' Pantes', 'Shake', 'Road' , '']</v>
      </c>
      <c r="D583" s="3">
        <v>1.0</v>
      </c>
    </row>
    <row r="584" ht="15.75" customHeight="1">
      <c r="A584" s="1">
        <v>582.0</v>
      </c>
      <c r="B584" s="3" t="s">
        <v>585</v>
      </c>
      <c r="C584" s="3" t="str">
        <f>IFERROR(__xludf.DUMMYFUNCTION("GOOGLETRANSLATE(B584,""id"",""en"")"),"['Bug', 'MyTelkomsel', 'Buy', 'Package', 'Internet', 'Can', 'Notif', 'Purchase', 'Success',' TPI ',' Credit ',' Cut "" quota ',' entered ',' tried ',' bbrp ',' times', 'ttp', 'right', 'dial', 'lanjay']")</f>
        <v>['Bug', 'MyTelkomsel', 'Buy', 'Package', 'Internet', 'Can', 'Notif', 'Purchase', 'Success',' TPI ',' Credit ',' Cut " quota ',' entered ',' tried ',' bbrp ',' times', 'ttp', 'right', 'dial', 'lanjay']</v>
      </c>
      <c r="D584" s="3">
        <v>1.0</v>
      </c>
    </row>
    <row r="585" ht="15.75" customHeight="1">
      <c r="A585" s="1">
        <v>583.0</v>
      </c>
      <c r="B585" s="3" t="s">
        <v>586</v>
      </c>
      <c r="C585" s="3" t="str">
        <f>IFERROR(__xludf.DUMMYFUNCTION("GOOGLETRANSLATE(B585,""id"",""en"")"),"['Please', 'Since', 'Update', 'Difficult', 'Buy', 'Paketan', 'France', 'Errr', 'Failed', 'Rich', 'Cepet', 'Ribet', ' UDH ',' GTU ',' The network ',' ugly ',' sad ',' really ',' oath ']")</f>
        <v>['Please', 'Since', 'Update', 'Difficult', 'Buy', 'Paketan', 'France', 'Errr', 'Failed', 'Rich', 'Cepet', 'Ribet', ' UDH ',' GTU ',' The network ',' ugly ',' sad ',' really ',' oath ']</v>
      </c>
      <c r="D585" s="3">
        <v>2.0</v>
      </c>
    </row>
    <row r="586" ht="15.75" customHeight="1">
      <c r="A586" s="1">
        <v>584.0</v>
      </c>
      <c r="B586" s="3" t="s">
        <v>587</v>
      </c>
      <c r="C586" s="3" t="str">
        <f>IFERROR(__xludf.DUMMYFUNCTION("GOOGLETRANSLATE(B586,""id"",""en"")"),"['quota', 'data', 'run out', 'pulses',' absorbed ',' quota ',' data ',' and ',' pulse ',' interests', 'jngan', 'kompair', ' Calls', 'pulses',' run out ',' absorbed ',' krna ',' data ',' online ',' active ',' disappointed ',' dngan ',' vitur ',' telkomsel "&amp;"',' skrng ' , 'poor', ""]")</f>
        <v>['quota', 'data', 'run out', 'pulses',' absorbed ',' quota ',' data ',' and ',' pulse ',' interests', 'jngan', 'kompair', ' Calls', 'pulses',' run out ',' absorbed ',' krna ',' data ',' online ',' active ',' disappointed ',' dngan ',' vitur ',' telkomsel ',' skrng ' , 'poor', "]</v>
      </c>
      <c r="D586" s="3">
        <v>1.0</v>
      </c>
    </row>
    <row r="587" ht="15.75" customHeight="1">
      <c r="A587" s="1">
        <v>585.0</v>
      </c>
      <c r="B587" s="3" t="s">
        <v>588</v>
      </c>
      <c r="C587" s="3" t="str">
        <f>IFERROR(__xludf.DUMMYFUNCTION("GOOGLETRANSLATE(B587,""id"",""en"")"),"['best', 'Telkomsel', 'check', 'package', 'data', 'easy', 'separate', 'package', 'data', 'per month', 'weekly', 'daily', ' package ',' internet ',' night ',' easy ',' leftover ',' quota ',' different ',' active ', ""]")</f>
        <v>['best', 'Telkomsel', 'check', 'package', 'data', 'easy', 'separate', 'package', 'data', 'per month', 'weekly', 'daily', ' package ',' internet ',' night ',' easy ',' leftover ',' quota ',' different ',' active ', "]</v>
      </c>
      <c r="D587" s="3">
        <v>5.0</v>
      </c>
    </row>
    <row r="588" ht="15.75" customHeight="1">
      <c r="A588" s="1">
        <v>586.0</v>
      </c>
      <c r="B588" s="3" t="s">
        <v>589</v>
      </c>
      <c r="C588" s="3" t="str">
        <f>IFERROR(__xludf.DUMMYFUNCTION("GOOGLETRANSLATE(B588,""id"",""en"")"),"['Service', 'Application', 'satisfying', 'makes it difficult', 'customer', 'emergency', 'application', 'Telkomsel', 'Support', 'use', 'access',' quota ',' ']")</f>
        <v>['Service', 'Application', 'satisfying', 'makes it difficult', 'customer', 'emergency', 'application', 'Telkomsel', 'Support', 'use', 'access',' quota ',' ']</v>
      </c>
      <c r="D588" s="3">
        <v>4.0</v>
      </c>
    </row>
    <row r="589" ht="15.75" customHeight="1">
      <c r="A589" s="1">
        <v>587.0</v>
      </c>
      <c r="B589" s="3" t="s">
        <v>590</v>
      </c>
      <c r="C589" s="3" t="str">
        <f>IFERROR(__xludf.DUMMYFUNCTION("GOOGLETRANSLATE(B589,""id"",""en"")"),"['Bill', 'excess',' replace ',' package ',' non ',' activated ',' card ',' pertima ',' register ',' dibrapari ',' policy ',' change ',' burdensome ',' pelangement ',' ']")</f>
        <v>['Bill', 'excess',' replace ',' package ',' non ',' activated ',' card ',' pertima ',' register ',' dibrapari ',' policy ',' change ',' burdensome ',' pelangement ',' ']</v>
      </c>
      <c r="D589" s="3">
        <v>1.0</v>
      </c>
    </row>
    <row r="590" ht="15.75" customHeight="1">
      <c r="A590" s="1">
        <v>588.0</v>
      </c>
      <c r="B590" s="3" t="s">
        <v>591</v>
      </c>
      <c r="C590" s="3" t="str">
        <f>IFERROR(__xludf.DUMMYFUNCTION("GOOGLETRANSLATE(B590,""id"",""en"")"),"['Gabisa', 'Open', 'Telkomsel', 'Send', 'Link', 'Ber', 'Clock', 'Clock', 'Appear', 'Notif', 'SMS', 'Email', ' times', 'enter', 'application', 'must', 'send', 'link', '']")</f>
        <v>['Gabisa', 'Open', 'Telkomsel', 'Send', 'Link', 'Ber', 'Clock', 'Clock', 'Appear', 'Notif', 'SMS', 'Email', ' times', 'enter', 'application', 'must', 'send', 'link', '']</v>
      </c>
      <c r="D590" s="3">
        <v>1.0</v>
      </c>
    </row>
    <row r="591" ht="15.75" customHeight="1">
      <c r="A591" s="1">
        <v>589.0</v>
      </c>
      <c r="B591" s="3" t="s">
        <v>592</v>
      </c>
      <c r="C591" s="3" t="str">
        <f>IFERROR(__xludf.DUMMYFUNCTION("GOOGLETRANSLATE(B591,""id"",""en"")"),"['Paketan', 'expensive', 'brain', 'friend', 'package', 'cheap', 'area', 'city', 'address',' the difference ',' rare ',' contents', ' pulses', 'like', 'contents',' pulses', 'deliberate', 'really', 'made', 'expensive']")</f>
        <v>['Paketan', 'expensive', 'brain', 'friend', 'package', 'cheap', 'area', 'city', 'address',' the difference ',' rare ',' contents', ' pulses', 'like', 'contents',' pulses', 'deliberate', 'really', 'made', 'expensive']</v>
      </c>
      <c r="D591" s="3">
        <v>1.0</v>
      </c>
    </row>
    <row r="592" ht="15.75" customHeight="1">
      <c r="A592" s="1">
        <v>590.0</v>
      </c>
      <c r="B592" s="3" t="s">
        <v>593</v>
      </c>
      <c r="C592" s="3" t="str">
        <f>IFERROR(__xludf.DUMMYFUNCTION("GOOGLETRANSLATE(B592,""id"",""en"")"),"['Please', 'network', 'strengthen', 'city', 'minimal', 'network', 'network', 'steel', 'network', ""]")</f>
        <v>['Please', 'network', 'strengthen', 'city', 'minimal', 'network', 'network', 'steel', 'network', "]</v>
      </c>
      <c r="D592" s="3">
        <v>1.0</v>
      </c>
    </row>
    <row r="593" ht="15.75" customHeight="1">
      <c r="A593" s="1">
        <v>591.0</v>
      </c>
      <c r="B593" s="3" t="s">
        <v>594</v>
      </c>
      <c r="C593" s="3" t="str">
        <f>IFERROR(__xludf.DUMMYFUNCTION("GOOGLETRANSLATE(B593,""id"",""en"")"),"['Telkomsel', 'Speed', 'hahaha', 'garbage', 'customer', 'already', 'complain', 'network', 'direct', 'repair', 'Wait', 'contact', ' Customer ',' intention ',' work ',' ']")</f>
        <v>['Telkomsel', 'Speed', 'hahaha', 'garbage', 'customer', 'already', 'complain', 'network', 'direct', 'repair', 'Wait', 'contact', ' Customer ',' intention ',' work ',' ']</v>
      </c>
      <c r="D593" s="3">
        <v>1.0</v>
      </c>
    </row>
    <row r="594" ht="15.75" customHeight="1">
      <c r="A594" s="1">
        <v>592.0</v>
      </c>
      <c r="B594" s="3" t="s">
        <v>595</v>
      </c>
      <c r="C594" s="3" t="str">
        <f>IFERROR(__xludf.DUMMYFUNCTION("GOOGLETRANSLATE(B594,""id"",""en"")"),"['buy', 'Kouta', 'via', 'wallet', 'troubles', 'already', 'buy', 'use', 'link']")</f>
        <v>['buy', 'Kouta', 'via', 'wallet', 'troubles', 'already', 'buy', 'use', 'link']</v>
      </c>
      <c r="D594" s="3">
        <v>1.0</v>
      </c>
    </row>
    <row r="595" ht="15.75" customHeight="1">
      <c r="A595" s="1">
        <v>593.0</v>
      </c>
      <c r="B595" s="3" t="s">
        <v>596</v>
      </c>
      <c r="C595" s="3" t="str">
        <f>IFERROR(__xludf.DUMMYFUNCTION("GOOGLETRANSLATE(B595,""id"",""en"")"),"['Cool', 'his technique', 'gave', 'bonus', 'quota', 'gatanya', 'pulse', 'abis', 'because' right ',' can ',' network ',' Take ',' pulse ',' strange ',' bin ',' magical ',' realize ',' replace ',' operator ']")</f>
        <v>['Cool', 'his technique', 'gave', 'bonus', 'quota', 'gatanya', 'pulse', 'abis', 'because' right ',' can ',' network ',' Take ',' pulse ',' strange ',' bin ',' magical ',' realize ',' replace ',' operator ']</v>
      </c>
      <c r="D595" s="3">
        <v>1.0</v>
      </c>
    </row>
    <row r="596" ht="15.75" customHeight="1">
      <c r="A596" s="1">
        <v>594.0</v>
      </c>
      <c r="B596" s="3" t="s">
        <v>597</v>
      </c>
      <c r="C596" s="3" t="str">
        <f>IFERROR(__xludf.DUMMYFUNCTION("GOOGLETRANSLATE(B596,""id"",""en"")"),"['Sorry', 'Switch', 'Provider', 'Package', 'Internet', 'Disappointed', 'Signal', 'Stable', 'Draw', 'Price', 'Package', 'Accept', ' love', '']")</f>
        <v>['Sorry', 'Switch', 'Provider', 'Package', 'Internet', 'Disappointed', 'Signal', 'Stable', 'Draw', 'Price', 'Package', 'Accept', ' love', '']</v>
      </c>
      <c r="D596" s="3">
        <v>1.0</v>
      </c>
    </row>
    <row r="597" ht="15.75" customHeight="1">
      <c r="A597" s="1">
        <v>595.0</v>
      </c>
      <c r="B597" s="3" t="s">
        <v>598</v>
      </c>
      <c r="C597" s="3" t="str">
        <f>IFERROR(__xludf.DUMMYFUNCTION("GOOGLETRANSLATE(B597,""id"",""en"")"),"['', 'kartuas',' sleep ',' slot ',' SIM ',' Indosat ',' IM ',' package ',' internet ',' cheap ',' date ',' June ',' price ',' package ',' thousand ',' GB ',' combo ',' survive ',' activate ',' kartuas', 'sympathy', 'cheap', 'thousand', 'thousand', 'remove"&amp;"', 'Presentiah', 'Both', 'Life', 'Consumers',' Choose ',' Standby ',' Slot ',' SIM ',' Sok ',' Cool ',' kartuas', 'skrng', 'slot ',' SIM ',' Combo ',' Sakti ',' ']")</f>
        <v>['', 'kartuas',' sleep ',' slot ',' SIM ',' Indosat ',' IM ',' package ',' internet ',' cheap ',' date ',' June ',' price ',' package ',' thousand ',' GB ',' combo ',' survive ',' activate ',' kartuas', 'sympathy', 'cheap', 'thousand', 'thousand', 'remove', 'Presentiah', 'Both', 'Life', 'Consumers',' Choose ',' Standby ',' Slot ',' SIM ',' Sok ',' Cool ',' kartuas', 'skrng', 'slot ',' SIM ',' Combo ',' Sakti ',' ']</v>
      </c>
      <c r="D597" s="3">
        <v>2.0</v>
      </c>
    </row>
    <row r="598" ht="15.75" customHeight="1">
      <c r="A598" s="1">
        <v>596.0</v>
      </c>
      <c r="B598" s="3" t="s">
        <v>599</v>
      </c>
      <c r="C598" s="3" t="str">
        <f>IFERROR(__xludf.DUMMYFUNCTION("GOOGLETRANSLATE(B598,""id"",""en"")"),"['application', 'scam', 'listed', 'package', 'cheerful', 'GB', 'for', 'RB', 'activated', 'pulses', 'disappointed', '']")</f>
        <v>['application', 'scam', 'listed', 'package', 'cheerful', 'GB', 'for', 'RB', 'activated', 'pulses', 'disappointed', '']</v>
      </c>
      <c r="D598" s="3">
        <v>1.0</v>
      </c>
    </row>
    <row r="599" ht="15.75" customHeight="1">
      <c r="A599" s="1">
        <v>597.0</v>
      </c>
      <c r="B599" s="3" t="s">
        <v>600</v>
      </c>
      <c r="C599" s="3" t="str">
        <f>IFERROR(__xludf.DUMMYFUNCTION("GOOGLETRANSLATE(B599,""id"",""en"")"),"['Weight', 'Open', 'Loading', 'Price', 'Paketan', 'Expensive', 'Cheap', 'Entertainment', 'Useful', ""]")</f>
        <v>['Weight', 'Open', 'Loading', 'Price', 'Paketan', 'Expensive', 'Cheap', 'Entertainment', 'Useful', "]</v>
      </c>
      <c r="D599" s="3">
        <v>2.0</v>
      </c>
    </row>
    <row r="600" ht="15.75" customHeight="1">
      <c r="A600" s="1">
        <v>598.0</v>
      </c>
      <c r="B600" s="3" t="s">
        <v>601</v>
      </c>
      <c r="C600" s="3" t="str">
        <f>IFERROR(__xludf.DUMMYFUNCTION("GOOGLETRANSLATE(B600,""id"",""en"")"),"['pulse', 'use', 'reduced', 'run out', 'take', 'please', 'Telkomsel', 'cheat', 'card', 'contact', 'telegram', 'right', ' Chat ',' Admin ',' Connect ',' Disappointed ',' Very ',' Telkomsel ',' Service ',' ']")</f>
        <v>['pulse', 'use', 'reduced', 'run out', 'take', 'please', 'Telkomsel', 'cheat', 'card', 'contact', 'telegram', 'right', ' Chat ',' Admin ',' Connect ',' Disappointed ',' Very ',' Telkomsel ',' Service ',' ']</v>
      </c>
      <c r="D600" s="3">
        <v>1.0</v>
      </c>
    </row>
    <row r="601" ht="15.75" customHeight="1">
      <c r="A601" s="1">
        <v>599.0</v>
      </c>
      <c r="B601" s="3" t="s">
        <v>602</v>
      </c>
      <c r="C601" s="3" t="str">
        <f>IFERROR(__xludf.DUMMYFUNCTION("GOOGLETRANSLATE(B601,""id"",""en"")"),"['Most', 'update', 'service', 'fast', 'slow', 'night', 'week', 'slow', 'difficult', 'open', 'the application', 'strange', ' Update ',' most ',' updates', 'Sorry', 'quota', 'data', 'giga', 'multi', 'media', 'tetep', 'data', 'main', 'pakenya' , 'use', 'comb"&amp;"o', 'package']")</f>
        <v>['Most', 'update', 'service', 'fast', 'slow', 'night', 'week', 'slow', 'difficult', 'open', 'the application', 'strange', ' Update ',' most ',' updates', 'Sorry', 'quota', 'data', 'giga', 'multi', 'media', 'tetep', 'data', 'main', 'pakenya' , 'use', 'combo', 'package']</v>
      </c>
      <c r="D601" s="3">
        <v>1.0</v>
      </c>
    </row>
    <row r="602" ht="15.75" customHeight="1">
      <c r="A602" s="1">
        <v>600.0</v>
      </c>
      <c r="B602" s="3" t="s">
        <v>603</v>
      </c>
      <c r="C602" s="3" t="str">
        <f>IFERROR(__xludf.DUMMYFUNCTION("GOOGLETRANSLATE(B602,""id"",""en"")"),"['Original', 'severe', 'pulse', 'missing', 'package', 'data', 'finish', 'pulse', 'sumps',' calculated ',' until ',' hundreds', ' thousand ',' pulse ',' sumps', 'reworkin', 'package', 'data', 'donum', 'pulse', 'sumps',' beg ',' repair ']")</f>
        <v>['Original', 'severe', 'pulse', 'missing', 'package', 'data', 'finish', 'pulse', 'sumps',' calculated ',' until ',' hundreds', ' thousand ',' pulse ',' sumps', 'reworkin', 'package', 'data', 'donum', 'pulse', 'sumps',' beg ',' repair ']</v>
      </c>
      <c r="D602" s="3">
        <v>1.0</v>
      </c>
    </row>
    <row r="603" ht="15.75" customHeight="1">
      <c r="A603" s="1">
        <v>601.0</v>
      </c>
      <c r="B603" s="3" t="s">
        <v>604</v>
      </c>
      <c r="C603" s="3" t="str">
        <f>IFERROR(__xludf.DUMMYFUNCTION("GOOGLETRANSLATE(B603,""id"",""en"")"),"['Please', 'pulse', 'reduced', 'pdhal', 'purchase', 'anything', 'data', 'cellular', 'turn off', 'pulse', 'reduced', 'run out', ' Please, 'how', 'Ngatasnya']")</f>
        <v>['Please', 'pulse', 'reduced', 'pdhal', 'purchase', 'anything', 'data', 'cellular', 'turn off', 'pulse', 'reduced', 'run out', ' Please, 'how', 'Ngatasnya']</v>
      </c>
      <c r="D603" s="3">
        <v>2.0</v>
      </c>
    </row>
    <row r="604" ht="15.75" customHeight="1">
      <c r="A604" s="1">
        <v>602.0</v>
      </c>
      <c r="B604" s="3" t="s">
        <v>605</v>
      </c>
      <c r="C604" s="3" t="str">
        <f>IFERROR(__xludf.DUMMYFUNCTION("GOOGLETRANSLATE(B604,""id"",""en"")"),"['Good', 'delicious',' internet ',' smooth ',' buy ',' quota ',' promo ',' price ',' cheap ',' tifak ',' managed ',' buy ',' package']")</f>
        <v>['Good', 'delicious',' internet ',' smooth ',' buy ',' quota ',' promo ',' price ',' cheap ',' tifak ',' managed ',' buy ',' package']</v>
      </c>
      <c r="D604" s="3">
        <v>3.0</v>
      </c>
    </row>
    <row r="605" ht="15.75" customHeight="1">
      <c r="A605" s="1">
        <v>603.0</v>
      </c>
      <c r="B605" s="3" t="s">
        <v>606</v>
      </c>
      <c r="C605" s="3" t="str">
        <f>IFERROR(__xludf.DUMMYFUNCTION("GOOGLETRANSLATE(B605,""id"",""en"")"),"['postpaid', 'prepaid', 'serve', 'said', 'limit', 'right', 'payment', 'until', 'sometimes',' use ',' payment ',' nyampe ',' check ',' service ',' digital ',' use ',' surfing ',' sosmed ',' promised ',' rb ',' per month ',' lie ',' telkomsel ']")</f>
        <v>['postpaid', 'prepaid', 'serve', 'said', 'limit', 'right', 'payment', 'until', 'sometimes',' use ',' payment ',' nyampe ',' check ',' service ',' digital ',' use ',' surfing ',' sosmed ',' promised ',' rb ',' per month ',' lie ',' telkomsel ']</v>
      </c>
      <c r="D605" s="3">
        <v>1.0</v>
      </c>
    </row>
    <row r="606" ht="15.75" customHeight="1">
      <c r="A606" s="1">
        <v>604.0</v>
      </c>
      <c r="B606" s="3" t="s">
        <v>607</v>
      </c>
      <c r="C606" s="3" t="str">
        <f>IFERROR(__xludf.DUMMYFUNCTION("GOOGLETRANSLATE(B606,""id"",""en"")"),"['disappointing', 'bad', 'promo', 'quality', 'quota', 'main', 'quota', 'snail', 'ngesot', ""]")</f>
        <v>['disappointing', 'bad', 'promo', 'quality', 'quota', 'main', 'quota', 'snail', 'ngesot', "]</v>
      </c>
      <c r="D606" s="3">
        <v>1.0</v>
      </c>
    </row>
    <row r="607" ht="15.75" customHeight="1">
      <c r="A607" s="1">
        <v>605.0</v>
      </c>
      <c r="B607" s="3" t="s">
        <v>608</v>
      </c>
      <c r="C607" s="3" t="str">
        <f>IFERROR(__xludf.DUMMYFUNCTION("GOOGLETRANSLATE(B607,""id"",""en"")"),"['love', 'star', 'network', 'satisfied', 'package', 'data', 'price', 'expensive', 'promo', 'interesting', 'package', 'card', ' It's your turn ',' promo ',' he can ',' hundreds', 'card', 'expensive', 'use it', '']")</f>
        <v>['love', 'star', 'network', 'satisfied', 'package', 'data', 'price', 'expensive', 'promo', 'interesting', 'package', 'card', ' It's your turn ',' promo ',' he can ',' hundreds', 'card', 'expensive', 'use it', '']</v>
      </c>
      <c r="D607" s="3">
        <v>3.0</v>
      </c>
    </row>
    <row r="608" ht="15.75" customHeight="1">
      <c r="A608" s="1">
        <v>606.0</v>
      </c>
      <c r="B608" s="3" t="s">
        <v>609</v>
      </c>
      <c r="C608" s="3" t="str">
        <f>IFERROR(__xludf.DUMMYFUNCTION("GOOGLETRANSLATE(B608,""id"",""en"")"),"['', 'confused', 'card', 'dipake', 'topup', 'game', 'cust', 'service', 'results',' complicated ',' aka ',' kaga ',' he said ',' reason ',' he asked ',' ']")</f>
        <v>['', 'confused', 'card', 'dipake', 'topup', 'game', 'cust', 'service', 'results',' complicated ',' aka ',' kaga ',' he said ',' reason ',' he asked ',' ']</v>
      </c>
      <c r="D608" s="3">
        <v>1.0</v>
      </c>
    </row>
    <row r="609" ht="15.75" customHeight="1">
      <c r="A609" s="1">
        <v>607.0</v>
      </c>
      <c r="B609" s="3" t="s">
        <v>610</v>
      </c>
      <c r="C609" s="3" t="str">
        <f>IFERROR(__xludf.DUMMYFUNCTION("GOOGLETRANSLATE(B609,""id"",""en"")"),"['APK', 'given', 'star', 'easy', 'understand', 'network', 'deh', 'jar', 'like', 'ilng', 'quota', 'unlimited', ' UDH ',' Slow ',' Sometimes', 'ilang', 'Sousal', 'Ngegame', 'Hard', 'Please', 'The Network', 'Fix', 'Fix', 'Signal', 'Need' , 'improvements', 'l"&amp;"ose', 'network', 'dengen', 'price', 'quota', 'cheap', 'please', 'bpk']")</f>
        <v>['APK', 'given', 'star', 'easy', 'understand', 'network', 'deh', 'jar', 'like', 'ilng', 'quota', 'unlimited', ' UDH ',' Slow ',' Sometimes', 'ilang', 'Sousal', 'Ngegame', 'Hard', 'Please', 'The Network', 'Fix', 'Fix', 'Signal', 'Need' , 'improvements', 'lose', 'network', 'dengen', 'price', 'quota', 'cheap', 'please', 'bpk']</v>
      </c>
      <c r="D609" s="3">
        <v>4.0</v>
      </c>
    </row>
    <row r="610" ht="15.75" customHeight="1">
      <c r="A610" s="1">
        <v>608.0</v>
      </c>
      <c r="B610" s="3" t="s">
        <v>611</v>
      </c>
      <c r="C610" s="3" t="str">
        <f>IFERROR(__xludf.DUMMYFUNCTION("GOOGLETRANSLATE(B610,""id"",""en"")"),"['already', 'times',' yes', 'pulse', 'chopped', 'contents',' pulse ',' already ',' lost ',' package ',' data ',' install ',' Just now ',' contents', 'thousand', 'stay', 'thousand', 'silver', 'package', 'co-stick', 'Telkomsel', 'eat', 'money', 'Haram', 'ye"&amp;"s' , 'hem']")</f>
        <v>['already', 'times',' yes', 'pulse', 'chopped', 'contents',' pulse ',' already ',' lost ',' package ',' data ',' install ',' Just now ',' contents', 'thousand', 'stay', 'thousand', 'silver', 'package', 'co-stick', 'Telkomsel', 'eat', 'money', 'Haram', 'yes' , 'hem']</v>
      </c>
      <c r="D610" s="3">
        <v>1.0</v>
      </c>
    </row>
    <row r="611" ht="15.75" customHeight="1">
      <c r="A611" s="1">
        <v>609.0</v>
      </c>
      <c r="B611" s="3" t="s">
        <v>612</v>
      </c>
      <c r="C611" s="3" t="str">
        <f>IFERROR(__xludf.DUMMYFUNCTION("GOOGLETRANSLATE(B611,""id"",""en"")"),"['tasty', 'browsing', 'quota', 'internet', 'run out', 'notification', 'direct', 'maen', 'cut', 'pulse', 'main', 'operator', ' Maen ',' Honest ',' Direct ',' Off ',' Internet ',' Quota ',' Out ',' Telkomsel ',' Really ',' Cool ',' ']")</f>
        <v>['tasty', 'browsing', 'quota', 'internet', 'run out', 'notification', 'direct', 'maen', 'cut', 'pulse', 'main', 'operator', ' Maen ',' Honest ',' Direct ',' Off ',' Internet ',' Quota ',' Out ',' Telkomsel ',' Really ',' Cool ',' ']</v>
      </c>
      <c r="D611" s="3">
        <v>1.0</v>
      </c>
    </row>
    <row r="612" ht="15.75" customHeight="1">
      <c r="A612" s="1">
        <v>610.0</v>
      </c>
      <c r="B612" s="3" t="s">
        <v>613</v>
      </c>
      <c r="C612" s="3" t="str">
        <f>IFERROR(__xludf.DUMMYFUNCTION("GOOGLETRANSLATE(B612,""id"",""en"")"),"['noon', 'exchange', 'Points',' quota ',' giga ',' use ',' watch ',' Disney ',' hotstar ',' hasn't ',' already ',' run out ',' Open ',' Instagram ',' Doang ',' Quota ',' Unlimited ',' Social ',' Media ',' What ',' System ',' Severe ',' ']")</f>
        <v>['noon', 'exchange', 'Points',' quota ',' giga ',' use ',' watch ',' Disney ',' hotstar ',' hasn't ',' already ',' run out ',' Open ',' Instagram ',' Doang ',' Quota ',' Unlimited ',' Social ',' Media ',' What ',' System ',' Severe ',' ']</v>
      </c>
      <c r="D612" s="3">
        <v>1.0</v>
      </c>
    </row>
    <row r="613" ht="15.75" customHeight="1">
      <c r="A613" s="1">
        <v>611.0</v>
      </c>
      <c r="B613" s="3" t="s">
        <v>614</v>
      </c>
      <c r="C613" s="3" t="str">
        <f>IFERROR(__xludf.DUMMYFUNCTION("GOOGLETRANSLATE(B613,""id"",""en"")"),"['Disappointed', 'at the time', 'package', 'slows',' buy ',' package ',' internet ',' hope ',' kuita ',' internet ',' fast ',' package ',' Active ',' Package ',' Dinon ',' Activate ',' Telkomsel ',' Call ',' Center ',' Est ',' Clock ',' Signal ',' Interne"&amp;"t ',' Slow ',' Please ' , 'repaired', 'made', 'choice', 'non', 'active', 'package', 'application', 'Telkomsel', 'user', 'easy', 'deactivating', 'package', ' Hbs', '']")</f>
        <v>['Disappointed', 'at the time', 'package', 'slows',' buy ',' package ',' internet ',' hope ',' kuita ',' internet ',' fast ',' package ',' Active ',' Package ',' Dinon ',' Activate ',' Telkomsel ',' Call ',' Center ',' Est ',' Clock ',' Signal ',' Internet ',' Slow ',' Please ' , 'repaired', 'made', 'choice', 'non', 'active', 'package', 'application', 'Telkomsel', 'user', 'easy', 'deactivating', 'package', ' Hbs', '']</v>
      </c>
      <c r="D613" s="3">
        <v>2.0</v>
      </c>
    </row>
    <row r="614" ht="15.75" customHeight="1">
      <c r="A614" s="1">
        <v>612.0</v>
      </c>
      <c r="B614" s="3" t="s">
        <v>615</v>
      </c>
      <c r="C614" s="3" t="str">
        <f>IFERROR(__xludf.DUMMYFUNCTION("GOOGLETRANSLATE(B614,""id"",""en"")"),"['update', 'loading', 'looks',' doang ',' good ',' complicated ',' taught ',' good ',' simple ',' easy ',' simple ',' top ',' Transactions', 'Payments',' Via ',' Bank ',' Virtual ',' Account ',' Payment ',' Via ',' Virtual ',' Account ', ""]")</f>
        <v>['update', 'loading', 'looks',' doang ',' good ',' complicated ',' taught ',' good ',' simple ',' easy ',' simple ',' top ',' Transactions', 'Payments',' Via ',' Bank ',' Virtual ',' Account ',' Payment ',' Via ',' Virtual ',' Account ', "]</v>
      </c>
      <c r="D614" s="3">
        <v>3.0</v>
      </c>
    </row>
    <row r="615" ht="15.75" customHeight="1">
      <c r="A615" s="1">
        <v>613.0</v>
      </c>
      <c r="B615" s="3" t="s">
        <v>616</v>
      </c>
      <c r="C615" s="3" t="str">
        <f>IFERROR(__xludf.DUMMYFUNCTION("GOOGLETRANSLATE(B615,""id"",""en"")"),"['Pantesan', 'Network', 'Region', 'Error', 'Telkomsel', 'Corruption', 'Cover', 'Loss',' Telkomsel ',' Increase ',' Price ',' Quota ',' regretting ',' quality ',' network ',' destroyed ',' severe ',' easy ',' hopefully ',' network ',' next door ',' match '"&amp;",' soar ',' Telkomsel ',' users' , 'loyal', 'Telkomsel', 'disappointed', 'price', 'expensive', 'tissue', 'destroyed', 'severe']")</f>
        <v>['Pantesan', 'Network', 'Region', 'Error', 'Telkomsel', 'Corruption', 'Cover', 'Loss',' Telkomsel ',' Increase ',' Price ',' Quota ',' regretting ',' quality ',' network ',' destroyed ',' severe ',' easy ',' hopefully ',' network ',' next door ',' match ',' soar ',' Telkomsel ',' users' , 'loyal', 'Telkomsel', 'disappointed', 'price', 'expensive', 'tissue', 'destroyed', 'severe']</v>
      </c>
      <c r="D615" s="3">
        <v>1.0</v>
      </c>
    </row>
    <row r="616" ht="15.75" customHeight="1">
      <c r="A616" s="1">
        <v>614.0</v>
      </c>
      <c r="B616" s="3" t="s">
        <v>617</v>
      </c>
      <c r="C616" s="3" t="str">
        <f>IFERROR(__xludf.DUMMYFUNCTION("GOOGLETRANSLATE(B616,""id"",""en"")"),"['card', 'advantage', 'cheap', 'buy', 'package', 'can', 'bonus',' klu ',' equalized ',' card ',' card ',' magic ',' Customers', 'Telkom', 'Disappointed', '']")</f>
        <v>['card', 'advantage', 'cheap', 'buy', 'package', 'can', 'bonus',' klu ',' equalized ',' card ',' card ',' magic ',' Customers', 'Telkom', 'Disappointed', '']</v>
      </c>
      <c r="D616" s="3">
        <v>1.0</v>
      </c>
    </row>
    <row r="617" ht="15.75" customHeight="1">
      <c r="A617" s="1">
        <v>615.0</v>
      </c>
      <c r="B617" s="3" t="s">
        <v>618</v>
      </c>
      <c r="C617" s="3" t="str">
        <f>IFERROR(__xludf.DUMMYFUNCTION("GOOGLETRANSLATE(B617,""id"",""en"")"),"['application', 'brp', 'bran', 'ane', 'sell', 'car', 'used', 'Toyota', 'Kijang', 'Innova', 'Diesel', 'the world', ' City ',' Pandeglang ',' Banten ',' Jakarta ',' DKI ',' Jakarta ',' Joko ',' Widodo ',' Basuki ',' Tjahaja ',' Purnama ',' Sari ',' Simorang"&amp;"kir ' , 'body', 'human', 'type', 'know', 'coffee', 'morning', 'cold', 'main', 'pay attention', 'jakarta', 'Surabaya', 'Java', ' East ',' geblek ',' world ',' photo ',' film ',' ']")</f>
        <v>['application', 'brp', 'bran', 'ane', 'sell', 'car', 'used', 'Toyota', 'Kijang', 'Innova', 'Diesel', 'the world', ' City ',' Pandeglang ',' Banten ',' Jakarta ',' DKI ',' Jakarta ',' Joko ',' Widodo ',' Basuki ',' Tjahaja ',' Purnama ',' Sari ',' Simorangkir ' , 'body', 'human', 'type', 'know', 'coffee', 'morning', 'cold', 'main', 'pay attention', 'jakarta', 'Surabaya', 'Java', ' East ',' geblek ',' world ',' photo ',' film ',' ']</v>
      </c>
      <c r="D617" s="3">
        <v>5.0</v>
      </c>
    </row>
    <row r="618" ht="15.75" customHeight="1">
      <c r="A618" s="1">
        <v>616.0</v>
      </c>
      <c r="B618" s="3" t="s">
        <v>619</v>
      </c>
      <c r="C618" s="3" t="str">
        <f>IFERROR(__xludf.DUMMYFUNCTION("GOOGLETRANSLATE(B618,""id"",""en"")"),"['Sometimes',' LOS ',' LOST ',' CONECTION ',' HARD ',' Signal ',' Suburban ',' City ',' Remote ',' Disappointed ',' Very ',' Provider ',' Performance ',' good ',' disappointed ',' Telkomsel ',' suggestion ',' signal ',' stable ',' focused ',' fix ',' sign"&amp;"al ',' city ',' stable ',' note ' , 'area', 'remote', 'difficult', 'signal', 'remote', 'city', 'pay', 'Please']")</f>
        <v>['Sometimes',' LOS ',' LOST ',' CONECTION ',' HARD ',' Signal ',' Suburban ',' City ',' Remote ',' Disappointed ',' Very ',' Provider ',' Performance ',' good ',' disappointed ',' Telkomsel ',' suggestion ',' signal ',' stable ',' focused ',' fix ',' signal ',' city ',' stable ',' note ' , 'area', 'remote', 'difficult', 'signal', 'remote', 'city', 'pay', 'Please']</v>
      </c>
      <c r="D618" s="3">
        <v>1.0</v>
      </c>
    </row>
    <row r="619" ht="15.75" customHeight="1">
      <c r="A619" s="1">
        <v>617.0</v>
      </c>
      <c r="B619" s="3" t="s">
        <v>620</v>
      </c>
      <c r="C619" s="3" t="str">
        <f>IFERROR(__xludf.DUMMYFUNCTION("GOOGLETRANSLATE(B619,""id"",""en"")"),"['', 'customer', 'service', 'level', 'village', 'polite', 'intention', 'giving', 'gift', 'daily', 'check', 'adin', 'php ',' People ',' sick ',' boss', 'bales',' Hereafter ',' claim ',' already ',' ilang ',' share ',' already ',' times', 'kitture', 'gini']")</f>
        <v>['', 'customer', 'service', 'level', 'village', 'polite', 'intention', 'giving', 'gift', 'daily', 'check', 'adin', 'php ',' People ',' sick ',' boss', 'bales',' Hereafter ',' claim ',' already ',' ilang ',' share ',' already ',' times', 'kitture', 'gini']</v>
      </c>
      <c r="D619" s="3">
        <v>1.0</v>
      </c>
    </row>
    <row r="620" ht="15.75" customHeight="1">
      <c r="A620" s="1">
        <v>618.0</v>
      </c>
      <c r="B620" s="3" t="s">
        <v>621</v>
      </c>
      <c r="C620" s="3" t="str">
        <f>IFERROR(__xludf.DUMMYFUNCTION("GOOGLETRANSLATE(B620,""id"",""en"")"),"['comment', 'ilang', 'updated', 'slow', 'play', 'game', 'update', 'update', 'slow', 'play', 'game', 'price', ' expensive ',' already ',' package ',' expensive ',' signal ',' destroyed ',' ']")</f>
        <v>['comment', 'ilang', 'updated', 'slow', 'play', 'game', 'update', 'update', 'slow', 'play', 'game', 'price', ' expensive ',' already ',' package ',' expensive ',' signal ',' destroyed ',' ']</v>
      </c>
      <c r="D620" s="3">
        <v>1.0</v>
      </c>
    </row>
    <row r="621" ht="15.75" customHeight="1">
      <c r="A621" s="1">
        <v>619.0</v>
      </c>
      <c r="B621" s="3" t="s">
        <v>622</v>
      </c>
      <c r="C621" s="3" t="str">
        <f>IFERROR(__xludf.DUMMYFUNCTION("GOOGLETRANSLATE(B621,""id"",""en"")"),"['here', 'package', 'expensive', 'owned', 'state', 'cheap', 'expensive', 'era', 'Corona', 'gini', ""]")</f>
        <v>['here', 'package', 'expensive', 'owned', 'state', 'cheap', 'expensive', 'era', 'Corona', 'gini', "]</v>
      </c>
      <c r="D621" s="3">
        <v>1.0</v>
      </c>
    </row>
    <row r="622" ht="15.75" customHeight="1">
      <c r="A622" s="1">
        <v>620.0</v>
      </c>
      <c r="B622" s="3" t="s">
        <v>623</v>
      </c>
      <c r="C622" s="3" t="str">
        <f>IFERROR(__xludf.DUMMYFUNCTION("GOOGLETRANSLATE(B622,""id"",""en"")"),"['Please', 'paid', 'clarified', 'buy', 'quota', 'via', 'shopeepay', 'no', 'turn', 'filled', 'pulses',' buy ',' Credit ',' pulses ',' Direct ',' Sumpot ',' Gara ',' No "", 'Matiin', 'Data', 'Quota', 'Sumpot', 'Pulses', 'Please', 'Telkomsel' , 'Fortunately'"&amp;", 'payment', 'visa', 'funds', 'ovo', 'shopeepay', 'etc.', 'clarified', 'sometimes', 'sometimes', 'no', 'emotion']")</f>
        <v>['Please', 'paid', 'clarified', 'buy', 'quota', 'via', 'shopeepay', 'no', 'turn', 'filled', 'pulses',' buy ',' Credit ',' pulses ',' Direct ',' Sumpot ',' Gara ',' No ", 'Matiin', 'Data', 'Quota', 'Sumpot', 'Pulses', 'Please', 'Telkomsel' , 'Fortunately', 'payment', 'visa', 'funds', 'ovo', 'shopeepay', 'etc.', 'clarified', 'sometimes', 'sometimes', 'no', 'emotion']</v>
      </c>
      <c r="D622" s="3">
        <v>1.0</v>
      </c>
    </row>
    <row r="623" ht="15.75" customHeight="1">
      <c r="A623" s="1">
        <v>621.0</v>
      </c>
      <c r="B623" s="3" t="s">
        <v>624</v>
      </c>
      <c r="C623" s="3" t="str">
        <f>IFERROR(__xludf.DUMMYFUNCTION("GOOGLETRANSLATE(B623,""id"",""en"")"),"['Come', 'Network', 'ugly', 'customers',' Telkomsel ',' area ',' urban ',' signal ',' down ',' sometimes', 'missing', 'hope', ' As soon as possible ',' repaired ',' ']")</f>
        <v>['Come', 'Network', 'ugly', 'customers',' Telkomsel ',' area ',' urban ',' signal ',' down ',' sometimes', 'missing', 'hope', ' As soon as possible ',' repaired ',' ']</v>
      </c>
      <c r="D623" s="3">
        <v>1.0</v>
      </c>
    </row>
    <row r="624" ht="15.75" customHeight="1">
      <c r="A624" s="1">
        <v>622.0</v>
      </c>
      <c r="B624" s="3" t="s">
        <v>625</v>
      </c>
      <c r="C624" s="3" t="str">
        <f>IFERROR(__xludf.DUMMYFUNCTION("GOOGLETRANSLATE(B624,""id"",""en"")"),"['Thank you', 'Telkomsel', 'cheap', 'price', 'package', 'yaa', 'pulse', 'below', 'riburupiah', 'buy', 'package', 'internet', ' Okay ',' Addin ',' Bintang ',' Package ',' Internet ',' Gigabytes', 'Under', 'Price', 'Riburupiah', 'Thank you', 'Telkomsel', """&amp;"]")</f>
        <v>['Thank you', 'Telkomsel', 'cheap', 'price', 'package', 'yaa', 'pulse', 'below', 'riburupiah', 'buy', 'package', 'internet', ' Okay ',' Addin ',' Bintang ',' Package ',' Internet ',' Gigabytes', 'Under', 'Price', 'Riburupiah', 'Thank you', 'Telkomsel', "]</v>
      </c>
      <c r="D624" s="3">
        <v>4.0</v>
      </c>
    </row>
    <row r="625" ht="15.75" customHeight="1">
      <c r="A625" s="1">
        <v>623.0</v>
      </c>
      <c r="B625" s="3" t="s">
        <v>626</v>
      </c>
      <c r="C625" s="3" t="str">
        <f>IFERROR(__xludf.DUMMYFUNCTION("GOOGLETRANSLATE(B625,""id"",""en"")"),"['Update', 'difficult', 'Login', 'Delicious', 'Version', 'Application', 'Please', 'Fix', 'Cepet', 'Login', ""]")</f>
        <v>['Update', 'difficult', 'Login', 'Delicious', 'Version', 'Application', 'Please', 'Fix', 'Cepet', 'Login', "]</v>
      </c>
      <c r="D625" s="3">
        <v>3.0</v>
      </c>
    </row>
    <row r="626" ht="15.75" customHeight="1">
      <c r="A626" s="1">
        <v>624.0</v>
      </c>
      <c r="B626" s="3" t="s">
        <v>627</v>
      </c>
      <c r="C626" s="3" t="str">
        <f>IFERROR(__xludf.DUMMYFUNCTION("GOOGLETRANSLATE(B626,""id"",""en"")"),"['Quality', 'Signal', 'Telkomsel', 'Sumbin', 'Bad', 'Network', 'Stable', 'Network', 'Try', 'Level', 'Region', 'Regency', ' Karawang ',' Kecamatan ',' Klari ',' Village ',' Walah ',' Kampung ',' Jatimulya ',' KLW ',' Network ',' Forced ',' Sya ',' Switch '"&amp;",' Disappointed ' , 'Quality', 'Network', 'Telkomsel', '']")</f>
        <v>['Quality', 'Signal', 'Telkomsel', 'Sumbin', 'Bad', 'Network', 'Stable', 'Network', 'Try', 'Level', 'Region', 'Regency', ' Karawang ',' Kecamatan ',' Klari ',' Village ',' Walah ',' Kampung ',' Jatimulya ',' KLW ',' Network ',' Forced ',' Sya ',' Switch ',' Disappointed ' , 'Quality', 'Network', 'Telkomsel', '']</v>
      </c>
      <c r="D626" s="3">
        <v>1.0</v>
      </c>
    </row>
    <row r="627" ht="15.75" customHeight="1">
      <c r="A627" s="1">
        <v>625.0</v>
      </c>
      <c r="B627" s="3" t="s">
        <v>628</v>
      </c>
      <c r="C627" s="3" t="str">
        <f>IFERROR(__xludf.DUMMYFUNCTION("GOOGLETRANSLATE(B627,""id"",""en"")"),"['disappointed', 'system', 'busy', 'put', 'voucher', 'activation', 'suggestion', 'update', 'feature', 'contents',' reset ',' voucher ',' thank you', '']")</f>
        <v>['disappointed', 'system', 'busy', 'put', 'voucher', 'activation', 'suggestion', 'update', 'feature', 'contents',' reset ',' voucher ',' thank you', '']</v>
      </c>
      <c r="D627" s="3">
        <v>3.0</v>
      </c>
    </row>
    <row r="628" ht="15.75" customHeight="1">
      <c r="A628" s="1">
        <v>626.0</v>
      </c>
      <c r="B628" s="3" t="s">
        <v>629</v>
      </c>
      <c r="C628" s="3" t="str">
        <f>IFERROR(__xludf.DUMMYFUNCTION("GOOGLETRANSLATE(B628,""id"",""en"")"),"['Please', 'the application', 'repaired', 'system', 'buy', 'package', 'quota', 'pulse', 'sufficient', 'knp', 'need', 'really' Help ',' Display ',' upgraded ',' system ',' upgraded ',' already ',' that's', 'signal', 'ugly', 'really', 'severe', ""]")</f>
        <v>['Please', 'the application', 'repaired', 'system', 'buy', 'package', 'quota', 'pulse', 'sufficient', 'knp', 'need', 'really' Help ',' Display ',' upgraded ',' system ',' upgraded ',' already ',' that's', 'signal', 'ugly', 'really', 'severe', "]</v>
      </c>
      <c r="D628" s="3">
        <v>1.0</v>
      </c>
    </row>
    <row r="629" ht="15.75" customHeight="1">
      <c r="A629" s="1">
        <v>627.0</v>
      </c>
      <c r="B629" s="3" t="s">
        <v>630</v>
      </c>
      <c r="C629" s="3" t="str">
        <f>IFERROR(__xludf.DUMMYFUNCTION("GOOGLETRANSLATE(B629,""id"",""en"")"),"['difficult', 'kayak', 'easy', 'Sekaran', 'confusing', 'difficult', 'understand', 'please', 'Different', 'a little', 'like', 'hope', ' Fast ',' Change ']")</f>
        <v>['difficult', 'kayak', 'easy', 'Sekaran', 'confusing', 'difficult', 'understand', 'please', 'Different', 'a little', 'like', 'hope', ' Fast ',' Change ']</v>
      </c>
      <c r="D629" s="3">
        <v>3.0</v>
      </c>
    </row>
    <row r="630" ht="15.75" customHeight="1">
      <c r="A630" s="1">
        <v>628.0</v>
      </c>
      <c r="B630" s="3" t="s">
        <v>631</v>
      </c>
      <c r="C630" s="3" t="str">
        <f>IFERROR(__xludf.DUMMYFUNCTION("GOOGLETRANSLATE(B630,""id"",""en"")"),"['Telkomsel', 'Severe', 'Network', 'Price', 'Package', 'Expensive', 'Quality', 'Down', 'Fix', 'Price', 'Package', 'Data', ' Quality ',' Network ',' balanced ']")</f>
        <v>['Telkomsel', 'Severe', 'Network', 'Price', 'Package', 'Expensive', 'Quality', 'Down', 'Fix', 'Price', 'Package', 'Data', ' Quality ',' Network ',' balanced ']</v>
      </c>
      <c r="D630" s="3">
        <v>3.0</v>
      </c>
    </row>
    <row r="631" ht="15.75" customHeight="1">
      <c r="A631" s="1">
        <v>629.0</v>
      </c>
      <c r="B631" s="3" t="s">
        <v>632</v>
      </c>
      <c r="C631" s="3" t="str">
        <f>IFERROR(__xludf.DUMMYFUNCTION("GOOGLETRANSLATE(B631,""id"",""en"")"),"['Like', 'face', 'interface', 'display', 'information', 'interesting', 'easy', 'understood', 'please', 'network', 'updated', 'speed', ' network ',' down ',' week ',' thank you ']")</f>
        <v>['Like', 'face', 'interface', 'display', 'information', 'interesting', 'easy', 'understood', 'please', 'network', 'updated', 'speed', ' network ',' down ',' week ',' thank you ']</v>
      </c>
      <c r="D631" s="3">
        <v>4.0</v>
      </c>
    </row>
    <row r="632" ht="15.75" customHeight="1">
      <c r="A632" s="1">
        <v>630.0</v>
      </c>
      <c r="B632" s="3" t="s">
        <v>633</v>
      </c>
      <c r="C632" s="3" t="str">
        <f>IFERROR(__xludf.DUMMYFUNCTION("GOOGLETRANSLATE(B632,""id"",""en"")"),"['Telkomsel', 'Kek', 'Babbbi', 'You', 'Sell', 'Credit', 'RB', 'Package', 'RB', 'Simpik', 'You', 'Simpik', ' Doing business', 'consumer', 'Forced', 'buy', 'RB', 'clutching', 'RB', 'extortion', 'name', 'ANZINGG', 'Manager', ""]")</f>
        <v>['Telkomsel', 'Kek', 'Babbbi', 'You', 'Sell', 'Credit', 'RB', 'Package', 'RB', 'Simpik', 'You', 'Simpik', ' Doing business', 'consumer', 'Forced', 'buy', 'RB', 'clutching', 'RB', 'extortion', 'name', 'ANZINGG', 'Manager', "]</v>
      </c>
      <c r="D632" s="3">
        <v>1.0</v>
      </c>
    </row>
    <row r="633" ht="15.75" customHeight="1">
      <c r="A633" s="1">
        <v>631.0</v>
      </c>
      <c r="B633" s="3" t="s">
        <v>634</v>
      </c>
      <c r="C633" s="3" t="str">
        <f>IFERROR(__xludf.DUMMYFUNCTION("GOOGLETRANSLATE(B633,""id"",""en"")"),"['Speed', 'Download', 'Minus',' Speed ​​',' Upload ',' Minus', 'Lantency', 'Minus',' Connectivity ',' Drink ',' Price ',' Plus', ' repairs', 'chaotic', 'try', 'a day', 'aje', 'kagak', 'user', 'nge', 'network', 'bar', 'signal', 'full', 'urgent' , 'complain"&amp;"ts', 'user', 'operator', 'kagak', 'quality', 'kek', 'gini', 'so', 'thank', 'love', ""]")</f>
        <v>['Speed', 'Download', 'Minus',' Speed ​​',' Upload ',' Minus', 'Lantency', 'Minus',' Connectivity ',' Drink ',' Price ',' Plus', ' repairs', 'chaotic', 'try', 'a day', 'aje', 'kagak', 'user', 'nge', 'network', 'bar', 'signal', 'full', 'urgent' , 'complaints', 'user', 'operator', 'kagak', 'quality', 'kek', 'gini', 'so', 'thank', 'love', "]</v>
      </c>
      <c r="D633" s="3">
        <v>1.0</v>
      </c>
    </row>
    <row r="634" ht="15.75" customHeight="1">
      <c r="A634" s="1">
        <v>632.0</v>
      </c>
      <c r="B634" s="3" t="s">
        <v>635</v>
      </c>
      <c r="C634" s="3" t="str">
        <f>IFERROR(__xludf.DUMMYFUNCTION("GOOGLETRANSLATE(B634,""id"",""en"")"),"['Star', 'disappointed', 'Telkomsel', 'complaining', 'purchase', 'package', 'internet', 'Telkomsel', 'according to', 'Telkomsel', 'Please', 'fix', ' the system ',' thank ',' love ']")</f>
        <v>['Star', 'disappointed', 'Telkomsel', 'complaining', 'purchase', 'package', 'internet', 'Telkomsel', 'according to', 'Telkomsel', 'Please', 'fix', ' the system ',' thank ',' love ']</v>
      </c>
      <c r="D634" s="3">
        <v>1.0</v>
      </c>
    </row>
    <row r="635" ht="15.75" customHeight="1">
      <c r="A635" s="1">
        <v>633.0</v>
      </c>
      <c r="B635" s="3" t="s">
        <v>636</v>
      </c>
      <c r="C635" s="3" t="str">
        <f>IFERROR(__xludf.DUMMYFUNCTION("GOOGLETRANSLATE(B635,""id"",""en"")"),"['update', 'expensive', 'cheap', 'package', 'combo', 'sakti', 'rb', 'week', 'unlimited', 'udh', 'lgi', 'already', ' Conditions', 'rich', 'gini', 'lgi', 'difficult', 'look for', 'money', 'package', 'ngikut', 'expensive', 'change', 'card', 'internet' , 'Goo"&amp;"d', 'dirmh', 'please', 'hold', 'lgi', 'package', 'combo', 'magic', 'cheap', 'yesterday']")</f>
        <v>['update', 'expensive', 'cheap', 'package', 'combo', 'sakti', 'rb', 'week', 'unlimited', 'udh', 'lgi', 'already', ' Conditions', 'rich', 'gini', 'lgi', 'difficult', 'look for', 'money', 'package', 'ngikut', 'expensive', 'change', 'card', 'internet' , 'Good', 'dirmh', 'please', 'hold', 'lgi', 'package', 'combo', 'magic', 'cheap', 'yesterday']</v>
      </c>
      <c r="D635" s="3">
        <v>1.0</v>
      </c>
    </row>
    <row r="636" ht="15.75" customHeight="1">
      <c r="A636" s="1">
        <v>634.0</v>
      </c>
      <c r="B636" s="3" t="s">
        <v>637</v>
      </c>
      <c r="C636" s="3" t="str">
        <f>IFERROR(__xludf.DUMMYFUNCTION("GOOGLETRANSLATE(B636,""id"",""en"")"),"['Reality', 'Severe', 'Already', 'Make', 'Sya', 'Greating', 'How', 'Worse', 'Signal', 'Telkomsel', 'Skarang', 'Driver', ' Ojek ',' Online ',' already ',' kjadian ',' right ',' anter ',' order ',' psychoan ',' bgitu ',' until ',' location ',' signal ',' lo"&amp;"st ' , 'skali', 'no', 'telephone', 'no', 'send', 'chat', 'no', 'see', 'address', 'psychoan', 'karna', 'internet' off ',' until ',' clock ',' rich ',' that's ',' customer ',' yells ',' because 'psychology', 'understand', 'psychiatric', 'snapped', 'fixed' ,"&amp;" 'LGSG', 'Move', 'Provider']")</f>
        <v>['Reality', 'Severe', 'Already', 'Make', 'Sya', 'Greating', 'How', 'Worse', 'Signal', 'Telkomsel', 'Skarang', 'Driver', ' Ojek ',' Online ',' already ',' kjadian ',' right ',' anter ',' order ',' psychoan ',' bgitu ',' until ',' location ',' signal ',' lost ' , 'skali', 'no', 'telephone', 'no', 'send', 'chat', 'no', 'see', 'address', 'psychoan', 'karna', 'internet' off ',' until ',' clock ',' rich ',' that's ',' customer ',' yells ',' because 'psychology', 'understand', 'psychiatric', 'snapped', 'fixed' , 'LGSG', 'Move', 'Provider']</v>
      </c>
      <c r="D636" s="3">
        <v>1.0</v>
      </c>
    </row>
    <row r="637" ht="15.75" customHeight="1">
      <c r="A637" s="1">
        <v>635.0</v>
      </c>
      <c r="B637" s="3" t="s">
        <v>638</v>
      </c>
      <c r="C637" s="3" t="str">
        <f>IFERROR(__xludf.DUMMYFUNCTION("GOOGLETRANSLATE(B637,""id"",""en"")"),"['aspect', 'quota', 'expensive', 'comparable', 'quality', 'network', 'stay', 'area', 'city', 'smooth', 'network', 'signal', ' Complaints', 'None', 'changed', 'fix', 'drawback', 'please', 'admin', 'consumer', 'service', 'satisfy', 'pay attention', 'quality"&amp;"', 'network' , 'comparable', 'price', 'expensive', '']")</f>
        <v>['aspect', 'quota', 'expensive', 'comparable', 'quality', 'network', 'stay', 'area', 'city', 'smooth', 'network', 'signal', ' Complaints', 'None', 'changed', 'fix', 'drawback', 'please', 'admin', 'consumer', 'service', 'satisfy', 'pay attention', 'quality', 'network' , 'comparable', 'price', 'expensive', '']</v>
      </c>
      <c r="D637" s="3">
        <v>1.0</v>
      </c>
    </row>
    <row r="638" ht="15.75" customHeight="1">
      <c r="A638" s="1">
        <v>636.0</v>
      </c>
      <c r="B638" s="3" t="s">
        <v>639</v>
      </c>
      <c r="C638" s="3" t="str">
        <f>IFERROR(__xludf.DUMMYFUNCTION("GOOGLETRANSLATE(B638,""id"",""en"")"),"['Sorry', 'Telkomsel', 'Sudan', 'Note', 'Check', 'Quota', 'NNTN', 'Loading', 'Really', 'Experience', 'Feel', 'Network', ' Mantul ',' really ',' knp ',' skrg ',' problematic ',' hope ',' Telkomsel ',' fast ',' keep ',' as soon as possible, 'customers', 'di"&amp;"sappointed', 'move' , 'network']")</f>
        <v>['Sorry', 'Telkomsel', 'Sudan', 'Note', 'Check', 'Quota', 'NNTN', 'Loading', 'Really', 'Experience', 'Feel', 'Network', ' Mantul ',' really ',' knp ',' skrg ',' problematic ',' hope ',' Telkomsel ',' fast ',' keep ',' as soon as possible, 'customers', 'disappointed', 'move' , 'network']</v>
      </c>
      <c r="D638" s="3">
        <v>3.0</v>
      </c>
    </row>
    <row r="639" ht="15.75" customHeight="1">
      <c r="A639" s="1">
        <v>637.0</v>
      </c>
      <c r="B639" s="3" t="s">
        <v>640</v>
      </c>
      <c r="C639" s="3" t="str">
        <f>IFERROR(__xludf.DUMMYFUNCTION("GOOGLETRANSLATE(B639,""id"",""en"")"),"['uda', 'era', 'locil', 'make', 'telkom', 'signal', 'skrng', 'drop', 'game', 'get', 'stable', 'ms',' get ',' difficult ',' times', 'always',' then ',' sometimes', 'signal', 'right', 'game', 'gada', 'connection', 'wonder', 'sometimes' , 'The package', 'LBH"&amp;"', 'expensive', 'connection', 'Masi', 'GNI', 'then', 'mnding', 'Switch', 'disappointed', 'severe']")</f>
        <v>['uda', 'era', 'locil', 'make', 'telkom', 'signal', 'skrng', 'drop', 'game', 'get', 'stable', 'ms',' get ',' difficult ',' times', 'always',' then ',' sometimes', 'signal', 'right', 'game', 'gada', 'connection', 'wonder', 'sometimes' , 'The package', 'LBH', 'expensive', 'connection', 'Masi', 'GNI', 'then', 'mnding', 'Switch', 'disappointed', 'severe']</v>
      </c>
      <c r="D639" s="3">
        <v>1.0</v>
      </c>
    </row>
    <row r="640" ht="15.75" customHeight="1">
      <c r="A640" s="1">
        <v>638.0</v>
      </c>
      <c r="B640" s="3" t="s">
        <v>641</v>
      </c>
      <c r="C640" s="3" t="str">
        <f>IFERROR(__xludf.DUMMYFUNCTION("GOOGLETRANSLATE(B640,""id"",""en"")"),"['Severe', 'really', 'Telkomsel', 'buy', 'package', 'internet', 'thousand', 'get', 'quota', 'main', 'GB', 'quota', ' Sosmed ',' Music ',' Games', 'GB', 'Open', 'Sosmedu', 'Quota', 'Sosmed', 'Reduced', 'Blas',' then ',' TLP ',' CS ' , 'Wait', 'quota', 'mai"&amp;"n', 'abis',' key ',' quota ',' sosmed ',' severe ',' really ',' njebya ',' gini ',' Telkomsel ',' pdhl ',' subscription ',' yrs']")</f>
        <v>['Severe', 'really', 'Telkomsel', 'buy', 'package', 'internet', 'thousand', 'get', 'quota', 'main', 'GB', 'quota', ' Sosmed ',' Music ',' Games', 'GB', 'Open', 'Sosmedu', 'Quota', 'Sosmed', 'Reduced', 'Blas',' then ',' TLP ',' CS ' , 'Wait', 'quota', 'main', 'abis',' key ',' quota ',' sosmed ',' severe ',' really ',' njebya ',' gini ',' Telkomsel ',' pdhl ',' subscription ',' yrs']</v>
      </c>
      <c r="D640" s="3">
        <v>1.0</v>
      </c>
    </row>
    <row r="641" ht="15.75" customHeight="1">
      <c r="A641" s="1">
        <v>639.0</v>
      </c>
      <c r="B641" s="3" t="s">
        <v>642</v>
      </c>
      <c r="C641" s="3" t="str">
        <f>IFERROR(__xludf.DUMMYFUNCTION("GOOGLETRANSLATE(B641,""id"",""en"")"),"['Response', 'Nge', 'Instagram', 'Reply', 'Fast', 'response', 'comment', 'Instagram', 'Disable', 'complain', 'Quality', 'Signal', ' Telkomsel ',' repairs ',' electricity ',' PLN ',' Date ',' June ',' plun ',' cellphone ',' Thank "", 'signal', 'cellphone',"&amp;" 'home', 'wife' , 'gadget', 'signal', 'blank', 'please', 'product', 'government', 'gini', 'advertising', 'promotion', 'sms',' according to ',' reality ',' Application ',' etc. ']")</f>
        <v>['Response', 'Nge', 'Instagram', 'Reply', 'Fast', 'response', 'comment', 'Instagram', 'Disable', 'complain', 'Quality', 'Signal', ' Telkomsel ',' repairs ',' electricity ',' PLN ',' Date ',' June ',' plun ',' cellphone ',' Thank ", 'signal', 'cellphone', 'home', 'wife' , 'gadget', 'signal', 'blank', 'please', 'product', 'government', 'gini', 'advertising', 'promotion', 'sms',' according to ',' reality ',' Application ',' etc. ']</v>
      </c>
      <c r="D641" s="3">
        <v>1.0</v>
      </c>
    </row>
    <row r="642" ht="15.75" customHeight="1">
      <c r="A642" s="1">
        <v>640.0</v>
      </c>
      <c r="B642" s="3" t="s">
        <v>643</v>
      </c>
      <c r="C642" s="3" t="str">
        <f>IFERROR(__xludf.DUMMYFUNCTION("GOOGLETRANSLATE(B642,""id"",""en"")"),"['update', 'light', 'easy', 'understood', 'looks',' interesting ',' hope ',' in the future ',' area ',' rural ',' cover ',' network ',' Telkomsel ',' Hopefully ',' Price ',' Friendly ', ""]")</f>
        <v>['update', 'light', 'easy', 'understood', 'looks',' interesting ',' hope ',' in the future ',' area ',' rural ',' cover ',' network ',' Telkomsel ',' Hopefully ',' Price ',' Friendly ', "]</v>
      </c>
      <c r="D642" s="3">
        <v>5.0</v>
      </c>
    </row>
    <row r="643" ht="15.75" customHeight="1">
      <c r="A643" s="1">
        <v>641.0</v>
      </c>
      <c r="B643" s="3" t="s">
        <v>644</v>
      </c>
      <c r="C643" s="3" t="str">
        <f>IFERROR(__xludf.DUMMYFUNCTION("GOOGLETRANSLATE(B643,""id"",""en"")"),"['buy', 'quota', 'right', 'refresh', 'veranda', 'kantel', 'buy', 'difficult', 'likes',' sleep ',' buy ',' please ',' Donk ',' Fix ',' Nomah ',' Veronika ']")</f>
        <v>['buy', 'quota', 'right', 'refresh', 'veranda', 'kantel', 'buy', 'difficult', 'likes',' sleep ',' buy ',' please ',' Donk ',' Fix ',' Nomah ',' Veronika ']</v>
      </c>
      <c r="D643" s="3">
        <v>3.0</v>
      </c>
    </row>
    <row r="644" ht="15.75" customHeight="1">
      <c r="A644" s="1">
        <v>642.0</v>
      </c>
      <c r="B644" s="3" t="s">
        <v>645</v>
      </c>
      <c r="C644" s="3" t="str">
        <f>IFERROR(__xludf.DUMMYFUNCTION("GOOGLETRANSLATE(B644,""id"",""en"")"),"['already', 'buy', 'package', 'knpa', 'pulse', 'sucked', 'his desk', 'contents',' reset ',' pulse ',' buy ',' quota ',' TPI ',' pulses', 'third', 'buy', 'pulse', 'reduced', 'kmn', 'buy', 'pulse', 'buy', 'package', 'gini', 'loss' , 'PDAH', 'buy', 'Package'"&amp;", 'RB', 'KNPA', 'might', 'Ksini', 'package', 'expensive', 'network', 'slow', 'at "" maybe ',' cheap ',' good ',' dilapidated ',' hope ',' improvement ',' thank ',' love ']")</f>
        <v>['already', 'buy', 'package', 'knpa', 'pulse', 'sucked', 'his desk', 'contents',' reset ',' pulse ',' buy ',' quota ',' TPI ',' pulses', 'third', 'buy', 'pulse', 'reduced', 'kmn', 'buy', 'pulse', 'buy', 'package', 'gini', 'loss' , 'PDAH', 'buy', 'Package', 'RB', 'KNPA', 'might', 'Ksini', 'package', 'expensive', 'network', 'slow', 'at " maybe ',' cheap ',' good ',' dilapidated ',' hope ',' improvement ',' thank ',' love ']</v>
      </c>
      <c r="D644" s="3">
        <v>3.0</v>
      </c>
    </row>
    <row r="645" ht="15.75" customHeight="1">
      <c r="A645" s="1">
        <v>643.0</v>
      </c>
      <c r="B645" s="3" t="s">
        <v>646</v>
      </c>
      <c r="C645" s="3" t="str">
        <f>IFERROR(__xludf.DUMMYFUNCTION("GOOGLETRANSLATE(B645,""id"",""en"")"),"['network', 'Telkomsel', 'declined', 'quality', 'dlu', 'use', 'Telkomsel', 'karen', 'kenceng', 'stable', 'signal', 'like', ' Ngadat ',' area ',' trmasuk ',' area ',' city ',' lose ',' signal ',' provider ',' cheap ',' cost ',' quota ',' per month ',' oath"&amp;" ' , 'Emotion', 'use', 'Telkomsel', '']")</f>
        <v>['network', 'Telkomsel', 'declined', 'quality', 'dlu', 'use', 'Telkomsel', 'karen', 'kenceng', 'stable', 'signal', 'like', ' Ngadat ',' area ',' trmasuk ',' area ',' city ',' lose ',' signal ',' provider ',' cheap ',' cost ',' quota ',' per month ',' oath ' , 'Emotion', 'use', 'Telkomsel', '']</v>
      </c>
      <c r="D645" s="3">
        <v>2.0</v>
      </c>
    </row>
    <row r="646" ht="15.75" customHeight="1">
      <c r="A646" s="1">
        <v>644.0</v>
      </c>
      <c r="B646" s="3" t="s">
        <v>647</v>
      </c>
      <c r="C646" s="3" t="str">
        <f>IFERROR(__xludf.DUMMYFUNCTION("GOOGLETRANSLATE(B646,""id"",""en"")"),"['difficult', 'buy', 'package', 'disorder', 'package', 'appear', 'package', 'quota', 'family', 'package', 'difficult', 'bought', ' version ',' speech ',' package ',' buy ',' bought ']")</f>
        <v>['difficult', 'buy', 'package', 'disorder', 'package', 'appear', 'package', 'quota', 'family', 'package', 'difficult', 'bought', ' version ',' speech ',' package ',' buy ',' bought ']</v>
      </c>
      <c r="D646" s="3">
        <v>1.0</v>
      </c>
    </row>
    <row r="647" ht="15.75" customHeight="1">
      <c r="A647" s="1">
        <v>645.0</v>
      </c>
      <c r="B647" s="3" t="s">
        <v>648</v>
      </c>
      <c r="C647" s="3" t="str">
        <f>IFERROR(__xludf.DUMMYFUNCTION("GOOGLETRANSLATE(B647,""id"",""en"")"),"['How', 'get', 'promo', 'cheap', 'era', 'junior high school', 'Thun', 'can', 'promo', 'cheap', 'friend', 'next door', ' Kossan ',' Get ',' GB ',' thousand ',' ']")</f>
        <v>['How', 'get', 'promo', 'cheap', 'era', 'junior high school', 'Thun', 'can', 'promo', 'cheap', 'friend', 'next door', ' Kossan ',' Get ',' GB ',' thousand ',' ']</v>
      </c>
      <c r="D647" s="3">
        <v>2.0</v>
      </c>
    </row>
    <row r="648" ht="15.75" customHeight="1">
      <c r="A648" s="1">
        <v>646.0</v>
      </c>
      <c r="B648" s="3" t="s">
        <v>649</v>
      </c>
      <c r="C648" s="3" t="str">
        <f>IFERROR(__xludf.DUMMYFUNCTION("GOOGLETRANSLATE(B648,""id"",""en"")"),"['Come', 'Severe', 'Network', 'Internet', 'Telkomsel', 'Bandung', 'Road', 'Mount', 'Stone', 'Mass',' Strong ',' Quota ',' expensive ',' doang ',' buy ',' quota ',' quality ',' here ',' good ',' downhill ',' price ',' ride ']")</f>
        <v>['Come', 'Severe', 'Network', 'Internet', 'Telkomsel', 'Bandung', 'Road', 'Mount', 'Stone', 'Mass',' Strong ',' Quota ',' expensive ',' doang ',' buy ',' quota ',' quality ',' here ',' good ',' downhill ',' price ',' ride ']</v>
      </c>
      <c r="D648" s="3">
        <v>1.0</v>
      </c>
    </row>
    <row r="649" ht="15.75" customHeight="1">
      <c r="A649" s="1">
        <v>647.0</v>
      </c>
      <c r="B649" s="3" t="s">
        <v>650</v>
      </c>
      <c r="C649" s="3" t="str">
        <f>IFERROR(__xludf.DUMMYFUNCTION("GOOGLETRANSLATE(B649,""id"",""en"")"),"['Telkomsel', 'Increases',' Network ',' mala ',' slow ',' nothing ',' package ',' taken ',' operator ',' expensive ',' fusion ',' operator ',' emang ',' quality ',' operator ']")</f>
        <v>['Telkomsel', 'Increases',' Network ',' mala ',' slow ',' nothing ',' package ',' taken ',' operator ',' expensive ',' fusion ',' operator ',' emang ',' quality ',' operator ']</v>
      </c>
      <c r="D649" s="3">
        <v>2.0</v>
      </c>
    </row>
    <row r="650" ht="15.75" customHeight="1">
      <c r="A650" s="1">
        <v>648.0</v>
      </c>
      <c r="B650" s="3" t="s">
        <v>651</v>
      </c>
      <c r="C650" s="3" t="str">
        <f>IFERROR(__xludf.DUMMYFUNCTION("GOOGLETRANSLATE(B650,""id"",""en"")"),"['Disappointed', 'Telkomsel', 'Paketan', 'Expensive', 'Network', 'Leet', 'Quality', 'Card', 'Good', 'Good', 'What', 'Good', ' slowly ',' please ',' network ',' accelerated ',' lose ',' SMA ',' AXIZ ',' IM ',' KECEVA ',' BNGT ',' use ',' Telkomsel ',' jing"&amp;"an ' , 'rotten']")</f>
        <v>['Disappointed', 'Telkomsel', 'Paketan', 'Expensive', 'Network', 'Leet', 'Quality', 'Card', 'Good', 'Good', 'What', 'Good', ' slowly ',' please ',' network ',' accelerated ',' lose ',' SMA ',' AXIZ ',' IM ',' KECEVA ',' BNGT ',' use ',' Telkomsel ',' jingan ' , 'rotten']</v>
      </c>
      <c r="D650" s="3">
        <v>5.0</v>
      </c>
    </row>
    <row r="651" ht="15.75" customHeight="1">
      <c r="A651" s="1">
        <v>649.0</v>
      </c>
      <c r="B651" s="3" t="s">
        <v>652</v>
      </c>
      <c r="C651" s="3" t="str">
        <f>IFERROR(__xludf.DUMMYFUNCTION("GOOGLETRANSLATE(B651,""id"",""en"")"),"['quality', 'internet', 'Telkomsel', 'improved', 'ugly', 'cave', 'daddy', 'price', 'kouta', 'expensive', 'quality', 'emang', ' Good ',' in the middle ',' city ',' taste ',' rich ',' stay ',' rural ',' difficult ',' signal ',' need ',' network ',' network "&amp;"',' stable ' , 'Doang', '']")</f>
        <v>['quality', 'internet', 'Telkomsel', 'improved', 'ugly', 'cave', 'daddy', 'price', 'kouta', 'expensive', 'quality', 'emang', ' Good ',' in the middle ',' city ',' taste ',' rich ',' stay ',' rural ',' difficult ',' signal ',' need ',' network ',' network ',' stable ' , 'Doang', '']</v>
      </c>
      <c r="D651" s="3">
        <v>1.0</v>
      </c>
    </row>
    <row r="652" ht="15.75" customHeight="1">
      <c r="A652" s="1">
        <v>650.0</v>
      </c>
      <c r="B652" s="3" t="s">
        <v>653</v>
      </c>
      <c r="C652" s="3" t="str">
        <f>IFERROR(__xludf.DUMMYFUNCTION("GOOGLETRANSLATE(B652,""id"",""en"")"),"['buy', 'package', 'promo', 'GB', 'leftover', 'pulse', 'until', 'run out', 'hit', 'dipake', 'nntn', 'youtube', ' Download ',' Application ',' Karna ',' Road ',' Motor ',' Sampe ',' Houses', 'Eat', 'Credit', 'Strange', 'Telkomsel', 'Seneng', 'Nipu' , 'user"&amp;"']")</f>
        <v>['buy', 'package', 'promo', 'GB', 'leftover', 'pulse', 'until', 'run out', 'hit', 'dipake', 'nntn', 'youtube', ' Download ',' Application ',' Karna ',' Road ',' Motor ',' Sampe ',' Houses', 'Eat', 'Credit', 'Strange', 'Telkomsel', 'Seneng', 'Nipu' , 'user']</v>
      </c>
      <c r="D652" s="3">
        <v>1.0</v>
      </c>
    </row>
    <row r="653" ht="15.75" customHeight="1">
      <c r="A653" s="1">
        <v>651.0</v>
      </c>
      <c r="B653" s="3" t="s">
        <v>654</v>
      </c>
      <c r="C653" s="3" t="str">
        <f>IFERROR(__xludf.DUMMYFUNCTION("GOOGLETRANSLATE(B653,""id"",""en"")"),"['network', 'internet', 'village', 'krikilan', 'kec', 'kalijambe', 'kab', 'sragen', 'ugly', 'signal', 'Ful', 'network', ' Internet ',' bad ',' week ',' network ',' stable ',' response ',' Telkomsel ',' really ',' disappointing ',' customer ',' work ',' st"&amp;"unted ',' entertainment ' , 'Main', 'Game', 'YouTube', 'Instagram', 'Disturbed', 'Education', 'Child', 'Kamipun', 'Disturbed', 'Please', 'Fix', ""]")</f>
        <v>['network', 'internet', 'village', 'krikilan', 'kec', 'kalijambe', 'kab', 'sragen', 'ugly', 'signal', 'Ful', 'network', ' Internet ',' bad ',' week ',' network ',' stable ',' response ',' Telkomsel ',' really ',' disappointing ',' customer ',' work ',' stunted ',' entertainment ' , 'Main', 'Game', 'YouTube', 'Instagram', 'Disturbed', 'Education', 'Child', 'Kamipun', 'Disturbed', 'Please', 'Fix', "]</v>
      </c>
      <c r="D653" s="3">
        <v>1.0</v>
      </c>
    </row>
    <row r="654" ht="15.75" customHeight="1">
      <c r="A654" s="1">
        <v>652.0</v>
      </c>
      <c r="B654" s="3" t="s">
        <v>655</v>
      </c>
      <c r="C654" s="3" t="str">
        <f>IFERROR(__xludf.DUMMYFUNCTION("GOOGLETRANSLATE(B654,""id"",""en"")"),"['card', 'asku', 'can', 'package', 'internet', 'expensive', 'envy', 'orng', 'card', 'classified', 'TPI', 'can', ' Promo ',' Kouta ',' cheap ',' sad ',' change ',' card ',' TPI ',' Shars', 'number', ""]")</f>
        <v>['card', 'asku', 'can', 'package', 'internet', 'expensive', 'envy', 'orng', 'card', 'classified', 'TPI', 'can', ' Promo ',' Kouta ',' cheap ',' sad ',' change ',' card ',' TPI ',' Shars', 'number', "]</v>
      </c>
      <c r="D654" s="3">
        <v>1.0</v>
      </c>
    </row>
    <row r="655" ht="15.75" customHeight="1">
      <c r="A655" s="1">
        <v>653.0</v>
      </c>
      <c r="B655" s="3" t="s">
        <v>656</v>
      </c>
      <c r="C655" s="3" t="str">
        <f>IFERROR(__xludf.DUMMYFUNCTION("GOOGLETRANSLATE(B655,""id"",""en"")"),"['Feature', 'Update', 'Features',' Login ',' Ribet ',' Dermitted ',' Open ',' Application ',' Verification ',' Number ',' person ',' inland ',' difficult ',' signal ',' open ',' application ',' wait ',' link ',' verification ',' clock ',' appear ',' messa"&amp;"ge ',' automatic ',' expiration ' , 'Please', 'Consider', 'Change', 'icon', 'application']")</f>
        <v>['Feature', 'Update', 'Features',' Login ',' Ribet ',' Dermitted ',' Open ',' Application ',' Verification ',' Number ',' person ',' inland ',' difficult ',' signal ',' open ',' application ',' wait ',' link ',' verification ',' clock ',' appear ',' message ',' automatic ',' expiration ' , 'Please', 'Consider', 'Change', 'icon', 'application']</v>
      </c>
      <c r="D655" s="3">
        <v>2.0</v>
      </c>
    </row>
    <row r="656" ht="15.75" customHeight="1">
      <c r="A656" s="1">
        <v>654.0</v>
      </c>
      <c r="B656" s="3" t="s">
        <v>657</v>
      </c>
      <c r="C656" s="3" t="str">
        <f>IFERROR(__xludf.DUMMYFUNCTION("GOOGLETRANSLATE(B656,""id"",""en"")"),"['Telkomsel', 'APL', 'Change', 'Logo', 'Poor', 'Old', 'Confused', 'Use', 'Language', 'Indonesia', 'Application', 'Kayak', ' thank you', '']")</f>
        <v>['Telkomsel', 'APL', 'Change', 'Logo', 'Poor', 'Old', 'Confused', 'Use', 'Language', 'Indonesia', 'Application', 'Kayak', ' thank you', '']</v>
      </c>
      <c r="D656" s="3">
        <v>2.0</v>
      </c>
    </row>
    <row r="657" ht="15.75" customHeight="1">
      <c r="A657" s="1">
        <v>655.0</v>
      </c>
      <c r="B657" s="3" t="s">
        <v>658</v>
      </c>
      <c r="C657" s="3" t="str">
        <f>IFERROR(__xludf.DUMMYFUNCTION("GOOGLETRANSLATE(B657,""id"",""en"")"),"['Kya', 'buy', 'quality', 'unlimited', 'just', 'open', 'WhatsApp', 'play', 'game', 'ngelag', 'already', 'semingu', ' Play ',' Game ',' Ngelag ',' Please ',' Definition ',' ']")</f>
        <v>['Kya', 'buy', 'quality', 'unlimited', 'just', 'open', 'WhatsApp', 'play', 'game', 'ngelag', 'already', 'semingu', ' Play ',' Game ',' Ngelag ',' Please ',' Definition ',' ']</v>
      </c>
      <c r="D657" s="3">
        <v>1.0</v>
      </c>
    </row>
    <row r="658" ht="15.75" customHeight="1">
      <c r="A658" s="1">
        <v>656.0</v>
      </c>
      <c r="B658" s="3" t="s">
        <v>659</v>
      </c>
      <c r="C658" s="3" t="str">
        <f>IFERROR(__xludf.DUMMYFUNCTION("GOOGLETRANSLATE(B658,""id"",""en"")"),"['oath', 'Sonyal', 'ugly', 'students',' difficulty ',' test ',' lost ',' signal ',' difficult ',' collect ',' task ',' Google ',' Classroom ',' signal ',' ugly ',' deadline ',' collection ',' affects', 'value', 'bagimana', 'support', 'student', 'Indonesia"&amp;"', 'value', 'down' , 'Government', 'implement', 'Learning', 'Darin']")</f>
        <v>['oath', 'Sonyal', 'ugly', 'students',' difficulty ',' test ',' lost ',' signal ',' difficult ',' collect ',' task ',' Google ',' Classroom ',' signal ',' ugly ',' deadline ',' collection ',' affects', 'value', 'bagimana', 'support', 'student', 'Indonesia', 'value', 'down' , 'Government', 'implement', 'Learning', 'Darin']</v>
      </c>
      <c r="D658" s="3">
        <v>1.0</v>
      </c>
    </row>
    <row r="659" ht="15.75" customHeight="1">
      <c r="A659" s="1">
        <v>657.0</v>
      </c>
      <c r="B659" s="3" t="s">
        <v>660</v>
      </c>
      <c r="C659" s="3" t="str">
        <f>IFERROR(__xludf.DUMMYFUNCTION("GOOGLETRANSLATE(B659,""id"",""en"")"),"['Please', 'Check', 'Email', 'SMS', 'Package', 'Combo', 'Sakti', 'Click', 'Link', 'Link', 'Promo', 'Males',' Fill ',' pulse ',' gini ',' please ',' pakde ']")</f>
        <v>['Please', 'Check', 'Email', 'SMS', 'Package', 'Combo', 'Sakti', 'Click', 'Link', 'Link', 'Promo', 'Males',' Fill ',' pulse ',' gini ',' please ',' pakde ']</v>
      </c>
      <c r="D659" s="3">
        <v>5.0</v>
      </c>
    </row>
    <row r="660" ht="15.75" customHeight="1">
      <c r="A660" s="1">
        <v>658.0</v>
      </c>
      <c r="B660" s="3" t="s">
        <v>661</v>
      </c>
      <c r="C660" s="3" t="str">
        <f>IFERROR(__xludf.DUMMYFUNCTION("GOOGLETRANSLATE(B660,""id"",""en"")"),"['Points',' Tired ',' Discard ',' Program ',' Points', 'Telkomsel', 'Points',' BSA ',' Exchange ',' Direct ',' Balance ',' Credit ',' Program ',' Taik ']")</f>
        <v>['Points',' Tired ',' Discard ',' Program ',' Points', 'Telkomsel', 'Points',' BSA ',' Exchange ',' Direct ',' Balance ',' Credit ',' Program ',' Taik ']</v>
      </c>
      <c r="D660" s="3">
        <v>1.0</v>
      </c>
    </row>
    <row r="661" ht="15.75" customHeight="1">
      <c r="A661" s="1">
        <v>659.0</v>
      </c>
      <c r="B661" s="3" t="s">
        <v>662</v>
      </c>
      <c r="C661" s="3" t="str">
        <f>IFERROR(__xludf.DUMMYFUNCTION("GOOGLETRANSLATE(B661,""id"",""en"")"),"['Package', 'Internet', 'offered', 'sick', 'head', 'Need', 'Full', 'Data', 'Need', 'Package', 'Discard', 'Money', ' TELKOM ',' Offer ',' Honest ',' Disappointed ',' Heavy ',' Company ',' Search ',' Benefit ',' Murah ',' Needs', 'Consumer', ""]")</f>
        <v>['Package', 'Internet', 'offered', 'sick', 'head', 'Need', 'Full', 'Data', 'Need', 'Package', 'Discard', 'Money', ' TELKOM ',' Offer ',' Honest ',' Disappointed ',' Heavy ',' Company ',' Search ',' Benefit ',' Murah ',' Needs', 'Consumer', "]</v>
      </c>
      <c r="D661" s="3">
        <v>1.0</v>
      </c>
    </row>
    <row r="662" ht="15.75" customHeight="1">
      <c r="A662" s="1">
        <v>660.0</v>
      </c>
      <c r="B662" s="3" t="s">
        <v>663</v>
      </c>
      <c r="C662" s="3" t="str">
        <f>IFERROR(__xludf.DUMMYFUNCTION("GOOGLETRANSLATE(B662,""id"",""en"")"),"['', 'Telkomsel', 'Like', 'Telkomsel', 'Package', 'Data', 'Cheap', 'Telkomsel', 'Gift', 'Telkomsel', 'Points',' Undi ',' Sunday ',' easy ',' hopefully ',' prizes', 'main', 'unit', 'car', 'developing', 'Telkomsel', 'success',' a million ',' benefits', 'peo"&amp;"ple', 'Indonesia', 'Telkomsel', 'card', 'primadonaku', 'hope', 'God', 'success',' the world ',' hereafter ',' Team ',' Telkomsel ',' kindness', ' ',' Amiiinnnnnn ',' Love ',' Telkomsel ',' ']")</f>
        <v>['', 'Telkomsel', 'Like', 'Telkomsel', 'Package', 'Data', 'Cheap', 'Telkomsel', 'Gift', 'Telkomsel', 'Points',' Undi ',' Sunday ',' easy ',' hopefully ',' prizes', 'main', 'unit', 'car', 'developing', 'Telkomsel', 'success',' a million ',' benefits', 'people', 'Indonesia', 'Telkomsel', 'card', 'primadonaku', 'hope', 'God', 'success',' the world ',' hereafter ',' Team ',' Telkomsel ',' kindness', ' ',' Amiiinnnnnn ',' Love ',' Telkomsel ',' ']</v>
      </c>
      <c r="D662" s="3">
        <v>5.0</v>
      </c>
    </row>
    <row r="663" ht="15.75" customHeight="1">
      <c r="A663" s="1">
        <v>661.0</v>
      </c>
      <c r="B663" s="3" t="s">
        <v>664</v>
      </c>
      <c r="C663" s="3" t="str">
        <f>IFERROR(__xludf.DUMMYFUNCTION("GOOGLETRANSLATE(B663,""id"",""en"")"),"['right', 'use', 'card', 'Sakti', 'happy', 'package', 'cheap', 'stlah', 'use', 'package', 'omitted', 'intention', ' Name ',' card ',' Sakti ',' Sakti ',' Bener ',' Lost ',' Package ',' Cheap ',' Congratulations', 'Eliminate', 'Trust', 'User', 'Telkomsel' "&amp;", '']")</f>
        <v>['right', 'use', 'card', 'Sakti', 'happy', 'package', 'cheap', 'stlah', 'use', 'package', 'omitted', 'intention', ' Name ',' card ',' Sakti ',' Sakti ',' Bener ',' Lost ',' Package ',' Cheap ',' Congratulations', 'Eliminate', 'Trust', 'User', 'Telkomsel' , '']</v>
      </c>
      <c r="D663" s="3">
        <v>1.0</v>
      </c>
    </row>
    <row r="664" ht="15.75" customHeight="1">
      <c r="A664" s="1">
        <v>662.0</v>
      </c>
      <c r="B664" s="3" t="s">
        <v>665</v>
      </c>
      <c r="C664" s="3" t="str">
        <f>IFERROR(__xludf.DUMMYFUNCTION("GOOGLETRANSLATE(B664,""id"",""en"")"),"['network', 'Telkomsel', 'difficult', 'bangettrs',' promo ',' unlimited ',' price ',' expensive ',' telkomsel ',' history ',' purchase ',' purchase ',' Stable ',' trs', 'ntr', 'use', 'quota', 'unlimited', 'hrs',' buy ',' quota ',' thousand ',' here ',' ex"&amp;"pensive ',' network ' , 'difficult', '']")</f>
        <v>['network', 'Telkomsel', 'difficult', 'bangettrs',' promo ',' unlimited ',' price ',' expensive ',' telkomsel ',' history ',' purchase ',' purchase ',' Stable ',' trs', 'ntr', 'use', 'quota', 'unlimited', 'hrs',' buy ',' quota ',' thousand ',' here ',' expensive ',' network ' , 'difficult', '']</v>
      </c>
      <c r="D664" s="3">
        <v>4.0</v>
      </c>
    </row>
    <row r="665" ht="15.75" customHeight="1">
      <c r="A665" s="1">
        <v>663.0</v>
      </c>
      <c r="B665" s="3" t="s">
        <v>666</v>
      </c>
      <c r="C665" s="3" t="str">
        <f>IFERROR(__xludf.DUMMYFUNCTION("GOOGLETRANSLATE(B665,""id"",""en"")"),"['Telkomsel', 'promo', 'emang', 'change', 'please', 'Tell', 'change', 'then', 'love', 'sms',' promo ',' cheerful ',' Promo ',' Date ',' July ',' buy ',' buy ',' please ',' notice ',' simpen ',' intention ',' kaga ',' uda ',' slow ',' expensive ' , 'Promo'"&amp;", 'perverted']")</f>
        <v>['Telkomsel', 'promo', 'emang', 'change', 'please', 'Tell', 'change', 'then', 'love', 'sms',' promo ',' cheerful ',' Promo ',' Date ',' July ',' buy ',' buy ',' please ',' notice ',' simpen ',' intention ',' kaga ',' uda ',' slow ',' expensive ' , 'Promo', 'perverted']</v>
      </c>
      <c r="D665" s="3">
        <v>1.0</v>
      </c>
    </row>
    <row r="666" ht="15.75" customHeight="1">
      <c r="A666" s="1">
        <v>664.0</v>
      </c>
      <c r="B666" s="3" t="s">
        <v>667</v>
      </c>
      <c r="C666" s="3" t="str">
        <f>IFERROR(__xludf.DUMMYFUNCTION("GOOGLETRANSLATE(B666,""id"",""en"")"),"['APK', 'ugly', 'annoying', 'APK', 'function', 'cellphone', 'restart', 'open', 'apk', 'Telkomsel', 'Please', 'admin', ' fix ',' apk ',' search ',' weakness', 'janga', 'search', 'profit', 'keepers',' complaints', 'pwlangganan', 'blm', 'apk', 'good' , 'Mend"&amp;"ing', 'troubles', 'the wearer', '']")</f>
        <v>['APK', 'ugly', 'annoying', 'APK', 'function', 'cellphone', 'restart', 'open', 'apk', 'Telkomsel', 'Please', 'admin', ' fix ',' apk ',' search ',' weakness', 'janga', 'search', 'profit', 'keepers',' complaints', 'pwlangganan', 'blm', 'apk', 'good' , 'Mending', 'troubles', 'the wearer', '']</v>
      </c>
      <c r="D666" s="3">
        <v>1.0</v>
      </c>
    </row>
    <row r="667" ht="15.75" customHeight="1">
      <c r="A667" s="1">
        <v>665.0</v>
      </c>
      <c r="B667" s="3" t="s">
        <v>668</v>
      </c>
      <c r="C667" s="3" t="str">
        <f>IFERROR(__xludf.DUMMYFUNCTION("GOOGLETRANSLATE(B667,""id"",""en"")"),"['Code', 'voucher', 'letters',' right ',' input ',' code ',' voucher ',' TPI ',' DOVER ',' Download ',' APK ',' staple ',' APK ',' Good ',' ']")</f>
        <v>['Code', 'voucher', 'letters',' right ',' input ',' code ',' voucher ',' TPI ',' DOVER ',' Download ',' APK ',' staple ',' APK ',' Good ',' ']</v>
      </c>
      <c r="D667" s="3">
        <v>1.0</v>
      </c>
    </row>
    <row r="668" ht="15.75" customHeight="1">
      <c r="A668" s="1">
        <v>666.0</v>
      </c>
      <c r="B668" s="3" t="s">
        <v>669</v>
      </c>
      <c r="C668" s="3" t="str">
        <f>IFERROR(__xludf.DUMMYFUNCTION("GOOGLETRANSLATE(B668,""id"",""en"")"),"['', 'customer', 'given', 'expensive', 'intention', 'sell', 'network', 'lemmot', 'sudden', 'provider', 'responsible', 'regret', 'use ',' Telkomsel ',' pray for ',' hope ',' go bankrupt ',' provider ',' amin ']")</f>
        <v>['', 'customer', 'given', 'expensive', 'intention', 'sell', 'network', 'lemmot', 'sudden', 'provider', 'responsible', 'regret', 'use ',' Telkomsel ',' pray for ',' hope ',' go bankrupt ',' provider ',' amin ']</v>
      </c>
      <c r="D668" s="3">
        <v>1.0</v>
      </c>
    </row>
    <row r="669" ht="15.75" customHeight="1">
      <c r="A669" s="1">
        <v>667.0</v>
      </c>
      <c r="B669" s="3" t="s">
        <v>670</v>
      </c>
      <c r="C669" s="3" t="str">
        <f>IFERROR(__xludf.DUMMYFUNCTION("GOOGLETRANSLATE(B669,""id"",""en"")"),"['Help', 'purchase', 'data', 'expect', 'promo', 'package', 'internet', 'Telkomsel', 'price', 'cheap', 'meria', 'expected', ' network ',' smooth ',' area ',' remote ']")</f>
        <v>['Help', 'purchase', 'data', 'expect', 'promo', 'package', 'internet', 'Telkomsel', 'price', 'cheap', 'meria', 'expected', ' network ',' smooth ',' area ',' remote ']</v>
      </c>
      <c r="D669" s="3">
        <v>5.0</v>
      </c>
    </row>
    <row r="670" ht="15.75" customHeight="1">
      <c r="A670" s="1">
        <v>668.0</v>
      </c>
      <c r="B670" s="3" t="s">
        <v>671</v>
      </c>
      <c r="C670" s="3" t="str">
        <f>IFERROR(__xludf.DUMMYFUNCTION("GOOGLETRANSLATE(B670,""id"",""en"")"),"['suer', 'tsel', 'ugly', 'times',' tower ',' tower ',' no ',' ngepain ',' tower ',' transmitter ',' no ',' bagan ',' Providers', 'signals',' stem ',' TTP ',' smooth ',' already ',' expensive ',' network ',' ugly ',' times', 'tower', 'tiamg', 'electricity'"&amp;" , 'no', 'replied', 'admin', 'brrti', 'network', 'tsel', 'skrng', 'dilapidated', 'times', 'name', ""]")</f>
        <v>['suer', 'tsel', 'ugly', 'times',' tower ',' tower ',' no ',' ngepain ',' tower ',' transmitter ',' no ',' bagan ',' Providers', 'signals',' stem ',' TTP ',' smooth ',' already ',' expensive ',' network ',' ugly ',' times', 'tower', 'tiamg', 'electricity' , 'no', 'replied', 'admin', 'brrti', 'network', 'tsel', 'skrng', 'dilapidated', 'times', 'name', "]</v>
      </c>
      <c r="D670" s="3">
        <v>1.0</v>
      </c>
    </row>
    <row r="671" ht="15.75" customHeight="1">
      <c r="A671" s="1">
        <v>669.0</v>
      </c>
      <c r="B671" s="3" t="s">
        <v>672</v>
      </c>
      <c r="C671" s="3" t="str">
        <f>IFERROR(__xludf.DUMMYFUNCTION("GOOGLETRANSLATE(B671,""id"",""en"")"),"['The application', 'good', 'really', 'yahaha', 'Hayunk', ""]")</f>
        <v>['The application', 'good', 'really', 'yahaha', 'Hayunk', "]</v>
      </c>
      <c r="D671" s="3">
        <v>5.0</v>
      </c>
    </row>
    <row r="672" ht="15.75" customHeight="1">
      <c r="A672" s="1">
        <v>670.0</v>
      </c>
      <c r="B672" s="3" t="s">
        <v>673</v>
      </c>
      <c r="C672" s="3" t="str">
        <f>IFERROR(__xludf.DUMMYFUNCTION("GOOGLETRANSLATE(B672,""id"",""en"")"),"['Telkomsel', 'update', 'package', 'cheap', 'expensive', 'origin', 'buy', 'GB', 'no', 'choice', 'choice', 'combo', ' Sakti ',' GB ',' Please ',' Telkomselll ',' Restore ',' Combo ',' Sakti ',' Meaaa ',' Duluu ', ""]")</f>
        <v>['Telkomsel', 'update', 'package', 'cheap', 'expensive', 'origin', 'buy', 'GB', 'no', 'choice', 'choice', 'combo', ' Sakti ',' GB ',' Please ',' Telkomselll ',' Restore ',' Combo ',' Sakti ',' Meaaa ',' Duluu ', "]</v>
      </c>
      <c r="D672" s="3">
        <v>1.0</v>
      </c>
    </row>
    <row r="673" ht="15.75" customHeight="1">
      <c r="A673" s="1">
        <v>671.0</v>
      </c>
      <c r="B673" s="3" t="s">
        <v>674</v>
      </c>
      <c r="C673" s="3" t="str">
        <f>IFERROR(__xludf.DUMMYFUNCTION("GOOGLETRANSLATE(B673,""id"",""en"")"),"['Display', 'concise', 'Yesterday', 'aspect', 'Performance', 'open', 'application', 'light', 'skrng', 'suggestion', 'Please', 'update', ' Display ',' concise ',' color ',' bright ']")</f>
        <v>['Display', 'concise', 'Yesterday', 'aspect', 'Performance', 'open', 'application', 'light', 'skrng', 'suggestion', 'Please', 'update', ' Display ',' concise ',' color ',' bright ']</v>
      </c>
      <c r="D673" s="3">
        <v>3.0</v>
      </c>
    </row>
    <row r="674" ht="15.75" customHeight="1">
      <c r="A674" s="1">
        <v>672.0</v>
      </c>
      <c r="B674" s="3" t="s">
        <v>675</v>
      </c>
      <c r="C674" s="3" t="str">
        <f>IFERROR(__xludf.DUMMYFUNCTION("GOOGLETRANSLATE(B674,""id"",""en"")"),"['Disappointed', 'Update', 'Easy', 'Payment', 'Shopeepay', 'FAILURE', 'Price', 'Package', 'Expensive', 'Ngilak', 'Please', 'Telkomsel', ' Pelit ',' ']")</f>
        <v>['Disappointed', 'Update', 'Easy', 'Payment', 'Shopeepay', 'FAILURE', 'Price', 'Package', 'Expensive', 'Ngilak', 'Please', 'Telkomsel', ' Pelit ',' ']</v>
      </c>
      <c r="D674" s="3">
        <v>1.0</v>
      </c>
    </row>
    <row r="675" ht="15.75" customHeight="1">
      <c r="A675" s="1">
        <v>673.0</v>
      </c>
      <c r="B675" s="3" t="s">
        <v>676</v>
      </c>
      <c r="C675" s="3" t="str">
        <f>IFERROR(__xludf.DUMMYFUNCTION("GOOGLETRANSLATE(B675,""id"",""en"")"),"['Expek', 'really', 'update', 'latest', 'Syg', 'Change', 'quota', 'provided', 'impressed', 'expensive', 'Telkomsel', 'package', ' cheap ',' GB ',' clothes', 'Satisfied', 'The network', 'Earli', 'fast']")</f>
        <v>['Expek', 'really', 'update', 'latest', 'Syg', 'Change', 'quota', 'provided', 'impressed', 'expensive', 'Telkomsel', 'package', ' cheap ',' GB ',' clothes', 'Satisfied', 'The network', 'Earli', 'fast']</v>
      </c>
      <c r="D675" s="3">
        <v>4.0</v>
      </c>
    </row>
    <row r="676" ht="15.75" customHeight="1">
      <c r="A676" s="1">
        <v>674.0</v>
      </c>
      <c r="B676" s="3" t="s">
        <v>677</v>
      </c>
      <c r="C676" s="3" t="str">
        <f>IFERROR(__xludf.DUMMYFUNCTION("GOOGLETRANSLATE(B676,""id"",""en"")"),"['pulse', 'missing', 'notification', 'Masi', 'quota', 'then', 'app', 'Lola', 'no', 'gini']")</f>
        <v>['pulse', 'missing', 'notification', 'Masi', 'quota', 'then', 'app', 'Lola', 'no', 'gini']</v>
      </c>
      <c r="D676" s="3">
        <v>3.0</v>
      </c>
    </row>
    <row r="677" ht="15.75" customHeight="1">
      <c r="A677" s="1">
        <v>675.0</v>
      </c>
      <c r="B677" s="3" t="s">
        <v>678</v>
      </c>
      <c r="C677" s="3" t="str">
        <f>IFERROR(__xludf.DUMMYFUNCTION("GOOGLETRANSLATE(B677,""id"",""en"")"),"['times',' enter ',' login ',' use ',' sms', 'NMR', 'choice', 'login', 'limited', 'facebook', 'twitter', 'org', ' Twitter ',' Use ',' User ',' Name ',' PSW ',' Login ',' Mobile ',' Banking ',' Use ',' SMS ',' OTP ',' Validation ',' Transaction ' , 'Login'"&amp;", 'Doang', 'Simple', 'Kayak', 'Ovo', 'Use', 'Finger', 'Print', 'Login', 'Practical', 'Update', 'Buy', ' Link ',' slow ']")</f>
        <v>['times',' enter ',' login ',' use ',' sms', 'NMR', 'choice', 'login', 'limited', 'facebook', 'twitter', 'org', ' Twitter ',' Use ',' User ',' Name ',' PSW ',' Login ',' Mobile ',' Banking ',' Use ',' SMS ',' OTP ',' Validation ',' Transaction ' , 'Login', 'Doang', 'Simple', 'Kayak', 'Ovo', 'Use', 'Finger', 'Print', 'Login', 'Practical', 'Update', 'Buy', ' Link ',' slow ']</v>
      </c>
      <c r="D677" s="3">
        <v>1.0</v>
      </c>
    </row>
    <row r="678" ht="15.75" customHeight="1">
      <c r="A678" s="1">
        <v>676.0</v>
      </c>
      <c r="B678" s="3" t="s">
        <v>679</v>
      </c>
      <c r="C678" s="3" t="str">
        <f>IFERROR(__xludf.DUMMYFUNCTION("GOOGLETRANSLATE(B678,""id"",""en"")"),"['Napa', 'Internet', 'Sometimes', 'Sometimes', 'Company', 'Telkomsel', 'Internet', 'Fast', 'Telkomsel', 'Internet', 'Fast']")</f>
        <v>['Napa', 'Internet', 'Sometimes', 'Sometimes', 'Company', 'Telkomsel', 'Internet', 'Fast', 'Telkomsel', 'Internet', 'Fast']</v>
      </c>
      <c r="D678" s="3">
        <v>1.0</v>
      </c>
    </row>
    <row r="679" ht="15.75" customHeight="1">
      <c r="A679" s="1">
        <v>677.0</v>
      </c>
      <c r="B679" s="3" t="s">
        <v>680</v>
      </c>
      <c r="C679" s="3" t="str">
        <f>IFERROR(__xludf.DUMMYFUNCTION("GOOGLETRANSLATE(B679,""id"",""en"")"),"['Telkomsel', 'good', 'signal', 'severe', 'dibangangin', 'signal', 'good', 'really', 'skrng', 'lose', 'provider', '']")</f>
        <v>['Telkomsel', 'good', 'signal', 'severe', 'dibangangin', 'signal', 'good', 'really', 'skrng', 'lose', 'provider', '']</v>
      </c>
      <c r="D679" s="3">
        <v>1.0</v>
      </c>
    </row>
    <row r="680" ht="15.75" customHeight="1">
      <c r="A680" s="1">
        <v>678.0</v>
      </c>
      <c r="B680" s="3" t="s">
        <v>681</v>
      </c>
      <c r="C680" s="3" t="str">
        <f>IFERROR(__xludf.DUMMYFUNCTION("GOOGLETRANSLATE(B680,""id"",""en"")"),"['Heh', 'Toll', 'People', 'Play', 'Game', 'Please', 'Kayak', 'Gini', 'Oath', 'Since', 'Card', 'Kek', ' Taik ',' lag ',' Mulu ',' Season ',' already ',' reset ',' kek ',' taik ',' good ',' kek ',' gini ',' already ',' expensive ' , 'lag', '']")</f>
        <v>['Heh', 'Toll', 'People', 'Play', 'Game', 'Please', 'Kayak', 'Gini', 'Oath', 'Since', 'Card', 'Kek', ' Taik ',' lag ',' Mulu ',' Season ',' already ',' reset ',' kek ',' taik ',' good ',' kek ',' gini ',' already ',' expensive ' , 'lag', '']</v>
      </c>
      <c r="D680" s="3">
        <v>1.0</v>
      </c>
    </row>
    <row r="681" ht="15.75" customHeight="1">
      <c r="A681" s="1">
        <v>679.0</v>
      </c>
      <c r="B681" s="3" t="s">
        <v>682</v>
      </c>
      <c r="C681" s="3" t="str">
        <f>IFERROR(__xludf.DUMMYFUNCTION("GOOGLETRANSLATE(B681,""id"",""en"")"),"['fill', 'voucher', 'please', 'repaired', 'repaired', 'user', 'disappointed']")</f>
        <v>['fill', 'voucher', 'please', 'repaired', 'repaired', 'user', 'disappointed']</v>
      </c>
      <c r="D681" s="3">
        <v>1.0</v>
      </c>
    </row>
    <row r="682" ht="15.75" customHeight="1">
      <c r="A682" s="1">
        <v>680.0</v>
      </c>
      <c r="B682" s="3" t="s">
        <v>683</v>
      </c>
      <c r="C682" s="3" t="str">
        <f>IFERROR(__xludf.DUMMYFUNCTION("GOOGLETRANSLATE(B682,""id"",""en"")"),"['likes',' apk ',' hadian ',' check ',' week ',' right ',' collect ',' stamp ',' prize ',' claim ',' inssuficient ',' balance ',' disappointing']")</f>
        <v>['likes',' apk ',' hadian ',' check ',' week ',' right ',' collect ',' stamp ',' prize ',' claim ',' inssuficient ',' balance ',' disappointing']</v>
      </c>
      <c r="D682" s="3">
        <v>5.0</v>
      </c>
    </row>
    <row r="683" ht="15.75" customHeight="1">
      <c r="A683" s="1">
        <v>681.0</v>
      </c>
      <c r="B683" s="3" t="s">
        <v>684</v>
      </c>
      <c r="C683" s="3" t="str">
        <f>IFERROR(__xludf.DUMMYFUNCTION("GOOGLETRANSLATE(B683,""id"",""en"")"),"['The application', 'good', 'really', 'help', 'Telkomsel', 'package', 'status',' always', 'following', 'active', 'card', 'experience', ' buy ',' package ',' quota ',' size ',' at the end ',' leftover ',' decent ',' the next ',' day ',' already ',' scorche"&amp;"d ',' active ',' awaited ' , 'innovation', '']")</f>
        <v>['The application', 'good', 'really', 'help', 'Telkomsel', 'package', 'status',' always', 'following', 'active', 'card', 'experience', ' buy ',' package ',' quota ',' size ',' at the end ',' leftover ',' decent ',' the next ',' day ',' already ',' scorched ',' active ',' awaited ' , 'innovation', '']</v>
      </c>
      <c r="D683" s="3">
        <v>5.0</v>
      </c>
    </row>
    <row r="684" ht="15.75" customHeight="1">
      <c r="A684" s="1">
        <v>682.0</v>
      </c>
      <c r="B684" s="3" t="s">
        <v>685</v>
      </c>
      <c r="C684" s="3" t="str">
        <f>IFERROR(__xludf.DUMMYFUNCTION("GOOGLETRANSLATE(B684,""id"",""en"")"),"['user', 'loyal', 'Telkomsel', 'here', 'network', 'difficult', 'stable', 'please', 'fix', 'the network', ""]")</f>
        <v>['user', 'loyal', 'Telkomsel', 'here', 'network', 'difficult', 'stable', 'please', 'fix', 'the network', "]</v>
      </c>
      <c r="D684" s="3">
        <v>1.0</v>
      </c>
    </row>
    <row r="685" ht="15.75" customHeight="1">
      <c r="A685" s="1">
        <v>683.0</v>
      </c>
      <c r="B685" s="3" t="s">
        <v>686</v>
      </c>
      <c r="C685" s="3" t="str">
        <f>IFERROR(__xludf.DUMMYFUNCTION("GOOGLETRANSLATE(B685,""id"",""en"")"),"['okay', 'application', 'like', 'simple', 'easy', 'understood', 'quality', 'network', 'understand', 'hang "",' quota ',' internet ',' The network ',' stable ',' times', 'already', 'right', 'contents',' quota ',' smooth ',' Please ',' read ',' Telkomsel ',"&amp;"' thank ',' love ' , '']")</f>
        <v>['okay', 'application', 'like', 'simple', 'easy', 'understood', 'quality', 'network', 'understand', 'hang ",' quota ',' internet ',' The network ',' stable ',' times', 'already', 'right', 'contents',' quota ',' smooth ',' Please ',' read ',' Telkomsel ',' thank ',' love ' , '']</v>
      </c>
      <c r="D685" s="3">
        <v>4.0</v>
      </c>
    </row>
    <row r="686" ht="15.75" customHeight="1">
      <c r="A686" s="1">
        <v>684.0</v>
      </c>
      <c r="B686" s="3" t="s">
        <v>687</v>
      </c>
      <c r="C686" s="3" t="str">
        <f>IFERROR(__xludf.DUMMYFUNCTION("GOOGLETRANSLATE(B686,""id"",""en"")"),"['use', 'package', 'main', 'doang', 'the rest', 'pakdt', 'multimedia', 'use', 'the reason', 'package', 'regular', 'halah', ' Bener ',' Telkomsel ',' Simpik ']")</f>
        <v>['use', 'package', 'main', 'doang', 'the rest', 'pakdt', 'multimedia', 'use', 'the reason', 'package', 'regular', 'halah', ' Bener ',' Telkomsel ',' Simpik ']</v>
      </c>
      <c r="D686" s="3">
        <v>1.0</v>
      </c>
    </row>
    <row r="687" ht="15.75" customHeight="1">
      <c r="A687" s="1">
        <v>685.0</v>
      </c>
      <c r="B687" s="3" t="s">
        <v>688</v>
      </c>
      <c r="C687" s="3" t="str">
        <f>IFERROR(__xludf.DUMMYFUNCTION("GOOGLETRANSLATE(B687,""id"",""en"")"),"['Alhamdulillah', 'help', 'choice', 'package', 'cheap', 'festive', 'thank you', 'Telkomsel', 'hope', 'Jaya', 'promo', ""]")</f>
        <v>['Alhamdulillah', 'help', 'choice', 'package', 'cheap', 'festive', 'thank you', 'Telkomsel', 'hope', 'Jaya', 'promo', "]</v>
      </c>
      <c r="D687" s="3">
        <v>5.0</v>
      </c>
    </row>
    <row r="688" ht="15.75" customHeight="1">
      <c r="A688" s="1">
        <v>686.0</v>
      </c>
      <c r="B688" s="3" t="s">
        <v>689</v>
      </c>
      <c r="C688" s="3" t="str">
        <f>IFERROR(__xludf.DUMMYFUNCTION("GOOGLETRANSLATE(B688,""id"",""en"")"),"['Wear', 'pulse', 'Rp', 'access',' internet ',' non ',' package ',' check ',' quota ',' buy ',' package ',' tsel ',' Tsel ',' access', 'internet', 'tariff', 'non', 'package', 'info', 'tsel', 'data', 'rate', 'saving', 'buy', 'package' , 'Internet', 'Tsel',"&amp;" 'Ngeuh', 'Telkomsel', 'like', 'Banhet', 'sucked', 'pulse', 'package', 'run out', 'please', 'confirm', ' his name ',' people ',' sometimes', 'like', 'forget', 'package', 'run out', 'pull', 'pulses',' sucks', 'ethics',' where ',' ']")</f>
        <v>['Wear', 'pulse', 'Rp', 'access',' internet ',' non ',' package ',' check ',' quota ',' buy ',' package ',' tsel ',' Tsel ',' access', 'internet', 'tariff', 'non', 'package', 'info', 'tsel', 'data', 'rate', 'saving', 'buy', 'package' , 'Internet', 'Tsel', 'Ngeuh', 'Telkomsel', 'like', 'Banhet', 'sucked', 'pulse', 'package', 'run out', 'please', 'confirm', ' his name ',' people ',' sometimes', 'like', 'forget', 'package', 'run out', 'pull', 'pulses',' sucks', 'ethics',' where ',' ']</v>
      </c>
      <c r="D688" s="3">
        <v>1.0</v>
      </c>
    </row>
    <row r="689" ht="15.75" customHeight="1">
      <c r="A689" s="1">
        <v>687.0</v>
      </c>
      <c r="B689" s="3" t="s">
        <v>690</v>
      </c>
      <c r="C689" s="3" t="str">
        <f>IFERROR(__xludf.DUMMYFUNCTION("GOOGLETRANSLATE(B689,""id"",""en"")"),"['update', 'like', 'gini', 'buy', 'Jga', 'strange', 'afraid', 'NGK', 'unlimited', 'pnya', 'friend', 'me' msh ',' apk ',' Telkomsel ',' I ',' open ',' update ',' buy ',' jga ',' ngk ',' writing ',' unlimited ',' me ',' replace ' , 'Card', 'Telkomsel', 'Res"&amp;"tless', 'card', 'strange', 'Telkomsel', 'Rich', 'Buriq']")</f>
        <v>['update', 'like', 'gini', 'buy', 'Jga', 'strange', 'afraid', 'NGK', 'unlimited', 'pnya', 'friend', 'me' msh ',' apk ',' Telkomsel ',' I ',' open ',' update ',' buy ',' jga ',' ngk ',' writing ',' unlimited ',' me ',' replace ' , 'Card', 'Telkomsel', 'Restless', 'card', 'strange', 'Telkomsel', 'Rich', 'Buriq']</v>
      </c>
      <c r="D689" s="3">
        <v>3.0</v>
      </c>
    </row>
    <row r="690" ht="15.75" customHeight="1">
      <c r="A690" s="1">
        <v>688.0</v>
      </c>
      <c r="B690" s="3" t="s">
        <v>691</v>
      </c>
      <c r="C690" s="3" t="str">
        <f>IFERROR(__xludf.DUMMYFUNCTION("GOOGLETRANSLATE(B690,""id"",""en"")"),"['look', 'okay', 'okay', 'expensive', 'expensive', 'price', 'package', 'match', 'number', 'telkomsel', 'make', 'number', ' Backup ',' main ',' ']")</f>
        <v>['look', 'okay', 'okay', 'expensive', 'expensive', 'price', 'package', 'match', 'number', 'telkomsel', 'make', 'number', ' Backup ',' main ',' ']</v>
      </c>
      <c r="D690" s="3">
        <v>1.0</v>
      </c>
    </row>
    <row r="691" ht="15.75" customHeight="1">
      <c r="A691" s="1">
        <v>689.0</v>
      </c>
      <c r="B691" s="3" t="s">
        <v>692</v>
      </c>
      <c r="C691" s="3" t="str">
        <f>IFERROR(__xludf.DUMMYFUNCTION("GOOGLETRANSLATE(B691,""id"",""en"")"),"['Love', 'Review', 'Telkomnyet', 'Ngakak', 'Telkomsel', 'signal', 'area', 'Down', 'Thinking', 'Need', 'Network', 'Gini', ' Mending ',' Choose ',' Axis', 'Telkomsel', 'Telkomsel', 'expensive', 'signal', 'down', 'managing', 'obstacles',' Gara ',' constraint"&amp;"s', 'upgrade' , 'Costumer', 'symptoms',' area ',' mah ',' wind ',' rain ',' missing ',' mulu ',' network ',' down ',' severe ',' play ',' Game ',' ']")</f>
        <v>['Love', 'Review', 'Telkomnyet', 'Ngakak', 'Telkomsel', 'signal', 'area', 'Down', 'Thinking', 'Need', 'Network', 'Gini', ' Mending ',' Choose ',' Axis', 'Telkomsel', 'Telkomsel', 'expensive', 'signal', 'down', 'managing', 'obstacles',' Gara ',' constraints', 'upgrade' , 'Costumer', 'symptoms',' area ',' mah ',' wind ',' rain ',' missing ',' mulu ',' network ',' down ',' severe ',' play ',' Game ',' ']</v>
      </c>
      <c r="D691" s="3">
        <v>1.0</v>
      </c>
    </row>
    <row r="692" ht="15.75" customHeight="1">
      <c r="A692" s="1">
        <v>690.0</v>
      </c>
      <c r="B692" s="3" t="s">
        <v>693</v>
      </c>
      <c r="C692" s="3" t="str">
        <f>IFERROR(__xludf.DUMMYFUNCTION("GOOGLETRANSLATE(B692,""id"",""en"")"),"['Price', 'Kouta', 'Expensive', 'Package', 'Combo', 'Sakti', 'UDH', 'Pny', 'Government', 'Price', 'populat', 'Jan', ' Look, ',' Kek ',' price ',' and above ',' PDHL ',' Make ',' UDH ',' Disappointed ', ""]")</f>
        <v>['Price', 'Kouta', 'Expensive', 'Package', 'Combo', 'Sakti', 'UDH', 'Pny', 'Government', 'Price', 'populat', 'Jan', ' Look, ',' Kek ',' price ',' and above ',' PDHL ',' Make ',' UDH ',' Disappointed ', "]</v>
      </c>
      <c r="D692" s="3">
        <v>1.0</v>
      </c>
    </row>
    <row r="693" ht="15.75" customHeight="1">
      <c r="A693" s="1">
        <v>691.0</v>
      </c>
      <c r="B693" s="3" t="s">
        <v>694</v>
      </c>
      <c r="C693" s="3" t="str">
        <f>IFERROR(__xludf.DUMMYFUNCTION("GOOGLETRANSLATE(B693,""id"",""en"")"),"['Open', 'opportunity', 'MyTelkomsel', 'Display', 'Fresh', 'Color', 'Telkomsel', 'Prepaid', 'Needs',' Digital ',' Easy ',' Set ',' Services', 'postpaid', 'Telkomsel', 'Hello', 'Daily', 'Check', 'Prizes',' GB ',' Current ',' repairs', 'bug', ""]")</f>
        <v>['Open', 'opportunity', 'MyTelkomsel', 'Display', 'Fresh', 'Color', 'Telkomsel', 'Prepaid', 'Needs',' Digital ',' Easy ',' Set ',' Services', 'postpaid', 'Telkomsel', 'Hello', 'Daily', 'Check', 'Prizes',' GB ',' Current ',' repairs', 'bug', "]</v>
      </c>
      <c r="D693" s="3">
        <v>5.0</v>
      </c>
    </row>
    <row r="694" ht="15.75" customHeight="1">
      <c r="A694" s="1">
        <v>692.0</v>
      </c>
      <c r="B694" s="3" t="s">
        <v>695</v>
      </c>
      <c r="C694" s="3" t="str">
        <f>IFERROR(__xludf.DUMMYFUNCTION("GOOGLETRANSLATE(B694,""id"",""en"")"),"['Come', 'bad', 'quality', 'network', 'quota', 'unlimited', 'slow', 'restrictions',' use ',' daily ',' exceed ',' maximum ',' Jakarta ',' quality ',' network ',' village ',' remote ',' bad ',' already ',' mending ',' move ',' operator ',' cheap ',' networ"&amp;"k ',' ugly ' , 'Telkomsel', 'already', 'expensive', 'bad', 'quality', 'network', 'disappointed', '']")</f>
        <v>['Come', 'bad', 'quality', 'network', 'quota', 'unlimited', 'slow', 'restrictions',' use ',' daily ',' exceed ',' maximum ',' Jakarta ',' quality ',' network ',' village ',' remote ',' bad ',' already ',' mending ',' move ',' operator ',' cheap ',' network ',' ugly ' , 'Telkomsel', 'already', 'expensive', 'bad', 'quality', 'network', 'disappointed', '']</v>
      </c>
      <c r="D694" s="3">
        <v>1.0</v>
      </c>
    </row>
    <row r="695" ht="15.75" customHeight="1">
      <c r="A695" s="1">
        <v>693.0</v>
      </c>
      <c r="B695" s="3" t="s">
        <v>696</v>
      </c>
      <c r="C695" s="3" t="str">
        <f>IFERROR(__xludf.DUMMYFUNCTION("GOOGLETRANSLATE(B695,""id"",""en"")"),"['', 'understand', 'unlimitied', 'watch', 'ytb', 'and', 'all', 'social', 'media', 'restricted', 'limit', 'package', 'tsb ',' Abis', 'speed', 'rich', 'network', 'edge', 'me', 'rasq', 'rich', 'edge', 'gprs',' apk ',' sometimes', 'sometimes' 'Like', 'Ngelag'"&amp;", 'Error', 'Dead', 'Open', 'APK', 'Sometimes',' Like ',' Log ',' Out ',' Application ',' Entar ',' pending ',' logic ',' RAM ',' yes', 'slow', 'bye', 'telkom', 'replace']")</f>
        <v>['', 'understand', 'unlimitied', 'watch', 'ytb', 'and', 'all', 'social', 'media', 'restricted', 'limit', 'package', 'tsb ',' Abis', 'speed', 'rich', 'network', 'edge', 'me', 'rasq', 'rich', 'edge', 'gprs',' apk ',' sometimes', 'sometimes' 'Like', 'Ngelag', 'Error', 'Dead', 'Open', 'APK', 'Sometimes',' Like ',' Log ',' Out ',' Application ',' Entar ',' pending ',' logic ',' RAM ',' yes', 'slow', 'bye', 'telkom', 'replace']</v>
      </c>
      <c r="D695" s="3">
        <v>1.0</v>
      </c>
    </row>
    <row r="696" ht="15.75" customHeight="1">
      <c r="A696" s="1">
        <v>694.0</v>
      </c>
      <c r="B696" s="3" t="s">
        <v>697</v>
      </c>
      <c r="C696" s="3" t="str">
        <f>IFERROR(__xludf.DUMMYFUNCTION("GOOGLETRANSLATE(B696,""id"",""en"")"),"['Star', 'card', 'Hallo', 'postpaid', 'fox', 'card', 'prepaid', '']")</f>
        <v>['Star', 'card', 'Hallo', 'postpaid', 'fox', 'card', 'prepaid', '']</v>
      </c>
      <c r="D696" s="3">
        <v>1.0</v>
      </c>
    </row>
    <row r="697" ht="15.75" customHeight="1">
      <c r="A697" s="1">
        <v>695.0</v>
      </c>
      <c r="B697" s="3" t="s">
        <v>698</v>
      </c>
      <c r="C697" s="3" t="str">
        <f>IFERROR(__xludf.DUMMYFUNCTION("GOOGLETRANSLATE(B697,""id"",""en"")"),"['The network', 'chaotic', 'intention', 'take care', 'already', 'continued', 'Kasian', 'disappointed', 'package', 'cheap', 'network', 'kayak', ' snail']")</f>
        <v>['The network', 'chaotic', 'intention', 'take care', 'already', 'continued', 'Kasian', 'disappointed', 'package', 'cheap', 'network', 'kayak', ' snail']</v>
      </c>
      <c r="D697" s="3">
        <v>1.0</v>
      </c>
    </row>
    <row r="698" ht="15.75" customHeight="1">
      <c r="A698" s="1">
        <v>696.0</v>
      </c>
      <c r="B698" s="3" t="s">
        <v>699</v>
      </c>
      <c r="C698" s="3" t="str">
        <f>IFERROR(__xludf.DUMMYFUNCTION("GOOGLETRANSLATE(B698,""id"",""en"")"),"['Reduce', 'price', 'unlimited', 'expensive', 'era', 'cheap', 'era', 'skrg', 'technology', 'communication', 'main', ""]")</f>
        <v>['Reduce', 'price', 'unlimited', 'expensive', 'era', 'cheap', 'era', 'skrg', 'technology', 'communication', 'main', "]</v>
      </c>
      <c r="D698" s="3">
        <v>5.0</v>
      </c>
    </row>
    <row r="699" ht="15.75" customHeight="1">
      <c r="A699" s="1">
        <v>697.0</v>
      </c>
      <c r="B699" s="3" t="s">
        <v>700</v>
      </c>
      <c r="C699" s="3" t="str">
        <f>IFERROR(__xludf.DUMMYFUNCTION("GOOGLETRANSLATE(B699,""id"",""en"")"),"['Please', 'enhanced', 'quality', 'network', 'slow', 'already', 'price', 'expensive', 'disappointed', 'users',' Telkomsel ',' New ',' Please, 'Sis', 'already', 'Try', 'slow', 'at the time', 'Play', 'Game', 'Please', 'Sis', 'Gini', 'Move', 'Operator' , '']")</f>
        <v>['Please', 'enhanced', 'quality', 'network', 'slow', 'already', 'price', 'expensive', 'disappointed', 'users',' Telkomsel ',' New ',' Please, 'Sis', 'already', 'Try', 'slow', 'at the time', 'Play', 'Game', 'Please', 'Sis', 'Gini', 'Move', 'Operator' , '']</v>
      </c>
      <c r="D699" s="3">
        <v>1.0</v>
      </c>
    </row>
    <row r="700" ht="15.75" customHeight="1">
      <c r="A700" s="1">
        <v>698.0</v>
      </c>
      <c r="B700" s="3" t="s">
        <v>701</v>
      </c>
      <c r="C700" s="3" t="str">
        <f>IFERROR(__xludf.DUMMYFUNCTION("GOOGLETRANSLATE(B700,""id"",""en"")"),"['oath', 'understand', 'cave', 'network', 'bad', 'cave', 'comfortable', 'use', 'Telkomsel', 'cave', 'replace', 'card', ' Please, 'pay attention', 'network', 'enhanced', 'yes', 'lose', 'people', 'network', 'bgs', 'Indonesia', 'network', 'decline', ""]")</f>
        <v>['oath', 'understand', 'cave', 'network', 'bad', 'cave', 'comfortable', 'use', 'Telkomsel', 'cave', 'replace', 'card', ' Please, 'pay attention', 'network', 'enhanced', 'yes', 'lose', 'people', 'network', 'bgs', 'Indonesia', 'network', 'decline', "]</v>
      </c>
      <c r="D700" s="3">
        <v>1.0</v>
      </c>
    </row>
    <row r="701" ht="15.75" customHeight="1">
      <c r="A701" s="1">
        <v>699.0</v>
      </c>
      <c r="B701" s="3" t="s">
        <v>702</v>
      </c>
      <c r="C701" s="3" t="str">
        <f>IFERROR(__xludf.DUMMYFUNCTION("GOOGLETRANSLATE(B701,""id"",""en"")"),"['Lemott', 'network', 'family', 'Telkomsel', 'already', 'a week', 'feel', 'network', 'greatlemott', 'Ntuk', 'driver', 'online', ' smakin ',' difficult ',' orders', 'ntuk', 'download', 'application', 'shopping', 'online', 'need', 'clock', '']")</f>
        <v>['Lemott', 'network', 'family', 'Telkomsel', 'already', 'a week', 'feel', 'network', 'greatlemott', 'Ntuk', 'driver', 'online', ' smakin ',' difficult ',' orders', 'ntuk', 'download', 'application', 'shopping', 'online', 'need', 'clock', '']</v>
      </c>
      <c r="D701" s="3">
        <v>1.0</v>
      </c>
    </row>
    <row r="702" ht="15.75" customHeight="1">
      <c r="A702" s="1">
        <v>700.0</v>
      </c>
      <c r="B702" s="3" t="s">
        <v>703</v>
      </c>
      <c r="C702" s="3" t="str">
        <f>IFERROR(__xludf.DUMMYFUNCTION("GOOGLETRANSLATE(B702,""id"",""en"")"),"['The package', 'expensive', 'already', 'bgtu', 'promo', 'right', 'diturunin', 'price', 'package', 'ehhh', 'fold', ' Price ',' Thank "", 'Love',""]")</f>
        <v>['The package', 'expensive', 'already', 'bgtu', 'promo', 'right', 'diturunin', 'price', 'package', 'ehhh', 'fold', ' Price ',' Thank ", 'Love',"]</v>
      </c>
      <c r="D702" s="3">
        <v>1.0</v>
      </c>
    </row>
    <row r="703" ht="15.75" customHeight="1">
      <c r="A703" s="1">
        <v>701.0</v>
      </c>
      <c r="B703" s="3" t="s">
        <v>704</v>
      </c>
      <c r="C703" s="3" t="str">
        <f>IFERROR(__xludf.DUMMYFUNCTION("GOOGLETRANSLATE(B703,""id"",""en"")"),"['symbol', 'logo', 'display', 'cool', 'package', 'cool', 'unlimited', 'youtube', 'troubled', 'watch', 'display', 'upgrade', ' package', '']")</f>
        <v>['symbol', 'logo', 'display', 'cool', 'package', 'cool', 'unlimited', 'youtube', 'troubled', 'watch', 'display', 'upgrade', ' package', '']</v>
      </c>
      <c r="D703" s="3">
        <v>3.0</v>
      </c>
    </row>
    <row r="704" ht="15.75" customHeight="1">
      <c r="A704" s="1">
        <v>702.0</v>
      </c>
      <c r="B704" s="3" t="s">
        <v>705</v>
      </c>
      <c r="C704" s="3" t="str">
        <f>IFERROR(__xludf.DUMMYFUNCTION("GOOGLETRANSLATE(B704,""id"",""en"")"),"['Please', 'Package', 'Unlimited', 'Hold', 'Need', 'Really', 'Student', 'Buy', 'Unlimited', 'Limit', 'Sampe', 'a month', ' Please 'Hook', '']")</f>
        <v>['Please', 'Package', 'Unlimited', 'Hold', 'Need', 'Really', 'Student', 'Buy', 'Unlimited', 'Limit', 'Sampe', 'a month', ' Please 'Hook', '']</v>
      </c>
      <c r="D704" s="3">
        <v>5.0</v>
      </c>
    </row>
    <row r="705" ht="15.75" customHeight="1">
      <c r="A705" s="1">
        <v>703.0</v>
      </c>
      <c r="B705" s="3" t="s">
        <v>706</v>
      </c>
      <c r="C705" s="3" t="str">
        <f>IFERROR(__xludf.DUMMYFUNCTION("GOOGLETRANSLATE(B705,""id"",""en"")"),"['Bad', 'really', 'pulse', 'take', 'rb', 'buy', 'package', 'internet', 'phone', 'medium', 'package', 'internet', ' BYK ',' ']")</f>
        <v>['Bad', 'really', 'pulse', 'take', 'rb', 'buy', 'package', 'internet', 'phone', 'medium', 'package', 'internet', ' BYK ',' ']</v>
      </c>
      <c r="D705" s="3">
        <v>1.0</v>
      </c>
    </row>
    <row r="706" ht="15.75" customHeight="1">
      <c r="A706" s="1">
        <v>704.0</v>
      </c>
      <c r="B706" s="3" t="s">
        <v>707</v>
      </c>
      <c r="C706" s="3" t="str">
        <f>IFERROR(__xludf.DUMMYFUNCTION("GOOGLETRANSLATE(B706,""id"",""en"")"),"['Bagus', 'please', 'please', 'kasi', 'promo', 'cheap', 'kah', 'expensive', 'corona', '']")</f>
        <v>['Bagus', 'please', 'please', 'kasi', 'promo', 'cheap', 'kah', 'expensive', 'corona', '']</v>
      </c>
      <c r="D706" s="3">
        <v>5.0</v>
      </c>
    </row>
    <row r="707" ht="15.75" customHeight="1">
      <c r="A707" s="1">
        <v>705.0</v>
      </c>
      <c r="B707" s="3" t="s">
        <v>708</v>
      </c>
      <c r="C707" s="3" t="str">
        <f>IFERROR(__xludf.DUMMYFUNCTION("GOOGLETRANSLATE(B707,""id"",""en"")"),"['update', 'tmbah', 'bad', 'regret', 'update', 'jdi', 'lost', 'package', 'combo', 'sakti', 'unlimited', 'package', ' Quota ',' expensive ',' network ',' tmbah ',' ugly ',' ']")</f>
        <v>['update', 'tmbah', 'bad', 'regret', 'update', 'jdi', 'lost', 'package', 'combo', 'sakti', 'unlimited', 'package', ' Quota ',' expensive ',' network ',' tmbah ',' ugly ',' ']</v>
      </c>
      <c r="D707" s="3">
        <v>1.0</v>
      </c>
    </row>
    <row r="708" ht="15.75" customHeight="1">
      <c r="A708" s="1">
        <v>706.0</v>
      </c>
      <c r="B708" s="3" t="s">
        <v>709</v>
      </c>
      <c r="C708" s="3" t="str">
        <f>IFERROR(__xludf.DUMMYFUNCTION("GOOGLETRANSLATE(B708,""id"",""en"")"),"['Severe', 'Telkomsel', 'Network', 'good', 'proof', 'update', 'segini', 'udh', 'slow', 'open', 'pisan', 'error', ' Mulu ',' error ',' mulu ',' disappointed ',' rich ',' gini ',' mah ',' good ',' threat ', ""]")</f>
        <v>['Severe', 'Telkomsel', 'Network', 'good', 'proof', 'update', 'segini', 'udh', 'slow', 'open', 'pisan', 'error', ' Mulu ',' error ',' mulu ',' disappointed ',' rich ',' gini ',' mah ',' good ',' threat ', "]</v>
      </c>
      <c r="D708" s="3">
        <v>1.0</v>
      </c>
    </row>
    <row r="709" ht="15.75" customHeight="1">
      <c r="A709" s="1">
        <v>707.0</v>
      </c>
      <c r="B709" s="3" t="s">
        <v>710</v>
      </c>
      <c r="C709" s="3" t="str">
        <f>IFERROR(__xludf.DUMMYFUNCTION("GOOGLETRANSLATE(B709,""id"",""en"")"),"['application', 'good', 'rare', 'nge', 'bug', 'look', 'confused', 'simple', 'little', 'so', 'no', 'user', ' friendly ',' pulse ',' confused ',' look for ',' look for ',' menu ',' where ',' application ',' next door ',' easy ',' that's', 'buy', 'package' ,"&amp;" 'Internet', 'Send', 'pulse', 'quota', 'ladies', 'sya', 'check', 'alternating', 'sorry', 'convoluted', 'turn']")</f>
        <v>['application', 'good', 'rare', 'nge', 'bug', 'look', 'confused', 'simple', 'little', 'so', 'no', 'user', ' friendly ',' pulse ',' confused ',' look for ',' look for ',' menu ',' where ',' application ',' next door ',' easy ',' that's', 'buy', 'package' , 'Internet', 'Send', 'pulse', 'quota', 'ladies', 'sya', 'check', 'alternating', 'sorry', 'convoluted', 'turn']</v>
      </c>
      <c r="D709" s="3">
        <v>2.0</v>
      </c>
    </row>
    <row r="710" ht="15.75" customHeight="1">
      <c r="A710" s="1">
        <v>708.0</v>
      </c>
      <c r="B710" s="3" t="s">
        <v>711</v>
      </c>
      <c r="C710" s="3" t="str">
        <f>IFERROR(__xludf.DUMMYFUNCTION("GOOGLETRANSLATE(B710,""id"",""en"")"),"['price', 'expensive', 'network', 'ugly', 'please', 'min', 'fix', 'cook', 'buy', 'expensive', 'network', 'smooth', ' ',' agree ',' right ',' so ',' thank ',' salary ', ""]")</f>
        <v>['price', 'expensive', 'network', 'ugly', 'please', 'min', 'fix', 'cook', 'buy', 'expensive', 'network', 'smooth', ' ',' agree ',' right ',' so ',' thank ',' salary ', "]</v>
      </c>
      <c r="D710" s="3">
        <v>1.0</v>
      </c>
    </row>
    <row r="711" ht="15.75" customHeight="1">
      <c r="A711" s="1">
        <v>709.0</v>
      </c>
      <c r="B711" s="3" t="s">
        <v>712</v>
      </c>
      <c r="C711" s="3" t="str">
        <f>IFERROR(__xludf.DUMMYFUNCTION("GOOGLETRANSLATE(B711,""id"",""en"")"),"['Sis',' skrng ',' network ',' Telkomsel ',' down ',' sich ',' down ',' rain ',' rain ',' lgsng ',' dech ',' down ',' network ',' please ',' donk ',' kak ',' fix ',' nyman ',' roam ',' world ',' virtual ']")</f>
        <v>['Sis',' skrng ',' network ',' Telkomsel ',' down ',' sich ',' down ',' rain ',' rain ',' lgsng ',' dech ',' down ',' network ',' please ',' donk ',' kak ',' fix ',' nyman ',' roam ',' world ',' virtual ']</v>
      </c>
      <c r="D711" s="3">
        <v>3.0</v>
      </c>
    </row>
    <row r="712" ht="15.75" customHeight="1">
      <c r="A712" s="1">
        <v>710.0</v>
      </c>
      <c r="B712" s="3" t="s">
        <v>713</v>
      </c>
      <c r="C712" s="3" t="str">
        <f>IFERROR(__xludf.DUMMYFUNCTION("GOOGLETRANSLATE(B712,""id"",""en"")"),"['SMS', 'Telkomsel', 'promo', 'combo', 'Sakti', 'quota', 'GB', 'price', 'RB', 'active', 'check', 'Telkomsel', ' Promo ',' Combo ',' Sakti ',' GB ',' RB ',' No ',' Mammy ',' Consumers', 'How', 'Please', 'Clarity', 'Package', 'Combo' , 'Sakti', 'GB', 'RB', "&amp;"'emang', 'no', 'love', 'PHP', 'Consumer', ""]")</f>
        <v>['SMS', 'Telkomsel', 'promo', 'combo', 'Sakti', 'quota', 'GB', 'price', 'RB', 'active', 'check', 'Telkomsel', ' Promo ',' Combo ',' Sakti ',' GB ',' RB ',' No ',' Mammy ',' Consumers', 'How', 'Please', 'Clarity', 'Package', 'Combo' , 'Sakti', 'GB', 'RB', 'emang', 'no', 'love', 'PHP', 'Consumer', "]</v>
      </c>
      <c r="D712" s="3">
        <v>2.0</v>
      </c>
    </row>
    <row r="713" ht="15.75" customHeight="1">
      <c r="A713" s="1">
        <v>711.0</v>
      </c>
      <c r="B713" s="3" t="s">
        <v>714</v>
      </c>
      <c r="C713" s="3" t="str">
        <f>IFERROR(__xludf.DUMMYFUNCTION("GOOGLETRANSLATE(B713,""id"",""en"")"),"['Application', 'Most', 'Online', 'Shop', 'Kayak', 'Focus',' Application ',' Telkomsel ',' Contents', 'reset', 'quota', 'internet', ' Ease ',' promo ',' internet ',' ']")</f>
        <v>['Application', 'Most', 'Online', 'Shop', 'Kayak', 'Focus',' Application ',' Telkomsel ',' Contents', 'reset', 'quota', 'internet', ' Ease ',' promo ',' internet ',' ']</v>
      </c>
      <c r="D713" s="3">
        <v>3.0</v>
      </c>
    </row>
    <row r="714" ht="15.75" customHeight="1">
      <c r="A714" s="1">
        <v>712.0</v>
      </c>
      <c r="B714" s="3" t="s">
        <v>715</v>
      </c>
      <c r="C714" s="3" t="str">
        <f>IFERROR(__xludf.DUMMYFUNCTION("GOOGLETRANSLATE(B714,""id"",""en"")"),"['buy', 'pulse', 'entry', 'according to', 'application', 'buy', 'rb', 'entry', 'wrong', 'how', 'internal', 'package', ' Data ',' dead ',' use ',' wifi ',' reduced ',' pulse ', ""]")</f>
        <v>['buy', 'pulse', 'entry', 'according to', 'application', 'buy', 'rb', 'entry', 'wrong', 'how', 'internal', 'package', ' Data ',' dead ',' use ',' wifi ',' reduced ',' pulse ', "]</v>
      </c>
      <c r="D714" s="3">
        <v>1.0</v>
      </c>
    </row>
    <row r="715" ht="15.75" customHeight="1">
      <c r="A715" s="1">
        <v>713.0</v>
      </c>
      <c r="B715" s="3" t="s">
        <v>716</v>
      </c>
      <c r="C715" s="3" t="str">
        <f>IFERROR(__xludf.DUMMYFUNCTION("GOOGLETRANSLATE(B715,""id"",""en"")"),"['quota', 'price', 'expensive', 'quota', 'love', 'price', 'rb', 'can', 'GB', 'quota', 'UNLIMITED', ' Sosmed ',' etc. ',' price ',' rb ',' ']")</f>
        <v>['quota', 'price', 'expensive', 'quota', 'love', 'price', 'rb', 'can', 'GB', 'quota', 'UNLIMITED', ' Sosmed ',' etc. ',' price ',' rb ',' ']</v>
      </c>
      <c r="D715" s="3">
        <v>1.0</v>
      </c>
    </row>
    <row r="716" ht="15.75" customHeight="1">
      <c r="A716" s="1">
        <v>714.0</v>
      </c>
      <c r="B716" s="3" t="s">
        <v>717</v>
      </c>
      <c r="C716" s="3" t="str">
        <f>IFERROR(__xludf.DUMMYFUNCTION("GOOGLETRANSLATE(B716,""id"",""en"")"),"['Adin', 'Daily', 'Check', 'Turn', 'Claim', 'Get', 'Reply', 'Category', 'Program', 'The Network', 'Reduced', 'Performance', ' already ',' mah ',' price ',' package ',' internet ',' according to ',' speed ',' network ']")</f>
        <v>['Adin', 'Daily', 'Check', 'Turn', 'Claim', 'Get', 'Reply', 'Category', 'Program', 'The Network', 'Reduced', 'Performance', ' already ',' mah ',' price ',' package ',' internet ',' according to ',' speed ',' network ']</v>
      </c>
      <c r="D716" s="3">
        <v>1.0</v>
      </c>
    </row>
    <row r="717" ht="15.75" customHeight="1">
      <c r="A717" s="1">
        <v>715.0</v>
      </c>
      <c r="B717" s="3" t="s">
        <v>718</v>
      </c>
      <c r="C717" s="3" t="str">
        <f>IFERROR(__xludf.DUMMYFUNCTION("GOOGLETRANSLATE(B717,""id"",""en"")"),"['Fiks',' bnyak ',' really ',' criticism ',' person ',' at least ',' bnyak ',' user ',' enhanced ',' network ',' slow ',' application ',' heavy ',' try ',' mnding ',' kyak ',' dlu ',' simple ',' easy ',' buy ',' package ',' skrang ',' already ',' expensiv"&amp;"e ',' heavy ' , 'APK', '']")</f>
        <v>['Fiks',' bnyak ',' really ',' criticism ',' person ',' at least ',' bnyak ',' user ',' enhanced ',' network ',' slow ',' application ',' heavy ',' try ',' mnding ',' kyak ',' dlu ',' simple ',' easy ',' buy ',' package ',' skrang ',' already ',' expensive ',' heavy ' , 'APK', '']</v>
      </c>
      <c r="D717" s="3">
        <v>1.0</v>
      </c>
    </row>
    <row r="718" ht="15.75" customHeight="1">
      <c r="A718" s="1">
        <v>716.0</v>
      </c>
      <c r="B718" s="3" t="s">
        <v>719</v>
      </c>
      <c r="C718" s="3" t="str">
        <f>IFERROR(__xludf.DUMMYFUNCTION("GOOGLETRANSLATE(B718,""id"",""en"")"),"['upgrate', 'ngaco', 'expensive', 'package', 'missing', 'replace', 'rb', 'GB', 'kapok', 'make', 'card', 'Telkomsel', ' Upgrate ',' expensive ',' Mending ',' Change ',' Card ',' Irit ', ""]")</f>
        <v>['upgrate', 'ngaco', 'expensive', 'package', 'missing', 'replace', 'rb', 'GB', 'kapok', 'make', 'card', 'Telkomsel', ' Upgrate ',' expensive ',' Mending ',' Change ',' Card ',' Irit ', "]</v>
      </c>
      <c r="D718" s="3">
        <v>1.0</v>
      </c>
    </row>
    <row r="719" ht="15.75" customHeight="1">
      <c r="A719" s="1">
        <v>717.0</v>
      </c>
      <c r="B719" s="3" t="s">
        <v>720</v>
      </c>
      <c r="C719" s="3" t="str">
        <f>IFERROR(__xludf.DUMMYFUNCTION("GOOGLETRANSLATE(B719,""id"",""en"")"),"['times',' download ',' BNR ',' KNPA ',' Called ',' Open ',' Application ',' Loading ',' Re-Loading ',' Network ',' Good ',' Quota ',' Please, 'Fix', '']")</f>
        <v>['times',' download ',' BNR ',' KNPA ',' Called ',' Open ',' Application ',' Loading ',' Re-Loading ',' Network ',' Good ',' Quota ',' Please, 'Fix', '']</v>
      </c>
      <c r="D719" s="3">
        <v>4.0</v>
      </c>
    </row>
    <row r="720" ht="15.75" customHeight="1">
      <c r="A720" s="1">
        <v>718.0</v>
      </c>
      <c r="B720" s="3" t="s">
        <v>721</v>
      </c>
      <c r="C720" s="3" t="str">
        <f>IFERROR(__xludf.DUMMYFUNCTION("GOOGLETRANSLATE(B720,""id"",""en"")"),"['', 'Telkomsel', 'Exchange', 'Points',' Credit ',' Points', 'Collected', 'Exchange', 'Credit', 'told', 'Buy', 'Package', 'Data ',' Points', 'Pay', 'Credit', 'Consumers',' Enjoy ',' Gift ',' Package ',' Free ',' Exchange ',' Points', 'Developer', 'Develop"&amp;"er', 'Mending', 'Missing', 'Pollin', 'Have', 'Pay', 'Credit', 'Deceiving', 'Consumer', ""]")</f>
        <v>['', 'Telkomsel', 'Exchange', 'Points',' Credit ',' Points', 'Collected', 'Exchange', 'Credit', 'told', 'Buy', 'Package', 'Data ',' Points', 'Pay', 'Credit', 'Consumers',' Enjoy ',' Gift ',' Package ',' Free ',' Exchange ',' Points', 'Developer', 'Developer', 'Mending', 'Missing', 'Pollin', 'Have', 'Pay', 'Credit', 'Deceiving', 'Consumer', "]</v>
      </c>
      <c r="D720" s="3">
        <v>1.0</v>
      </c>
    </row>
    <row r="721" ht="15.75" customHeight="1">
      <c r="A721" s="1">
        <v>719.0</v>
      </c>
      <c r="B721" s="3" t="s">
        <v>722</v>
      </c>
      <c r="C721" s="3" t="str">
        <f>IFERROR(__xludf.DUMMYFUNCTION("GOOGLETRANSLATE(B721,""id"",""en"")"),"['Open', 'Application', 'Leet', 'Updated', 'Repair']")</f>
        <v>['Open', 'Application', 'Leet', 'Updated', 'Repair']</v>
      </c>
      <c r="D721" s="3">
        <v>2.0</v>
      </c>
    </row>
    <row r="722" ht="15.75" customHeight="1">
      <c r="A722" s="1">
        <v>720.0</v>
      </c>
      <c r="B722" s="3" t="s">
        <v>723</v>
      </c>
      <c r="C722" s="3" t="str">
        <f>IFERROR(__xludf.DUMMYFUNCTION("GOOGLETRANSLATE(B722,""id"",""en"")"),"['version', 'buy', 'package', 'complicated', 'credit', 'information', 'credit', 'sufficient', 'fill', 'pulse', 'rb', 'buy', ' package ',' price ',' rb ',' then ',' pulse ',' chick ',' pulse ',' rb ',' disappear ',' quota ',' data ',' GB ',' responsibility"&amp;" ' , 'Telkomsel', 'consumer', 'harmed', '']")</f>
        <v>['version', 'buy', 'package', 'complicated', 'credit', 'information', 'credit', 'sufficient', 'fill', 'pulse', 'rb', 'buy', ' package ',' price ',' rb ',' then ',' pulse ',' chick ',' pulse ',' rb ',' disappear ',' quota ',' data ',' GB ',' responsibility ' , 'Telkomsel', 'consumer', 'harmed', '']</v>
      </c>
      <c r="D722" s="3">
        <v>1.0</v>
      </c>
    </row>
    <row r="723" ht="15.75" customHeight="1">
      <c r="A723" s="1">
        <v>721.0</v>
      </c>
      <c r="B723" s="3" t="s">
        <v>724</v>
      </c>
      <c r="C723" s="3" t="str">
        <f>IFERROR(__xludf.DUMMYFUNCTION("GOOGLETRANSLATE(B723,""id"",""en"")"),"['Telkomsel', 'card', 'expensive', 'network', 'already', 'rich', 'sip', 'sipan', 'week', 'morning', 'until', 'malm', ' signal ',' bad ',' week ',' sunset ',' until ',' morning ',' signal ',' ugly ',' disappointed ']")</f>
        <v>['Telkomsel', 'card', 'expensive', 'network', 'already', 'rich', 'sip', 'sipan', 'week', 'morning', 'until', 'malm', ' signal ',' bad ',' week ',' sunset ',' until ',' morning ',' signal ',' ugly ',' disappointed ']</v>
      </c>
      <c r="D723" s="3">
        <v>1.0</v>
      </c>
    </row>
    <row r="724" ht="15.75" customHeight="1">
      <c r="A724" s="1">
        <v>722.0</v>
      </c>
      <c r="B724" s="3" t="s">
        <v>725</v>
      </c>
      <c r="C724" s="3" t="str">
        <f>IFERROR(__xludf.DUMMYFUNCTION("GOOGLETRANSLATE(B724,""id"",""en"")"),"['Severe', 'getting', 'Corona', 'Times',' Jelyk ',' Error ',' Load ',' Reset ',' Error ',' APK ',' Ruler ',' Signal ',' rich ',' gini ',' log ',' verification ',' take ',' pulse ',' quota ',' slow ',' muter ',' muter ',' continued ',' loading ',' conditio"&amp;"nin ' , 'deh', 'embarrassed', 'shame', 'severe', 'design', 'application', 'weed', 'signal', 'severe']")</f>
        <v>['Severe', 'getting', 'Corona', 'Times',' Jelyk ',' Error ',' Load ',' Reset ',' Error ',' APK ',' Ruler ',' Signal ',' rich ',' gini ',' log ',' verification ',' take ',' pulse ',' quota ',' slow ',' muter ',' muter ',' continued ',' loading ',' conditionin ' , 'deh', 'embarrassed', 'shame', 'severe', 'design', 'application', 'weed', 'signal', 'severe']</v>
      </c>
      <c r="D724" s="3">
        <v>1.0</v>
      </c>
    </row>
    <row r="725" ht="15.75" customHeight="1">
      <c r="A725" s="1">
        <v>723.0</v>
      </c>
      <c r="B725" s="3" t="s">
        <v>726</v>
      </c>
      <c r="C725" s="3" t="str">
        <f>IFERROR(__xludf.DUMMYFUNCTION("GOOGLETRANSLATE(B725,""id"",""en"")"),"['', 'buy', 'Package', 'HRGA', 'RB', 'GB', 'Plus',' quota ',' TLP ',' MNT ',' Week ',' quota ',' Tlp ',' Out ',' Cutting ',' Credit ',' Regular ',' PDHL ',' JRG ',' TLP ',' Use ',' GSM ',' Come ',' expensive ',' service ', 'satisfying', 'pdhl', 'use', 'Te"&amp;"lkomsel']")</f>
        <v>['', 'buy', 'Package', 'HRGA', 'RB', 'GB', 'Plus',' quota ',' TLP ',' MNT ',' Week ',' quota ',' Tlp ',' Out ',' Cutting ',' Credit ',' Regular ',' PDHL ',' JRG ',' TLP ',' Use ',' GSM ',' Come ',' expensive ',' service ', 'satisfying', 'pdhl', 'use', 'Telkomsel']</v>
      </c>
      <c r="D725" s="3">
        <v>2.0</v>
      </c>
    </row>
    <row r="726" ht="15.75" customHeight="1">
      <c r="A726" s="1">
        <v>724.0</v>
      </c>
      <c r="B726" s="3" t="s">
        <v>727</v>
      </c>
      <c r="C726" s="3" t="str">
        <f>IFERROR(__xludf.DUMMYFUNCTION("GOOGLETRANSLATE(B726,""id"",""en"")"),"['Login', 'click', 'link', 'sms',' number ',' use ',' device ',' gps', 'mending', 'change', 'card', 'deh', ' GPS ',' bother ']")</f>
        <v>['Login', 'click', 'link', 'sms',' number ',' use ',' device ',' gps', 'mending', 'change', 'card', 'deh', ' GPS ',' bother ']</v>
      </c>
      <c r="D726" s="3">
        <v>1.0</v>
      </c>
    </row>
    <row r="727" ht="15.75" customHeight="1">
      <c r="A727" s="1">
        <v>725.0</v>
      </c>
      <c r="B727" s="3" t="s">
        <v>728</v>
      </c>
      <c r="C727" s="3" t="str">
        <f>IFERROR(__xludf.DUMMYFUNCTION("GOOGLETRANSLATE(B727,""id"",""en"")"),"['Network', 'Good', 'Reduced', 'Application', 'Lottery', 'Exchange', 'Point', 'Results', 'Exchange', 'Kadar Landa', 'Safe', ""]")</f>
        <v>['Network', 'Good', 'Reduced', 'Application', 'Lottery', 'Exchange', 'Point', 'Results', 'Exchange', 'Kadar Landa', 'Safe', "]</v>
      </c>
      <c r="D727" s="3">
        <v>3.0</v>
      </c>
    </row>
    <row r="728" ht="15.75" customHeight="1">
      <c r="A728" s="1">
        <v>726.0</v>
      </c>
      <c r="B728" s="3" t="s">
        <v>729</v>
      </c>
      <c r="C728" s="3" t="str">
        <f>IFERROR(__xludf.DUMMYFUNCTION("GOOGLETRANSLATE(B728,""id"",""en"")"),"['Update', 'quota', 'combo', 'Sakti', 'missing', 'update', 'package', 'expensive', 'signal', 'sometimes',' bad ',' please ',' Pihat ',' Telkomsel ',' fix ',' complaints', 'Package', 'Combo', 'Sakti', 'Moving', 'Operator', 'Affordable', 'Signal', 'Good', '"&amp;"so' , 'thank you', '']")</f>
        <v>['Update', 'quota', 'combo', 'Sakti', 'missing', 'update', 'package', 'expensive', 'signal', 'sometimes',' bad ',' please ',' Pihat ',' Telkomsel ',' fix ',' complaints', 'Package', 'Combo', 'Sakti', 'Moving', 'Operator', 'Affordable', 'Signal', 'Good', 'so' , 'thank you', '']</v>
      </c>
      <c r="D728" s="3">
        <v>1.0</v>
      </c>
    </row>
    <row r="729" ht="15.75" customHeight="1">
      <c r="A729" s="1">
        <v>727.0</v>
      </c>
      <c r="B729" s="3" t="s">
        <v>730</v>
      </c>
      <c r="C729" s="3" t="str">
        <f>IFERROR(__xludf.DUMMYFUNCTION("GOOGLETRANSLATE(B729,""id"",""en"")"),"['Wear', 'Telkomsel', 'number', 'valuable', 'Rupiah', 'Wear', 'Affairs', 'Telkomsel', 'Reliable', 'Where', 'salute', ""]")</f>
        <v>['Wear', 'Telkomsel', 'number', 'valuable', 'Rupiah', 'Wear', 'Affairs', 'Telkomsel', 'Reliable', 'Where', 'salute', "]</v>
      </c>
      <c r="D729" s="3">
        <v>5.0</v>
      </c>
    </row>
    <row r="730" ht="15.75" customHeight="1">
      <c r="A730" s="1">
        <v>728.0</v>
      </c>
      <c r="B730" s="3" t="s">
        <v>731</v>
      </c>
      <c r="C730" s="3" t="str">
        <f>IFERROR(__xludf.DUMMYFUNCTION("GOOGLETRANSLATE(B730,""id"",""en"")"),"['pulse', 'buy', 'shopee', 'status',' success', 'application', 'package', 'youtube', 'unlimited', 'buy', 'use', 'boundary', ' package', '']")</f>
        <v>['pulse', 'buy', 'shopee', 'status',' success', 'application', 'package', 'youtube', 'unlimited', 'buy', 'use', 'boundary', ' package', '']</v>
      </c>
      <c r="D730" s="3">
        <v>1.0</v>
      </c>
    </row>
    <row r="731" ht="15.75" customHeight="1">
      <c r="A731" s="1">
        <v>729.0</v>
      </c>
      <c r="B731" s="3" t="s">
        <v>732</v>
      </c>
      <c r="C731" s="3" t="str">
        <f>IFERROR(__xludf.DUMMYFUNCTION("GOOGLETRANSLATE(B731,""id"",""en"")"),"['Contents', 'pulse', 'missing', 'run out', 'pulse', 'clock', 'buy', 'pulse', ""]")</f>
        <v>['Contents', 'pulse', 'missing', 'run out', 'pulse', 'clock', 'buy', 'pulse', "]</v>
      </c>
      <c r="D731" s="3">
        <v>1.0</v>
      </c>
    </row>
    <row r="732" ht="15.75" customHeight="1">
      <c r="A732" s="1">
        <v>730.0</v>
      </c>
      <c r="B732" s="3" t="s">
        <v>733</v>
      </c>
      <c r="C732" s="3" t="str">
        <f>IFERROR(__xludf.DUMMYFUNCTION("GOOGLETRANSLATE(B732,""id"",""en"")"),"['Telkomsel', 'error', 'how', 'buy', 'package', 'difficult', 'already', 'that's',' pulses', 'tack', 'package', 'active', ' please ',' fix ',' detrimental ',' customer ']")</f>
        <v>['Telkomsel', 'error', 'how', 'buy', 'package', 'difficult', 'already', 'that's',' pulses', 'tack', 'package', 'active', ' please ',' fix ',' detrimental ',' customer ']</v>
      </c>
      <c r="D732" s="3">
        <v>1.0</v>
      </c>
    </row>
    <row r="733" ht="15.75" customHeight="1">
      <c r="A733" s="1">
        <v>731.0</v>
      </c>
      <c r="B733" s="3" t="s">
        <v>734</v>
      </c>
      <c r="C733" s="3" t="str">
        <f>IFERROR(__xludf.DUMMYFUNCTION("GOOGLETRANSLATE(B733,""id"",""en"")"),"['admit', 'Telkomsel', 'signal', 'champion', 'price', 'internet', 'relative', 'expensive', 'suggestion', 'comment', 'return', 'nomer', ' Use ',' Expired ',' Grapari ',' Processed ',' ']")</f>
        <v>['admit', 'Telkomsel', 'signal', 'champion', 'price', 'internet', 'relative', 'expensive', 'suggestion', 'comment', 'return', 'nomer', ' Use ',' Expired ',' Grapari ',' Processed ',' ']</v>
      </c>
      <c r="D733" s="3">
        <v>3.0</v>
      </c>
    </row>
    <row r="734" ht="15.75" customHeight="1">
      <c r="A734" s="1">
        <v>732.0</v>
      </c>
      <c r="B734" s="3" t="s">
        <v>735</v>
      </c>
      <c r="C734" s="3" t="str">
        <f>IFERROR(__xludf.DUMMYFUNCTION("GOOGLETRANSLATE(B734,""id"",""en"")"),"['Do', 'update', 'latest', 'missing', 'package', 'internet', 'combo', '']")</f>
        <v>['Do', 'update', 'latest', 'missing', 'package', 'internet', 'combo', '']</v>
      </c>
      <c r="D734" s="3">
        <v>1.0</v>
      </c>
    </row>
    <row r="735" ht="15.75" customHeight="1">
      <c r="A735" s="1">
        <v>733.0</v>
      </c>
      <c r="B735" s="3" t="s">
        <v>736</v>
      </c>
      <c r="C735" s="3" t="str">
        <f>IFERROR(__xludf.DUMMYFUNCTION("GOOGLETRANSLATE(B735,""id"",""en"")"),"['', 'Telkomsel', 'cave', 'contents',' credit ',' apply ',' card ',' add ',' deliberate ',' trapping ',' people ',' fill out ',' pulses ', 'like this']")</f>
        <v>['', 'Telkomsel', 'cave', 'contents',' credit ',' apply ',' card ',' add ',' deliberate ',' trapping ',' people ',' fill out ',' pulses ', 'like this']</v>
      </c>
      <c r="D735" s="3">
        <v>1.0</v>
      </c>
    </row>
    <row r="736" ht="15.75" customHeight="1">
      <c r="A736" s="1">
        <v>734.0</v>
      </c>
      <c r="B736" s="3" t="s">
        <v>737</v>
      </c>
      <c r="C736" s="3" t="str">
        <f>IFERROR(__xludf.DUMMYFUNCTION("GOOGLETRANSLATE(B736,""id"",""en"")"),"['Package', 'Combo', 'Sakti', 'Unlimitid', 'Dinaikin', 'Price', 'Changed', 'Fill', 'Paketannya', 'Unlimitid', 'Use', 'Embel', ' Unlimitid ',' Skapan ',' Package ',' Special ',' People ',' Rich ',' Special ',' People ',' Poor ', ""]")</f>
        <v>['Package', 'Combo', 'Sakti', 'Unlimitid', 'Dinaikin', 'Price', 'Changed', 'Fill', 'Paketannya', 'Unlimitid', 'Use', 'Embel', ' Unlimitid ',' Skapan ',' Package ',' Special ',' People ',' Rich ',' Special ',' People ',' Poor ', "]</v>
      </c>
      <c r="D736" s="3">
        <v>3.0</v>
      </c>
    </row>
    <row r="737" ht="15.75" customHeight="1">
      <c r="A737" s="1">
        <v>735.0</v>
      </c>
      <c r="B737" s="3" t="s">
        <v>738</v>
      </c>
      <c r="C737" s="3" t="str">
        <f>IFERROR(__xludf.DUMMYFUNCTION("GOOGLETRANSLATE(B737,""id"",""en"")"),"['Maless',' skrng ',' Telkomsel ',' quota ',' cave ',' msh ',' mb ',' left ',' sleep ',' tbtb ',' finished ',' then ',' pulses', 'cave', 'leftover', 'pousy', 'anjgg', 'think', 'cave', 'collect', 'pulses',' difficult ',' apasih ',' bgtt ',' repeated ' , 't"&amp;"imes',' rich ',' that's', 'tomorrow', 'replace', 'card', 'sorry', 'rough', 'times',' bnr ',' bnr ',' fed up ',' ']")</f>
        <v>['Maless',' skrng ',' Telkomsel ',' quota ',' cave ',' msh ',' mb ',' left ',' sleep ',' tbtb ',' finished ',' then ',' pulses', 'cave', 'leftover', 'pousy', 'anjgg', 'think', 'cave', 'collect', 'pulses',' difficult ',' apasih ',' bgtt ',' repeated ' , 'times',' rich ',' that's', 'tomorrow', 'replace', 'card', 'sorry', 'rough', 'times',' bnr ',' bnr ',' fed up ',' ']</v>
      </c>
      <c r="D737" s="3">
        <v>1.0</v>
      </c>
    </row>
    <row r="738" ht="15.75" customHeight="1">
      <c r="A738" s="1">
        <v>736.0</v>
      </c>
      <c r="B738" s="3" t="s">
        <v>739</v>
      </c>
      <c r="C738" s="3" t="str">
        <f>IFERROR(__xludf.DUMMYFUNCTION("GOOGLETRANSLATE(B738,""id"",""en"")"),"['Upgrade', 'Card', 'CDMA', 'GSM', 'Card', 'Network', 'Feel', 'Optimal', 'Compare', 'Card', 'Sempat', 'Card', ' out ',' prepoder ',' Sempati ',' ']")</f>
        <v>['Upgrade', 'Card', 'CDMA', 'GSM', 'Card', 'Network', 'Feel', 'Optimal', 'Compare', 'Card', 'Sempat', 'Card', ' out ',' prepoder ',' Sempati ',' ']</v>
      </c>
      <c r="D738" s="3">
        <v>2.0</v>
      </c>
    </row>
    <row r="739" ht="15.75" customHeight="1">
      <c r="A739" s="1">
        <v>737.0</v>
      </c>
      <c r="B739" s="3" t="s">
        <v>740</v>
      </c>
      <c r="C739" s="3" t="str">
        <f>IFERROR(__xludf.DUMMYFUNCTION("GOOGLETRANSLATE(B739,""id"",""en"")"),"['Continue', 'expensive', 'suggestion', 'Hold', 'Package', 'Internet', 'Tel', 'SMS', 'MaxStream', 'What's',' Bandung ',' lag ',' Gas', 'Change', 'card', '']")</f>
        <v>['Continue', 'expensive', 'suggestion', 'Hold', 'Package', 'Internet', 'Tel', 'SMS', 'MaxStream', 'What's',' Bandung ',' lag ',' Gas', 'Change', 'card', '']</v>
      </c>
      <c r="D739" s="3">
        <v>1.0</v>
      </c>
    </row>
    <row r="740" ht="15.75" customHeight="1">
      <c r="A740" s="1">
        <v>738.0</v>
      </c>
      <c r="B740" s="3" t="s">
        <v>741</v>
      </c>
      <c r="C740" s="3" t="str">
        <f>IFERROR(__xludf.DUMMYFUNCTION("GOOGLETRANSLATE(B740,""id"",""en"")"),"['Get', 'promo', 'age', 'card', 'fill', 'pulse', 'daper', 'point', 'what', 'claim', 'gift', 'log', ' Points', 'Nambah', 'ISI', 'Credit']")</f>
        <v>['Get', 'promo', 'age', 'card', 'fill', 'pulse', 'daper', 'point', 'what', 'claim', 'gift', 'log', ' Points', 'Nambah', 'ISI', 'Credit']</v>
      </c>
      <c r="D740" s="3">
        <v>1.0</v>
      </c>
    </row>
    <row r="741" ht="15.75" customHeight="1">
      <c r="A741" s="1">
        <v>739.0</v>
      </c>
      <c r="B741" s="3" t="s">
        <v>742</v>
      </c>
      <c r="C741" s="3" t="str">
        <f>IFERROR(__xludf.DUMMYFUNCTION("GOOGLETRANSLATE(B741,""id"",""en"")"),"['Satisfied', 'connection', 'internet', 'Telkomsel', 'signal', 'full', 'internet', 'slow', 'lag', 'game', 'please', 'Telkomsel', ' Repaired ',' connection ',' internet ',' ']")</f>
        <v>['Satisfied', 'connection', 'internet', 'Telkomsel', 'signal', 'full', 'internet', 'slow', 'lag', 'game', 'please', 'Telkomsel', ' Repaired ',' connection ',' internet ',' ']</v>
      </c>
      <c r="D741" s="3">
        <v>1.0</v>
      </c>
    </row>
    <row r="742" ht="15.75" customHeight="1">
      <c r="A742" s="1">
        <v>740.0</v>
      </c>
      <c r="B742" s="3" t="s">
        <v>743</v>
      </c>
      <c r="C742" s="3" t="str">
        <f>IFERROR(__xludf.DUMMYFUNCTION("GOOGLETRANSLATE(B742,""id"",""en"")"),"['Signal', 'difficult', 'many years', 'use', 'Telkomsel', 'signal', 'stable', 'signal', 'missing', 'troublesome', 'work']")</f>
        <v>['Signal', 'difficult', 'many years', 'use', 'Telkomsel', 'signal', 'stable', 'signal', 'missing', 'troublesome', 'work']</v>
      </c>
      <c r="D742" s="3">
        <v>1.0</v>
      </c>
    </row>
    <row r="743" ht="15.75" customHeight="1">
      <c r="A743" s="1">
        <v>741.0</v>
      </c>
      <c r="B743" s="3" t="s">
        <v>744</v>
      </c>
      <c r="C743" s="3" t="str">
        <f>IFERROR(__xludf.DUMMYFUNCTION("GOOGLETRANSLATE(B743,""id"",""en"")"),"['Pay', 'expensive', 'signal', 'bad', 'slow', 'really', 'gmana', 'love', 'star', 'bnr', 'bnr', 'signal', ' Telkomsel ',' Super ',' Super ',' ugly ',' ']")</f>
        <v>['Pay', 'expensive', 'signal', 'bad', 'slow', 'really', 'gmana', 'love', 'star', 'bnr', 'bnr', 'signal', ' Telkomsel ',' Super ',' Super ',' ugly ',' ']</v>
      </c>
      <c r="D743" s="3">
        <v>1.0</v>
      </c>
    </row>
    <row r="744" ht="15.75" customHeight="1">
      <c r="A744" s="1">
        <v>742.0</v>
      </c>
      <c r="B744" s="3" t="s">
        <v>745</v>
      </c>
      <c r="C744" s="3" t="str">
        <f>IFERROR(__xludf.DUMMYFUNCTION("GOOGLETRANSLATE(B744,""id"",""en"")"),"['Credit', 'Cut', 'Check', 'Use', 'Costs',' Internet ',' BLA ',' BLA ',' BLA ',' Package ',' Internet ',' Telkomsel ',' Contact ',' Tsel ',' Via ',' Line ',' Telegram ',' Chat ',' Bot ',' Veronika ',' Kesseeel ', ""]")</f>
        <v>['Credit', 'Cut', 'Check', 'Use', 'Costs',' Internet ',' BLA ',' BLA ',' BLA ',' Package ',' Internet ',' Telkomsel ',' Contact ',' Tsel ',' Via ',' Line ',' Telegram ',' Chat ',' Bot ',' Veronika ',' Kesseeel ', "]</v>
      </c>
      <c r="D744" s="3">
        <v>1.0</v>
      </c>
    </row>
    <row r="745" ht="15.75" customHeight="1">
      <c r="A745" s="1">
        <v>743.0</v>
      </c>
      <c r="B745" s="3" t="s">
        <v>746</v>
      </c>
      <c r="C745" s="3" t="str">
        <f>IFERROR(__xludf.DUMMYFUNCTION("GOOGLETRANSLATE(B745,""id"",""en"")"),"['already', 'good', 'top', 'buy', 'quota', 'tomorrow', 'tomorrow', 'right', 'enter', 'log', 'out', 'right', ' Log ',' money ',' lost ',' Season ',' really ', ""]")</f>
        <v>['already', 'good', 'top', 'buy', 'quota', 'tomorrow', 'tomorrow', 'right', 'enter', 'log', 'out', 'right', ' Log ',' money ',' lost ',' Season ',' really ', "]</v>
      </c>
      <c r="D745" s="3">
        <v>1.0</v>
      </c>
    </row>
    <row r="746" ht="15.75" customHeight="1">
      <c r="A746" s="1">
        <v>744.0</v>
      </c>
      <c r="B746" s="3" t="s">
        <v>747</v>
      </c>
      <c r="C746" s="3" t="str">
        <f>IFERROR(__xludf.DUMMYFUNCTION("GOOGLETRANSLATE(B746,""id"",""en"")"),"['Tacan', 'TELKOM', 'Combo', 'Sakti', 'Combo', 'Sakti', 'Combo', 'Combo', 'Price', 'Expensive', 'Asked', 'Package', ' Naturally ',' Package ',' Price ',' Mourning ',' Combo ',' Price ',' Nominal ',' Package ',' Telkom ', ""]")</f>
        <v>['Tacan', 'TELKOM', 'Combo', 'Sakti', 'Combo', 'Sakti', 'Combo', 'Combo', 'Price', 'Expensive', 'Asked', 'Package', ' Naturally ',' Package ',' Price ',' Mourning ',' Combo ',' Price ',' Nominal ',' Package ',' Telkom ', "]</v>
      </c>
      <c r="D746" s="3">
        <v>1.0</v>
      </c>
    </row>
    <row r="747" ht="15.75" customHeight="1">
      <c r="A747" s="1">
        <v>745.0</v>
      </c>
      <c r="B747" s="3" t="s">
        <v>748</v>
      </c>
      <c r="C747" s="3" t="str">
        <f>IFERROR(__xludf.DUMMYFUNCTION("GOOGLETRANSLATE(B747,""id"",""en"")"),"['Display', 'Home', 'Difficult', 'Read', 'Difficult', 'understood', 'Reverse', 'version', 'Understanding', 'user', 'Experience', 'what' do ',' Replaced ',' Design ',' Difficult ',' Understand ',' Gini ',' Original ',' Child ',' Design ',' Beginner ',' Lik"&amp;"e ',' Ngadi ',' Problems', 'User' , 'Actually', ""]")</f>
        <v>['Display', 'Home', 'Difficult', 'Read', 'Difficult', 'understood', 'Reverse', 'version', 'Understanding', 'user', 'Experience', 'what' do ',' Replaced ',' Design ',' Difficult ',' Understand ',' Gini ',' Original ',' Child ',' Design ',' Beginner ',' Like ',' Ngadi ',' Problems', 'User' , 'Actually', "]</v>
      </c>
      <c r="D747" s="3">
        <v>1.0</v>
      </c>
    </row>
    <row r="748" ht="15.75" customHeight="1">
      <c r="A748" s="1">
        <v>746.0</v>
      </c>
      <c r="B748" s="3" t="s">
        <v>749</v>
      </c>
      <c r="C748" s="3" t="str">
        <f>IFERROR(__xludf.DUMMYFUNCTION("GOOGLETRANSLATE(B748,""id"",""en"")"),"['Credit', 'Cut', 'Subscriptions',' Whatever ',' Parahhh ',' Please ',' Fix ',' Service ',' CMN ',' Cut ',' a little ',' ']")</f>
        <v>['Credit', 'Cut', 'Subscriptions',' Whatever ',' Parahhh ',' Please ',' Fix ',' Service ',' CMN ',' Cut ',' a little ',' ']</v>
      </c>
      <c r="D748" s="3">
        <v>1.0</v>
      </c>
    </row>
    <row r="749" ht="15.75" customHeight="1">
      <c r="A749" s="1">
        <v>747.0</v>
      </c>
      <c r="B749" s="3" t="s">
        <v>750</v>
      </c>
      <c r="C749" s="3" t="str">
        <f>IFERROR(__xludf.DUMMYFUNCTION("GOOGLETRANSLATE(B749,""id"",""en"")"),"['quota', 'lap', 'GB', 'YouTube', 'ugly', 'used', 'YouTube', 'blank', 'white', 'signs',' circle ',' red ',' round and round', '']")</f>
        <v>['quota', 'lap', 'GB', 'YouTube', 'ugly', 'used', 'YouTube', 'blank', 'white', 'signs',' circle ',' red ',' round and round', '']</v>
      </c>
      <c r="D749" s="3">
        <v>1.0</v>
      </c>
    </row>
    <row r="750" ht="15.75" customHeight="1">
      <c r="A750" s="1">
        <v>748.0</v>
      </c>
      <c r="B750" s="3" t="s">
        <v>751</v>
      </c>
      <c r="C750" s="3" t="str">
        <f>IFERROR(__xludf.DUMMYFUNCTION("GOOGLETRANSLATE(B750,""id"",""en"")"),"['happy', 'wear', 'Telkomsel', 'makes it easy', 'purchase', 'pulse', 'lives',' village ',' ATM ',' Conter ',' makes it easier ',' purchase ',' Thank you ',' Telkomsel ',' ']")</f>
        <v>['happy', 'wear', 'Telkomsel', 'makes it easy', 'purchase', 'pulse', 'lives',' village ',' ATM ',' Conter ',' makes it easier ',' purchase ',' Thank you ',' Telkomsel ',' ']</v>
      </c>
      <c r="D750" s="3">
        <v>5.0</v>
      </c>
    </row>
    <row r="751" ht="15.75" customHeight="1">
      <c r="A751" s="1">
        <v>749.0</v>
      </c>
      <c r="B751" s="3" t="s">
        <v>752</v>
      </c>
      <c r="C751" s="3" t="str">
        <f>IFERROR(__xludf.DUMMYFUNCTION("GOOGLETRANSLATE(B751,""id"",""en"")"),"['As appropriate', 'promise', 'promo', 'lie', 'told', 'fill', 'credit', 'get', 'bonus',' he knows', 'lie', 'already', ' expensive ',' active ',' for a while ',' promo ',' php ', ""]")</f>
        <v>['As appropriate', 'promise', 'promo', 'lie', 'told', 'fill', 'credit', 'get', 'bonus',' he knows', 'lie', 'already', ' expensive ',' active ',' for a while ',' promo ',' php ', "]</v>
      </c>
      <c r="D751" s="3">
        <v>2.0</v>
      </c>
    </row>
    <row r="752" ht="15.75" customHeight="1">
      <c r="A752" s="1">
        <v>750.0</v>
      </c>
      <c r="B752" s="3" t="s">
        <v>753</v>
      </c>
      <c r="C752" s="3" t="str">
        <f>IFERROR(__xludf.DUMMYFUNCTION("GOOGLETRANSLATE(B752,""id"",""en"")"),"['Credit', 'a month', 'Gara', 'Gara', 'entry', 'application', 'reduced', 'down', 'get', 'a month', 'a week', ' The network is', 'Severe', 'really', 'Daritadi', 'Malem', 'Gabisa', 'Enter', 'APK', 'Turn', 'Morning', 'Direct', 'Reduced', 'Credit' , '']")</f>
        <v>['Credit', 'a month', 'Gara', 'Gara', 'entry', 'application', 'reduced', 'down', 'get', 'a month', 'a week', ' The network is', 'Severe', 'really', 'Daritadi', 'Malem', 'Gabisa', 'Enter', 'APK', 'Turn', 'Morning', 'Direct', 'Reduced', 'Credit' , '']</v>
      </c>
      <c r="D752" s="3">
        <v>1.0</v>
      </c>
    </row>
    <row r="753" ht="15.75" customHeight="1">
      <c r="A753" s="1">
        <v>751.0</v>
      </c>
      <c r="B753" s="3" t="s">
        <v>754</v>
      </c>
      <c r="C753" s="3" t="str">
        <f>IFERROR(__xludf.DUMMYFUNCTION("GOOGLETRANSLATE(B753,""id"",""en"")"),"['Signal', 'Severe', 'Expand', 'deh', 'village', 'remote', 'ugly', 'severe', 'network', 'trluduas', 'Indonesia', ""]")</f>
        <v>['Signal', 'Severe', 'Expand', 'deh', 'village', 'remote', 'ugly', 'severe', 'network', 'trluduas', 'Indonesia', "]</v>
      </c>
      <c r="D753" s="3">
        <v>1.0</v>
      </c>
    </row>
    <row r="754" ht="15.75" customHeight="1">
      <c r="A754" s="1">
        <v>752.0</v>
      </c>
      <c r="B754" s="3" t="s">
        <v>755</v>
      </c>
      <c r="C754" s="3" t="str">
        <f>IFERROR(__xludf.DUMMYFUNCTION("GOOGLETRANSLATE(B754,""id"",""en"")"),"['Damn', 'provider', 'Telkomsel', 'use', 'number', 'number', 'package', 'GB', 'price', 'rb', 'number', 'package', ' GB ',' Price ',' RB ',' Fufufu ',' ']")</f>
        <v>['Damn', 'provider', 'Telkomsel', 'use', 'number', 'number', 'package', 'GB', 'price', 'rb', 'number', 'package', ' GB ',' Price ',' RB ',' Fufufu ',' ']</v>
      </c>
      <c r="D754" s="3">
        <v>1.0</v>
      </c>
    </row>
    <row r="755" ht="15.75" customHeight="1">
      <c r="A755" s="1">
        <v>753.0</v>
      </c>
      <c r="B755" s="3" t="s">
        <v>756</v>
      </c>
      <c r="C755" s="3" t="str">
        <f>IFERROR(__xludf.DUMMYFUNCTION("GOOGLETRANSLATE(B755,""id"",""en"")"),"['APK', 'Morotin', 'balance', 'buy', 'package', 'lap', 'enter', 'quota', 'writing', 'package', 'failed', 'activated', ' balance ',' Gopay ',' Tetep ',' Cut ',' Yesterday ',' Buy ',' Package ',' Stay ',' Credit ',' Price ',' Package ',' Pulse ',' Credit ' "&amp;", 'Out', 'buy', 'package', 'pulse', 'empty', 'missing', 'where', 'pulse', 'disappointing', 'apk', 'Telkomsel']")</f>
        <v>['APK', 'Morotin', 'balance', 'buy', 'package', 'lap', 'enter', 'quota', 'writing', 'package', 'failed', 'activated', ' balance ',' Gopay ',' Tetep ',' Cut ',' Yesterday ',' Buy ',' Package ',' Stay ',' Credit ',' Price ',' Package ',' Pulse ',' Credit ' , 'Out', 'buy', 'package', 'pulse', 'empty', 'missing', 'where', 'pulse', 'disappointing', 'apk', 'Telkomsel']</v>
      </c>
      <c r="D755" s="3">
        <v>1.0</v>
      </c>
    </row>
    <row r="756" ht="15.75" customHeight="1">
      <c r="A756" s="1">
        <v>754.0</v>
      </c>
      <c r="B756" s="3" t="s">
        <v>757</v>
      </c>
      <c r="C756" s="3" t="str">
        <f>IFERROR(__xludf.DUMMYFUNCTION("GOOGLETRANSLATE(B756,""id"",""en"")"),"['not', 'good', 'difficult', 'access',' confirm ',' magiclink ',' difficult ',' forgiveness', 'my apk', 'ugly', 'please', 'repay', ' The bug ',' yeah ',' me ',' card ',' already ',' expensive ',' my APK ',' complaint ',' poor ']")</f>
        <v>['not', 'good', 'difficult', 'access',' confirm ',' magiclink ',' difficult ',' forgiveness', 'my apk', 'ugly', 'please', 'repay', ' The bug ',' yeah ',' me ',' card ',' already ',' expensive ',' my APK ',' complaint ',' poor ']</v>
      </c>
      <c r="D756" s="3">
        <v>1.0</v>
      </c>
    </row>
    <row r="757" ht="15.75" customHeight="1">
      <c r="A757" s="1">
        <v>755.0</v>
      </c>
      <c r="B757" s="3" t="s">
        <v>758</v>
      </c>
      <c r="C757" s="3" t="str">
        <f>IFERROR(__xludf.DUMMYFUNCTION("GOOGLETRANSLATE(B757,""id"",""en"")"),"['Heats',' unlimited ',' max ',' already ',' buy ',' expensive ',' unlimited ',' application ',' that's', 'limit', 'normal', 'open', ' YouTube ',' Lite ',' slow ',' kayak ',' regret ',' buy ',' quata ',' expensive ',' pulp ',' gini ',' mending ',' boundar"&amp;"y ',' daily ' , 'Ajah', 'Zonk', 'Current', 'Kuata', 'Doang', '']")</f>
        <v>['Heats',' unlimited ',' max ',' already ',' buy ',' expensive ',' unlimited ',' application ',' that's', 'limit', 'normal', 'open', ' YouTube ',' Lite ',' slow ',' kayak ',' regret ',' buy ',' quata ',' expensive ',' pulp ',' gini ',' mending ',' boundary ',' daily ' , 'Ajah', 'Zonk', 'Current', 'Kuata', 'Doang', '']</v>
      </c>
      <c r="D757" s="3">
        <v>1.0</v>
      </c>
    </row>
    <row r="758" ht="15.75" customHeight="1">
      <c r="A758" s="1">
        <v>756.0</v>
      </c>
      <c r="B758" s="3" t="s">
        <v>759</v>
      </c>
      <c r="C758" s="3" t="str">
        <f>IFERROR(__xludf.DUMMYFUNCTION("GOOGLETRANSLATE(B758,""id"",""en"")"),"['Application', 'BURIK', 'Loading', 'told', 'Update', 'Writing', 'Rating', 'Sorry', 'blah', 'blah', 'blah', 'blah', ' Please ',' blah ',' blah ',' blah ',' change ',' ']")</f>
        <v>['Application', 'BURIK', 'Loading', 'told', 'Update', 'Writing', 'Rating', 'Sorry', 'blah', 'blah', 'blah', 'blah', ' Please ',' blah ',' blah ',' blah ',' change ',' ']</v>
      </c>
      <c r="D758" s="3">
        <v>1.0</v>
      </c>
    </row>
    <row r="759" ht="15.75" customHeight="1">
      <c r="A759" s="1">
        <v>757.0</v>
      </c>
      <c r="B759" s="3" t="s">
        <v>760</v>
      </c>
      <c r="C759" s="3" t="str">
        <f>IFERROR(__xludf.DUMMYFUNCTION("GOOGLETRANSLATE(B759,""id"",""en"")"),"['Network', 'Changed', 'Credit', 'Direct', 'Cut', 'Package', 'Data', 'Operator', 'Maling', 'Swear', 'Ngk', 'blessing', ' Advantages', 'salary', '']")</f>
        <v>['Network', 'Changed', 'Credit', 'Direct', 'Cut', 'Package', 'Data', 'Operator', 'Maling', 'Swear', 'Ngk', 'blessing', ' Advantages', 'salary', '']</v>
      </c>
      <c r="D759" s="3">
        <v>1.0</v>
      </c>
    </row>
    <row r="760" ht="15.75" customHeight="1">
      <c r="A760" s="1">
        <v>758.0</v>
      </c>
      <c r="B760" s="3" t="s">
        <v>761</v>
      </c>
      <c r="C760" s="3" t="str">
        <f>IFERROR(__xludf.DUMMYFUNCTION("GOOGLETRANSLATE(B760,""id"",""en"")"),"['hi', 'admin', 'application', 'since', 'update', 'newest', 'knp', 'slow', 'yak', 'then', 'see', 'position', ' quota ',' package ',' abis', 'prepare', 'date', 'please', 'optimal', 'donk', 'the application']")</f>
        <v>['hi', 'admin', 'application', 'since', 'update', 'newest', 'knp', 'slow', 'yak', 'then', 'see', 'position', ' quota ',' package ',' abis', 'prepare', 'date', 'please', 'optimal', 'donk', 'the application']</v>
      </c>
      <c r="D760" s="3">
        <v>1.0</v>
      </c>
    </row>
    <row r="761" ht="15.75" customHeight="1">
      <c r="A761" s="1">
        <v>759.0</v>
      </c>
      <c r="B761" s="3" t="s">
        <v>762</v>
      </c>
      <c r="C761" s="3" t="str">
        <f>IFERROR(__xludf.DUMMYFUNCTION("GOOGLETRANSLATE(B761,""id"",""en"")"),"['The application', 'log', 'out', 'service', 'ugly', 'internet', 'slow', 'disappointed', 'expensive', 'doang', 'price', 'quota', ' bad', '']")</f>
        <v>['The application', 'log', 'out', 'service', 'ugly', 'internet', 'slow', 'disappointed', 'expensive', 'doang', 'price', 'quota', ' bad', '']</v>
      </c>
      <c r="D761" s="3">
        <v>1.0</v>
      </c>
    </row>
    <row r="762" ht="15.75" customHeight="1">
      <c r="A762" s="1">
        <v>760.0</v>
      </c>
      <c r="B762" s="3" t="s">
        <v>763</v>
      </c>
      <c r="C762" s="3" t="str">
        <f>IFERROR(__xludf.DUMMYFUNCTION("GOOGLETRANSLATE(B762,""id"",""en"")"),"['', 'Strengthen', 'Network', 'City', 'Call', 'Disconnect', 'Call', 'Operator', 'Gosha', 'Bad', '']")</f>
        <v>['', 'Strengthen', 'Network', 'City', 'Call', 'Disconnect', 'Call', 'Operator', 'Gosha', 'Bad', '']</v>
      </c>
      <c r="D762" s="3">
        <v>1.0</v>
      </c>
    </row>
    <row r="763" ht="15.75" customHeight="1">
      <c r="A763" s="1">
        <v>761.0</v>
      </c>
      <c r="B763" s="3" t="s">
        <v>764</v>
      </c>
      <c r="C763" s="3" t="str">
        <f>IFERROR(__xludf.DUMMYFUNCTION("GOOGLETRANSLATE(B763,""id"",""en"")"),"['Please', 'buy', 'quota', 'play', 'game', 'newest', 'right', 'buy', 'login', 'buy', 'quota', 'axistod', ' Please ',' Quota ',' Game ',' Fix ',' Login ',' Game ']")</f>
        <v>['Please', 'buy', 'quota', 'play', 'game', 'newest', 'right', 'buy', 'login', 'buy', 'quota', 'axistod', ' Please ',' Quota ',' Game ',' Fix ',' Login ',' Game ']</v>
      </c>
      <c r="D763" s="3">
        <v>1.0</v>
      </c>
    </row>
    <row r="764" ht="15.75" customHeight="1">
      <c r="A764" s="1">
        <v>762.0</v>
      </c>
      <c r="B764" s="3" t="s">
        <v>765</v>
      </c>
      <c r="C764" s="3" t="str">
        <f>IFERROR(__xludf.DUMMYFUNCTION("GOOGLETRANSLATE(B764,""id"",""en"")"),"['here', 'signal', 'severe', 'ugly', 'bngt', 'streaming', 'signal', 'lost', 'bngt', 'severe', 'ad', 'bnyk', ' bad signal', '']")</f>
        <v>['here', 'signal', 'severe', 'ugly', 'bngt', 'streaming', 'signal', 'lost', 'bngt', 'severe', 'ad', 'bnyk', ' bad signal', '']</v>
      </c>
      <c r="D764" s="3">
        <v>3.0</v>
      </c>
    </row>
    <row r="765" ht="15.75" customHeight="1">
      <c r="A765" s="1">
        <v>763.0</v>
      </c>
      <c r="B765" s="3" t="s">
        <v>766</v>
      </c>
      <c r="C765" s="3" t="str">
        <f>IFERROR(__xludf.DUMMYFUNCTION("GOOGLETRANSLATE(B765,""id"",""en"")"),"['package', 'data', 'changed', 'filled', 'quota', 'buy', 'package', 'unlimited', 'quota', 'smooth', 'used', 'chat', ' The game ',' loading ',' Severe ',' Awaited ',' An hour ',' Gabisa ',' Udh ',' Tetep ',' Kt ',' Limit ',' Use ',' Naturally ',' Udh ' , '"&amp;"unlimited', 'quota', 'main', 'abis', 'quota', 'unlimited', 'GB', 'contents', 'description', 'package', 'loss']")</f>
        <v>['package', 'data', 'changed', 'filled', 'quota', 'buy', 'package', 'unlimited', 'quota', 'smooth', 'used', 'chat', ' The game ',' loading ',' Severe ',' Awaited ',' An hour ',' Gabisa ',' Udh ',' Tetep ',' Kt ',' Limit ',' Use ',' Naturally ',' Udh ' , 'unlimited', 'quota', 'main', 'abis', 'quota', 'unlimited', 'GB', 'contents', 'description', 'package', 'loss']</v>
      </c>
      <c r="D765" s="3">
        <v>2.0</v>
      </c>
    </row>
    <row r="766" ht="15.75" customHeight="1">
      <c r="A766" s="1">
        <v>764.0</v>
      </c>
      <c r="B766" s="3" t="s">
        <v>767</v>
      </c>
      <c r="C766" s="3" t="str">
        <f>IFERROR(__xludf.DUMMYFUNCTION("GOOGLETRANSLATE(B766,""id"",""en"")"),"['', 'Telkomsel', 'pertima', 'good', 'card', 'missing', 'replace', 'card', 'data', 'suck', 'sekahrus',' package ',' coakes ',' Sunday ',' severe ',' package ',' price ',' a month ',' severe ',' Telkomsel ', ""]")</f>
        <v>['', 'Telkomsel', 'pertima', 'good', 'card', 'missing', 'replace', 'card', 'data', 'suck', 'sekahrus',' package ',' coakes ',' Sunday ',' severe ',' package ',' price ',' a month ',' severe ',' Telkomsel ', "]</v>
      </c>
      <c r="D766" s="3">
        <v>3.0</v>
      </c>
    </row>
    <row r="767" ht="15.75" customHeight="1">
      <c r="A767" s="1">
        <v>765.0</v>
      </c>
      <c r="B767" s="3" t="s">
        <v>768</v>
      </c>
      <c r="C767" s="3" t="str">
        <f>IFERROR(__xludf.DUMMYFUNCTION("GOOGLETRANSLATE(B767,""id"",""en"")"),"['many years',' use ',' Application ',' Telkomsel ',' Features', 'application', 'menu', 'Points',' exchanged ',' Reward ',' chance ',' win ',' gifts', 'car', 'motorbike', 'millions',' pulse ',' forget ',' buy ',' package ',' quota ',' internet ',' applica"&amp;"tion ',' Telkomsel ',' cheap ' , 'Come on', 'Join', 'Telkomsel', '']")</f>
        <v>['many years',' use ',' Application ',' Telkomsel ',' Features', 'application', 'menu', 'Points',' exchanged ',' Reward ',' chance ',' win ',' gifts', 'car', 'motorbike', 'millions',' pulse ',' forget ',' buy ',' package ',' quota ',' internet ',' application ',' Telkomsel ',' cheap ' , 'Come on', 'Join', 'Telkomsel', '']</v>
      </c>
      <c r="D767" s="3">
        <v>5.0</v>
      </c>
    </row>
    <row r="768" ht="15.75" customHeight="1">
      <c r="A768" s="1">
        <v>766.0</v>
      </c>
      <c r="B768" s="3" t="s">
        <v>769</v>
      </c>
      <c r="C768" s="3" t="str">
        <f>IFERROR(__xludf.DUMMYFUNCTION("GOOGLETRANSLATE(B768,""id"",""en"")"),"['happy', 'application', 'latest', 'MyTelkomsel', 'buy', 'package', 'night', 'dawn', 'hot', 'sun', 'rain', 'hours',' buy ',' wherever ',' location ',' friend ',' friend ',' support ',' network ',' Telkomsel ',' promotion ',' newest ',' buddy ',' friend ',"&amp;"' chance ' , 'Switch', 'Points',' The opportunity ',' Win ',' Lottery ',' MyTelkomsel ',' Come ',' Friend ',' Friend ',' Download ',' The application ',' Play ',' Store ',' ']")</f>
        <v>['happy', 'application', 'latest', 'MyTelkomsel', 'buy', 'package', 'night', 'dawn', 'hot', 'sun', 'rain', 'hours',' buy ',' wherever ',' location ',' friend ',' friend ',' support ',' network ',' Telkomsel ',' promotion ',' newest ',' buddy ',' friend ',' chance ' , 'Switch', 'Points',' The opportunity ',' Win ',' Lottery ',' MyTelkomsel ',' Come ',' Friend ',' Friend ',' Download ',' The application ',' Play ',' Store ',' ']</v>
      </c>
      <c r="D768" s="3">
        <v>5.0</v>
      </c>
    </row>
    <row r="769" ht="15.75" customHeight="1">
      <c r="A769" s="1">
        <v>767.0</v>
      </c>
      <c r="B769" s="3" t="s">
        <v>770</v>
      </c>
      <c r="C769" s="3" t="str">
        <f>IFERROR(__xludf.DUMMYFUNCTION("GOOGLETRANSLATE(B769,""id"",""en"")"),"['card', 'damaged', 'Dara', 'Jga', 'buy', 'cheap', 'expensive', 'signal', 'rich', 'feel', 'make', 'old' disappointed ',' Gyss', 'game', 'Aduhh', 'please', 'fix', 'signal', 'ngak', 'replace', 'card', 'next door', 'bgs',' mon ' , 'MAF', 'Wrong', 'Please', '"&amp;"Sorry', 'Okee', 'Dreach', 'Maen', 'Game', 'TRS', 'Signal', 'JLK']")</f>
        <v>['card', 'damaged', 'Dara', 'Jga', 'buy', 'cheap', 'expensive', 'signal', 'rich', 'feel', 'make', 'old' disappointed ',' Gyss', 'game', 'Aduhh', 'please', 'fix', 'signal', 'ngak', 'replace', 'card', 'next door', 'bgs',' mon ' , 'MAF', 'Wrong', 'Please', 'Sorry', 'Okee', 'Dreach', 'Maen', 'Game', 'TRS', 'Signal', 'JLK']</v>
      </c>
      <c r="D769" s="3">
        <v>1.0</v>
      </c>
    </row>
    <row r="770" ht="15.75" customHeight="1">
      <c r="A770" s="1">
        <v>768.0</v>
      </c>
      <c r="B770" s="3" t="s">
        <v>771</v>
      </c>
      <c r="C770" s="3" t="str">
        <f>IFERROR(__xludf.DUMMYFUNCTION("GOOGLETRANSLATE(B770,""id"",""en"")"),"['EGK', 'Bener', 'Application', 'Cook', 'Ego', 'Pay', 'PKK', 'Fund', 'Loss',' Fill ',' Fund ',' Buy ',' package ',' then ',' egg ',' choice ',' funds', 'ugly', 'ugly', 'ugly', 'cook', 'pkk', 'funds',' egg ',' udh ' , 'wipe']")</f>
        <v>['EGK', 'Bener', 'Application', 'Cook', 'Ego', 'Pay', 'PKK', 'Fund', 'Loss',' Fill ',' Fund ',' Buy ',' package ',' then ',' egg ',' choice ',' funds', 'ugly', 'ugly', 'ugly', 'cook', 'pkk', 'funds',' egg ',' udh ' , 'wipe']</v>
      </c>
      <c r="D770" s="3">
        <v>1.0</v>
      </c>
    </row>
    <row r="771" ht="15.75" customHeight="1">
      <c r="A771" s="1">
        <v>769.0</v>
      </c>
      <c r="B771" s="3" t="s">
        <v>772</v>
      </c>
      <c r="C771" s="3" t="str">
        <f>IFERROR(__xludf.DUMMYFUNCTION("GOOGLETRANSLATE(B771,""id"",""en"")"),"['apk', 'already', 'good', 'just', 'daily', 'chek', 'please', 'limit', 'a week', 'eman', 'quota', 'the enactment', ' for a moment ',' sometimes', 'not', 'claimed', 'gift', 'daily', 'check', 'already', 'full', 'stamp', 'web', 'world', 'games' , 'Not bad', "&amp;"'good', 'exciting', 'Rada', 'slow', 'Thanks', ""]")</f>
        <v>['apk', 'already', 'good', 'just', 'daily', 'chek', 'please', 'limit', 'a week', 'eman', 'quota', 'the enactment', ' for a moment ',' sometimes', 'not', 'claimed', 'gift', 'daily', 'check', 'already', 'full', 'stamp', 'web', 'world', 'games' , 'Not bad', 'good', 'exciting', 'Rada', 'slow', 'Thanks', "]</v>
      </c>
      <c r="D771" s="3">
        <v>4.0</v>
      </c>
    </row>
    <row r="772" ht="15.75" customHeight="1">
      <c r="A772" s="1">
        <v>770.0</v>
      </c>
      <c r="B772" s="3" t="s">
        <v>773</v>
      </c>
      <c r="C772" s="3" t="str">
        <f>IFERROR(__xludf.DUMMYFUNCTION("GOOGLETRANSLATE(B772,""id"",""en"")"),"['NMR', 'Telkomsel', 'tdinya', 'cost', 'pulse', 'tricks',' Telkomsel ',' NMR ',' problematic ',' complain ',' Telkomsel ',' care ',' KNPA ',' Costs', 'Credit', 'Card', 'Only', 'TTP', 'weird']")</f>
        <v>['NMR', 'Telkomsel', 'tdinya', 'cost', 'pulse', 'tricks',' Telkomsel ',' NMR ',' problematic ',' complain ',' Telkomsel ',' care ',' KNPA ',' Costs', 'Credit', 'Card', 'Only', 'TTP', 'weird']</v>
      </c>
      <c r="D772" s="3">
        <v>2.0</v>
      </c>
    </row>
    <row r="773" ht="15.75" customHeight="1">
      <c r="A773" s="1">
        <v>771.0</v>
      </c>
      <c r="B773" s="3" t="s">
        <v>774</v>
      </c>
      <c r="C773" s="3" t="str">
        <f>IFERROR(__xludf.DUMMYFUNCTION("GOOGLETRANSLATE(B773,""id"",""en"")"),"['Disappointed', 'Update', 'Display', 'Nda', 'Try', 'Uninstall', 'Download', 'Display', '']")</f>
        <v>['Disappointed', 'Update', 'Display', 'Nda', 'Try', 'Uninstall', 'Download', 'Display', '']</v>
      </c>
      <c r="D773" s="3">
        <v>3.0</v>
      </c>
    </row>
    <row r="774" ht="15.75" customHeight="1">
      <c r="A774" s="1">
        <v>772.0</v>
      </c>
      <c r="B774" s="3" t="s">
        <v>775</v>
      </c>
      <c r="C774" s="3" t="str">
        <f>IFERROR(__xludf.DUMMYFUNCTION("GOOGLETRANSLATE(B774,""id"",""en"")"),"['Moon', 'lost', 'network', 'compensation', 'customer', 'update', 'application', 'feature', 'purchase', 'disappear', 'loss',' donk ',' Buy ',' Package ',' Cheap ',' Appealed ']")</f>
        <v>['Moon', 'lost', 'network', 'compensation', 'customer', 'update', 'application', 'feature', 'purchase', 'disappear', 'loss',' donk ',' Buy ',' Package ',' Cheap ',' Appealed ']</v>
      </c>
      <c r="D774" s="3">
        <v>5.0</v>
      </c>
    </row>
    <row r="775" ht="15.75" customHeight="1">
      <c r="A775" s="1">
        <v>773.0</v>
      </c>
      <c r="B775" s="3" t="s">
        <v>776</v>
      </c>
      <c r="C775" s="3" t="str">
        <f>IFERROR(__xludf.DUMMYFUNCTION("GOOGLETRANSLATE(B775,""id"",""en"")"),"['Telkomsel', 'Severe', 'Cape', 'Cape', 'Chek', 'Turn', 'Claim', 'Gift', 'MB', 'Dimadin', 'People', 'Claims',' Rich ',' already ',' yesterday ',' Chekin ',' got ',' Data ',' Hah ',' Telkomsel ',' Ngasi ',' gift ',' person ',' fair ',' stingy ' , 'Rich', '"&amp;"disappointed', 'heavy']")</f>
        <v>['Telkomsel', 'Severe', 'Cape', 'Cape', 'Chek', 'Turn', 'Claim', 'Gift', 'MB', 'Dimadin', 'People', 'Claims',' Rich ',' already ',' yesterday ',' Chekin ',' got ',' Data ',' Hah ',' Telkomsel ',' Ngasi ',' gift ',' person ',' fair ',' stingy ' , 'Rich', 'disappointed', 'heavy']</v>
      </c>
      <c r="D775" s="3">
        <v>1.0</v>
      </c>
    </row>
    <row r="776" ht="15.75" customHeight="1">
      <c r="A776" s="1">
        <v>774.0</v>
      </c>
      <c r="B776" s="3" t="s">
        <v>777</v>
      </c>
      <c r="C776" s="3" t="str">
        <f>IFERROR(__xludf.DUMMYFUNCTION("GOOGLETRANSLATE(B776,""id"",""en"")"),"['Signal', 'Slow', 'Severe', 'Buru', 'Buru', 'Urgent', 'Enter', 'Site', 'Internet', 'Very', 'Disruption', 'Please', ' Fix ',' donk ',' class', 'Telkom', 'signal', 'slow', 'disorder']")</f>
        <v>['Signal', 'Slow', 'Severe', 'Buru', 'Buru', 'Urgent', 'Enter', 'Site', 'Internet', 'Very', 'Disruption', 'Please', ' Fix ',' donk ',' class', 'Telkom', 'signal', 'slow', 'disorder']</v>
      </c>
      <c r="D776" s="3">
        <v>1.0</v>
      </c>
    </row>
    <row r="777" ht="15.75" customHeight="1">
      <c r="A777" s="1">
        <v>775.0</v>
      </c>
      <c r="B777" s="3" t="s">
        <v>778</v>
      </c>
      <c r="C777" s="3" t="str">
        <f>IFERROR(__xludf.DUMMYFUNCTION("GOOGLETRANSLATE(B777,""id"",""en"")"),"['steady', 'min', 'signal', 'already', 'stabilized', 'stabilized', 'signal', 'learn', 'play', 'game', 'stream', 'ngelag']")</f>
        <v>['steady', 'min', 'signal', 'already', 'stabilized', 'stabilized', 'signal', 'learn', 'play', 'game', 'stream', 'ngelag']</v>
      </c>
      <c r="D777" s="3">
        <v>4.0</v>
      </c>
    </row>
    <row r="778" ht="15.75" customHeight="1">
      <c r="A778" s="1">
        <v>776.0</v>
      </c>
      <c r="B778" s="3" t="s">
        <v>779</v>
      </c>
      <c r="C778" s="3" t="str">
        <f>IFERROR(__xludf.DUMMYFUNCTION("GOOGLETRANSLATE(B778,""id"",""en"")"),"['Sorry', 'YouTube', 'unlimited', 'knp', 'gag', 'used', 'signal', 'network', 'slow', 'consumer', 'disappointed', 'price', ' quota ',' down ',' price ',' expensive ',' ']")</f>
        <v>['Sorry', 'YouTube', 'unlimited', 'knp', 'gag', 'used', 'signal', 'network', 'slow', 'consumer', 'disappointed', 'price', ' quota ',' down ',' price ',' expensive ',' ']</v>
      </c>
      <c r="D778" s="3">
        <v>1.0</v>
      </c>
    </row>
    <row r="779" ht="15.75" customHeight="1">
      <c r="A779" s="1">
        <v>777.0</v>
      </c>
      <c r="B779" s="3" t="s">
        <v>780</v>
      </c>
      <c r="C779" s="3" t="str">
        <f>IFERROR(__xludf.DUMMYFUNCTION("GOOGLETRANSLATE(B779,""id"",""en"")"),"['buy', 'voucher', 'quota', 'error', 'network', 'try', 'right', 'neaf', 'suru', 'wait', 'clock', 'active', ' Vouchers', 'active', 'card', 'please', 'fix', '']")</f>
        <v>['buy', 'voucher', 'quota', 'error', 'network', 'try', 'right', 'neaf', 'suru', 'wait', 'clock', 'active', ' Vouchers', 'active', 'card', 'please', 'fix', '']</v>
      </c>
      <c r="D779" s="3">
        <v>1.0</v>
      </c>
    </row>
    <row r="780" ht="15.75" customHeight="1">
      <c r="A780" s="1">
        <v>778.0</v>
      </c>
      <c r="B780" s="3" t="s">
        <v>781</v>
      </c>
      <c r="C780" s="3" t="str">
        <f>IFERROR(__xludf.DUMMYFUNCTION("GOOGLETRANSLATE(B780,""id"",""en"")"),"['Ryesel', 'buy', 'card', 'sympathy', 'writing', 'free', 'games',' youtube ',' real ',' open ',' youtube ',' open ',' Mode ',' Grtis', 'USA', 'buy', 'card', 'sympathy']")</f>
        <v>['Ryesel', 'buy', 'card', 'sympathy', 'writing', 'free', 'games',' youtube ',' real ',' open ',' youtube ',' open ',' Mode ',' Grtis', 'USA', 'buy', 'card', 'sympathy']</v>
      </c>
      <c r="D780" s="3">
        <v>1.0</v>
      </c>
    </row>
    <row r="781" ht="15.75" customHeight="1">
      <c r="A781" s="1">
        <v>779.0</v>
      </c>
      <c r="B781" s="3" t="s">
        <v>782</v>
      </c>
      <c r="C781" s="3" t="str">
        <f>IFERROR(__xludf.DUMMYFUNCTION("GOOGLETRANSLATE(B781,""id"",""en"")"),"['Disappointed', 'Telkomsel', 'Makai', 'Card', 'Masi', 'Promo', 'Kouta', 'Price', 'Quota', 'Over', 'Use', 'Telkomsel']")</f>
        <v>['Disappointed', 'Telkomsel', 'Makai', 'Card', 'Masi', 'Promo', 'Kouta', 'Price', 'Quota', 'Over', 'Use', 'Telkomsel']</v>
      </c>
      <c r="D781" s="3">
        <v>1.0</v>
      </c>
    </row>
    <row r="782" ht="15.75" customHeight="1">
      <c r="A782" s="1">
        <v>780.0</v>
      </c>
      <c r="B782" s="3" t="s">
        <v>783</v>
      </c>
      <c r="C782" s="3" t="str">
        <f>IFERROR(__xludf.DUMMYFUNCTION("GOOGLETRANSLATE(B782,""id"",""en"")"),"['MyTelkomsel', 'payment', 'payment', 'buy', 'pulse', 'package', 'Fund', '']")</f>
        <v>['MyTelkomsel', 'payment', 'payment', 'buy', 'pulse', 'package', 'Fund', '']</v>
      </c>
      <c r="D782" s="3">
        <v>2.0</v>
      </c>
    </row>
    <row r="783" ht="15.75" customHeight="1">
      <c r="A783" s="1">
        <v>781.0</v>
      </c>
      <c r="B783" s="3" t="s">
        <v>784</v>
      </c>
      <c r="C783" s="3" t="str">
        <f>IFERROR(__xludf.DUMMYFUNCTION("GOOGLETRANSLATE(B783,""id"",""en"")"),"['application', 'min', 'login', 'gabisa', 'account', 'facebook', 'twitter', 'google', 'tetep', 'gabisa', 'knp', 'min', ' please ',' fix ',' apps']")</f>
        <v>['application', 'min', 'login', 'gabisa', 'account', 'facebook', 'twitter', 'google', 'tetep', 'gabisa', 'knp', 'min', ' please ',' fix ',' apps']</v>
      </c>
      <c r="D783" s="3">
        <v>1.0</v>
      </c>
    </row>
    <row r="784" ht="15.75" customHeight="1">
      <c r="A784" s="1">
        <v>782.0</v>
      </c>
      <c r="B784" s="3" t="s">
        <v>785</v>
      </c>
      <c r="C784" s="3" t="str">
        <f>IFERROR(__xludf.DUMMYFUNCTION("GOOGLETRANSLATE(B784,""id"",""en"")"),"['Telkomsel', 'like', 'until', 'GB', 'buy', 'unlimitid', 'boundary', 'name', 'unlimitid', 'limit', 'use', 'like', ' Telkomsel ',' Please ',' Restore ',' Package ',' Unlimitid ',' Thank ',' Love ', ""]")</f>
        <v>['Telkomsel', 'like', 'until', 'GB', 'buy', 'unlimitid', 'boundary', 'name', 'unlimitid', 'limit', 'use', 'like', ' Telkomsel ',' Please ',' Restore ',' Package ',' Unlimitid ',' Thank ',' Love ', "]</v>
      </c>
      <c r="D784" s="3">
        <v>1.0</v>
      </c>
    </row>
    <row r="785" ht="15.75" customHeight="1">
      <c r="A785" s="1">
        <v>783.0</v>
      </c>
      <c r="B785" s="3" t="s">
        <v>786</v>
      </c>
      <c r="C785" s="3" t="str">
        <f>IFERROR(__xludf.DUMMYFUNCTION("GOOGLETRANSLATE(B785,""id"",""en"")"),"['logo', 'cool', 'knapa', 'the application', 'open', 'change', 'logo', 'normal', 'knapa', 'heavy', 'hard', 'embarrassing', ' Class', 'Telkomsel', 'Pro', 'Hadeh', ""]")</f>
        <v>['logo', 'cool', 'knapa', 'the application', 'open', 'change', 'logo', 'normal', 'knapa', 'heavy', 'hard', 'embarrassing', ' Class', 'Telkomsel', 'Pro', 'Hadeh', "]</v>
      </c>
      <c r="D785" s="3">
        <v>1.0</v>
      </c>
    </row>
    <row r="786" ht="15.75" customHeight="1">
      <c r="A786" s="1">
        <v>784.0</v>
      </c>
      <c r="B786" s="3" t="s">
        <v>787</v>
      </c>
      <c r="C786" s="3" t="str">
        <f>IFERROR(__xludf.DUMMYFUNCTION("GOOGLETRANSLATE(B786,""id"",""en"")"),"['Please', 'Network', 'Telkomsel', 'Fix', 'Telkomsel', 'Different', 'User', 'Telkomsel', 'Th', 'Strength', 'The Network', 'Decreases',' ']")</f>
        <v>['Please', 'Network', 'Telkomsel', 'Fix', 'Telkomsel', 'Different', 'User', 'Telkomsel', 'Th', 'Strength', 'The Network', 'Decreases',' ']</v>
      </c>
      <c r="D786" s="3">
        <v>3.0</v>
      </c>
    </row>
    <row r="787" ht="15.75" customHeight="1">
      <c r="A787" s="1">
        <v>785.0</v>
      </c>
      <c r="B787" s="3" t="s">
        <v>788</v>
      </c>
      <c r="C787" s="3" t="str">
        <f>IFERROR(__xludf.DUMMYFUNCTION("GOOGLETRANSLATE(B787,""id"",""en"")"),"['conscious',' person ',' feel ',' lag ',' broken ',' broken ',' play ',' game ',' watch ',' Telkomsel ',' provider ',' believe ',' Honest ',' users', 'Telkomsel', 'grateful', 'internet', 'as fast as',' essence ',' forgive ',' Telkomsel ',' lag ',' let ',"&amp;"' understand ']")</f>
        <v>['conscious',' person ',' feel ',' lag ',' broken ',' broken ',' play ',' game ',' watch ',' Telkomsel ',' provider ',' believe ',' Honest ',' users', 'Telkomsel', 'grateful', 'internet', 'as fast as',' essence ',' forgive ',' Telkomsel ',' lag ',' let ',' understand ']</v>
      </c>
      <c r="D787" s="3">
        <v>5.0</v>
      </c>
    </row>
    <row r="788" ht="15.75" customHeight="1">
      <c r="A788" s="1">
        <v>786.0</v>
      </c>
      <c r="B788" s="3" t="s">
        <v>789</v>
      </c>
      <c r="C788" s="3" t="str">
        <f>IFERROR(__xludf.DUMMYFUNCTION("GOOGLETRANSLATE(B788,""id"",""en"")"),"['Please', 'fix', 'yes', 'package', 'internet', 'bangett', 'pulse', 'reduced', 'times', 'giantin', 'severe', ""]")</f>
        <v>['Please', 'fix', 'yes', 'package', 'internet', 'bangett', 'pulse', 'reduced', 'times', 'giantin', 'severe', "]</v>
      </c>
      <c r="D788" s="3">
        <v>1.0</v>
      </c>
    </row>
    <row r="789" ht="15.75" customHeight="1">
      <c r="A789" s="1">
        <v>787.0</v>
      </c>
      <c r="B789" s="3" t="s">
        <v>790</v>
      </c>
      <c r="C789" s="3" t="str">
        <f>IFERROR(__xludf.DUMMYFUNCTION("GOOGLETRANSLATE(B789,""id"",""en"")"),"['Telkomsel', 'mmg', 'pukiii', 'good', 'rich', 'rich', 'msh', 'take', 'quota', 'org', 'date', 'quota', ' Msh ',' GB ',' Download ',' Film ',' Deliberate ',' Slow ',' Spy ',' Download ',' Think ',' Jeng ',' Age ',' Lemot ',' Mask ' , 'contents', 'TTP', 'ba"&amp;"se', 'mind', 'KKN', 'TTP', 'advanced', ""]")</f>
        <v>['Telkomsel', 'mmg', 'pukiii', 'good', 'rich', 'rich', 'msh', 'take', 'quota', 'org', 'date', 'quota', ' Msh ',' GB ',' Download ',' Film ',' Deliberate ',' Slow ',' Spy ',' Download ',' Think ',' Jeng ',' Age ',' Lemot ',' Mask ' , 'contents', 'TTP', 'base', 'mind', 'KKN', 'TTP', 'advanced', "]</v>
      </c>
      <c r="D789" s="3">
        <v>1.0</v>
      </c>
    </row>
    <row r="790" ht="15.75" customHeight="1">
      <c r="A790" s="1">
        <v>788.0</v>
      </c>
      <c r="B790" s="3" t="s">
        <v>791</v>
      </c>
      <c r="C790" s="3" t="str">
        <f>IFERROR(__xludf.DUMMYFUNCTION("GOOGLETRANSLATE(B790,""id"",""en"")"),"['Helping', 'Register', 'Masi', 'Masi', 'Nyak', 'Tertered', 'Application', 'Clarification', 'Register', 'Package', ""]")</f>
        <v>['Helping', 'Register', 'Masi', 'Masi', 'Nyak', 'Tertered', 'Application', 'Clarification', 'Register', 'Package', "]</v>
      </c>
      <c r="D790" s="3">
        <v>4.0</v>
      </c>
    </row>
    <row r="791" ht="15.75" customHeight="1">
      <c r="A791" s="1">
        <v>789.0</v>
      </c>
      <c r="B791" s="3" t="s">
        <v>792</v>
      </c>
      <c r="C791" s="3" t="str">
        <f>IFERROR(__xludf.DUMMYFUNCTION("GOOGLETRANSLATE(B791,""id"",""en"")"),"['Love', 'star', 'signal', 'already', 'Jos',' Mantab ',' Give up ',' But ',' Hopefully ',' Beliant ',' Image ',' APK ',' Telkomsel ',' disappointing ',' aamiin ']")</f>
        <v>['Love', 'star', 'signal', 'already', 'Jos',' Mantab ',' Give up ',' But ',' Hopefully ',' Beliant ',' Image ',' APK ',' Telkomsel ',' disappointing ',' aamiin ']</v>
      </c>
      <c r="D791" s="3">
        <v>4.0</v>
      </c>
    </row>
    <row r="792" ht="15.75" customHeight="1">
      <c r="A792" s="1">
        <v>790.0</v>
      </c>
      <c r="B792" s="3" t="s">
        <v>793</v>
      </c>
      <c r="C792" s="3" t="str">
        <f>IFERROR(__xludf.DUMMYFUNCTION("GOOGLETRANSLATE(B792,""id"",""en"")"),"['number', 'active', 'taun', 'love', 'package', 'combo', 'card', 'active', 'alias',' card ',' package ',' please ',' Telkomsel ',' Pamper ',' user ',' card ',' active ',' love ',' promo ',' donk ',' tlong ',' min ',' KPD ',' Telkomsel ',' tks' ]")</f>
        <v>['number', 'active', 'taun', 'love', 'package', 'combo', 'card', 'active', 'alias',' card ',' package ',' please ',' Telkomsel ',' Pamper ',' user ',' card ',' active ',' love ',' promo ',' donk ',' tlong ',' min ',' KPD ',' Telkomsel ',' tks' ]</v>
      </c>
      <c r="D792" s="3">
        <v>1.0</v>
      </c>
    </row>
    <row r="793" ht="15.75" customHeight="1">
      <c r="A793" s="1">
        <v>791.0</v>
      </c>
      <c r="B793" s="3" t="s">
        <v>794</v>
      </c>
      <c r="C793" s="3" t="str">
        <f>IFERROR(__xludf.DUMMYFUNCTION("GOOGLETRANSLATE(B793,""id"",""en"")"),"['Disappointed', 'really', 'Telkomsel', 'here', 'slow', 'learn', 'send', 'task', 'good', 'really', 'ugly', 'please', ' Fix ',' Learning ',' at home ',' smooth ',' repaired ',' signal ',' smooth ',' love ',' star ']")</f>
        <v>['Disappointed', 'really', 'Telkomsel', 'here', 'slow', 'learn', 'send', 'task', 'good', 'really', 'ugly', 'please', ' Fix ',' Learning ',' at home ',' smooth ',' repaired ',' signal ',' smooth ',' love ',' star ']</v>
      </c>
      <c r="D793" s="3">
        <v>1.0</v>
      </c>
    </row>
    <row r="794" ht="15.75" customHeight="1">
      <c r="A794" s="1">
        <v>792.0</v>
      </c>
      <c r="B794" s="3" t="s">
        <v>795</v>
      </c>
      <c r="C794" s="3" t="str">
        <f>IFERROR(__xludf.DUMMYFUNCTION("GOOGLETRANSLATE(B794,""id"",""en"")"),"['Telkomsel', 'Promotes',' Package ',' Hello ',' Promise ',' Speed ​​',' Fast ',' Card ',' Sympathy ',' Move ',' Hello ',' Gosh ',' super ',' super ',' super ',' slow ',' defective ',' klu ',' agree ',' telephone ',' expensive ',' slow ']")</f>
        <v>['Telkomsel', 'Promotes',' Package ',' Hello ',' Promise ',' Speed ​​',' Fast ',' Card ',' Sympathy ',' Move ',' Hello ',' Gosh ',' super ',' super ',' super ',' slow ',' defective ',' klu ',' agree ',' telephone ',' expensive ',' slow ']</v>
      </c>
      <c r="D794" s="3">
        <v>1.0</v>
      </c>
    </row>
    <row r="795" ht="15.75" customHeight="1">
      <c r="A795" s="1">
        <v>793.0</v>
      </c>
      <c r="B795" s="3" t="s">
        <v>796</v>
      </c>
      <c r="C795" s="3" t="str">
        <f>IFERROR(__xludf.DUMMYFUNCTION("GOOGLETRANSLATE(B795,""id"",""en"")"),"['buy', 'package', 'unlimited', 'right', 'stay', 'quota', 'unlimited', 'original', 'slow', 'severe', 'already', 'buy', ' quota ',' leftover ',' pulse ',' pulses', 'chick', 'already', 'quota', 'cook', 'pulses',' cheek ',' please ',' Telkomsel ',' repair ' "&amp;"]")</f>
        <v>['buy', 'package', 'unlimited', 'right', 'stay', 'quota', 'unlimited', 'original', 'slow', 'severe', 'already', 'buy', ' quota ',' leftover ',' pulse ',' pulses', 'chick', 'already', 'quota', 'cook', 'pulses',' cheek ',' please ',' Telkomsel ',' repair ' ]</v>
      </c>
      <c r="D795" s="3">
        <v>2.0</v>
      </c>
    </row>
    <row r="796" ht="15.75" customHeight="1">
      <c r="A796" s="1">
        <v>794.0</v>
      </c>
      <c r="B796" s="3" t="s">
        <v>797</v>
      </c>
      <c r="C796" s="3" t="str">
        <f>IFERROR(__xludf.DUMMYFUNCTION("GOOGLETRANSLATE(B796,""id"",""en"")"),"['signal', 'Telkomsel', 'slow', 'upgrade', 'kenceng', 'slow', 'lie', 'kenceng', 'signal', 'slow', 'rich', 'signal', ' Buy ',' Paketan ',' RB ',' Signal ',' satisfying ',' ']")</f>
        <v>['signal', 'Telkomsel', 'slow', 'upgrade', 'kenceng', 'slow', 'lie', 'kenceng', 'signal', 'slow', 'rich', 'signal', ' Buy ',' Paketan ',' RB ',' Signal ',' satisfying ',' ']</v>
      </c>
      <c r="D796" s="3">
        <v>1.0</v>
      </c>
    </row>
    <row r="797" ht="15.75" customHeight="1">
      <c r="A797" s="1">
        <v>795.0</v>
      </c>
      <c r="B797" s="3" t="s">
        <v>798</v>
      </c>
      <c r="C797" s="3" t="str">
        <f>IFERROR(__xludf.DUMMYFUNCTION("GOOGLETRANSLATE(B797,""id"",""en"")"),"['price', 'package', 'expensive', 'signal', 'kek', 'taik', 'sedesa', 'make', 'card', 'best-selling', 'rotten', 'emang', ' Gabisa ',' Ngasi ',' signal ',' ride ',' price ',' package ',' rotten ',' Mending ',' Moving ',' Ngelag ',' Sebush ',' Telkomsel ',' "&amp;"Nglag ' , 'Honest', 'like', 'Telkomsel', 'times', 'moved', 'Sayonara', 'Telkomsel', 'rotten', ""]")</f>
        <v>['price', 'package', 'expensive', 'signal', 'kek', 'taik', 'sedesa', 'make', 'card', 'best-selling', 'rotten', 'emang', ' Gabisa ',' Ngasi ',' signal ',' ride ',' price ',' package ',' rotten ',' Mending ',' Moving ',' Ngelag ',' Sebush ',' Telkomsel ',' Nglag ' , 'Honest', 'like', 'Telkomsel', 'times', 'moved', 'Sayonara', 'Telkomsel', 'rotten', "]</v>
      </c>
      <c r="D797" s="3">
        <v>1.0</v>
      </c>
    </row>
    <row r="798" ht="15.75" customHeight="1">
      <c r="A798" s="1">
        <v>796.0</v>
      </c>
      <c r="B798" s="3" t="s">
        <v>799</v>
      </c>
      <c r="C798" s="3" t="str">
        <f>IFERROR(__xludf.DUMMYFUNCTION("GOOGLETRANSLATE(B798,""id"",""en"")"),"['ask', 'Knp', 'pulse', 'run out', 'NSP', 'SMS', 'TLPN', 'KNP', 'Day', 'Reduced', 'Take', 'Take', ' the operator ',' contents', 'pulse', 'gtu', 'mending', 'move', 'next door']")</f>
        <v>['ask', 'Knp', 'pulse', 'run out', 'NSP', 'SMS', 'TLPN', 'KNP', 'Day', 'Reduced', 'Take', 'Take', ' the operator ',' contents', 'pulse', 'gtu', 'mending', 'move', 'next door']</v>
      </c>
      <c r="D798" s="3">
        <v>1.0</v>
      </c>
    </row>
    <row r="799" ht="15.75" customHeight="1">
      <c r="A799" s="1">
        <v>797.0</v>
      </c>
      <c r="B799" s="3" t="s">
        <v>800</v>
      </c>
      <c r="C799" s="3" t="str">
        <f>IFERROR(__xludf.DUMMYFUNCTION("GOOGLETRANSLATE(B799,""id"",""en"")"),"['Since', 'Corona', 'Yesterday', 'Signal', 'Ngaco', 'really', 'Telkomsel', 'my area', 'disgust', 'oath', 'competitor', 'Jdi', ' good ',' really ',' auto ',' moved ',' operatol ',' person ',' area ',' moved ']")</f>
        <v>['Since', 'Corona', 'Yesterday', 'Signal', 'Ngaco', 'really', 'Telkomsel', 'my area', 'disgust', 'oath', 'competitor', 'Jdi', ' good ',' really ',' auto ',' moved ',' operatol ',' person ',' area ',' moved ']</v>
      </c>
      <c r="D799" s="3">
        <v>1.0</v>
      </c>
    </row>
    <row r="800" ht="15.75" customHeight="1">
      <c r="A800" s="1">
        <v>798.0</v>
      </c>
      <c r="B800" s="3" t="s">
        <v>801</v>
      </c>
      <c r="C800" s="3" t="str">
        <f>IFERROR(__xludf.DUMMYFUNCTION("GOOGLETRANSLATE(B800,""id"",""en"")"),"['customer', 'loyal', 'Telkomsel', 'already', 'TPI', 'KNP', 'Telkomsel', 'already', 'andalkn', 'signal', 'severe', 'rich', ' KNPA ',' Package ',' Cheerful ',' Price ',' JDI ',' Folding ',' TPI ',' Signal ',' Tetep ',' Change ',' Change ',' Price ',' Jdi '"&amp;" , 'RB', 'JDI', 'RB', '']")</f>
        <v>['customer', 'loyal', 'Telkomsel', 'already', 'TPI', 'KNP', 'Telkomsel', 'already', 'andalkn', 'signal', 'severe', 'rich', ' KNPA ',' Package ',' Cheerful ',' Price ',' JDI ',' Folding ',' TPI ',' Signal ',' Tetep ',' Change ',' Change ',' Price ',' Jdi ' , 'RB', 'JDI', 'RB', '']</v>
      </c>
      <c r="D800" s="3">
        <v>2.0</v>
      </c>
    </row>
    <row r="801" ht="15.75" customHeight="1">
      <c r="A801" s="1">
        <v>799.0</v>
      </c>
      <c r="B801" s="3" t="s">
        <v>802</v>
      </c>
      <c r="C801" s="3" t="str">
        <f>IFERROR(__xludf.DUMMYFUNCTION("GOOGLETRANSLATE(B801,""id"",""en"")"),"['', 'Telkomsel', 'You', 'Fix', 'System', 'Loe', 'Yak', 'Telkomsel', 'Uda', 'BRP', 'Cook', 'Fill', 'Credit ',' entry ',' put together ',' until ',' many ',' pulses', 'writing', 'transaction', 'success',' credit ',' reduced ',' packetan ',' add ', 'Bloon',"&amp;" 'Bloon', 'expensive', 'quality', 'zonk', '']")</f>
        <v>['', 'Telkomsel', 'You', 'Fix', 'System', 'Loe', 'Yak', 'Telkomsel', 'Uda', 'BRP', 'Cook', 'Fill', 'Credit ',' entry ',' put together ',' until ',' many ',' pulses', 'writing', 'transaction', 'success',' credit ',' reduced ',' packetan ',' add ', 'Bloon', 'Bloon', 'expensive', 'quality', 'zonk', '']</v>
      </c>
      <c r="D801" s="3">
        <v>1.0</v>
      </c>
    </row>
    <row r="802" ht="15.75" customHeight="1">
      <c r="A802" s="1">
        <v>800.0</v>
      </c>
      <c r="B802" s="3" t="s">
        <v>803</v>
      </c>
      <c r="C802" s="3" t="str">
        <f>IFERROR(__xludf.DUMMYFUNCTION("GOOGLETRANSLATE(B802,""id"",""en"")"),"['Disappointed', 'user', 'price', 'package', 'expensive', 'unlimited', 'max', 'back', 'kayak', 'right', 'run out', 'quota', ' main ',' limit ',' already ',' price ',' expensive ',' given ',' limit ',' how ', ""]")</f>
        <v>['Disappointed', 'user', 'price', 'package', 'expensive', 'unlimited', 'max', 'back', 'kayak', 'right', 'run out', 'quota', ' main ',' limit ',' already ',' price ',' expensive ',' given ',' limit ',' how ', "]</v>
      </c>
      <c r="D802" s="3">
        <v>1.0</v>
      </c>
    </row>
    <row r="803" ht="15.75" customHeight="1">
      <c r="A803" s="1">
        <v>801.0</v>
      </c>
      <c r="B803" s="3" t="s">
        <v>804</v>
      </c>
      <c r="C803" s="3" t="str">
        <f>IFERROR(__xludf.DUMMYFUNCTION("GOOGLETRANSLATE(B803,""id"",""en"")"),"['Error', 'Heavy', 'APL', 'Rates',' Internet ',' Expensive ',' Klu ',' Beautiful ',' Unistal ',' Ajalah ',' Useful ',' Lottery ',' Points']")</f>
        <v>['Error', 'Heavy', 'APL', 'Rates',' Internet ',' Expensive ',' Klu ',' Beautiful ',' Unistal ',' Ajalah ',' Useful ',' Lottery ',' Points']</v>
      </c>
      <c r="D803" s="3">
        <v>1.0</v>
      </c>
    </row>
    <row r="804" ht="15.75" customHeight="1">
      <c r="A804" s="1">
        <v>802.0</v>
      </c>
      <c r="B804" s="3" t="s">
        <v>805</v>
      </c>
      <c r="C804" s="3" t="str">
        <f>IFERROR(__xludf.DUMMYFUNCTION("GOOGLETRANSLATE(B804,""id"",""en"")"),"['Network', 'Region', 'Lamandau', 'Kalimantan', 'ugly', 'slow', 'disorder', 'price', 'already', 'expensive', 'compared to', 'provider', ' Disappointed ',' please ',' fixed ']")</f>
        <v>['Network', 'Region', 'Lamandau', 'Kalimantan', 'ugly', 'slow', 'disorder', 'price', 'already', 'expensive', 'compared to', 'provider', ' Disappointed ',' please ',' fixed ']</v>
      </c>
      <c r="D804" s="3">
        <v>1.0</v>
      </c>
    </row>
    <row r="805" ht="15.75" customHeight="1">
      <c r="A805" s="1">
        <v>803.0</v>
      </c>
      <c r="B805" s="3" t="s">
        <v>806</v>
      </c>
      <c r="C805" s="3" t="str">
        <f>IFERROR(__xludf.DUMMYFUNCTION("GOOGLETRANSLATE(B805,""id"",""en"")"),"['Sampe', 'Pegel', 'Telkomsel', 'signal', 'ilang', 'The network', 'oath', 'comment', 'good', 'employees', ""]")</f>
        <v>['Sampe', 'Pegel', 'Telkomsel', 'signal', 'ilang', 'The network', 'oath', 'comment', 'good', 'employees', "]</v>
      </c>
      <c r="D805" s="3">
        <v>1.0</v>
      </c>
    </row>
    <row r="806" ht="15.75" customHeight="1">
      <c r="A806" s="1">
        <v>804.0</v>
      </c>
      <c r="B806" s="3" t="s">
        <v>807</v>
      </c>
      <c r="C806" s="3" t="str">
        <f>IFERROR(__xludf.DUMMYFUNCTION("GOOGLETRANSLATE(B806,""id"",""en"")"),"['Package', 'promo', 'internet', 'telephone', 'bought', 'enter', 'enter', 'promo', 'cheapest', 'bought', 'entered', ""]")</f>
        <v>['Package', 'promo', 'internet', 'telephone', 'bought', 'enter', 'enter', 'promo', 'cheapest', 'bought', 'entered', "]</v>
      </c>
      <c r="D806" s="3">
        <v>3.0</v>
      </c>
    </row>
    <row r="807" ht="15.75" customHeight="1">
      <c r="A807" s="1">
        <v>805.0</v>
      </c>
      <c r="B807" s="3" t="s">
        <v>808</v>
      </c>
      <c r="C807" s="3" t="str">
        <f>IFERROR(__xludf.DUMMYFUNCTION("GOOGLETRANSLATE(B807,""id"",""en"")"),"['What's',' Telkomsel ',' already ',' buy ',' package ',' MyTelkomsel ',' process', 'already', 'clock', 'enter', 'enter', 'promo', ' already ',' out ',' remove ',' application ',' you ',' located ',' there ',' ']")</f>
        <v>['What's',' Telkomsel ',' already ',' buy ',' package ',' MyTelkomsel ',' process', 'already', 'clock', 'enter', 'enter', 'promo', ' already ',' out ',' remove ',' application ',' you ',' located ',' there ',' ']</v>
      </c>
      <c r="D807" s="3">
        <v>1.0</v>
      </c>
    </row>
    <row r="808" ht="15.75" customHeight="1">
      <c r="A808" s="1">
        <v>806.0</v>
      </c>
      <c r="B808" s="3" t="s">
        <v>809</v>
      </c>
      <c r="C808" s="3" t="str">
        <f>IFERROR(__xludf.DUMMYFUNCTION("GOOGLETRANSLATE(B808,""id"",""en"")"),"['please', 'Telkomsel', 'knp', 'here', 'destroyed', 'signal', 'gnya', 'please', 'repair', 'user', 'loyal', 'Telkomsel', ' Thnan ',' Skrg ',' Signal ',' Bad ',' Satisfied ',' Wearing "", 'Please', 'Repair', 'Consumer', 'Move', 'Provider']")</f>
        <v>['please', 'Telkomsel', 'knp', 'here', 'destroyed', 'signal', 'gnya', 'please', 'repair', 'user', 'loyal', 'Telkomsel', ' Thnan ',' Skrg ',' Signal ',' Bad ',' Satisfied ',' Wearing ", 'Please', 'Repair', 'Consumer', 'Move', 'Provider']</v>
      </c>
      <c r="D808" s="3">
        <v>3.0</v>
      </c>
    </row>
    <row r="809" ht="15.75" customHeight="1">
      <c r="A809" s="1">
        <v>807.0</v>
      </c>
      <c r="B809" s="3" t="s">
        <v>810</v>
      </c>
      <c r="C809" s="3" t="str">
        <f>IFERROR(__xludf.DUMMYFUNCTION("GOOGLETRANSLATE(B809,""id"",""en"")"),"['min', 'disruption', 'buy', 'package', 'written', 'pulse', 'right', 'nominal', 'pulse', 'like', 'worse', ' Gini ',' Loss', ""]")</f>
        <v>['min', 'disruption', 'buy', 'package', 'written', 'pulse', 'right', 'nominal', 'pulse', 'like', 'worse', ' Gini ',' Loss', "]</v>
      </c>
      <c r="D809" s="3">
        <v>1.0</v>
      </c>
    </row>
    <row r="810" ht="15.75" customHeight="1">
      <c r="A810" s="1">
        <v>808.0</v>
      </c>
      <c r="B810" s="3" t="s">
        <v>811</v>
      </c>
      <c r="C810" s="3" t="str">
        <f>IFERROR(__xludf.DUMMYFUNCTION("GOOGLETRANSLATE(B810,""id"",""en"")"),"['Internet', 'Indonesia', 'classified', 'slow', 'world', 'shoulder', 'provider', 'internet', 'best', 'Indonesia', 'should', 'keep', ' Strength ',' stability ',' signal ',' hope ',' enhanced ',' ']")</f>
        <v>['Internet', 'Indonesia', 'classified', 'slow', 'world', 'shoulder', 'provider', 'internet', 'best', 'Indonesia', 'should', 'keep', ' Strength ',' stability ',' signal ',' hope ',' enhanced ',' ']</v>
      </c>
      <c r="D810" s="3">
        <v>3.0</v>
      </c>
    </row>
    <row r="811" ht="15.75" customHeight="1">
      <c r="A811" s="1">
        <v>809.0</v>
      </c>
      <c r="B811" s="3" t="s">
        <v>812</v>
      </c>
      <c r="C811" s="3" t="str">
        <f>IFERROR(__xludf.DUMMYFUNCTION("GOOGLETRANSLATE(B811,""id"",""en"")"),"['huh', 'disappointed', 'Telkomsel', 'pulse', 'credit', 'run out', 'quota', 'package', 'rates',' non ',' data ',' really ',' interfere with ',' please ',' omitted ',' ']")</f>
        <v>['huh', 'disappointed', 'Telkomsel', 'pulse', 'credit', 'run out', 'quota', 'package', 'rates',' non ',' data ',' really ',' interfere with ',' please ',' omitted ',' ']</v>
      </c>
      <c r="D811" s="3">
        <v>1.0</v>
      </c>
    </row>
    <row r="812" ht="15.75" customHeight="1">
      <c r="A812" s="1">
        <v>810.0</v>
      </c>
      <c r="B812" s="3" t="s">
        <v>813</v>
      </c>
      <c r="C812" s="3" t="str">
        <f>IFERROR(__xludf.DUMMYFUNCTION("GOOGLETRANSLATE(B812,""id"",""en"")"),"['Disappointing', 'Points',' Redeem ',' Make ',' Credit ',' Reasons', 'Busy', 'Krmarin', 'Credit', 'Contents',' Package ',' Gabisa ',' because ',' pulse ',' use ',' wifi ',' pulse ',' sumps', 'disappointing']")</f>
        <v>['Disappointing', 'Points',' Redeem ',' Make ',' Credit ',' Reasons', 'Busy', 'Krmarin', 'Credit', 'Contents',' Package ',' Gabisa ',' because ',' pulse ',' use ',' wifi ',' pulse ',' sumps', 'disappointing']</v>
      </c>
      <c r="D812" s="3">
        <v>1.0</v>
      </c>
    </row>
    <row r="813" ht="15.75" customHeight="1">
      <c r="A813" s="1">
        <v>811.0</v>
      </c>
      <c r="B813" s="3" t="s">
        <v>814</v>
      </c>
      <c r="C813" s="3" t="str">
        <f>IFERROR(__xludf.DUMMYFUNCTION("GOOGLETRANSLATE(B813,""id"",""en"")"),"['Network', 'Telkomsel', 'City', 'Padang', 'Bad', 'Driver', 'Gojek', 'Harmed', 'Telkomsel', 'Price', 'Package', 'Udh', ' Expensive ',' Network ',' ugly ',' ']")</f>
        <v>['Network', 'Telkomsel', 'City', 'Padang', 'Bad', 'Driver', 'Gojek', 'Harmed', 'Telkomsel', 'Price', 'Package', 'Udh', ' Expensive ',' Network ',' ugly ',' ']</v>
      </c>
      <c r="D813" s="3">
        <v>1.0</v>
      </c>
    </row>
    <row r="814" ht="15.75" customHeight="1">
      <c r="A814" s="1">
        <v>812.0</v>
      </c>
      <c r="B814" s="3" t="s">
        <v>815</v>
      </c>
      <c r="C814" s="3" t="str">
        <f>IFERROR(__xludf.DUMMYFUNCTION("GOOGLETRANSLATE(B814,""id"",""en"")"),"['package', 'internet', 'cheap', 'cheap', 'application', 'like', 'problematic', 'purchase', 'package', 'internet', 'only', 'for' Focus', 'Stabilan', 'Server']")</f>
        <v>['package', 'internet', 'cheap', 'cheap', 'application', 'like', 'problematic', 'purchase', 'package', 'internet', 'only', 'for' Focus', 'Stabilan', 'Server']</v>
      </c>
      <c r="D814" s="3">
        <v>5.0</v>
      </c>
    </row>
    <row r="815" ht="15.75" customHeight="1">
      <c r="A815" s="1">
        <v>813.0</v>
      </c>
      <c r="B815" s="3" t="s">
        <v>816</v>
      </c>
      <c r="C815" s="3" t="str">
        <f>IFERROR(__xludf.DUMMYFUNCTION("GOOGLETRANSLATE(B815,""id"",""en"")"),"['Network', 'Entot', 'Mass',' Rich ',' GB ',' Hadeh ',' intention ',' work ',' intention ',' work ',' Network ',' Begin ',' Addin ',' Tower ',' Kek ',' Kek ',' That's', 'Current', 'Masi', 'Ngelag', 'Watch Out', 'Tired', 'Move', 'Card', 'Laen' , 'Good']")</f>
        <v>['Network', 'Entot', 'Mass',' Rich ',' GB ',' Hadeh ',' intention ',' work ',' intention ',' work ',' Network ',' Begin ',' Addin ',' Tower ',' Kek ',' Kek ',' That's', 'Current', 'Masi', 'Ngelag', 'Watch Out', 'Tired', 'Move', 'Card', 'Laen' , 'Good']</v>
      </c>
      <c r="D815" s="3">
        <v>1.0</v>
      </c>
    </row>
    <row r="816" ht="15.75" customHeight="1">
      <c r="A816" s="1">
        <v>814.0</v>
      </c>
      <c r="B816" s="3" t="s">
        <v>817</v>
      </c>
      <c r="C816" s="3" t="str">
        <f>IFERROR(__xludf.DUMMYFUNCTION("GOOGLETRANSLATE(B816,""id"",""en"")"),"['signal', 'slow', 'price', 'expensive', 'protest', 'keloluran', 'sorry', 'sorry', 'sorry', 'klok', 'sorry', 'signal', ' Good ',' anjirt ',' please ',' Sorry ',' Do ',' Lho ',' Do ',' fix ',' network ',' etc. ',' ']")</f>
        <v>['signal', 'slow', 'price', 'expensive', 'protest', 'keloluran', 'sorry', 'sorry', 'sorry', 'klok', 'sorry', 'signal', ' Good ',' anjirt ',' please ',' Sorry ',' Do ',' Lho ',' Do ',' fix ',' network ',' etc. ',' ']</v>
      </c>
      <c r="D816" s="3">
        <v>1.0</v>
      </c>
    </row>
    <row r="817" ht="15.75" customHeight="1">
      <c r="A817" s="1">
        <v>815.0</v>
      </c>
      <c r="B817" s="3" t="s">
        <v>818</v>
      </c>
      <c r="C817" s="3" t="str">
        <f>IFERROR(__xludf.DUMMYFUNCTION("GOOGLETRANSLATE(B817,""id"",""en"")"),"['Update', 'Package', 'Combo', 'OMG', 'GB', 'RB', 'RB', 'Admin', 'Pandemic', 'Covid', 'Price', 'Normal', ' Cheap ',' skrng ',' expensive ',' package ',' internet ',' ']")</f>
        <v>['Update', 'Package', 'Combo', 'OMG', 'GB', 'RB', 'RB', 'Admin', 'Pandemic', 'Covid', 'Price', 'Normal', ' Cheap ',' skrng ',' expensive ',' package ',' internet ',' ']</v>
      </c>
      <c r="D817" s="3">
        <v>2.0</v>
      </c>
    </row>
    <row r="818" ht="15.75" customHeight="1">
      <c r="A818" s="1">
        <v>816.0</v>
      </c>
      <c r="B818" s="3" t="s">
        <v>819</v>
      </c>
      <c r="C818" s="3" t="str">
        <f>IFERROR(__xludf.DUMMYFUNCTION("GOOGLETRANSLATE(B818,""id"",""en"")"),"['regretting', 'connection', 'internet', 'used to', 'good', 'ugly', 'star', 'disappointed', 'Telkomsel']")</f>
        <v>['regretting', 'connection', 'internet', 'used to', 'good', 'ugly', 'star', 'disappointed', 'Telkomsel']</v>
      </c>
      <c r="D818" s="3">
        <v>1.0</v>
      </c>
    </row>
    <row r="819" ht="15.75" customHeight="1">
      <c r="A819" s="1">
        <v>817.0</v>
      </c>
      <c r="B819" s="3" t="s">
        <v>820</v>
      </c>
      <c r="C819" s="3" t="str">
        <f>IFERROR(__xludf.DUMMYFUNCTION("GOOGLETRANSLATE(B819,""id"",""en"")"),"['expensive', 'signal', 'ugly', 'mifi', 'mending', 'network', 'mifi', 'good', 'sometimes', 'difficult', 'forgiveness', ""]")</f>
        <v>['expensive', 'signal', 'ugly', 'mifi', 'mending', 'network', 'mifi', 'good', 'sometimes', 'difficult', 'forgiveness', "]</v>
      </c>
      <c r="D819" s="3">
        <v>3.0</v>
      </c>
    </row>
    <row r="820" ht="15.75" customHeight="1">
      <c r="A820" s="1">
        <v>818.0</v>
      </c>
      <c r="B820" s="3" t="s">
        <v>821</v>
      </c>
      <c r="C820" s="3" t="str">
        <f>IFERROR(__xludf.DUMMYFUNCTION("GOOGLETRANSLATE(B820,""id"",""en"")"),"['oath', 'Kaga', 'Quality', 'Point', 'Telkomsel', 'Until', 'BNYK', 'really', 'already', 'Sinynya', 'Come', 'ugly', ' Oath ',' Mending ',' operator ',' Next to ',' LBH ',' sophisticated ',' Point ',' exchanged ',' quota ',' bye ',' bye ',' Telkomsel ', ""]")</f>
        <v>['oath', 'Kaga', 'Quality', 'Point', 'Telkomsel', 'Until', 'BNYK', 'really', 'already', 'Sinynya', 'Come', 'ugly', ' Oath ',' Mending ',' operator ',' Next to ',' LBH ',' sophisticated ',' Point ',' exchanged ',' quota ',' bye ',' bye ',' Telkomsel ', "]</v>
      </c>
      <c r="D820" s="3">
        <v>1.0</v>
      </c>
    </row>
    <row r="821" ht="15.75" customHeight="1">
      <c r="A821" s="1">
        <v>819.0</v>
      </c>
      <c r="B821" s="3" t="s">
        <v>822</v>
      </c>
      <c r="C821" s="3" t="str">
        <f>IFERROR(__xludf.DUMMYFUNCTION("GOOGLETRANSLATE(B821,""id"",""en"")"),"['comment', 'quota', 'quota', 'main', 'run out', 'open', 'application', 'cover', 'quota', 'tasty', 'because', 'reality', ' quota ',' main ',' run out ',' leftover ',' quota ',' special ',' application ',' open ',' muter ',' doank ',' emotion ',' blood ','"&amp;" immune ' , 'Down', 'Easy', 'get', 'Covid', 'Please', 'Listen', ""]")</f>
        <v>['comment', 'quota', 'quota', 'main', 'run out', 'open', 'application', 'cover', 'quota', 'tasty', 'because', 'reality', ' quota ',' main ',' run out ',' leftover ',' quota ',' special ',' application ',' open ',' muter ',' doank ',' emotion ',' blood ',' immune ' , 'Down', 'Easy', 'get', 'Covid', 'Please', 'Listen', "]</v>
      </c>
      <c r="D821" s="3">
        <v>2.0</v>
      </c>
    </row>
    <row r="822" ht="15.75" customHeight="1">
      <c r="A822" s="1">
        <v>820.0</v>
      </c>
      <c r="B822" s="3" t="s">
        <v>823</v>
      </c>
      <c r="C822" s="3" t="str">
        <f>IFERROR(__xludf.DUMMYFUNCTION("GOOGLETRANSLATE(B822,""id"",""en"")"),"['Sorry', 'just', 'knapa', 'network', 'Telkomsel', 'slow', 'gini', 'please', 'really', 'signal', 'darling', 'quota', ' Shame ',' Masi ',' Out ',' Sia ',' Sia ',' Enterprit ',' Out ',' Please ',' Try ',' Sinyal ',' Current ',' Telkomsel ', ""]")</f>
        <v>['Sorry', 'just', 'knapa', 'network', 'Telkomsel', 'slow', 'gini', 'please', 'really', 'signal', 'darling', 'quota', ' Shame ',' Masi ',' Out ',' Sia ',' Sia ',' Enterprit ',' Out ',' Please ',' Try ',' Sinyal ',' Current ',' Telkomsel ', "]</v>
      </c>
      <c r="D822" s="3">
        <v>1.0</v>
      </c>
    </row>
    <row r="823" ht="15.75" customHeight="1">
      <c r="A823" s="1">
        <v>821.0</v>
      </c>
      <c r="B823" s="3" t="s">
        <v>824</v>
      </c>
      <c r="C823" s="3" t="str">
        <f>IFERROR(__xludf.DUMMYFUNCTION("GOOGLETRANSLATE(B823,""id"",""en"")"),"['signal', 'Telkomsel', 'bapuk', 'alias',' ugly ',' really ',' price ',' package ',' expensive ',' package ',' quota ',' monthly ',' Already ',' Need ',' Disney ',' Star ',' Discard ',' Package ',' That's', 'Change', 'Package', 'Normal']")</f>
        <v>['signal', 'Telkomsel', 'bapuk', 'alias',' ugly ',' really ',' price ',' package ',' expensive ',' package ',' quota ',' monthly ',' Already ',' Need ',' Disney ',' Star ',' Discard ',' Package ',' That's', 'Change', 'Package', 'Normal']</v>
      </c>
      <c r="D823" s="3">
        <v>1.0</v>
      </c>
    </row>
    <row r="824" ht="15.75" customHeight="1">
      <c r="A824" s="1">
        <v>822.0</v>
      </c>
      <c r="B824" s="3" t="s">
        <v>825</v>
      </c>
      <c r="C824" s="3" t="str">
        <f>IFERROR(__xludf.DUMMYFUNCTION("GOOGLETRANSLATE(B824,""id"",""en"")"),"['Application', 'run', 'proper', 'bug', 'buy', 'pulse', 'truncated', 'package', 'enter', 'active', 'ngaco', 'useless']")</f>
        <v>['Application', 'run', 'proper', 'bug', 'buy', 'pulse', 'truncated', 'package', 'enter', 'active', 'ngaco', 'useless']</v>
      </c>
      <c r="D824" s="3">
        <v>1.0</v>
      </c>
    </row>
    <row r="825" ht="15.75" customHeight="1">
      <c r="A825" s="1">
        <v>823.0</v>
      </c>
      <c r="B825" s="3" t="s">
        <v>826</v>
      </c>
      <c r="C825" s="3" t="str">
        <f>IFERROR(__xludf.DUMMYFUNCTION("GOOGLETRANSLATE(B825,""id"",""en"")"),"['Disappointed', 'Telkomsel', 'Semena', 'MENA', 'Reply', 'SMS', 'Package', 'Emergency', 'The like', 'contents',' pulses', 'pulses',' Direct ',' truncated ',' reason ',' package ',' emergency ']")</f>
        <v>['Disappointed', 'Telkomsel', 'Semena', 'MENA', 'Reply', 'SMS', 'Package', 'Emergency', 'The like', 'contents',' pulses', 'pulses',' Direct ',' truncated ',' reason ',' package ',' emergency ']</v>
      </c>
      <c r="D825" s="3">
        <v>1.0</v>
      </c>
    </row>
    <row r="826" ht="15.75" customHeight="1">
      <c r="A826" s="1">
        <v>824.0</v>
      </c>
      <c r="B826" s="3" t="s">
        <v>827</v>
      </c>
      <c r="C826" s="3" t="str">
        <f>IFERROR(__xludf.DUMMYFUNCTION("GOOGLETRANSLATE(B826,""id"",""en"")"),"['Telkomsel', 'Kuontol', 'Selek', 'Cok', 'Play', 'Game', 'Ngeeleg', 'Very', 'Quota', 'Network', 'Please', 'Fix', ' SEZ ',' ']")</f>
        <v>['Telkomsel', 'Kuontol', 'Selek', 'Cok', 'Play', 'Game', 'Ngeeleg', 'Very', 'Quota', 'Network', 'Please', 'Fix', ' SEZ ',' ']</v>
      </c>
      <c r="D826" s="3">
        <v>5.0</v>
      </c>
    </row>
    <row r="827" ht="15.75" customHeight="1">
      <c r="A827" s="1">
        <v>825.0</v>
      </c>
      <c r="B827" s="3" t="s">
        <v>828</v>
      </c>
      <c r="C827" s="3" t="str">
        <f>IFERROR(__xludf.DUMMYFUNCTION("GOOGLETRANSLATE(B827,""id"",""en"")"),"['Telkomsel', 'signal', 'Taik', 'please', 'fix', 'signal']")</f>
        <v>['Telkomsel', 'signal', 'Taik', 'please', 'fix', 'signal']</v>
      </c>
      <c r="D827" s="3">
        <v>1.0</v>
      </c>
    </row>
    <row r="828" ht="15.75" customHeight="1">
      <c r="A828" s="1">
        <v>826.0</v>
      </c>
      <c r="B828" s="3" t="s">
        <v>829</v>
      </c>
      <c r="C828" s="3" t="str">
        <f>IFERROR(__xludf.DUMMYFUNCTION("GOOGLETRANSLATE(B828,""id"",""en"")"),"['regret', 'network', 'Telkomsel', 'disappear', 'implement it', 'procession', 'graduation', 'online', 'network', 'internet', 'lost', 'stop', ' amidst ',' procession ',' moment ',' valuable ',' fill ',' quota ',' event ',' loss', 'fun', 'rate', 'Telkomsel'"&amp;"]")</f>
        <v>['regret', 'network', 'Telkomsel', 'disappear', 'implement it', 'procession', 'graduation', 'online', 'network', 'internet', 'lost', 'stop', ' amidst ',' procession ',' moment ',' valuable ',' fill ',' quota ',' event ',' loss', 'fun', 'rate', 'Telkomsel']</v>
      </c>
      <c r="D828" s="3">
        <v>1.0</v>
      </c>
    </row>
    <row r="829" ht="15.75" customHeight="1">
      <c r="A829" s="1">
        <v>827.0</v>
      </c>
      <c r="B829" s="3" t="s">
        <v>830</v>
      </c>
      <c r="C829" s="3" t="str">
        <f>IFERROR(__xludf.DUMMYFUNCTION("GOOGLETRANSLATE(B829,""id"",""en"")"),"['Thinking', 'Network', 'Benerin', 'Quality', 'Already', 'Network', 'Broken', 'Sometimes',' Lost ',' Severe ',' Out ',' Customer ',' Help ',' Bot ',' Leader ',' JWB ',' TRIMS ']")</f>
        <v>['Thinking', 'Network', 'Benerin', 'Quality', 'Already', 'Network', 'Broken', 'Sometimes',' Lost ',' Severe ',' Out ',' Customer ',' Help ',' Bot ',' Leader ',' JWB ',' TRIMS ']</v>
      </c>
      <c r="D829" s="3">
        <v>1.0</v>
      </c>
    </row>
    <row r="830" ht="15.75" customHeight="1">
      <c r="A830" s="1">
        <v>828.0</v>
      </c>
      <c r="B830" s="3" t="s">
        <v>831</v>
      </c>
      <c r="C830" s="3" t="str">
        <f>IFERROR(__xludf.DUMMYFUNCTION("GOOGLETRANSLATE(B830,""id"",""en"")"),"['Telkomsel', 'Different', 'Paketan', 'Yesterday', 'Package', 'TLP', 'All Day', 'Price', 'Package', 'Disappointed']")</f>
        <v>['Telkomsel', 'Different', 'Paketan', 'Yesterday', 'Package', 'TLP', 'All Day', 'Price', 'Package', 'Disappointed']</v>
      </c>
      <c r="D830" s="3">
        <v>1.0</v>
      </c>
    </row>
    <row r="831" ht="15.75" customHeight="1">
      <c r="A831" s="1">
        <v>829.0</v>
      </c>
      <c r="B831" s="3" t="s">
        <v>832</v>
      </c>
      <c r="C831" s="3" t="str">
        <f>IFERROR(__xludf.DUMMYFUNCTION("GOOGLETRANSLATE(B831,""id"",""en"")"),"['UDH', 'Member', 'Sliver', 'Gold', 'Platinum', 'Diamond', 'It's',' That's', 'Signal', 'Stable', 'Subscriptions',' Udh ',' Males', 'deh']")</f>
        <v>['UDH', 'Member', 'Sliver', 'Gold', 'Platinum', 'Diamond', 'It's',' That's', 'Signal', 'Stable', 'Subscriptions',' Udh ',' Males', 'deh']</v>
      </c>
      <c r="D831" s="3">
        <v>1.0</v>
      </c>
    </row>
    <row r="832" ht="15.75" customHeight="1">
      <c r="A832" s="1">
        <v>830.0</v>
      </c>
      <c r="B832" s="3" t="s">
        <v>833</v>
      </c>
      <c r="C832" s="3" t="str">
        <f>IFERROR(__xludf.DUMMYFUNCTION("GOOGLETRANSLATE(B832,""id"",""en"")"),"['Telkomsel', 'buy', 'package', 'monthly', 'GB', 'information', 'TPI', 'right', 'already', 'bought', 'package', 'description', ' The day ',' Date ',' Purchase ',' GTU ',' MOTH ',' How ',' Please ',' Fix ',' Update ',' Credit ',' Like ',' Snadi ',' Sndiri "&amp;"' , 'fit', 'quota', 'internet', 'run out', 'pulse', 'run out', 'bru', 'appears',' notification ',' quota ',' internet ',' hbs', ' Internet ',' Non ',' Package ',' Nyedot ',' Credit ',' Search ',' Cuan ',' Gini ', ""]")</f>
        <v>['Telkomsel', 'buy', 'package', 'monthly', 'GB', 'information', 'TPI', 'right', 'already', 'bought', 'package', 'description', ' The day ',' Date ',' Purchase ',' GTU ',' MOTH ',' How ',' Please ',' Fix ',' Update ',' Credit ',' Like ',' Snadi ',' Sndiri ' , 'fit', 'quota', 'internet', 'run out', 'pulse', 'run out', 'bru', 'appears',' notification ',' quota ',' internet ',' hbs', ' Internet ',' Non ',' Package ',' Nyedot ',' Credit ',' Search ',' Cuan ',' Gini ', "]</v>
      </c>
      <c r="D832" s="3">
        <v>1.0</v>
      </c>
    </row>
    <row r="833" ht="15.75" customHeight="1">
      <c r="A833" s="1">
        <v>831.0</v>
      </c>
      <c r="B833" s="3" t="s">
        <v>834</v>
      </c>
      <c r="C833" s="3" t="str">
        <f>IFERROR(__xludf.DUMMYFUNCTION("GOOGLETRANSLATE(B833,""id"",""en"")"),"['buy', 'Package', 'Telkomsel', 'Good', 'Disappointed', 'Telkomsel', 'Week', 'Quota', 'SMS', 'Written', 'Rates',' Internet ',' Not ',' Package ',' Credit ',' Reduced ',' thousand ',' date ',' June ',' date ',' June ',' Total ',' pulse ',' reduced ',' thou"&amp;"sand ' , 'quota', 'internet', 'disappointed', 'Telkomsel', 'Krna', 'error', 'replacement', 'funds', 'Telkomsel', ""]")</f>
        <v>['buy', 'Package', 'Telkomsel', 'Good', 'Disappointed', 'Telkomsel', 'Week', 'Quota', 'SMS', 'Written', 'Rates',' Internet ',' Not ',' Package ',' Credit ',' Reduced ',' thousand ',' date ',' June ',' date ',' June ',' Total ',' pulse ',' reduced ',' thousand ' , 'quota', 'internet', 'disappointed', 'Telkomsel', 'Krna', 'error', 'replacement', 'funds', 'Telkomsel', "]</v>
      </c>
      <c r="D833" s="3">
        <v>2.0</v>
      </c>
    </row>
    <row r="834" ht="15.75" customHeight="1">
      <c r="A834" s="1">
        <v>832.0</v>
      </c>
      <c r="B834" s="3" t="s">
        <v>835</v>
      </c>
      <c r="C834" s="3" t="str">
        <f>IFERROR(__xludf.DUMMYFUNCTION("GOOGLETRANSLATE(B834,""id"",""en"")"),"['disappointing', 'purchase', 'package', 'difficult', 'process',' pulse ',' credit ',' lost ',' explanation ',' package ',' data ',' customer ',' Telkomsel ',' disappointing ',' ']")</f>
        <v>['disappointing', 'purchase', 'package', 'difficult', 'process',' pulse ',' credit ',' lost ',' explanation ',' package ',' data ',' customer ',' Telkomsel ',' disappointing ',' ']</v>
      </c>
      <c r="D834" s="3">
        <v>5.0</v>
      </c>
    </row>
    <row r="835" ht="15.75" customHeight="1">
      <c r="A835" s="1">
        <v>833.0</v>
      </c>
      <c r="B835" s="3" t="s">
        <v>836</v>
      </c>
      <c r="C835" s="3" t="str">
        <f>IFERROR(__xludf.DUMMYFUNCTION("GOOGLETRANSLATE(B835,""id"",""en"")"),"['Disappointed', 'Package', 'Buy', 'Lost', 'Find', 'Package', 'Suitable', 'Based', 'Location', 'Please', 'Fix', ""]")</f>
        <v>['Disappointed', 'Package', 'Buy', 'Lost', 'Find', 'Package', 'Suitable', 'Based', 'Location', 'Please', 'Fix', "]</v>
      </c>
      <c r="D835" s="3">
        <v>1.0</v>
      </c>
    </row>
    <row r="836" ht="15.75" customHeight="1">
      <c r="A836" s="1">
        <v>834.0</v>
      </c>
      <c r="B836" s="3" t="s">
        <v>837</v>
      </c>
      <c r="C836" s="3" t="str">
        <f>IFERROR(__xludf.DUMMYFUNCTION("GOOGLETRANSLATE(B836,""id"",""en"")"),"['contents', 'pulse', 'rb', 'condition', 'wifi', 'buy', 'package', 'data', 'open', 'application', 'stay', 'rb' Severe ',' Min ',' Rb ',' Where ',' Season ',' Very ',' Telkomsel ',' Credit ',' Suck ',' Many ',' Out ',' Pulse ',' Package ' , 'run out', 'kyk"&amp;"', 'provider', 'donk', 'run out', 'package', 'suck', 'pulse', 'kyk', 'drakula', 'run out', 'mulu', ' Credit ',' Sorry ',' Admin ',' Assessment ',' Honest ',' User ',' Telkomsel ',' ']")</f>
        <v>['contents', 'pulse', 'rb', 'condition', 'wifi', 'buy', 'package', 'data', 'open', 'application', 'stay', 'rb' Severe ',' Min ',' Rb ',' Where ',' Season ',' Very ',' Telkomsel ',' Credit ',' Suck ',' Many ',' Out ',' Pulse ',' Package ' , 'run out', 'kyk', 'provider', 'donk', 'run out', 'package', 'suck', 'pulse', 'kyk', 'drakula', 'run out', 'mulu', ' Credit ',' Sorry ',' Admin ',' Assessment ',' Honest ',' User ',' Telkomsel ',' ']</v>
      </c>
      <c r="D836" s="3">
        <v>1.0</v>
      </c>
    </row>
    <row r="837" ht="15.75" customHeight="1">
      <c r="A837" s="1">
        <v>835.0</v>
      </c>
      <c r="B837" s="3" t="s">
        <v>838</v>
      </c>
      <c r="C837" s="3" t="str">
        <f>IFERROR(__xludf.DUMMYFUNCTION("GOOGLETRANSLATE(B837,""id"",""en"")"),"['Need', 'Increase', 'Quality', 'Signal', 'Everything', 'Region', 'Network', 'Stable', 'Lost', 'Embossed', ""]")</f>
        <v>['Need', 'Increase', 'Quality', 'Signal', 'Everything', 'Region', 'Network', 'Stable', 'Lost', 'Embossed', "]</v>
      </c>
      <c r="D837" s="3">
        <v>4.0</v>
      </c>
    </row>
    <row r="838" ht="15.75" customHeight="1">
      <c r="A838" s="1">
        <v>836.0</v>
      </c>
      <c r="B838" s="3" t="s">
        <v>839</v>
      </c>
      <c r="C838" s="3" t="str">
        <f>IFERROR(__xludf.DUMMYFUNCTION("GOOGLETRANSLATE(B838,""id"",""en"")"),"['Internet', 'smooth', 'disappointing', 'package', 'internet', 'dependent', 'date', 'expiration', 'use', 'suggestion', 'package', 'bought', ' Date ',' expiration ',' the shortest ',' Operator ',' Next to ',' Loss', 'Customer', 'Buy', 'Package', 'Must', 'R"&amp;"emnant', 'Times',' Time ' , 'GB', 'keuang', 'gini', 'customer', 'replace', 'operator', '']")</f>
        <v>['Internet', 'smooth', 'disappointing', 'package', 'internet', 'dependent', 'date', 'expiration', 'use', 'suggestion', 'package', 'bought', ' Date ',' expiration ',' the shortest ',' Operator ',' Next to ',' Loss', 'Customer', 'Buy', 'Package', 'Must', 'Remnant', 'Times',' Time ' , 'GB', 'keuang', 'gini', 'customer', 'replace', 'operator', '']</v>
      </c>
      <c r="D838" s="3">
        <v>4.0</v>
      </c>
    </row>
    <row r="839" ht="15.75" customHeight="1">
      <c r="A839" s="1">
        <v>837.0</v>
      </c>
      <c r="B839" s="3" t="s">
        <v>840</v>
      </c>
      <c r="C839" s="3" t="str">
        <f>IFERROR(__xludf.DUMMYFUNCTION("GOOGLETRANSLATE(B839,""id"",""en"")"),"['Good', 'use', 'constraints',' package ',' quota ',' cheap ',' festive ',' help ',' really ',' lgsg ',' quota ',' free ',' ',' star ',' Telkomsel ',' You ',' know ',' number ',' right ',' you ',' know ',' what ',' mean ',' lottery ',' times' , 'already',"&amp;" 'Detinent', 'Points', 'Lottery', '']")</f>
        <v>['Good', 'use', 'constraints',' package ',' quota ',' cheap ',' festive ',' help ',' really ',' lgsg ',' quota ',' free ',' ',' star ',' Telkomsel ',' You ',' know ',' number ',' right ',' you ',' know ',' what ',' mean ',' lottery ',' times' , 'already', 'Detinent', 'Points', 'Lottery', '']</v>
      </c>
      <c r="D839" s="3">
        <v>5.0</v>
      </c>
    </row>
    <row r="840" ht="15.75" customHeight="1">
      <c r="A840" s="1">
        <v>838.0</v>
      </c>
      <c r="B840" s="3" t="s">
        <v>841</v>
      </c>
      <c r="C840" s="3" t="str">
        <f>IFERROR(__xludf.DUMMYFUNCTION("GOOGLETRANSLATE(B840,""id"",""en"")"),"['MyTelkomsel', 'owned', 'Indonesia', 'Country', 'Language', 'Application', 'Language', 'English', 'Wonder', 'Language', 'Unity', 'Indonesia', ' Owned ',' IMDONESI ']")</f>
        <v>['MyTelkomsel', 'owned', 'Indonesia', 'Country', 'Language', 'Application', 'Language', 'English', 'Wonder', 'Language', 'Unity', 'Indonesia', ' Owned ',' IMDONESI ']</v>
      </c>
      <c r="D840" s="3">
        <v>5.0</v>
      </c>
    </row>
    <row r="841" ht="15.75" customHeight="1">
      <c r="A841" s="1">
        <v>839.0</v>
      </c>
      <c r="B841" s="3" t="s">
        <v>842</v>
      </c>
      <c r="C841" s="3" t="str">
        <f>IFERROR(__xludf.DUMMYFUNCTION("GOOGLETRANSLATE(B841,""id"",""en"")"),"['Application', 'disappointing', 'transaction', 'night', 'managed', 'morning', 'try', 'selling', 'banana', 'fried', 'operator', 'bilak']")</f>
        <v>['Application', 'disappointing', 'transaction', 'night', 'managed', 'morning', 'try', 'selling', 'banana', 'fried', 'operator', 'bilak']</v>
      </c>
      <c r="D841" s="3">
        <v>1.0</v>
      </c>
    </row>
    <row r="842" ht="15.75" customHeight="1">
      <c r="A842" s="1">
        <v>840.0</v>
      </c>
      <c r="B842" s="3" t="s">
        <v>843</v>
      </c>
      <c r="C842" s="3" t="str">
        <f>IFERROR(__xludf.DUMMYFUNCTION("GOOGLETRANSLATE(B842,""id"",""en"")"),"['wonder', 'package', 'buy', 'package', 'Telkomsel', 'buy', 'week', 'package', 'unlimetid', 'buy', 'package', 'games',' Open ',' Open ',' Open ',' Games', 'Package', 'Want', 'Telkomsel', 'Sorry', 'Buy', 'The Kart', 'Package', 'Please', 'Confirmation' , 'T"&amp;"he network']")</f>
        <v>['wonder', 'package', 'buy', 'package', 'Telkomsel', 'buy', 'week', 'package', 'unlimetid', 'buy', 'package', 'games',' Open ',' Open ',' Open ',' Games', 'Package', 'Want', 'Telkomsel', 'Sorry', 'Buy', 'The Kart', 'Package', 'Please', 'Confirmation' , 'The network']</v>
      </c>
      <c r="D842" s="3">
        <v>1.0</v>
      </c>
    </row>
    <row r="843" ht="15.75" customHeight="1">
      <c r="A843" s="1">
        <v>841.0</v>
      </c>
      <c r="B843" s="3" t="s">
        <v>844</v>
      </c>
      <c r="C843" s="3" t="str">
        <f>IFERROR(__xludf.DUMMYFUNCTION("GOOGLETRANSLATE(B843,""id"",""en"")"),"['Telkomsel', 'cunning', 'consumers',' package ',' combo ',' Telkomsel ',' GB ',' price ',' Karna ',' Telkomsel ',' strategy ',' marketing ',' Where ',' Add ',' Price ',' Package ',' RB ',' Consumer ',' Buy ',' Credit ',' Karna ',' No ',' Category ',' Con"&amp;"tents', 'Credit' , 'counter', 'Alfamart', 'Gopay', 'Ovo', 'etc.', 'Telkomsel', 'prioritizes', 'profit', 'consumer', 'profit']")</f>
        <v>['Telkomsel', 'cunning', 'consumers',' package ',' combo ',' Telkomsel ',' GB ',' price ',' Karna ',' Telkomsel ',' strategy ',' marketing ',' Where ',' Add ',' Price ',' Package ',' RB ',' Consumer ',' Buy ',' Credit ',' Karna ',' No ',' Category ',' Contents', 'Credit' , 'counter', 'Alfamart', 'Gopay', 'Ovo', 'etc.', 'Telkomsel', 'prioritizes', 'profit', 'consumer', 'profit']</v>
      </c>
      <c r="D843" s="3">
        <v>1.0</v>
      </c>
    </row>
    <row r="844" ht="15.75" customHeight="1">
      <c r="A844" s="1">
        <v>842.0</v>
      </c>
      <c r="B844" s="3" t="s">
        <v>845</v>
      </c>
      <c r="C844" s="3" t="str">
        <f>IFERROR(__xludf.DUMMYFUNCTION("GOOGLETRANSLATE(B844,""id"",""en"")"),"['package', 'expensive', 'price', 'bulshitt', 'user', 'Telkomsel', 'already', 'Thun', 'win', 'signal', 'doang']")</f>
        <v>['package', 'expensive', 'price', 'bulshitt', 'user', 'Telkomsel', 'already', 'Thun', 'win', 'signal', 'doang']</v>
      </c>
      <c r="D844" s="3">
        <v>1.0</v>
      </c>
    </row>
    <row r="845" ht="15.75" customHeight="1">
      <c r="A845" s="1">
        <v>843.0</v>
      </c>
      <c r="B845" s="3" t="s">
        <v>846</v>
      </c>
      <c r="C845" s="3" t="str">
        <f>IFERROR(__xludf.DUMMYFUNCTION("GOOGLETRANSLATE(B845,""id"",""en"")"),"['at the time', 'Open', 'The application', 'number', 'Registered', 'Application', 'Login', 'reset', 'Season', 'Karna', 'The rest', 'smooth', ' Jaya ']")</f>
        <v>['at the time', 'Open', 'The application', 'number', 'Registered', 'Application', 'Login', 'reset', 'Season', 'Karna', 'The rest', 'smooth', ' Jaya ']</v>
      </c>
      <c r="D845" s="3">
        <v>5.0</v>
      </c>
    </row>
    <row r="846" ht="15.75" customHeight="1">
      <c r="A846" s="1">
        <v>844.0</v>
      </c>
      <c r="B846" s="3" t="s">
        <v>847</v>
      </c>
      <c r="C846" s="3" t="str">
        <f>IFERROR(__xludf.DUMMYFUNCTION("GOOGLETRANSLATE(B846,""id"",""en"")"),"['Severe', 'signal', 'sknrg', 'oath', 'kyak', 'dlu', 'dlu', 'mlem', 'speeding', 'network', 'lahh', 'skrng', ' astagfirullah ',' Ksini ',' like ',' Telkomsel ']")</f>
        <v>['Severe', 'signal', 'sknrg', 'oath', 'kyak', 'dlu', 'dlu', 'mlem', 'speeding', 'network', 'lahh', 'skrng', ' astagfirullah ',' Ksini ',' like ',' Telkomsel ']</v>
      </c>
      <c r="D846" s="3">
        <v>3.0</v>
      </c>
    </row>
    <row r="847" ht="15.75" customHeight="1">
      <c r="A847" s="1">
        <v>845.0</v>
      </c>
      <c r="B847" s="3" t="s">
        <v>848</v>
      </c>
      <c r="C847" s="3" t="str">
        <f>IFERROR(__xludf.DUMMYFUNCTION("GOOGLETRANSLATE(B847,""id"",""en"")"),"['Telkomsel', 'expensive', 'laden', 'division', 'choice', 'determination', 'zone', 'shift', 'price', 'change', 'according to', 'price', ' printed ',' choice ',' in ',' Indonesia ',' independent ',' people ',' communication ',' expensive ',' hopefully ',' "&amp;"glory ',' Telkomsel ',' bring ',' blessing ' , 'country', 'The people', '']")</f>
        <v>['Telkomsel', 'expensive', 'laden', 'division', 'choice', 'determination', 'zone', 'shift', 'price', 'change', 'according to', 'price', ' printed ',' choice ',' in ',' Indonesia ',' independent ',' people ',' communication ',' expensive ',' hopefully ',' glory ',' Telkomsel ',' bring ',' blessing ' , 'country', 'The people', '']</v>
      </c>
      <c r="D847" s="3">
        <v>4.0</v>
      </c>
    </row>
    <row r="848" ht="15.75" customHeight="1">
      <c r="A848" s="1">
        <v>846.0</v>
      </c>
      <c r="B848" s="3" t="s">
        <v>849</v>
      </c>
      <c r="C848" s="3" t="str">
        <f>IFERROR(__xludf.DUMMYFUNCTION("GOOGLETRANSLATE(B848,""id"",""en"")"),"['Disappointed', 'Talkomsel', 'already', 'Lady', 'Network', 'lag', 'lag', 'adeh', 'already', 'Telkomsel', 'already', 'tidah', ' Update ',' echo ',' card ',' Telkomsel ',' ']")</f>
        <v>['Disappointed', 'Talkomsel', 'already', 'Lady', 'Network', 'lag', 'lag', 'adeh', 'already', 'Telkomsel', 'already', 'tidah', ' Update ',' echo ',' card ',' Telkomsel ',' ']</v>
      </c>
      <c r="D848" s="3">
        <v>2.0</v>
      </c>
    </row>
    <row r="849" ht="15.75" customHeight="1">
      <c r="A849" s="1">
        <v>847.0</v>
      </c>
      <c r="B849" s="3" t="s">
        <v>850</v>
      </c>
      <c r="C849" s="3" t="str">
        <f>IFERROR(__xludf.DUMMYFUNCTION("GOOGLETRANSLATE(B849,""id"",""en"")"),"['Tlong', 'Sis',' Network ',' Telkomsel ',' Fix ',' JDI ',' Followers', 'Telkomsel', 'Kahir', 'Main', 'Game', 'Network', ' Stable ',' BLG ',' JLEK ',' Very ',' oath ',' cewa ',' SMA ',' Telkomsel ']")</f>
        <v>['Tlong', 'Sis',' Network ',' Telkomsel ',' Fix ',' JDI ',' Followers', 'Telkomsel', 'Kahir', 'Main', 'Game', 'Network', ' Stable ',' BLG ',' JLEK ',' Very ',' oath ',' cewa ',' SMA ',' Telkomsel ']</v>
      </c>
      <c r="D849" s="3">
        <v>2.0</v>
      </c>
    </row>
    <row r="850" ht="15.75" customHeight="1">
      <c r="A850" s="1">
        <v>848.0</v>
      </c>
      <c r="B850" s="3" t="s">
        <v>851</v>
      </c>
      <c r="C850" s="3" t="str">
        <f>IFERROR(__xludf.DUMMYFUNCTION("GOOGLETRANSLATE(B850,""id"",""en"")"),"['Network', 'bad', 'buy', 'quota', 'expensive', 'klu', 'result', 'ugly', 'right', 'rmh', 'telkomsel', 'signal', ' In the city ',' Lose ',' Network ',' Exix ',' Network ',' Change ',' Change ',' Network ',' That's', 'Signal', 'Telkomsel', 'Good', 'Pokonya'"&amp;" , 'Where', 'Network', 'Bad']")</f>
        <v>['Network', 'bad', 'buy', 'quota', 'expensive', 'klu', 'result', 'ugly', 'right', 'rmh', 'telkomsel', 'signal', ' In the city ',' Lose ',' Network ',' Exix ',' Network ',' Change ',' Change ',' Network ',' That's', 'Signal', 'Telkomsel', 'Good', 'Pokonya' , 'Where', 'Network', 'Bad']</v>
      </c>
      <c r="D850" s="3">
        <v>1.0</v>
      </c>
    </row>
    <row r="851" ht="15.75" customHeight="1">
      <c r="A851" s="1">
        <v>849.0</v>
      </c>
      <c r="B851" s="3" t="s">
        <v>852</v>
      </c>
      <c r="C851" s="3" t="str">
        <f>IFERROR(__xludf.DUMMYFUNCTION("GOOGLETRANSLATE(B851,""id"",""en"")"),"['Telkomsel', 'signal', 'ugly', 'package', 'cheap', 'ugly', 'signal', 'good', 'bankrupt', 'kah', 'telkom', 'gini', ' Move ',' Network ']")</f>
        <v>['Telkomsel', 'signal', 'ugly', 'package', 'cheap', 'ugly', 'signal', 'good', 'bankrupt', 'kah', 'telkom', 'gini', ' Move ',' Network ']</v>
      </c>
      <c r="D851" s="3">
        <v>1.0</v>
      </c>
    </row>
    <row r="852" ht="15.75" customHeight="1">
      <c r="A852" s="1">
        <v>850.0</v>
      </c>
      <c r="B852" s="3" t="s">
        <v>853</v>
      </c>
      <c r="C852" s="3" t="str">
        <f>IFERROR(__xludf.DUMMYFUNCTION("GOOGLETRANSLATE(B852,""id"",""en"")"),"['report', 'complaints',' the application ',' signal ',' Telkomsel ',' lost ',' ngellag ',' because ',' difficult ',' send ',' document ',' Subscribe ',' Telkomsel ',' sekrang ',' please ',' signal ',' fix ']")</f>
        <v>['report', 'complaints',' the application ',' signal ',' Telkomsel ',' lost ',' ngellag ',' because ',' difficult ',' send ',' document ',' Subscribe ',' Telkomsel ',' sekrang ',' please ',' signal ',' fix ']</v>
      </c>
      <c r="D852" s="3">
        <v>1.0</v>
      </c>
    </row>
    <row r="853" ht="15.75" customHeight="1">
      <c r="A853" s="1">
        <v>851.0</v>
      </c>
      <c r="B853" s="3" t="s">
        <v>854</v>
      </c>
      <c r="C853" s="3" t="str">
        <f>IFERROR(__xludf.DUMMYFUNCTION("GOOGLETRANSLATE(B853,""id"",""en"")"),"['Telkomsel', 'Severe', 'really', 'like', 'sucked', 'pulse', 'pulses',' use ',' reduced ',' Hadehhh ',' moved ',' provider ',' Sucked ',' pulses']")</f>
        <v>['Telkomsel', 'Severe', 'really', 'like', 'sucked', 'pulse', 'pulses',' use ',' reduced ',' Hadehhh ',' moved ',' provider ',' Sucked ',' pulses']</v>
      </c>
      <c r="D853" s="3">
        <v>1.0</v>
      </c>
    </row>
    <row r="854" ht="15.75" customHeight="1">
      <c r="A854" s="1">
        <v>852.0</v>
      </c>
      <c r="B854" s="3" t="s">
        <v>855</v>
      </c>
      <c r="C854" s="3" t="str">
        <f>IFERROR(__xludf.DUMMYFUNCTION("GOOGLETRANSLATE(B854,""id"",""en"")"),"['application', 'bad', 'times', 'pulses', 'regular', 'eat', 'run out', 'consequently', 'sucked', 'internet', 'package', 'because' Following ',' Program ',' Daily ',' Chekin ',' Application ',' Chekin ',' Reward ',' Claims', 'Direct', 'Enter', 'Notificatio"&amp;"n', 'Via', 'SMS' , 'Package', 'free', 'claim', 'ehh', 'package', 'internet', 'hit', 'pulse', 'regular', 'reward', 'the application', 'love', ' ']")</f>
        <v>['application', 'bad', 'times', 'pulses', 'regular', 'eat', 'run out', 'consequently', 'sucked', 'internet', 'package', 'because' Following ',' Program ',' Daily ',' Chekin ',' Application ',' Chekin ',' Reward ',' Claims', 'Direct', 'Enter', 'Notification', 'Via', 'SMS' , 'Package', 'free', 'claim', 'ehh', 'package', 'internet', 'hit', 'pulse', 'regular', 'reward', 'the application', 'love', ' ']</v>
      </c>
      <c r="D854" s="3">
        <v>1.0</v>
      </c>
    </row>
    <row r="855" ht="15.75" customHeight="1">
      <c r="A855" s="1">
        <v>853.0</v>
      </c>
      <c r="B855" s="3" t="s">
        <v>856</v>
      </c>
      <c r="C855" s="3" t="str">
        <f>IFERROR(__xludf.DUMMYFUNCTION("GOOGLETRANSLATE(B855,""id"",""en"")"),"['', 'Telkomsel', 'Login', 'Application', 'Game', 'Online', 'Direct', 'Drop', 'Signal', 'Strange', 'home', 'byu', 'signal ',' BYU ',' Normal ',' shrimp ',' stone ',' internal ',' enemy ',' blanket ',' company ',' Telkomsel ',' logout ',' signal ',' direct"&amp;"ly ', 'Normal', 'Sya', 'buy', 'quota', 'paki', 'money', 'emang', 'paki', 'play', 'game', 'online', 'mash', 'bnyak ',' Optator ',' card ',' sympathy ']")</f>
        <v>['', 'Telkomsel', 'Login', 'Application', 'Game', 'Online', 'Direct', 'Drop', 'Signal', 'Strange', 'home', 'byu', 'signal ',' BYU ',' Normal ',' shrimp ',' stone ',' internal ',' enemy ',' blanket ',' company ',' Telkomsel ',' logout ',' signal ',' directly ', 'Normal', 'Sya', 'buy', 'quota', 'paki', 'money', 'emang', 'paki', 'play', 'game', 'online', 'mash', 'bnyak ',' Optator ',' card ',' sympathy ']</v>
      </c>
      <c r="D855" s="3">
        <v>1.0</v>
      </c>
    </row>
    <row r="856" ht="15.75" customHeight="1">
      <c r="A856" s="1">
        <v>854.0</v>
      </c>
      <c r="B856" s="3" t="s">
        <v>857</v>
      </c>
      <c r="C856" s="3" t="str">
        <f>IFERROR(__xludf.DUMMYFUNCTION("GOOGLETRANSLATE(B856,""id"",""en"")"),"['Nge', 'lag', 'teroolooooooos',' Thank ',' You ',' Telkomsel ',' Nge ',' lag ',' Woyy ',' awareRr ',' tasty ',' quota ',' Expensive ',' Please ',' Fix ',' ']")</f>
        <v>['Nge', 'lag', 'teroolooooooos',' Thank ',' You ',' Telkomsel ',' Nge ',' lag ',' Woyy ',' awareRr ',' tasty ',' quota ',' Expensive ',' Please ',' Fix ',' ']</v>
      </c>
      <c r="D856" s="3">
        <v>1.0</v>
      </c>
    </row>
    <row r="857" ht="15.75" customHeight="1">
      <c r="A857" s="1">
        <v>855.0</v>
      </c>
      <c r="B857" s="3" t="s">
        <v>858</v>
      </c>
      <c r="C857" s="3" t="str">
        <f>IFERROR(__xludf.DUMMYFUNCTION("GOOGLETRANSLATE(B857,""id"",""en"")"),"['love', 'star', 'okay', 'ngak', 'okay', 'okay', 'person', 'won't be', 'disappointed', 'that's', 'bro']")</f>
        <v>['love', 'star', 'okay', 'ngak', 'okay', 'okay', 'person', 'won't be', 'disappointed', 'that's', 'bro']</v>
      </c>
      <c r="D857" s="3">
        <v>1.0</v>
      </c>
    </row>
    <row r="858" ht="15.75" customHeight="1">
      <c r="A858" s="1">
        <v>856.0</v>
      </c>
      <c r="B858" s="3" t="s">
        <v>859</v>
      </c>
      <c r="C858" s="3" t="str">
        <f>IFERROR(__xludf.DUMMYFUNCTION("GOOGLETRANSLATE(B858,""id"",""en"")"),"['buy', 'package', 'expensive', 'expensive', 'turn', 'already', 'packagein', 'the network', 'slow', 'forgiveness',' signal ',' strong ',' Then ',' Kayak ',' his net ',' oath ',' Season ',' Please ',' Telkomsel ',' already ',' buy ',' package ',' expensive"&amp;" ',' expensive ',' user ' , 'Telkomsel', 'switch', 'operator', 'kyak', 'gini', 'stengah', 'network', 'bad', 'bnget', 'originalii', 'parahh', 'yok', ' Yok ',' Switch ',' Operator ']")</f>
        <v>['buy', 'package', 'expensive', 'expensive', 'turn', 'already', 'packagein', 'the network', 'slow', 'forgiveness',' signal ',' strong ',' Then ',' Kayak ',' his net ',' oath ',' Season ',' Please ',' Telkomsel ',' already ',' buy ',' package ',' expensive ',' expensive ',' user ' , 'Telkomsel', 'switch', 'operator', 'kyak', 'gini', 'stengah', 'network', 'bad', 'bnget', 'originalii', 'parahh', 'yok', ' Yok ',' Switch ',' Operator ']</v>
      </c>
      <c r="D858" s="3">
        <v>1.0</v>
      </c>
    </row>
    <row r="859" ht="15.75" customHeight="1">
      <c r="A859" s="1">
        <v>857.0</v>
      </c>
      <c r="B859" s="3" t="s">
        <v>860</v>
      </c>
      <c r="C859" s="3" t="str">
        <f>IFERROR(__xludf.DUMMYFUNCTION("GOOGLETRANSLATE(B859,""id"",""en"")"),"['Feature', 'Menu', 'Application', 'Kuoata', 'Sometimes',' Disruption ',' Telkomsel ',' The Network ',' Please ',' Repaired ',' Karna ',' Telkomsel ',' according to ',' price ',' according to ',' quality ',' ']")</f>
        <v>['Feature', 'Menu', 'Application', 'Kuoata', 'Sometimes',' Disruption ',' Telkomsel ',' The Network ',' Please ',' Repaired ',' Karna ',' Telkomsel ',' according to ',' price ',' according to ',' quality ',' ']</v>
      </c>
      <c r="D859" s="3">
        <v>4.0</v>
      </c>
    </row>
    <row r="860" ht="15.75" customHeight="1">
      <c r="A860" s="1">
        <v>858.0</v>
      </c>
      <c r="B860" s="3" t="s">
        <v>861</v>
      </c>
      <c r="C860" s="3" t="str">
        <f>IFERROR(__xludf.DUMMYFUNCTION("GOOGLETRANSLATE(B860,""id"",""en"")"),"['Disappointed', 'Telkomsel', 'Quality', 'Network', 'Decreases', 'Switch', 'Card', 'Karna', 'Satisfied', 'Quality', 'Network', ""]")</f>
        <v>['Disappointed', 'Telkomsel', 'Quality', 'Network', 'Decreases', 'Switch', 'Card', 'Karna', 'Satisfied', 'Quality', 'Network', "]</v>
      </c>
      <c r="D860" s="3">
        <v>1.0</v>
      </c>
    </row>
    <row r="861" ht="15.75" customHeight="1">
      <c r="A861" s="1">
        <v>859.0</v>
      </c>
      <c r="B861" s="3" t="s">
        <v>862</v>
      </c>
      <c r="C861" s="3" t="str">
        <f>IFERROR(__xludf.DUMMYFUNCTION("GOOGLETRANSLATE(B861,""id"",""en"")"),"['loyal', 'use', 'Telkomsel', 'because', 'the network', 'good', 'disappointed', 'because of' the network ',' disorder ',' stable ',' dead ',' Lights', 'die', 'signal', 'Kyak', 'ttangga', 'Next to', 'comfortable', 'Lower', 'Rating', 'Switch', '']")</f>
        <v>['loyal', 'use', 'Telkomsel', 'because', 'the network', 'good', 'disappointed', 'because of' the network ',' disorder ',' stable ',' dead ',' Lights', 'die', 'signal', 'Kyak', 'ttangga', 'Next to', 'comfortable', 'Lower', 'Rating', 'Switch', '']</v>
      </c>
      <c r="D861" s="3">
        <v>2.0</v>
      </c>
    </row>
    <row r="862" ht="15.75" customHeight="1">
      <c r="A862" s="1">
        <v>860.0</v>
      </c>
      <c r="B862" s="3" t="s">
        <v>863</v>
      </c>
      <c r="C862" s="3" t="str">
        <f>IFERROR(__xludf.DUMMYFUNCTION("GOOGLETRANSLATE(B862,""id"",""en"")"),"['UDH', 'updated', 'TTP', 'Notif', 'Application', 'Stop', 'Application', 'Safe', 'Kayak', 'That's',' Updated ',' Until ',' UDH ',' updated ',' TTP ',' Litu ',' ']")</f>
        <v>['UDH', 'updated', 'TTP', 'Notif', 'Application', 'Stop', 'Application', 'Safe', 'Kayak', 'That's',' Updated ',' Until ',' UDH ',' updated ',' TTP ',' Litu ',' ']</v>
      </c>
      <c r="D862" s="3">
        <v>1.0</v>
      </c>
    </row>
    <row r="863" ht="15.75" customHeight="1">
      <c r="A863" s="1">
        <v>861.0</v>
      </c>
      <c r="B863" s="3" t="s">
        <v>864</v>
      </c>
      <c r="C863" s="3" t="str">
        <f>IFERROR(__xludf.DUMMYFUNCTION("GOOGLETRANSLATE(B863,""id"",""en"")"),"['Disappointed', 'Telkomsel', 'Dullu', 'understand', 'expensive', 'network', 'indo', 'price', 'expensive', 'network', 'lose', 'operator', ' Cheap ',' smooth ',' ']")</f>
        <v>['Disappointed', 'Telkomsel', 'Dullu', 'understand', 'expensive', 'network', 'indo', 'price', 'expensive', 'network', 'lose', 'operator', ' Cheap ',' smooth ',' ']</v>
      </c>
      <c r="D863" s="3">
        <v>1.0</v>
      </c>
    </row>
    <row r="864" ht="15.75" customHeight="1">
      <c r="A864" s="1">
        <v>862.0</v>
      </c>
      <c r="B864" s="3" t="s">
        <v>865</v>
      </c>
      <c r="C864" s="3" t="str">
        <f>IFERROR(__xludf.DUMMYFUNCTION("GOOGLETRANSLATE(B864,""id"",""en"")"),"['Fix', 'Network', 'Riau', 'Indragiri', 'Hulu', 'Lubuk', 'Stone', 'Jaya', 'Network', 'Bad', 'times',' Lost ',' network ',' users', 'Telkomsel', 'Ngeluh', 'World', 'Telkomsel', 'ugly', 'Network', 'Thank you', ""]")</f>
        <v>['Fix', 'Network', 'Riau', 'Indragiri', 'Hulu', 'Lubuk', 'Stone', 'Jaya', 'Network', 'Bad', 'times',' Lost ',' network ',' users', 'Telkomsel', 'Ngeluh', 'World', 'Telkomsel', 'ugly', 'Network', 'Thank you', "]</v>
      </c>
      <c r="D864" s="3">
        <v>1.0</v>
      </c>
    </row>
    <row r="865" ht="15.75" customHeight="1">
      <c r="A865" s="1">
        <v>863.0</v>
      </c>
      <c r="B865" s="3" t="s">
        <v>866</v>
      </c>
      <c r="C865" s="3" t="str">
        <f>IFERROR(__xludf.DUMMYFUNCTION("GOOGLETRANSLATE(B865,""id"",""en"")"),"['Disappointed', 'Telkomsel', 'Bener', 'chaotic', 'network', 'play', 'game', 'streaming', 'film', 'smooth', 'muter', 'price', ' quota ',' quality ',' internet ',' chance ',' mere ']")</f>
        <v>['Disappointed', 'Telkomsel', 'Bener', 'chaotic', 'network', 'play', 'game', 'streaming', 'film', 'smooth', 'muter', 'price', ' quota ',' quality ',' internet ',' chance ',' mere ']</v>
      </c>
      <c r="D865" s="3">
        <v>1.0</v>
      </c>
    </row>
    <row r="866" ht="15.75" customHeight="1">
      <c r="A866" s="1">
        <v>864.0</v>
      </c>
      <c r="B866" s="3" t="s">
        <v>867</v>
      </c>
      <c r="C866" s="3" t="str">
        <f>IFERROR(__xludf.DUMMYFUNCTION("GOOGLETRANSLATE(B866,""id"",""en"")"),"['Telkomsel', 'number', 'HRS', 'Open', 'Link', 'Anyway', 'TPI', 'Help', 'check', 'promo', 'cheap', ""]")</f>
        <v>['Telkomsel', 'number', 'HRS', 'Open', 'Link', 'Anyway', 'TPI', 'Help', 'check', 'promo', 'cheap', "]</v>
      </c>
      <c r="D866" s="3">
        <v>3.0</v>
      </c>
    </row>
    <row r="867" ht="15.75" customHeight="1">
      <c r="A867" s="1">
        <v>865.0</v>
      </c>
      <c r="B867" s="3" t="s">
        <v>868</v>
      </c>
      <c r="C867" s="3" t="str">
        <f>IFERROR(__xludf.DUMMYFUNCTION("GOOGLETRANSLATE(B867,""id"",""en"")"),"['Telkomsel', 'slow', 'disappointed', 'really', 'Telkomsel', 'moved', 'price', 'network', 'bad']")</f>
        <v>['Telkomsel', 'slow', 'disappointed', 'really', 'Telkomsel', 'moved', 'price', 'network', 'bad']</v>
      </c>
      <c r="D867" s="3">
        <v>1.0</v>
      </c>
    </row>
    <row r="868" ht="15.75" customHeight="1">
      <c r="A868" s="1">
        <v>866.0</v>
      </c>
      <c r="B868" s="3" t="s">
        <v>869</v>
      </c>
      <c r="C868" s="3" t="str">
        <f>IFERROR(__xludf.DUMMYFUNCTION("GOOGLETRANSLATE(B868,""id"",""en"")"),"['Woiii', 'Telkomsel', 'network', 'slow', 'woii', 'buy', 'package', 'expensive', 'expensive', 'woi', 'woi', 'hi', ' Buiii ',' PEUJEUT ',' Tub ',' Ureung ',' Gasin ',' Peugoet ',' Lage ',' Nyoe ',' Package ',' Meuhai ',' Network ',' Lage ',' ASE ' , 'Woiii"&amp;"', 'Woiii', ""]")</f>
        <v>['Woiii', 'Telkomsel', 'network', 'slow', 'woii', 'buy', 'package', 'expensive', 'expensive', 'woi', 'woi', 'hi', ' Buiii ',' PEUJEUT ',' Tub ',' Ureung ',' Gasin ',' Peugoet ',' Lage ',' Nyoe ',' Package ',' Meuhai ',' Network ',' Lage ',' ASE ' , 'Woiii', 'Woiii', "]</v>
      </c>
      <c r="D868" s="3">
        <v>1.0</v>
      </c>
    </row>
    <row r="869" ht="15.75" customHeight="1">
      <c r="A869" s="1">
        <v>867.0</v>
      </c>
      <c r="B869" s="3" t="s">
        <v>870</v>
      </c>
      <c r="C869" s="3" t="str">
        <f>IFERROR(__xludf.DUMMYFUNCTION("GOOGLETRANSLATE(B869,""id"",""en"")"),"['Come', 'Network', 'Bad', 'Lose', 'Provider', 'Package', 'Price', 'Expensive', 'Asked', 'Expect', 'Lemot', 'Ketulungan']")</f>
        <v>['Come', 'Network', 'Bad', 'Lose', 'Provider', 'Package', 'Price', 'Expensive', 'Asked', 'Expect', 'Lemot', 'Ketulungan']</v>
      </c>
      <c r="D869" s="3">
        <v>1.0</v>
      </c>
    </row>
    <row r="870" ht="15.75" customHeight="1">
      <c r="A870" s="1">
        <v>868.0</v>
      </c>
      <c r="B870" s="3" t="s">
        <v>871</v>
      </c>
      <c r="C870" s="3" t="str">
        <f>IFERROR(__xludf.DUMMYFUNCTION("GOOGLETRANSLATE(B870,""id"",""en"")"),"['quota', 'unlimited', 'price', 'omitted', 'difficult', 'person', 'person', 'poor', 'quota', 'telkomselll', 'severe', 'you', ' Upgradee ',' Salannnn ',' ']")</f>
        <v>['quota', 'unlimited', 'price', 'omitted', 'difficult', 'person', 'person', 'poor', 'quota', 'telkomselll', 'severe', 'you', ' Upgradee ',' Salannnn ',' ']</v>
      </c>
      <c r="D870" s="3">
        <v>1.0</v>
      </c>
    </row>
    <row r="871" ht="15.75" customHeight="1">
      <c r="A871" s="1">
        <v>869.0</v>
      </c>
      <c r="B871" s="3" t="s">
        <v>872</v>
      </c>
      <c r="C871" s="3" t="str">
        <f>IFERROR(__xludf.DUMMYFUNCTION("GOOGLETRANSLATE(B871,""id"",""en"")"),"['Here', 'APK', 'Telkomsel', 'Ribet', 'Network', 'Stable', 'Home', 'City', 'Good', 'Network', 'Disappointed', 'Telkomsel', ' Please 'repair']")</f>
        <v>['Here', 'APK', 'Telkomsel', 'Ribet', 'Network', 'Stable', 'Home', 'City', 'Good', 'Network', 'Disappointed', 'Telkomsel', ' Please 'repair']</v>
      </c>
      <c r="D871" s="3">
        <v>1.0</v>
      </c>
    </row>
    <row r="872" ht="15.75" customHeight="1">
      <c r="A872" s="1">
        <v>870.0</v>
      </c>
      <c r="B872" s="3" t="s">
        <v>873</v>
      </c>
      <c r="C872" s="3" t="str">
        <f>IFERROR(__xludf.DUMMYFUNCTION("GOOGLETRANSLATE(B872,""id"",""en"")"),"['subscription', 'Internet', 'depends', 'location', 'already', 'moved', 'tip', 'tip', 'kasi', 'packetan', 'that's', ""]")</f>
        <v>['subscription', 'Internet', 'depends', 'location', 'already', 'moved', 'tip', 'tip', 'kasi', 'packetan', 'that's', "]</v>
      </c>
      <c r="D872" s="3">
        <v>1.0</v>
      </c>
    </row>
    <row r="873" ht="15.75" customHeight="1">
      <c r="A873" s="1">
        <v>871.0</v>
      </c>
      <c r="B873" s="3" t="s">
        <v>874</v>
      </c>
      <c r="C873" s="3" t="str">
        <f>IFERROR(__xludf.DUMMYFUNCTION("GOOGLETRANSLATE(B873,""id"",""en"")"),"['subscription', 'quota', 'phone', 'minutes',' minute ',' left ',' written ',' written ',' notification ',' quota ',' telephone ',' run out ',' pulses', 'ties',' run out ']")</f>
        <v>['subscription', 'quota', 'phone', 'minutes',' minute ',' left ',' written ',' written ',' notification ',' quota ',' telephone ',' run out ',' pulses', 'ties',' run out ']</v>
      </c>
      <c r="D873" s="3">
        <v>1.0</v>
      </c>
    </row>
    <row r="874" ht="15.75" customHeight="1">
      <c r="A874" s="1">
        <v>872.0</v>
      </c>
      <c r="B874" s="3" t="s">
        <v>875</v>
      </c>
      <c r="C874" s="3" t="str">
        <f>IFERROR(__xludf.DUMMYFUNCTION("GOOGLETRANSLATE(B874,""id"",""en"")"),"['open', 'written', 'Load', 'reset', 'package', 'maxstrem', 'printed', 'situ', 'buy', 'package', 'maxstrem', 'buy', ' Package ',' Disappointed ']")</f>
        <v>['open', 'written', 'Load', 'reset', 'package', 'maxstrem', 'printed', 'situ', 'buy', 'package', 'maxstrem', 'buy', ' Package ',' Disappointed ']</v>
      </c>
      <c r="D874" s="3">
        <v>1.0</v>
      </c>
    </row>
    <row r="875" ht="15.75" customHeight="1">
      <c r="A875" s="1">
        <v>873.0</v>
      </c>
      <c r="B875" s="3" t="s">
        <v>876</v>
      </c>
      <c r="C875" s="3" t="str">
        <f>IFERROR(__xludf.DUMMYFUNCTION("GOOGLETRANSLATE(B875,""id"",""en"")"),"['Disappointed', 'Telkomsel', 'slow', 'forgiveness', 'already', 'subscription', 'signal', 'until', 'gini', 'move', 'operator']")</f>
        <v>['Disappointed', 'Telkomsel', 'slow', 'forgiveness', 'already', 'subscription', 'signal', 'until', 'gini', 'move', 'operator']</v>
      </c>
      <c r="D875" s="3">
        <v>2.0</v>
      </c>
    </row>
    <row r="876" ht="15.75" customHeight="1">
      <c r="A876" s="1">
        <v>874.0</v>
      </c>
      <c r="B876" s="3" t="s">
        <v>877</v>
      </c>
      <c r="C876" s="3" t="str">
        <f>IFERROR(__xludf.DUMMYFUNCTION("GOOGLETRANSLATE(B876,""id"",""en"")"),"['difficult', 'opened', 'update', 'update', 'appears',' the application ',' the application ',' open ',' Sis', 'how', 'contact', 'blank', ' A week ',' Where ',' access', '']")</f>
        <v>['difficult', 'opened', 'update', 'update', 'appears',' the application ',' the application ',' open ',' Sis', 'how', 'contact', 'blank', ' A week ',' Where ',' access', '']</v>
      </c>
      <c r="D876" s="3">
        <v>1.0</v>
      </c>
    </row>
    <row r="877" ht="15.75" customHeight="1">
      <c r="A877" s="1">
        <v>875.0</v>
      </c>
      <c r="B877" s="3" t="s">
        <v>878</v>
      </c>
      <c r="C877" s="3" t="str">
        <f>IFERROR(__xludf.DUMMYFUNCTION("GOOGLETRANSLATE(B877,""id"",""en"")"),"['Kasi', 'star', 'because', 'already', 'Points',' Exchange ',' Top ',' Top ',' Telkomsel ',' Check ',' Top ',' Game ',' That is all and thank you']")</f>
        <v>['Kasi', 'star', 'because', 'already', 'Points',' Exchange ',' Top ',' Top ',' Telkomsel ',' Check ',' Top ',' Game ',' That is all and thank you']</v>
      </c>
      <c r="D877" s="3">
        <v>3.0</v>
      </c>
    </row>
    <row r="878" ht="15.75" customHeight="1">
      <c r="A878" s="1">
        <v>876.0</v>
      </c>
      <c r="B878" s="3" t="s">
        <v>879</v>
      </c>
      <c r="C878" s="3" t="str">
        <f>IFERROR(__xludf.DUMMYFUNCTION("GOOGLETRANSLATE(B878,""id"",""en"")"),"['Treatment', 'Package', 'Easy', 'Please', 'Fix', 'Open', 'Application', 'User', 'Waiting', 'Loading', 'Loading', 'reset', ' conditions', 'network', 'signal', 'full']")</f>
        <v>['Treatment', 'Package', 'Easy', 'Please', 'Fix', 'Open', 'Application', 'User', 'Waiting', 'Loading', 'Loading', 'reset', ' conditions', 'network', 'signal', 'full']</v>
      </c>
      <c r="D878" s="3">
        <v>4.0</v>
      </c>
    </row>
    <row r="879" ht="15.75" customHeight="1">
      <c r="A879" s="1">
        <v>877.0</v>
      </c>
      <c r="B879" s="3" t="s">
        <v>880</v>
      </c>
      <c r="C879" s="3" t="str">
        <f>IFERROR(__xludf.DUMMYFUNCTION("GOOGLETRANSLATE(B879,""id"",""en"")"),"['Telkomsel', 'fed up', 'customers',' cheap ',' promo ',' package ',' internet ',' expensive ',' gini ',' mending ',' move ',' package ',' The internet ',' stable ',' no ',' Mulu ',' Kayak ',' Telkomsel ']")</f>
        <v>['Telkomsel', 'fed up', 'customers',' cheap ',' promo ',' package ',' internet ',' expensive ',' gini ',' mending ',' move ',' package ',' The internet ',' stable ',' no ',' Mulu ',' Kayak ',' Telkomsel ']</v>
      </c>
      <c r="D879" s="3">
        <v>1.0</v>
      </c>
    </row>
    <row r="880" ht="15.75" customHeight="1">
      <c r="A880" s="1">
        <v>878.0</v>
      </c>
      <c r="B880" s="3" t="s">
        <v>881</v>
      </c>
      <c r="C880" s="3" t="str">
        <f>IFERROR(__xludf.DUMMYFUNCTION("GOOGLETRANSLATE(B880,""id"",""en"")"),"['limit', 'reasonable', 'quota', 'application', 'run out', 'worn', 'adjustment', 'speed', 'internet', 'check', 'quota', 'buy', ' package ',' tsel ',' tsel ',' waaaaawwww ',' great ',' already ',' buy ',' package ',' unlimited ',' expensive ',' kyk ',' gin"&amp;"i ',' anjim ' , 'very']")</f>
        <v>['limit', 'reasonable', 'quota', 'application', 'run out', 'worn', 'adjustment', 'speed', 'internet', 'check', 'quota', 'buy', ' package ',' tsel ',' tsel ',' waaaaawwww ',' great ',' already ',' buy ',' package ',' unlimited ',' expensive ',' kyk ',' gini ',' anjim ' , 'very']</v>
      </c>
      <c r="D880" s="3">
        <v>1.0</v>
      </c>
    </row>
    <row r="881" ht="15.75" customHeight="1">
      <c r="A881" s="1">
        <v>879.0</v>
      </c>
      <c r="B881" s="3" t="s">
        <v>882</v>
      </c>
      <c r="C881" s="3" t="str">
        <f>IFERROR(__xludf.DUMMYFUNCTION("GOOGLETRANSLATE(B881,""id"",""en"")"),"['Family', 'Customer', 'Faithful', 'Telkomsel', 'Tawari', 'Switch', 'Card', 'Hello', 'Internet', 'Unlimited', 'Speed', 'Mbps',' crazy ',' disappointed ',' really ',' dipake ',' the network ',' changed ',' no ',' use ',' what ',' think ',' subscribe ',' ed"&amp;"it ',' sometimes' , 'like this']")</f>
        <v>['Family', 'Customer', 'Faithful', 'Telkomsel', 'Tawari', 'Switch', 'Card', 'Hello', 'Internet', 'Unlimited', 'Speed', 'Mbps',' crazy ',' disappointed ',' really ',' dipake ',' the network ',' changed ',' no ',' use ',' what ',' think ',' subscribe ',' edit ',' sometimes' , 'like this']</v>
      </c>
      <c r="D881" s="3">
        <v>2.0</v>
      </c>
    </row>
    <row r="882" ht="15.75" customHeight="1">
      <c r="A882" s="1">
        <v>880.0</v>
      </c>
      <c r="B882" s="3" t="s">
        <v>883</v>
      </c>
      <c r="C882" s="3" t="str">
        <f>IFERROR(__xludf.DUMMYFUNCTION("GOOGLETRANSLATE(B882,""id"",""en"")"),"['Telkomsel', 'bad', 'switch', 'card', 'because' expensive ',' network ',' stable ',' Sya ',' users ',' Telkomsel ',' many years ',' Disappointed ',' Telkomsel ',' Ingi ',' Switch ',' Card ',' Telkomsel ',' Friendly ',' ']")</f>
        <v>['Telkomsel', 'bad', 'switch', 'card', 'because' expensive ',' network ',' stable ',' Sya ',' users ',' Telkomsel ',' many years ',' Disappointed ',' Telkomsel ',' Ingi ',' Switch ',' Card ',' Telkomsel ',' Friendly ',' ']</v>
      </c>
      <c r="D882" s="3">
        <v>1.0</v>
      </c>
    </row>
    <row r="883" ht="15.75" customHeight="1">
      <c r="A883" s="1">
        <v>881.0</v>
      </c>
      <c r="B883" s="3" t="s">
        <v>884</v>
      </c>
      <c r="C883" s="3" t="str">
        <f>IFERROR(__xludf.DUMMYFUNCTION("GOOGLETRANSLATE(B883,""id"",""en"")"),"['Sent', 'Link', 'Enter', 'Telkomsel', 'Link', 'Invalid', 'Try', 'Time', 'LRBIH', 'Tete', 'Litu', 'Enter', ' telkomsel ',' that's', 'entry', 'bother', 'contents',' credit ',' telkomsel ',' already ',' complicated ',' expensive ',' obstacle ',' akhit ',' d"&amp;"isappointed ' , 'very']")</f>
        <v>['Sent', 'Link', 'Enter', 'Telkomsel', 'Link', 'Invalid', 'Try', 'Time', 'LRBIH', 'Tete', 'Litu', 'Enter', ' telkomsel ',' that's', 'entry', 'bother', 'contents',' credit ',' telkomsel ',' already ',' complicated ',' expensive ',' obstacle ',' akhit ',' disappointed ' , 'very']</v>
      </c>
      <c r="D883" s="3">
        <v>1.0</v>
      </c>
    </row>
    <row r="884" ht="15.75" customHeight="1">
      <c r="A884" s="1">
        <v>882.0</v>
      </c>
      <c r="B884" s="3" t="s">
        <v>885</v>
      </c>
      <c r="C884" s="3" t="str">
        <f>IFERROR(__xludf.DUMMYFUNCTION("GOOGLETRANSLATE(B884,""id"",""en"")"),"['signal', 'missing', 'telephone', 'regular', 'user', 'card', 'hello', 'facility', 'phone', 'minute', 'used', 'signal', ' Down ',' Telkomsel ',' Bill ']")</f>
        <v>['signal', 'missing', 'telephone', 'regular', 'user', 'card', 'hello', 'facility', 'phone', 'minute', 'used', 'signal', ' Down ',' Telkomsel ',' Bill ']</v>
      </c>
      <c r="D884" s="3">
        <v>2.0</v>
      </c>
    </row>
    <row r="885" ht="15.75" customHeight="1">
      <c r="A885" s="1">
        <v>883.0</v>
      </c>
      <c r="B885" s="3" t="s">
        <v>886</v>
      </c>
      <c r="C885" s="3" t="str">
        <f>IFERROR(__xludf.DUMMYFUNCTION("GOOGLETRANSLATE(B885,""id"",""en"")"),"['Knp', 'buy', 'pulse', 'quota', 'failure', 'trs',' the application ',' difficult ',' buy it ',' package ',' quota ',' please ',' Donk ',' buy ',' trs', 'card', 'Telkomsel', 'knp', 'ugly', 'gada', 'good', 'trs',' right ',' maen ',' game ' , 'Knp', 'like',"&amp;" 'break up', 'signal', 'change', 'card', 'Please']")</f>
        <v>['Knp', 'buy', 'pulse', 'quota', 'failure', 'trs',' the application ',' difficult ',' buy it ',' package ',' quota ',' please ',' Donk ',' buy ',' trs', 'card', 'Telkomsel', 'knp', 'ugly', 'gada', 'good', 'trs',' right ',' maen ',' game ' , 'Knp', 'like', 'break up', 'signal', 'change', 'card', 'Please']</v>
      </c>
      <c r="D885" s="3">
        <v>1.0</v>
      </c>
    </row>
    <row r="886" ht="15.75" customHeight="1">
      <c r="A886" s="1">
        <v>884.0</v>
      </c>
      <c r="B886" s="3" t="s">
        <v>887</v>
      </c>
      <c r="C886" s="3" t="str">
        <f>IFERROR(__xludf.DUMMYFUNCTION("GOOGLETRANSLATE(B886,""id"",""en"")"),"['Severe', 'felt', 'said', 'signal', 'stable', 'JD', 'MOTHING', 'Credit', 'Out', 'Claim', 'Bonus',' Internet ',' taunya ',' right ',' brought ',' road ',' signal ',' dropped ',' fit ',' see ',' sms', 'contents',' use ',' pulses', 'access' , 'Internet', 'a"&amp;"ccess',' internet ',' tariff ',' non ',' package ',' LGS ',' Buru ',' Matiin ',' Data ',' cellular ',' check ',' Remaining ',' Koutaa ',' wifi ',' msh ',' pulse ',' rban ',' changed ',' stay ',' rb ',' really ', ""]")</f>
        <v>['Severe', 'felt', 'said', 'signal', 'stable', 'JD', 'MOTHING', 'Credit', 'Out', 'Claim', 'Bonus',' Internet ',' taunya ',' right ',' brought ',' road ',' signal ',' dropped ',' fit ',' see ',' sms', 'contents',' use ',' pulses', 'access' , 'Internet', 'access',' internet ',' tariff ',' non ',' package ',' LGS ',' Buru ',' Matiin ',' Data ',' cellular ',' check ',' Remaining ',' Koutaa ',' wifi ',' msh ',' pulse ',' rban ',' changed ',' stay ',' rb ',' really ', "]</v>
      </c>
      <c r="D886" s="3">
        <v>2.0</v>
      </c>
    </row>
    <row r="887" ht="15.75" customHeight="1">
      <c r="A887" s="1">
        <v>885.0</v>
      </c>
      <c r="B887" s="3" t="s">
        <v>888</v>
      </c>
      <c r="C887" s="3" t="str">
        <f>IFERROR(__xludf.DUMMYFUNCTION("GOOGLETRANSLATE(B887,""id"",""en"")"),"['Application', 'Telkomsel', 'Posts', 'Application', 'Optimize', 'Cause', 'Please', 'Enlightenment', ""]")</f>
        <v>['Application', 'Telkomsel', 'Posts', 'Application', 'Optimize', 'Cause', 'Please', 'Enlightenment', "]</v>
      </c>
      <c r="D887" s="3">
        <v>5.0</v>
      </c>
    </row>
    <row r="888" ht="15.75" customHeight="1">
      <c r="A888" s="1">
        <v>886.0</v>
      </c>
      <c r="B888" s="3" t="s">
        <v>889</v>
      </c>
      <c r="C888" s="3" t="str">
        <f>IFERROR(__xludf.DUMMYFUNCTION("GOOGLETRANSLATE(B888,""id"",""en"")"),"['disappointed', 'price', 'expensive', 'GPP', 'network', 'bad', 'just', 'signal', 'play', 'game', 'red', 'signal', ' Haduhhh ', ""]")</f>
        <v>['disappointed', 'price', 'expensive', 'GPP', 'network', 'bad', 'just', 'signal', 'play', 'game', 'red', 'signal', ' Haduhhh ', "]</v>
      </c>
      <c r="D888" s="3">
        <v>1.0</v>
      </c>
    </row>
    <row r="889" ht="15.75" customHeight="1">
      <c r="A889" s="1">
        <v>887.0</v>
      </c>
      <c r="B889" s="3" t="s">
        <v>890</v>
      </c>
      <c r="C889" s="3" t="str">
        <f>IFERROR(__xludf.DUMMYFUNCTION("GOOGLETRANSLATE(B889,""id"",""en"")"),"['card', 'Tsel', 'Read', 'Bring', 'GraPARI', 'City', 'Stone', 'Data', 'PDHL', 'Card', 'DFTR', 'Nik', ' number ',' trdist ',' gojek ',' tidka ',' login ',' gojek ',' card ',' no ',' replace ',' card ',' operator ',' easy ',' Telkomsel ' , 'Provider', 'Pers"&amp;"ulit', 'account', 'Gojek', 'CIMB', 'Niaga', 'now', 'please', 'assisted', 'number', 'Persulit', 'person', ' ']")</f>
        <v>['card', 'Tsel', 'Read', 'Bring', 'GraPARI', 'City', 'Stone', 'Data', 'PDHL', 'Card', 'DFTR', 'Nik', ' number ',' trdist ',' gojek ',' tidka ',' login ',' gojek ',' card ',' no ',' replace ',' card ',' operator ',' easy ',' Telkomsel ' , 'Provider', 'Persulit', 'account', 'Gojek', 'CIMB', 'Niaga', 'now', 'please', 'assisted', 'number', 'Persulit', 'person', ' ']</v>
      </c>
      <c r="D889" s="3">
        <v>1.0</v>
      </c>
    </row>
    <row r="890" ht="15.75" customHeight="1">
      <c r="A890" s="1">
        <v>888.0</v>
      </c>
      <c r="B890" s="3" t="s">
        <v>891</v>
      </c>
      <c r="C890" s="3" t="str">
        <f>IFERROR(__xludf.DUMMYFUNCTION("GOOGLETRANSLATE(B890,""id"",""en"")"),"['Upset', 'App', 'HPus',' App ',' Enter ',' App ',' Difficult ',' Try ',' SMS ',' Has Bonnz ',' Mending ',' Move ',' package', '']")</f>
        <v>['Upset', 'App', 'HPus',' App ',' Enter ',' App ',' Difficult ',' Try ',' SMS ',' Has Bonnz ',' Mending ',' Move ',' package', '']</v>
      </c>
      <c r="D890" s="3">
        <v>1.0</v>
      </c>
    </row>
    <row r="891" ht="15.75" customHeight="1">
      <c r="A891" s="1">
        <v>889.0</v>
      </c>
      <c r="B891" s="3" t="s">
        <v>892</v>
      </c>
      <c r="C891" s="3" t="str">
        <f>IFERROR(__xludf.DUMMYFUNCTION("GOOGLETRANSLATE(B891,""id"",""en"")"),"['Application', 'Rich', 'Gini', 'Open', 'Telkomsel', 'Stuck', 'Finder', 'One', 'Play', 'Store', 'Crash', 'Force', ' Closed ',' intention ',' application ',' ']")</f>
        <v>['Application', 'Rich', 'Gini', 'Open', 'Telkomsel', 'Stuck', 'Finder', 'One', 'Play', 'Store', 'Crash', 'Force', ' Closed ',' intention ',' application ',' ']</v>
      </c>
      <c r="D891" s="3">
        <v>1.0</v>
      </c>
    </row>
    <row r="892" ht="15.75" customHeight="1">
      <c r="A892" s="1">
        <v>890.0</v>
      </c>
      <c r="B892" s="3" t="s">
        <v>893</v>
      </c>
      <c r="C892" s="3" t="str">
        <f>IFERROR(__xludf.DUMMYFUNCTION("GOOGLETRANSLATE(B892,""id"",""en"")"),"['Signal', 'Telkomsel', 'Region', 'Tegal', 'Flow', 'Kamal', 'Kalideres',' Bad ',' Quota ',' GB ',' Hour ',' Play ',' Game ',' online ',' mobile ',' Lagend ',' etc. ',' lag ',' please ',' repaired ', ""]")</f>
        <v>['Signal', 'Telkomsel', 'Region', 'Tegal', 'Flow', 'Kamal', 'Kalideres',' Bad ',' Quota ',' GB ',' Hour ',' Play ',' Game ',' online ',' mobile ',' Lagend ',' etc. ',' lag ',' please ',' repaired ', "]</v>
      </c>
      <c r="D892" s="3">
        <v>5.0</v>
      </c>
    </row>
    <row r="893" ht="15.75" customHeight="1">
      <c r="A893" s="1">
        <v>891.0</v>
      </c>
      <c r="B893" s="3" t="s">
        <v>894</v>
      </c>
      <c r="C893" s="3" t="str">
        <f>IFERROR(__xludf.DUMMYFUNCTION("GOOGLETRANSLATE(B893,""id"",""en"")"),"['The network', 'slow', 'rich', 'already', 'believe', 'ama', 'Telkomsel', 'buy', 'package', 'mending', 'cheap', 'slow']")</f>
        <v>['The network', 'slow', 'rich', 'already', 'believe', 'ama', 'Telkomsel', 'buy', 'package', 'mending', 'cheap', 'slow']</v>
      </c>
      <c r="D893" s="3">
        <v>1.0</v>
      </c>
    </row>
    <row r="894" ht="15.75" customHeight="1">
      <c r="A894" s="1">
        <v>892.0</v>
      </c>
      <c r="B894" s="3" t="s">
        <v>895</v>
      </c>
      <c r="C894" s="3" t="str">
        <f>IFERROR(__xludf.DUMMYFUNCTION("GOOGLETRANSLATE(B894,""id"",""en"")"),"['Message', 'SMS', 'Telkomsel', 'IDR', 'Get', 'quota', 'Thinking', 'YouTube', 'Unlimited', 'All Day', 'Watch', 'Unlimited', ' The limit ',' Giga ',' Speed ​​',' Activate ',' Tsel ',' Dununimited ',' Check ',' SMS ',' Fraud ',' Spam ',' ']")</f>
        <v>['Message', 'SMS', 'Telkomsel', 'IDR', 'Get', 'quota', 'Thinking', 'YouTube', 'Unlimited', 'All Day', 'Watch', 'Unlimited', ' The limit ',' Giga ',' Speed ​​',' Activate ',' Tsel ',' Dununimited ',' Check ',' SMS ',' Fraud ',' Spam ',' ']</v>
      </c>
      <c r="D894" s="3">
        <v>1.0</v>
      </c>
    </row>
    <row r="895" ht="15.75" customHeight="1">
      <c r="A895" s="1">
        <v>893.0</v>
      </c>
      <c r="B895" s="3" t="s">
        <v>896</v>
      </c>
      <c r="C895" s="3" t="str">
        <f>IFERROR(__xludf.DUMMYFUNCTION("GOOGLETRANSLATE(B895,""id"",""en"")"),"['Signal', 'Telkomsel', 'Bad', 'Region', 'City', 'Signal', 'Inland', 'Telfon', 'WhatsApp', 'Connect', 'Disconnect', ' Please ',' Fix ',' User ',' Telkomsel ',' Run ',' Network ',' Disappointing ',' Customer ']")</f>
        <v>['Signal', 'Telkomsel', 'Bad', 'Region', 'City', 'Signal', 'Inland', 'Telfon', 'WhatsApp', 'Connect', 'Disconnect', ' Please ',' Fix ',' User ',' Telkomsel ',' Run ',' Network ',' Disappointing ',' Customer ']</v>
      </c>
      <c r="D895" s="3">
        <v>1.0</v>
      </c>
    </row>
    <row r="896" ht="15.75" customHeight="1">
      <c r="A896" s="1">
        <v>894.0</v>
      </c>
      <c r="B896" s="3" t="s">
        <v>897</v>
      </c>
      <c r="C896" s="3" t="str">
        <f>IFERROR(__xludf.DUMMYFUNCTION("GOOGLETRANSLATE(B896,""id"",""en"")"),"['Please', 'Telkomsel', 'fix', 'connection', 'internet', 'card', 'sympathy', 'slow', 'difficult', 'student', 'pandemic', 'school', ' Following ',' Students', 'Requires',' Connection ',' Internet ',' Experience ',' Card ',' Sympathy ',' Bad ',' Sinyall ','"&amp;" Full ',' Lemot ',' Really ' , 'Gara', 'late', 'Collect', 'Task', 'Please', 'Fix', 'Connection', 'Island', 'Region', 'Madura', ""]")</f>
        <v>['Please', 'Telkomsel', 'fix', 'connection', 'internet', 'card', 'sympathy', 'slow', 'difficult', 'student', 'pandemic', 'school', ' Following ',' Students', 'Requires',' Connection ',' Internet ',' Experience ',' Card ',' Sympathy ',' Bad ',' Sinyall ',' Full ',' Lemot ',' Really ' , 'Gara', 'late', 'Collect', 'Task', 'Please', 'Fix', 'Connection', 'Island', 'Region', 'Madura', "]</v>
      </c>
      <c r="D896" s="3">
        <v>3.0</v>
      </c>
    </row>
    <row r="897" ht="15.75" customHeight="1">
      <c r="A897" s="1">
        <v>895.0</v>
      </c>
      <c r="B897" s="3" t="s">
        <v>898</v>
      </c>
      <c r="C897" s="3" t="str">
        <f>IFERROR(__xludf.DUMMYFUNCTION("GOOGLETRANSLATE(B897,""id"",""en"")"),"['Provider', 'Please', 'Play', 'MLBB', 'KNP', 'Signal', 'Red', 'Haaa', 'Provider', 'Expensive', 'Good', 'Main', ' Game ',' Network ',' Red ',' UDH ',' Buy ',' Expensive ',' Lost ',' Gara ',' Network ',' Doang ',' Kyk ',' Gini ',' Udh ' , 'Many', 'times', "&amp;"'Please', 'fix']")</f>
        <v>['Provider', 'Please', 'Play', 'MLBB', 'KNP', 'Signal', 'Red', 'Haaa', 'Provider', 'Expensive', 'Good', 'Main', ' Game ',' Network ',' Red ',' UDH ',' Buy ',' Expensive ',' Lost ',' Gara ',' Network ',' Doang ',' Kyk ',' Gini ',' Udh ' , 'Many', 'times', 'Please', 'fix']</v>
      </c>
      <c r="D897" s="3">
        <v>1.0</v>
      </c>
    </row>
    <row r="898" ht="15.75" customHeight="1">
      <c r="A898" s="1">
        <v>896.0</v>
      </c>
      <c r="B898" s="3" t="s">
        <v>899</v>
      </c>
      <c r="C898" s="3" t="str">
        <f>IFERROR(__xludf.DUMMYFUNCTION("GOOGLETRANSLATE(B898,""id"",""en"")"),"['pursuit', 'profit', 'level', 'satisfaction', 'customer', 'signal', 'good', 'die', 'lights',' signal ',' kmana ',' come ',' Telkomsel ',' Fix ',' BTS ',' Power ',' Reserve ',' ']")</f>
        <v>['pursuit', 'profit', 'level', 'satisfaction', 'customer', 'signal', 'good', 'die', 'lights',' signal ',' kmana ',' come ',' Telkomsel ',' Fix ',' BTS ',' Power ',' Reserve ',' ']</v>
      </c>
      <c r="D898" s="3">
        <v>2.0</v>
      </c>
    </row>
    <row r="899" ht="15.75" customHeight="1">
      <c r="A899" s="1">
        <v>897.0</v>
      </c>
      <c r="B899" s="3" t="s">
        <v>900</v>
      </c>
      <c r="C899" s="3" t="str">
        <f>IFERROR(__xludf.DUMMYFUNCTION("GOOGLETRANSLATE(B899,""id"",""en"")"),"['Telkomsel', 'era', 'pulse', 'chick', 'network', 'internet', 'package', 'data', 'fill', 'pulses',' chick ',' internet ',' Mending ',' Bye ',' Bye ',' ']")</f>
        <v>['Telkomsel', 'era', 'pulse', 'chick', 'network', 'internet', 'package', 'data', 'fill', 'pulses',' chick ',' internet ',' Mending ',' Bye ',' Bye ',' ']</v>
      </c>
      <c r="D899" s="3">
        <v>2.0</v>
      </c>
    </row>
    <row r="900" ht="15.75" customHeight="1">
      <c r="A900" s="1">
        <v>898.0</v>
      </c>
      <c r="B900" s="3" t="s">
        <v>901</v>
      </c>
      <c r="C900" s="3" t="str">
        <f>IFERROR(__xludf.DUMMYFUNCTION("GOOGLETRANSLATE(B900,""id"",""en"")"),"['already', 'loyal', 'Telkomsel', 'until', 'now', 'buy', 'package', 'Mahalan', 'little', 'gpp', 'pnting', 'internet', ' smoothly ',' koq ',' skrg ',' network ',' kek ',' asw ',' destroyed ',' right ',' network ',' down ',' ngilan ',' pngen ',' moved ' , '"&amp;"deh']")</f>
        <v>['already', 'loyal', 'Telkomsel', 'until', 'now', 'buy', 'package', 'Mahalan', 'little', 'gpp', 'pnting', 'internet', ' smoothly ',' koq ',' skrg ',' network ',' kek ',' asw ',' destroyed ',' right ',' network ',' down ',' ngilan ',' pngen ',' moved ' , 'deh']</v>
      </c>
      <c r="D900" s="3">
        <v>1.0</v>
      </c>
    </row>
    <row r="901" ht="15.75" customHeight="1">
      <c r="A901" s="1">
        <v>899.0</v>
      </c>
      <c r="B901" s="3" t="s">
        <v>902</v>
      </c>
      <c r="C901" s="3" t="str">
        <f>IFERROR(__xludf.DUMMYFUNCTION("GOOGLETRANSLATE(B901,""id"",""en"")"),"['buy', 'package', 'emergency', 'thousand', 'return', 'cut', 'pulse', 'charging', 'click', 'package', 'looks',' package ',' emergency ',' GB ',' price ',' thousand ',' cut ',' charging ',' pulse ',' pulse ',' thousand ',' run out ',' fill ',' thousand ','"&amp;" cut ' , 'thousand', 'return', 'credit', 'emergency', 'click', 'credit', 'emergency', 'emporting', 'thousand', 'times',' Rbu ',' his writing ',' Package ',' emergency ',' thousand ',' cut ',' charging ',' pulse ']")</f>
        <v>['buy', 'package', 'emergency', 'thousand', 'return', 'cut', 'pulse', 'charging', 'click', 'package', 'looks',' package ',' emergency ',' GB ',' price ',' thousand ',' cut ',' charging ',' pulse ',' pulse ',' thousand ',' run out ',' fill ',' thousand ',' cut ' , 'thousand', 'return', 'credit', 'emergency', 'click', 'credit', 'emergency', 'emporting', 'thousand', 'times',' Rbu ',' his writing ',' Package ',' emergency ',' thousand ',' cut ',' charging ',' pulse ']</v>
      </c>
      <c r="D901" s="3">
        <v>1.0</v>
      </c>
    </row>
    <row r="902" ht="15.75" customHeight="1">
      <c r="A902" s="1">
        <v>900.0</v>
      </c>
      <c r="B902" s="3" t="s">
        <v>903</v>
      </c>
      <c r="C902" s="3" t="str">
        <f>IFERROR(__xludf.DUMMYFUNCTION("GOOGLETRANSLATE(B902,""id"",""en"")"),"['', 'application', 'idiot', 'really', 'learn', 'deh', 'right', 'bigger', 'approve', 'application', 'defective', 'like', 'this way ',' ']")</f>
        <v>['', 'application', 'idiot', 'really', 'learn', 'deh', 'right', 'bigger', 'approve', 'application', 'defective', 'like', 'this way ',' ']</v>
      </c>
      <c r="D902" s="3">
        <v>1.0</v>
      </c>
    </row>
    <row r="903" ht="15.75" customHeight="1">
      <c r="A903" s="1">
        <v>901.0</v>
      </c>
      <c r="B903" s="3" t="s">
        <v>904</v>
      </c>
      <c r="C903" s="3" t="str">
        <f>IFERROR(__xludf.DUMMYFUNCTION("GOOGLETRANSLATE(B903,""id"",""en"")"),"['already', 'update', 'application', 'logo', 'yaa', 'logo', 'application', 'min', 'obstacle', 'kah', 'the application', ""]")</f>
        <v>['already', 'update', 'application', 'logo', 'yaa', 'logo', 'application', 'min', 'obstacle', 'kah', 'the application', "]</v>
      </c>
      <c r="D903" s="3">
        <v>3.0</v>
      </c>
    </row>
    <row r="904" ht="15.75" customHeight="1">
      <c r="A904" s="1">
        <v>902.0</v>
      </c>
      <c r="B904" s="3" t="s">
        <v>905</v>
      </c>
      <c r="C904" s="3" t="str">
        <f>IFERROR(__xludf.DUMMYFUNCTION("GOOGLETRANSLATE(B904,""id"",""en"")"),"['Aduuuh', 'Please', 'Benerin', 'Application', 'Disruption', 'Severe', 'Connect', 'Application', 'Kasi', 'Fund', 'Buy', 'Package', ' Data ',' please ']")</f>
        <v>['Aduuuh', 'Please', 'Benerin', 'Application', 'Disruption', 'Severe', 'Connect', 'Application', 'Kasi', 'Fund', 'Buy', 'Package', ' Data ',' please ']</v>
      </c>
      <c r="D904" s="3">
        <v>1.0</v>
      </c>
    </row>
    <row r="905" ht="15.75" customHeight="1">
      <c r="A905" s="1">
        <v>903.0</v>
      </c>
      <c r="B905" s="3" t="s">
        <v>906</v>
      </c>
      <c r="C905" s="3" t="str">
        <f>IFERROR(__xludf.DUMMYFUNCTION("GOOGLETRANSLATE(B905,""id"",""en"")"),"['quota', 'expensive', 'city', 'noon', 'kgak', 'wind', 'kgak', 'ujan', 'network', 'doang', 'quota', 'expensive', ' TPI ',' Provider ',' biggest ',' Indo ',' TPI ',' Network ',' slow ',' price ',' Doang ',' expensive ',' intention ',' Mending ',' Bangker '"&amp;" ]")</f>
        <v>['quota', 'expensive', 'city', 'noon', 'kgak', 'wind', 'kgak', 'ujan', 'network', 'doang', 'quota', 'expensive', ' TPI ',' Provider ',' biggest ',' Indo ',' TPI ',' Network ',' slow ',' price ',' Doang ',' expensive ',' intention ',' Mending ',' Bangker ' ]</v>
      </c>
      <c r="D905" s="3">
        <v>1.0</v>
      </c>
    </row>
    <row r="906" ht="15.75" customHeight="1">
      <c r="A906" s="1">
        <v>904.0</v>
      </c>
      <c r="B906" s="3" t="s">
        <v>907</v>
      </c>
      <c r="C906" s="3" t="str">
        <f>IFERROR(__xludf.DUMMYFUNCTION("GOOGLETRANSLATE(B906,""id"",""en"")"),"['Sya', 'price', 'expensive', 'telephone', 'quota', 'guarantee', 'satisfaction', 'user', 'network', 'scattered', 'broad', 'Indonesia', ' The network is', 'weak', ""]")</f>
        <v>['Sya', 'price', 'expensive', 'telephone', 'quota', 'guarantee', 'satisfaction', 'user', 'network', 'scattered', 'broad', 'Indonesia', ' The network is', 'weak', "]</v>
      </c>
      <c r="D906" s="3">
        <v>3.0</v>
      </c>
    </row>
    <row r="907" ht="15.75" customHeight="1">
      <c r="A907" s="1">
        <v>905.0</v>
      </c>
      <c r="B907" s="3" t="s">
        <v>908</v>
      </c>
      <c r="C907" s="3" t="str">
        <f>IFERROR(__xludf.DUMMYFUNCTION("GOOGLETRANSLATE(B907,""id"",""en"")"),"['Really', 'Terrible', 'You', 'Telkomsel', 'Take', 'Untung', 'Open', 'Application', 'MyTelkomsel', 'For a while', 'Minute', 'You', ' Cut ',' Buy ',' Package ',' Combo ',' Really ',' You ',' Telkomsel ', ""]")</f>
        <v>['Really', 'Terrible', 'You', 'Telkomsel', 'Take', 'Untung', 'Open', 'Application', 'MyTelkomsel', 'For a while', 'Minute', 'You', ' Cut ',' Buy ',' Package ',' Combo ',' Really ',' You ',' Telkomsel ', "]</v>
      </c>
      <c r="D907" s="3">
        <v>1.0</v>
      </c>
    </row>
    <row r="908" ht="15.75" customHeight="1">
      <c r="A908" s="1">
        <v>906.0</v>
      </c>
      <c r="B908" s="3" t="s">
        <v>909</v>
      </c>
      <c r="C908" s="3" t="str">
        <f>IFERROR(__xludf.DUMMYFUNCTION("GOOGLETRANSLATE(B908,""id"",""en"")"),"['customer', 'loyal', 'Telkomsel', 'Telkomsel', 'network', 'good', 'really', 'card', 'prime', 'sultan', 'ugly', 'really', ' the network ',' buy ',' package ',' data ',' GB ',' special ',' games', 'play', 'games',' please ',' return ',' Telkomsel ',' like "&amp;"' , 'The card', 'Sultan', 'Network', 'Best', 'Indonesia', ""]")</f>
        <v>['customer', 'loyal', 'Telkomsel', 'Telkomsel', 'network', 'good', 'really', 'card', 'prime', 'sultan', 'ugly', 'really', ' the network ',' buy ',' package ',' data ',' GB ',' special ',' games', 'play', 'games',' please ',' return ',' Telkomsel ',' like ' , 'The card', 'Sultan', 'Network', 'Best', 'Indonesia', "]</v>
      </c>
      <c r="D908" s="3">
        <v>1.0</v>
      </c>
    </row>
    <row r="909" ht="15.75" customHeight="1">
      <c r="A909" s="1">
        <v>907.0</v>
      </c>
      <c r="B909" s="3" t="s">
        <v>910</v>
      </c>
      <c r="C909" s="3" t="str">
        <f>IFERROR(__xludf.DUMMYFUNCTION("GOOGLETRANSLATE(B909,""id"",""en"")"),"['Disappointed', 'good', 'really', 'application', 'disappointing', 'opened', 'turn', 'downlot', 'login', 'MLL', 'Login', 'MLL', ' Open ',' Application ',' Disappointed ',' Application ',' Disappointed ',' Santalie ',' Internet ']")</f>
        <v>['Disappointed', 'good', 'really', 'application', 'disappointing', 'opened', 'turn', 'downlot', 'login', 'MLL', 'Login', 'MLL', ' Open ',' Application ',' Disappointed ',' Application ',' Disappointed ',' Santalie ',' Internet ']</v>
      </c>
      <c r="D909" s="3">
        <v>2.0</v>
      </c>
    </row>
    <row r="910" ht="15.75" customHeight="1">
      <c r="A910" s="1">
        <v>908.0</v>
      </c>
      <c r="B910" s="3" t="s">
        <v>911</v>
      </c>
      <c r="C910" s="3" t="str">
        <f>IFERROR(__xludf.DUMMYFUNCTION("GOOGLETRANSLATE(B910,""id"",""en"")"),"['Abis',' quota ',' cave ',' waste ',' card ',' ngepain ',' nge ',' disturbing ',' browsing ',' internet ',' internet ',' think ',' cave ',' boy ',' cave ',' buy ',' quota ',' ngatur ',' ngatur ',' money ',' money ',' cave ',' disappointed ',' cave ',' br"&amp;"owser ' , 'Block', 'Telkomsel']")</f>
        <v>['Abis',' quota ',' cave ',' waste ',' card ',' ngepain ',' nge ',' disturbing ',' browsing ',' internet ',' internet ',' think ',' cave ',' boy ',' cave ',' buy ',' quota ',' ngatur ',' ngatur ',' money ',' money ',' cave ',' disappointed ',' cave ',' browser ' , 'Block', 'Telkomsel']</v>
      </c>
      <c r="D910" s="3">
        <v>1.0</v>
      </c>
    </row>
    <row r="911" ht="15.75" customHeight="1">
      <c r="A911" s="1">
        <v>909.0</v>
      </c>
      <c r="B911" s="3" t="s">
        <v>912</v>
      </c>
      <c r="C911" s="3" t="str">
        <f>IFERROR(__xludf.DUMMYFUNCTION("GOOGLETRANSLATE(B911,""id"",""en"")"),"['Telkomsel', 'tissue', 'satisfying', 'ugly', 'unlimited', 'sosmed', 'slow', 'open', 'sosmed', 'smooth', 'please', 'repair', ' The network is', 'Karna', 'complaints',' hopefully ',' followed up ', ""]")</f>
        <v>['Telkomsel', 'tissue', 'satisfying', 'ugly', 'unlimited', 'sosmed', 'slow', 'open', 'sosmed', 'smooth', 'please', 'repair', ' The network is', 'Karna', 'complaints',' hopefully ',' followed up ', "]</v>
      </c>
      <c r="D911" s="3">
        <v>1.0</v>
      </c>
    </row>
    <row r="912" ht="15.75" customHeight="1">
      <c r="A912" s="1">
        <v>910.0</v>
      </c>
      <c r="B912" s="3" t="s">
        <v>913</v>
      </c>
      <c r="C912" s="3" t="str">
        <f>IFERROR(__xludf.DUMMYFUNCTION("GOOGLETRANSLATE(B912,""id"",""en"")"),"['chaotic', 'sympathy', 'meaning', 'number', 'grace', 'kaga', 'kaga', 'maen', 'death', 'right', 'already', 'fill', ' Credit ',' Package ',' Monthly ',' Number ',' Matiin ',' Confirm ',' Damn ']")</f>
        <v>['chaotic', 'sympathy', 'meaning', 'number', 'grace', 'kaga', 'kaga', 'maen', 'death', 'right', 'already', 'fill', ' Credit ',' Package ',' Monthly ',' Number ',' Matiin ',' Confirm ',' Damn ']</v>
      </c>
      <c r="D912" s="3">
        <v>1.0</v>
      </c>
    </row>
    <row r="913" ht="15.75" customHeight="1">
      <c r="A913" s="1">
        <v>911.0</v>
      </c>
      <c r="B913" s="3" t="s">
        <v>914</v>
      </c>
      <c r="C913" s="3" t="str">
        <f>IFERROR(__xludf.DUMMYFUNCTION("GOOGLETRANSLATE(B913,""id"",""en"")"),"['buy', 'pulse', 'get', 'BOKIS', 'really', 'min', 'download', 'application', 'dpet', 'pulse', 'gtu', 'hahaha', ' PINTER ',' BNET ',' strategy ',' marketing ',' here ',' severe ',' network ',' provider ',' order ',' reach ',' signal ',' Indonesia ',' TPI '"&amp;" , 'turn', 'enter', 'rural', 'ilang', 'signal', 'wkwkwk', 'MSA', 'lose', 'high school', 'provider', 'sequence', 'third', ' The network is', 'good', 'msalah', 'price', 'package', 'expensive', 'Loe', 'sell', 'I', 'buy', 'mah', 'kgak', 'pyah' , 'Telkom', 'sk"&amp;"rang', 'look for', 'luck', 'doang', '']")</f>
        <v>['buy', 'pulse', 'get', 'BOKIS', 'really', 'min', 'download', 'application', 'dpet', 'pulse', 'gtu', 'hahaha', ' PINTER ',' BNET ',' strategy ',' marketing ',' here ',' severe ',' network ',' provider ',' order ',' reach ',' signal ',' Indonesia ',' TPI ' , 'turn', 'enter', 'rural', 'ilang', 'signal', 'wkwkwk', 'MSA', 'lose', 'high school', 'provider', 'sequence', 'third', ' The network is', 'good', 'msalah', 'price', 'package', 'expensive', 'Loe', 'sell', 'I', 'buy', 'mah', 'kgak', 'pyah' , 'Telkom', 'skrang', 'look for', 'luck', 'doang', '']</v>
      </c>
      <c r="D913" s="3">
        <v>1.0</v>
      </c>
    </row>
    <row r="914" ht="15.75" customHeight="1">
      <c r="A914" s="1">
        <v>912.0</v>
      </c>
      <c r="B914" s="3" t="s">
        <v>915</v>
      </c>
      <c r="C914" s="3" t="str">
        <f>IFERROR(__xludf.DUMMYFUNCTION("GOOGLETRANSLATE(B914,""id"",""en"")"),"['times',' buy ',' pulse ',' package ',' Telkomsel ',' TPI ',' Tuhh ',' get ',' quota ',' free ',' GB ',' buy ',' pulses', 'Package', 'Telkomsel', 'get', 'quota', 'free', 'GB', 'MNA', 'quota', 'free', 'get', 'get', 'quota' , 'Free']")</f>
        <v>['times',' buy ',' pulse ',' package ',' Telkomsel ',' TPI ',' Tuhh ',' get ',' quota ',' free ',' GB ',' buy ',' pulses', 'Package', 'Telkomsel', 'get', 'quota', 'free', 'GB', 'MNA', 'quota', 'free', 'get', 'get', 'quota' , 'Free']</v>
      </c>
      <c r="D914" s="3">
        <v>3.0</v>
      </c>
    </row>
    <row r="915" ht="15.75" customHeight="1">
      <c r="A915" s="1">
        <v>913.0</v>
      </c>
      <c r="B915" s="3" t="s">
        <v>916</v>
      </c>
      <c r="C915" s="3" t="str">
        <f>IFERROR(__xludf.DUMMYFUNCTION("GOOGLETRANSLATE(B915,""id"",""en"")"),"['Apikasi', 'Error', 'Use', 'Minutes',' Notif ',' Application ',' Fast ',' Hot ',' Please ',' Repaired ',' Thank ',' Love ',' ']")</f>
        <v>['Apikasi', 'Error', 'Use', 'Minutes',' Notif ',' Application ',' Fast ',' Hot ',' Please ',' Repaired ',' Thank ',' Love ',' ']</v>
      </c>
      <c r="D915" s="3">
        <v>2.0</v>
      </c>
    </row>
    <row r="916" ht="15.75" customHeight="1">
      <c r="A916" s="1">
        <v>914.0</v>
      </c>
      <c r="B916" s="3" t="s">
        <v>917</v>
      </c>
      <c r="C916" s="3" t="str">
        <f>IFERROR(__xludf.DUMMYFUNCTION("GOOGLETRANSLATE(B916,""id"",""en"")"),"['Complain', 'Application', 'Bot', 'Select', 'Menu', 'Sapa', 'Customer', 'Service', 'Bot', 'Just', 'Thanks',' Julid ',' Customers', 'king', 'trivial', 'responsibility', 'provider', 'services',' consumers', 'yasudah', 'how', ""]")</f>
        <v>['Complain', 'Application', 'Bot', 'Select', 'Menu', 'Sapa', 'Customer', 'Service', 'Bot', 'Just', 'Thanks',' Julid ',' Customers', 'king', 'trivial', 'responsibility', 'provider', 'services',' consumers', 'yasudah', 'how', "]</v>
      </c>
      <c r="D916" s="3">
        <v>1.0</v>
      </c>
    </row>
    <row r="917" ht="15.75" customHeight="1">
      <c r="A917" s="1">
        <v>915.0</v>
      </c>
      <c r="B917" s="3" t="s">
        <v>918</v>
      </c>
      <c r="C917" s="3" t="str">
        <f>IFERROR(__xludf.DUMMYFUNCTION("GOOGLETRANSLATE(B917,""id"",""en"")"),"['Sorry', 'love', 'star', 'buy', 'package', 'internet', 'monthly', 'Telkomsel', 'GraPARI', 'closest', 'reason', 'card', ' Wait ',' minimal ',' please ',' Telkomsel ',' explanation ',' thank you ']")</f>
        <v>['Sorry', 'love', 'star', 'buy', 'package', 'internet', 'monthly', 'Telkomsel', 'GraPARI', 'closest', 'reason', 'card', ' Wait ',' minimal ',' please ',' Telkomsel ',' explanation ',' thank you ']</v>
      </c>
      <c r="D917" s="3">
        <v>5.0</v>
      </c>
    </row>
    <row r="918" ht="15.75" customHeight="1">
      <c r="A918" s="1">
        <v>916.0</v>
      </c>
      <c r="B918" s="3" t="s">
        <v>919</v>
      </c>
      <c r="C918" s="3" t="str">
        <f>IFERROR(__xludf.DUMMYFUNCTION("GOOGLETRANSLATE(B918,""id"",""en"")"),"['Telkomsel', 'ugly', 'signal', 'stingy', 'buy', 'quota', 'unlimited', 'thousand', 'price', 'quota', 'wonder', 'buy', ' Quota ',' Get ',' SMS ',' Fill ',' Credit ',' Buy ',' Quota ',' Enter ',' Enter ',' Telkomsel ',' SMS ',' Signal ',' Current ' , 'Awur'"&amp;", 'Akuran', 'Overcome', 'Telkomsel', 'Lonely', 'Interested', 'In the future']")</f>
        <v>['Telkomsel', 'ugly', 'signal', 'stingy', 'buy', 'quota', 'unlimited', 'thousand', 'price', 'quota', 'wonder', 'buy', ' Quota ',' Get ',' SMS ',' Fill ',' Credit ',' Buy ',' Quota ',' Enter ',' Enter ',' Telkomsel ',' SMS ',' Signal ',' Current ' , 'Awur', 'Akuran', 'Overcome', 'Telkomsel', 'Lonely', 'Interested', 'In the future']</v>
      </c>
      <c r="D918" s="3">
        <v>1.0</v>
      </c>
    </row>
    <row r="919" ht="15.75" customHeight="1">
      <c r="A919" s="1">
        <v>917.0</v>
      </c>
      <c r="B919" s="3" t="s">
        <v>920</v>
      </c>
      <c r="C919" s="3" t="str">
        <f>IFERROR(__xludf.DUMMYFUNCTION("GOOGLETRANSLATE(B919,""id"",""en"")"),"['in my opinion', 'card', 'class',' Telkomsel ',' slow ',' Karna ',' Telkomsel ',' users', 'card', 'proof', 'right', 'Kemah', ' difficult ',' signal ',' operator ',' dipake ',' signal ',' except ',' Telkomsel ',' get ',' bar ',' speed ',' Mbps', 'pretty',"&amp;" 'internet' , 'Operator', 'Joss', 'Increases', 'Telkom', ""]")</f>
        <v>['in my opinion', 'card', 'class',' Telkomsel ',' slow ',' Karna ',' Telkomsel ',' users', 'card', 'proof', 'right', 'Kemah', ' difficult ',' signal ',' operator ',' dipake ',' signal ',' except ',' Telkomsel ',' get ',' bar ',' speed ',' Mbps', 'pretty', 'internet' , 'Operator', 'Joss', 'Increases', 'Telkom', "]</v>
      </c>
      <c r="D919" s="3">
        <v>5.0</v>
      </c>
    </row>
    <row r="920" ht="15.75" customHeight="1">
      <c r="A920" s="1">
        <v>918.0</v>
      </c>
      <c r="B920" s="3" t="s">
        <v>921</v>
      </c>
      <c r="C920" s="3" t="str">
        <f>IFERROR(__xludf.DUMMYFUNCTION("GOOGLETRANSLATE(B920,""id"",""en"")"),"['prepaid', 'Telkomsel', 'smooth', 'already', 'chaotic', 'internet', 'chaotic', 'hope', 'change', 'post', 'pay', 'he knows',' Zonk ',' prepaid ',' number ',' ']")</f>
        <v>['prepaid', 'Telkomsel', 'smooth', 'already', 'chaotic', 'internet', 'chaotic', 'hope', 'change', 'post', 'pay', 'he knows',' Zonk ',' prepaid ',' number ',' ']</v>
      </c>
      <c r="D920" s="3">
        <v>1.0</v>
      </c>
    </row>
    <row r="921" ht="15.75" customHeight="1">
      <c r="A921" s="1">
        <v>919.0</v>
      </c>
      <c r="B921" s="3" t="s">
        <v>922</v>
      </c>
      <c r="C921" s="3" t="str">
        <f>IFERROR(__xludf.DUMMYFUNCTION("GOOGLETRANSLATE(B921,""id"",""en"")"),"['app', 'interesting', 'difficult', 'loading', 'pressed', 'button', 'back', 'home', 'app', 'as a result', 'click', 'reset', ' menu ',' menu ',' love ',' bid ',' right ',' clicked ',' error ',' promo ',' not ',' available ',' nge ',' prank ', ""]")</f>
        <v>['app', 'interesting', 'difficult', 'loading', 'pressed', 'button', 'back', 'home', 'app', 'as a result', 'click', 'reset', ' menu ',' menu ',' love ',' bid ',' right ',' clicked ',' error ',' promo ',' not ',' available ',' nge ',' prank ', "]</v>
      </c>
      <c r="D921" s="3">
        <v>1.0</v>
      </c>
    </row>
    <row r="922" ht="15.75" customHeight="1">
      <c r="A922" s="1">
        <v>920.0</v>
      </c>
      <c r="B922" s="3" t="s">
        <v>923</v>
      </c>
      <c r="C922" s="3" t="str">
        <f>IFERROR(__xludf.DUMMYFUNCTION("GOOGLETRANSLATE(B922,""id"",""en"")"),"['Telkomsel', 'Network', 'Leet', 'Mending', 'Change', 'Card', 'Credit', 'Lost', 'Eaten', 'Satan', ""]")</f>
        <v>['Telkomsel', 'Network', 'Leet', 'Mending', 'Change', 'Card', 'Credit', 'Lost', 'Eaten', 'Satan', "]</v>
      </c>
      <c r="D922" s="3">
        <v>1.0</v>
      </c>
    </row>
    <row r="923" ht="15.75" customHeight="1">
      <c r="A923" s="1">
        <v>921.0</v>
      </c>
      <c r="B923" s="3" t="s">
        <v>924</v>
      </c>
      <c r="C923" s="3" t="str">
        <f>IFERROR(__xludf.DUMMYFUNCTION("GOOGLETRANSLATE(B923,""id"",""en"")"),"['The application', 'heavy', 'really', 'just', 'try', 'tmn', 'because' curious ',' because ',' emng ',' tmn ',' heavy ',' Application ',' Suka ',' pressed ',' Sometimes', 'Slow', 'response', 'Sometimes',' Ngeheng ',' Sometimes', 'Screen', 'item', 'Anyway'"&amp;", 'Heavy' , 'deh', 'open', 'application', 'gatau', 'knp', 'open', 'myxl', 'smooth', 'jaya', 'obstacle', 'fix', 'karna', ' Like ',' KSL ',' Open ',' Kayak ',' Litu ']")</f>
        <v>['The application', 'heavy', 'really', 'just', 'try', 'tmn', 'because' curious ',' because ',' emng ',' tmn ',' heavy ',' Application ',' Suka ',' pressed ',' Sometimes', 'Slow', 'response', 'Sometimes',' Ngeheng ',' Sometimes', 'Screen', 'item', 'Anyway', 'Heavy' , 'deh', 'open', 'application', 'gatau', 'knp', 'open', 'myxl', 'smooth', 'jaya', 'obstacle', 'fix', 'karna', ' Like ',' KSL ',' Open ',' Kayak ',' Litu ']</v>
      </c>
      <c r="D923" s="3">
        <v>1.0</v>
      </c>
    </row>
    <row r="924" ht="15.75" customHeight="1">
      <c r="A924" s="1">
        <v>922.0</v>
      </c>
      <c r="B924" s="3" t="s">
        <v>925</v>
      </c>
      <c r="C924" s="3" t="str">
        <f>IFERROR(__xludf.DUMMYFUNCTION("GOOGLETRANSLATE(B924,""id"",""en"")"),"['Okay', 'Good', 'Developing', 'Appreciation', 'Lupain', 'Weak', 'Counted', 'City', 'Cimanggis', 'Depok', 'Javanese', 'West']")</f>
        <v>['Okay', 'Good', 'Developing', 'Appreciation', 'Lupain', 'Weak', 'Counted', 'City', 'Cimanggis', 'Depok', 'Javanese', 'West']</v>
      </c>
      <c r="D924" s="3">
        <v>1.0</v>
      </c>
    </row>
    <row r="925" ht="15.75" customHeight="1">
      <c r="A925" s="1">
        <v>923.0</v>
      </c>
      <c r="B925" s="3" t="s">
        <v>926</v>
      </c>
      <c r="C925" s="3" t="str">
        <f>IFERROR(__xludf.DUMMYFUNCTION("GOOGLETRANSLATE(B925,""id"",""en"")"),"['bad', 'Certurbing', 'Transaction', 'Banking', 'Credit', 'Enter', 'Balance', 'ATM', 'Cutting', 'Help', 'Written', 'Conquer', ' Transactions', 'proof', 'transactions',' banking ',' disappointed ',' Genesis', '']")</f>
        <v>['bad', 'Certurbing', 'Transaction', 'Banking', 'Credit', 'Enter', 'Balance', 'ATM', 'Cutting', 'Help', 'Written', 'Conquer', ' Transactions', 'proof', 'transactions',' banking ',' disappointed ',' Genesis', '']</v>
      </c>
      <c r="D925" s="3">
        <v>1.0</v>
      </c>
    </row>
    <row r="926" ht="15.75" customHeight="1">
      <c r="A926" s="1">
        <v>924.0</v>
      </c>
      <c r="B926" s="3" t="s">
        <v>927</v>
      </c>
      <c r="C926" s="3" t="str">
        <f>IFERROR(__xludf.DUMMYFUNCTION("GOOGLETRANSLATE(B926,""id"",""en"")"),"['Network', 'internet', 'card', 'Hello', 'severe', 'signal', 'full', 'speed', 'smartphone', 'realm', 'pro', 'ram', ' GB ',' according to ',' Dikanjiin ',' Offer ',' Consumer ',' Network ',' Internet ',' Fast ',' Read ',' News', 'Open', 'Shop', 'Online' , "&amp;"'slow', 'streaming', 'play', 'game', 'destroyed', 'severe', 'UDH', 'Hub', 'Customer', 'Care', 'repair', 'Tetep', ' destroyed ',' network ',' internet ',' pay ',' expensive ',' network ',' destroyed ', ""]")</f>
        <v>['Network', 'internet', 'card', 'Hello', 'severe', 'signal', 'full', 'speed', 'smartphone', 'realm', 'pro', 'ram', ' GB ',' according to ',' Dikanjiin ',' Offer ',' Consumer ',' Network ',' Internet ',' Fast ',' Read ',' News', 'Open', 'Shop', 'Online' , 'slow', 'streaming', 'play', 'game', 'destroyed', 'severe', 'UDH', 'Hub', 'Customer', 'Care', 'repair', 'Tetep', ' destroyed ',' network ',' internet ',' pay ',' expensive ',' network ',' destroyed ', "]</v>
      </c>
      <c r="D926" s="3">
        <v>1.0</v>
      </c>
    </row>
    <row r="927" ht="15.75" customHeight="1">
      <c r="A927" s="1">
        <v>925.0</v>
      </c>
      <c r="B927" s="3" t="s">
        <v>928</v>
      </c>
      <c r="C927" s="3" t="str">
        <f>IFERROR(__xludf.DUMMYFUNCTION("GOOGLETRANSLATE(B927,""id"",""en"")"),"['What', 'buy', 'pulse', 'buy', 'package', 'ADH', 'leftover', 'thousand', 'no', 'udh', 'that's',' package ',' Used ',' how ',' ']")</f>
        <v>['What', 'buy', 'pulse', 'buy', 'package', 'ADH', 'leftover', 'thousand', 'no', 'udh', 'that's',' package ',' Used ',' how ',' ']</v>
      </c>
      <c r="D927" s="3">
        <v>1.0</v>
      </c>
    </row>
    <row r="928" ht="15.75" customHeight="1">
      <c r="A928" s="1">
        <v>926.0</v>
      </c>
      <c r="B928" s="3" t="s">
        <v>929</v>
      </c>
      <c r="C928" s="3" t="str">
        <f>IFERROR(__xludf.DUMMYFUNCTION("GOOGLETRANSLATE(B928,""id"",""en"")"),"['', 'proud', 'wear', 'Telkomsel', 'signal', 'good', 'package', 'internet', 'affordable', 'mainy', 'top', 'Telkomsel', 'advanced ',' Telkomsel ']")</f>
        <v>['', 'proud', 'wear', 'Telkomsel', 'signal', 'good', 'package', 'internet', 'affordable', 'mainy', 'top', 'Telkomsel', 'advanced ',' Telkomsel ']</v>
      </c>
      <c r="D928" s="3">
        <v>5.0</v>
      </c>
    </row>
    <row r="929" ht="15.75" customHeight="1">
      <c r="A929" s="1">
        <v>927.0</v>
      </c>
      <c r="B929" s="3" t="s">
        <v>930</v>
      </c>
      <c r="C929" s="3" t="str">
        <f>IFERROR(__xludf.DUMMYFUNCTION("GOOGLETRANSLATE(B929,""id"",""en"")"),"['comment', 'deleted', 'original', 'slow', 'times',' daera ',' my house ',' play ',' broken ',' open ',' status', 'Mutar', ' Mulu ',' uda ',' yrs', 'kyk', 'gini', 'good', 'please', 'fix', 'city', 'binjai', 'kec', 'binjai', 'east' , 'kel', 'Mend', 'Jln', '"&amp;"Merak', 'Sumatran', 'North', 'Hopefully', 'Fast', 'Fix', '']")</f>
        <v>['comment', 'deleted', 'original', 'slow', 'times',' daera ',' my house ',' play ',' broken ',' open ',' status', 'Mutar', ' Mulu ',' uda ',' yrs', 'kyk', 'gini', 'good', 'please', 'fix', 'city', 'binjai', 'kec', 'binjai', 'east' , 'kel', 'Mend', 'Jln', 'Merak', 'Sumatran', 'North', 'Hopefully', 'Fast', 'Fix', '']</v>
      </c>
      <c r="D929" s="3">
        <v>1.0</v>
      </c>
    </row>
    <row r="930" ht="15.75" customHeight="1">
      <c r="A930" s="1">
        <v>928.0</v>
      </c>
      <c r="B930" s="3" t="s">
        <v>931</v>
      </c>
      <c r="C930" s="3" t="str">
        <f>IFERROR(__xludf.DUMMYFUNCTION("GOOGLETRANSLATE(B930,""id"",""en"")"),"['signal', 'down', 'play', 'game', 'ping', 'disappointing', 'sorry', 'edit', 'star', 'Thanks']")</f>
        <v>['signal', 'down', 'play', 'game', 'ping', 'disappointing', 'sorry', 'edit', 'star', 'Thanks']</v>
      </c>
      <c r="D930" s="3">
        <v>1.0</v>
      </c>
    </row>
    <row r="931" ht="15.75" customHeight="1">
      <c r="A931" s="1">
        <v>929.0</v>
      </c>
      <c r="B931" s="3" t="s">
        <v>932</v>
      </c>
      <c r="C931" s="3" t="str">
        <f>IFERROR(__xludf.DUMMYFUNCTION("GOOGLETRANSLATE(B931,""id"",""en"")"),"['just', 'buy', 'package', 'internet', 'youtube', 'unlimited', 'active', 'trick', 'please', 'return', 'money']")</f>
        <v>['just', 'buy', 'package', 'internet', 'youtube', 'unlimited', 'active', 'trick', 'please', 'return', 'money']</v>
      </c>
      <c r="D931" s="3">
        <v>1.0</v>
      </c>
    </row>
    <row r="932" ht="15.75" customHeight="1">
      <c r="A932" s="1">
        <v>930.0</v>
      </c>
      <c r="B932" s="3" t="s">
        <v>933</v>
      </c>
      <c r="C932" s="3" t="str">
        <f>IFERROR(__xludf.DUMMYFUNCTION("GOOGLETRANSLATE(B932,""id"",""en"")"),"['Please', 'Addin', 'Features',' Lock ',' Credit ',' Credit ',' Careless', 'Data', 'Life', 'Like', 'Lost', 'Then', ' right ',' entry ',' the application ',' live ',' data ',' gaa ',' entry ',' data ',' life ',' mulu ',' right ',' already ',' entered ' , '"&amp;"Maketin', 'already', 'reduced', 'pulses', 'please', 'admin', 'make it', 'feature']")</f>
        <v>['Please', 'Addin', 'Features',' Lock ',' Credit ',' Credit ',' Careless', 'Data', 'Life', 'Like', 'Lost', 'Then', ' right ',' entry ',' the application ',' live ',' data ',' gaa ',' entry ',' data ',' life ',' mulu ',' right ',' already ',' entered ' , 'Maketin', 'already', 'reduced', 'pulses', 'please', 'admin', 'make it', 'feature']</v>
      </c>
      <c r="D932" s="3">
        <v>3.0</v>
      </c>
    </row>
    <row r="933" ht="15.75" customHeight="1">
      <c r="A933" s="1">
        <v>931.0</v>
      </c>
      <c r="B933" s="3" t="s">
        <v>934</v>
      </c>
      <c r="C933" s="3" t="str">
        <f>IFERROR(__xludf.DUMMYFUNCTION("GOOGLETRANSLATE(B933,""id"",""en"")"),"['Disappointed', 'Telkomsel', 'Network', 'Already', 'Hello', 'Prepaid', 'Nunggak', 'Browsing', 'Leet', 'Worth', 'Fix', 'Disappointing', ' Customers', 'Telkomsel']")</f>
        <v>['Disappointed', 'Telkomsel', 'Network', 'Already', 'Hello', 'Prepaid', 'Nunggak', 'Browsing', 'Leet', 'Worth', 'Fix', 'Disappointing', ' Customers', 'Telkomsel']</v>
      </c>
      <c r="D933" s="3">
        <v>1.0</v>
      </c>
    </row>
    <row r="934" ht="15.75" customHeight="1">
      <c r="A934" s="1">
        <v>932.0</v>
      </c>
      <c r="B934" s="3" t="s">
        <v>935</v>
      </c>
      <c r="C934" s="3" t="str">
        <f>IFERROR(__xludf.DUMMYFUNCTION("GOOGLETRANSLATE(B934,""id"",""en"")"),"['Please', 'Fix', 'Credit', 'Cut "",' Tampa ',' Notice ',' Please ',' Fix ',' User ',' Satisfied ',' Please ',' His Respond ',' Application ',' Uninstall ',' Karna ',' Disappointing ',' Fix ',' Comment ',' User ',' Good ',' Install ']")</f>
        <v>['Please', 'Fix', 'Credit', 'Cut ",' Tampa ',' Notice ',' Please ',' Fix ',' User ',' Satisfied ',' Please ',' His Respond ',' Application ',' Uninstall ',' Karna ',' Disappointing ',' Fix ',' Comment ',' User ',' Good ',' Install ']</v>
      </c>
      <c r="D934" s="3">
        <v>4.0</v>
      </c>
    </row>
    <row r="935" ht="15.75" customHeight="1">
      <c r="A935" s="1">
        <v>933.0</v>
      </c>
      <c r="B935" s="3" t="s">
        <v>936</v>
      </c>
      <c r="C935" s="3" t="str">
        <f>IFERROR(__xludf.DUMMYFUNCTION("GOOGLETRANSLATE(B935,""id"",""en"")"),"['Region', 'Cianjur', 'District', 'Bojongpicung', 'Village', 'Jati', 'Bad', 'Network', 'WIFFI', 'Network', 'Performing', 'Fix']")</f>
        <v>['Region', 'Cianjur', 'District', 'Bojongpicung', 'Village', 'Jati', 'Bad', 'Network', 'WIFFI', 'Network', 'Performing', 'Fix']</v>
      </c>
      <c r="D935" s="3">
        <v>2.0</v>
      </c>
    </row>
    <row r="936" ht="15.75" customHeight="1">
      <c r="A936" s="1">
        <v>934.0</v>
      </c>
      <c r="B936" s="3" t="s">
        <v>937</v>
      </c>
      <c r="C936" s="3" t="str">
        <f>IFERROR(__xludf.DUMMYFUNCTION("GOOGLETRANSLATE(B936,""id"",""en"")"),"['Package', 'Quota', 'Learning', 'Delete', 'Package', 'Internet', 'Unlimited', 'Sosmed', 'Limit', 'Unlimited', 'Litu', 'Move', ' Gini ',' Student ',' Need ',' Quota ',' Pandemic ',' Habits', 'Tsel', 'User', 'Increases',' Removal ',' Reduction ',' Package "&amp;"',' Quota ' , 'Internet', 'quality', 'network', 'decreases', 'week', 'area', 'home', 'darling', 'full', 'mala', 'point', ""]")</f>
        <v>['Package', 'Quota', 'Learning', 'Delete', 'Package', 'Internet', 'Unlimited', 'Sosmed', 'Limit', 'Unlimited', 'Litu', 'Move', ' Gini ',' Student ',' Need ',' Quota ',' Pandemic ',' Habits', 'Tsel', 'User', 'Increases',' Removal ',' Reduction ',' Package ',' Quota ' , 'Internet', 'quality', 'network', 'decreases', 'week', 'area', 'home', 'darling', 'full', 'mala', 'point', "]</v>
      </c>
      <c r="D936" s="3">
        <v>1.0</v>
      </c>
    </row>
    <row r="937" ht="15.75" customHeight="1">
      <c r="A937" s="1">
        <v>935.0</v>
      </c>
      <c r="B937" s="3" t="s">
        <v>938</v>
      </c>
      <c r="C937" s="3" t="str">
        <f>IFERROR(__xludf.DUMMYFUNCTION("GOOGLETRANSLATE(B937,""id"",""en"")"),"['The application', 'good', 'dear', 'buy', 'package', 'expensive', 'bangat', 'kayak', 'indosat', 'expensive', 'really', 'Telkomsel', ' cheap ',' package ',' expensive ',' sequence ',' love ',' star ',' run out ',' disappointed ',' see ',' price ',' buy ',"&amp;"' package ']")</f>
        <v>['The application', 'good', 'dear', 'buy', 'package', 'expensive', 'bangat', 'kayak', 'indosat', 'expensive', 'really', 'Telkomsel', ' cheap ',' package ',' expensive ',' sequence ',' love ',' star ',' run out ',' disappointed ',' see ',' price ',' buy ',' package ']</v>
      </c>
      <c r="D937" s="3">
        <v>1.0</v>
      </c>
    </row>
    <row r="938" ht="15.75" customHeight="1">
      <c r="A938" s="1">
        <v>936.0</v>
      </c>
      <c r="B938" s="3" t="s">
        <v>939</v>
      </c>
      <c r="C938" s="3" t="str">
        <f>IFERROR(__xludf.DUMMYFUNCTION("GOOGLETRANSLATE(B938,""id"",""en"")"),"['Telkomsel', 'out', 'Ujan', 'slow', 'buy', 'package', 'RbU', 'game', 'smooth', 'gatau', 'slow', 'network', ' Extensive ',' Severe ',' Fix ',' Mind ',' Different ',' Rich ',' Get ',' Credit ',' Package ',' Data ',' Free ',' Fill ',' Credit ' , 'thousand',"&amp;" 'already', 'get', 'free', 'Kouta', 'data', 'buy', 'package', 'expensive', 'buy', 'pls',' expensive ',' Get ']")</f>
        <v>['Telkomsel', 'out', 'Ujan', 'slow', 'buy', 'package', 'RbU', 'game', 'smooth', 'gatau', 'slow', 'network', ' Extensive ',' Severe ',' Fix ',' Mind ',' Different ',' Rich ',' Get ',' Credit ',' Package ',' Data ',' Free ',' Fill ',' Credit ' , 'thousand', 'already', 'get', 'free', 'Kouta', 'data', 'buy', 'package', 'expensive', 'buy', 'pls',' expensive ',' Get ']</v>
      </c>
      <c r="D938" s="3">
        <v>1.0</v>
      </c>
    </row>
    <row r="939" ht="15.75" customHeight="1">
      <c r="A939" s="1">
        <v>937.0</v>
      </c>
      <c r="B939" s="3" t="s">
        <v>940</v>
      </c>
      <c r="C939" s="3" t="str">
        <f>IFERROR(__xludf.DUMMYFUNCTION("GOOGLETRANSLATE(B939,""id"",""en"")"),"['Maintain', 'Network', 'Rich', 'Gini', 'Please', 'Developer', 'Fix', 'Network', 'Developer', 'Survives',' Customer ',' quota ',' network ',' what ',' quota ',' yesterday ',' lost ',' kepakai ',' quota ',' network ',' how ',' rich ',' gini ',' kah ',' ple"&amp;"ase ' , 'Upgrade', 'Network']")</f>
        <v>['Maintain', 'Network', 'Rich', 'Gini', 'Please', 'Developer', 'Fix', 'Network', 'Developer', 'Survives',' Customer ',' quota ',' network ',' what ',' quota ',' yesterday ',' lost ',' kepakai ',' quota ',' network ',' how ',' rich ',' gini ',' kah ',' please ' , 'Upgrade', 'Network']</v>
      </c>
      <c r="D939" s="3">
        <v>1.0</v>
      </c>
    </row>
    <row r="940" ht="15.75" customHeight="1">
      <c r="A940" s="1">
        <v>938.0</v>
      </c>
      <c r="B940" s="3" t="s">
        <v>941</v>
      </c>
      <c r="C940" s="3" t="str">
        <f>IFERROR(__xludf.DUMMYFUNCTION("GOOGLETRANSLATE(B940,""id"",""en"")"),"['already', 'expensive', 'doang', 'signal', 'jammed', 'jammed', 'disturbing', 'really', 'recommended', 'really', 'Telkomsel', 'weather', ' Bad ',' little ',' already ',' diversion ',' signal ',' device ',' no ',' bad ',' fix ',' gajelas', ""]")</f>
        <v>['already', 'expensive', 'doang', 'signal', 'jammed', 'jammed', 'disturbing', 'really', 'recommended', 'really', 'Telkomsel', 'weather', ' Bad ',' little ',' already ',' diversion ',' signal ',' device ',' no ',' bad ',' fix ',' gajelas', "]</v>
      </c>
      <c r="D940" s="3">
        <v>1.0</v>
      </c>
    </row>
    <row r="941" ht="15.75" customHeight="1">
      <c r="A941" s="1">
        <v>939.0</v>
      </c>
      <c r="B941" s="3" t="s">
        <v>942</v>
      </c>
      <c r="C941" s="3" t="str">
        <f>IFERROR(__xludf.DUMMYFUNCTION("GOOGLETRANSLATE(B941,""id"",""en"")"),"['Please', 'repaired', 'system', 'buy', 'package', 'cheerful', 'package', 'emergency', 'active', 'already', 'times',' try ',' Buy ',' Package ',' Cheerful ',' On ',' Package ',' Emergency ',' Disappointed ',' Telkomsel ',' Telkomsel ',' Different ',' Qual"&amp;"ity ',' Minimal ', ""]")</f>
        <v>['Please', 'repaired', 'system', 'buy', 'package', 'cheerful', 'package', 'emergency', 'active', 'already', 'times',' try ',' Buy ',' Package ',' Cheerful ',' On ',' Package ',' Emergency ',' Disappointed ',' Telkomsel ',' Telkomsel ',' Different ',' Quality ',' Minimal ', "]</v>
      </c>
      <c r="D941" s="3">
        <v>1.0</v>
      </c>
    </row>
    <row r="942" ht="15.75" customHeight="1">
      <c r="A942" s="1">
        <v>940.0</v>
      </c>
      <c r="B942" s="3" t="s">
        <v>943</v>
      </c>
      <c r="C942" s="3" t="str">
        <f>IFERROR(__xludf.DUMMYFUNCTION("GOOGLETRANSLATE(B942,""id"",""en"")"),"['Halooooo', 'Telokmselllll', 'Network', 'Your Internet', 'Rotten', 'Buy', 'Package', 'Sign', 'Brekele', 'Sell', 'Product', 'Service', ' The internet ',' woooiii ',' busy ',' corruption ',' pade ',' bangsatttttttt ',' ']")</f>
        <v>['Halooooo', 'Telokmselllll', 'Network', 'Your Internet', 'Rotten', 'Buy', 'Package', 'Sign', 'Brekele', 'Sell', 'Product', 'Service', ' The internet ',' woooiii ',' busy ',' corruption ',' pade ',' bangsatttttttt ',' ']</v>
      </c>
      <c r="D942" s="3">
        <v>1.0</v>
      </c>
    </row>
    <row r="943" ht="15.75" customHeight="1">
      <c r="A943" s="1">
        <v>941.0</v>
      </c>
      <c r="B943" s="3" t="s">
        <v>944</v>
      </c>
      <c r="C943" s="3" t="str">
        <f>IFERROR(__xludf.DUMMYFUNCTION("GOOGLETRANSLATE(B943,""id"",""en"")"),"['slow', 'network', 'lives', 'in the city', 'use', 'Telkomsel', 'here', 'severe', '']")</f>
        <v>['slow', 'network', 'lives', 'in the city', 'use', 'Telkomsel', 'here', 'severe', '']</v>
      </c>
      <c r="D943" s="3">
        <v>1.0</v>
      </c>
    </row>
    <row r="944" ht="15.75" customHeight="1">
      <c r="A944" s="1">
        <v>942.0</v>
      </c>
      <c r="B944" s="3" t="s">
        <v>945</v>
      </c>
      <c r="C944" s="3" t="str">
        <f>IFERROR(__xludf.DUMMYFUNCTION("GOOGLETRANSLATE(B944,""id"",""en"")"),"['original', 'signal', 'ugly', 'really', 'card', 'class',' Telkomsel ',' slow ',' forgiveness', 'upgrade', 'sinyl', 'good', ' ugly ',' lost ',' AMA ',' smooth ',' signal ',' according to ',' price ',' oath ',' change ',' card ',' times', '']")</f>
        <v>['original', 'signal', 'ugly', 'really', 'card', 'class',' Telkomsel ',' slow ',' forgiveness', 'upgrade', 'sinyl', 'good', ' ugly ',' lost ',' AMA ',' smooth ',' signal ',' according to ',' price ',' oath ',' change ',' card ',' times', '']</v>
      </c>
      <c r="D944" s="3">
        <v>1.0</v>
      </c>
    </row>
    <row r="945" ht="15.75" customHeight="1">
      <c r="A945" s="1">
        <v>943.0</v>
      </c>
      <c r="B945" s="3" t="s">
        <v>946</v>
      </c>
      <c r="C945" s="3" t="str">
        <f>IFERROR(__xludf.DUMMYFUNCTION("GOOGLETRANSLATE(B945,""id"",""en"")"),"['Unlimited', 'Max', 'GB', 'All', 'Net', 'Kouta', 'Lokaldan', 'Disney', 'Hotstar', 'Batam', 'Child', 'Please', ' Info ',' Out ',' Foam ',' Notif ',' Enter ']")</f>
        <v>['Unlimited', 'Max', 'GB', 'All', 'Net', 'Kouta', 'Lokaldan', 'Disney', 'Hotstar', 'Batam', 'Child', 'Please', ' Info ',' Out ',' Foam ',' Notif ',' Enter ']</v>
      </c>
      <c r="D945" s="3">
        <v>1.0</v>
      </c>
    </row>
    <row r="946" ht="15.75" customHeight="1">
      <c r="A946" s="1">
        <v>944.0</v>
      </c>
      <c r="B946" s="3" t="s">
        <v>947</v>
      </c>
      <c r="C946" s="3" t="str">
        <f>IFERROR(__xludf.DUMMYFUNCTION("GOOGLETRANSLATE(B946,""id"",""en"")"),"['Trima', 'Kasih', 'Telkomsel', 'APK', 'Facilitates',' Register ',' Free ',' Package ',' Data ',' Phone ',' Prmo ',' Interesting ',' Game ',' Loved it ',' I hope ',' In the last ',' surprised ',' Feature ',' interesting ']")</f>
        <v>['Trima', 'Kasih', 'Telkomsel', 'APK', 'Facilitates',' Register ',' Free ',' Package ',' Data ',' Phone ',' Prmo ',' Interesting ',' Game ',' Loved it ',' I hope ',' In the last ',' surprised ',' Feature ',' interesting ']</v>
      </c>
      <c r="D946" s="3">
        <v>5.0</v>
      </c>
    </row>
    <row r="947" ht="15.75" customHeight="1">
      <c r="A947" s="1">
        <v>945.0</v>
      </c>
      <c r="B947" s="3" t="s">
        <v>948</v>
      </c>
      <c r="C947" s="3" t="str">
        <f>IFERROR(__xludf.DUMMYFUNCTION("GOOGLETRANSLATE(B947,""id"",""en"")"),"['', 'good', 'application', 'makes it easy', 'user', 'transaction', 'surrounding', 'purchase', 'pulse', 'package', 'internet', 'trimakasih', 'Telkomsel ',' ']")</f>
        <v>['', 'good', 'application', 'makes it easy', 'user', 'transaction', 'surrounding', 'purchase', 'pulse', 'package', 'internet', 'trimakasih', 'Telkomsel ',' ']</v>
      </c>
      <c r="D947" s="3">
        <v>5.0</v>
      </c>
    </row>
    <row r="948" ht="15.75" customHeight="1">
      <c r="A948" s="1">
        <v>946.0</v>
      </c>
      <c r="B948" s="3" t="s">
        <v>949</v>
      </c>
      <c r="C948" s="3" t="str">
        <f>IFERROR(__xludf.DUMMYFUNCTION("GOOGLETRANSLATE(B948,""id"",""en"")"),"['Assalamualaikum', 'Thank you', 'Telkomsel', 'happy', 'service', 'Telkomsel', 'Love', 'You', 'Telkomsel', 'Indonesia', ""]")</f>
        <v>['Assalamualaikum', 'Thank you', 'Telkomsel', 'happy', 'service', 'Telkomsel', 'Love', 'You', 'Telkomsel', 'Indonesia', "]</v>
      </c>
      <c r="D948" s="3">
        <v>5.0</v>
      </c>
    </row>
    <row r="949" ht="15.75" customHeight="1">
      <c r="A949" s="1">
        <v>947.0</v>
      </c>
      <c r="B949" s="3" t="s">
        <v>950</v>
      </c>
      <c r="C949" s="3" t="str">
        <f>IFERROR(__xludf.DUMMYFUNCTION("GOOGLETRANSLATE(B949,""id"",""en"")"),"['Please', 'Emank', 'Failed', 'Purchase', 'Package', 'Pulses',' Jangn ',' Take ',' Really ',' Kya ',' GNI ',' Oath ',' Cave ',' sablas', 'the world', 'hereafter', 'ngilkak', 'lacking', 'money', 'Telkomsel', 'card', 'take', 'money', 'people', 'wait' , 'HOL"&amp;"DA', 'answered', 'Ended', 'Meet', 'Hereafter', 'Debate', '']")</f>
        <v>['Please', 'Emank', 'Failed', 'Purchase', 'Package', 'Pulses',' Jangn ',' Take ',' Really ',' Kya ',' GNI ',' Oath ',' Cave ',' sablas', 'the world', 'hereafter', 'ngilkak', 'lacking', 'money', 'Telkomsel', 'card', 'take', 'money', 'people', 'wait' , 'HOLDA', 'answered', 'Ended', 'Meet', 'Hereafter', 'Debate', '']</v>
      </c>
      <c r="D949" s="3">
        <v>1.0</v>
      </c>
    </row>
    <row r="950" ht="15.75" customHeight="1">
      <c r="A950" s="1">
        <v>948.0</v>
      </c>
      <c r="B950" s="3" t="s">
        <v>951</v>
      </c>
      <c r="C950" s="3" t="str">
        <f>IFERROR(__xludf.DUMMYFUNCTION("GOOGLETRANSLATE(B950,""id"",""en"")"),"['hi', 'signal', 'already', 'SERES', 'lightening', 'please', 'price', 'package', 'internet', 'cheap', 'price', 'package', ' cards', 'expensive', 'forgiveness',' please ',' cheap ',' ngk ',' comfortable ',' expensive ',' rich ',' gini ', ""]")</f>
        <v>['hi', 'signal', 'already', 'SERES', 'lightening', 'please', 'price', 'package', 'internet', 'cheap', 'price', 'package', ' cards', 'expensive', 'forgiveness',' please ',' cheap ',' ngk ',' comfortable ',' expensive ',' rich ',' gini ', "]</v>
      </c>
      <c r="D950" s="3">
        <v>3.0</v>
      </c>
    </row>
    <row r="951" ht="15.75" customHeight="1">
      <c r="A951" s="1">
        <v>949.0</v>
      </c>
      <c r="B951" s="3" t="s">
        <v>952</v>
      </c>
      <c r="C951" s="3" t="str">
        <f>IFERROR(__xludf.DUMMYFUNCTION("GOOGLETRANSLATE(B951,""id"",""en"")"),"['Congratulations',' night ',' min ',' buy ',' quota ',' unlimited ',' max ',' use ',' internet ',' local ',' gabisa ',' use ',' internet ',' watch ',' pulse ',' run out ',' sucked ',' active ',' quota ',' July ',' please ',' explanation ',' obstacle ',' "&amp;"min ',' thank you ' ]")</f>
        <v>['Congratulations',' night ',' min ',' buy ',' quota ',' unlimited ',' max ',' use ',' internet ',' local ',' gabisa ',' use ',' internet ',' watch ',' pulse ',' run out ',' sucked ',' active ',' quota ',' July ',' please ',' explanation ',' obstacle ',' min ',' thank you ' ]</v>
      </c>
      <c r="D951" s="3">
        <v>1.0</v>
      </c>
    </row>
    <row r="952" ht="15.75" customHeight="1">
      <c r="A952" s="1">
        <v>950.0</v>
      </c>
      <c r="B952" s="3" t="s">
        <v>953</v>
      </c>
      <c r="C952" s="3" t="str">
        <f>IFERROR(__xludf.DUMMYFUNCTION("GOOGLETRANSLATE(B952,""id"",""en"")"),"['Internet', 'Play', 'Game', 'Please', 'Telkom', 'Fix', 'Consume', 'Telkomsel', 'Comfortable', 'Sorry', 'Polite', ""]")</f>
        <v>['Internet', 'Play', 'Game', 'Please', 'Telkom', 'Fix', 'Consume', 'Telkomsel', 'Comfortable', 'Sorry', 'Polite', "]</v>
      </c>
      <c r="D952" s="3">
        <v>1.0</v>
      </c>
    </row>
    <row r="953" ht="15.75" customHeight="1">
      <c r="A953" s="1">
        <v>951.0</v>
      </c>
      <c r="B953" s="3" t="s">
        <v>954</v>
      </c>
      <c r="C953" s="3" t="str">
        <f>IFERROR(__xludf.DUMMYFUNCTION("GOOGLETRANSLATE(B953,""id"",""en"")"),"['The network', 'ugly', 'mulu', 'unlimited', 'expensive', 'expensive', 'reduced', 'package', 'unlimited', 'plis',' please ',' fix ',' package ',' unlimited ',' little ',' so, 'thanks']")</f>
        <v>['The network', 'ugly', 'mulu', 'unlimited', 'expensive', 'expensive', 'reduced', 'package', 'unlimited', 'plis',' please ',' fix ',' package ',' unlimited ',' little ',' so, 'thanks']</v>
      </c>
      <c r="D953" s="3">
        <v>3.0</v>
      </c>
    </row>
    <row r="954" ht="15.75" customHeight="1">
      <c r="A954" s="1">
        <v>952.0</v>
      </c>
      <c r="B954" s="3" t="s">
        <v>955</v>
      </c>
      <c r="C954" s="3" t="str">
        <f>IFERROR(__xludf.DUMMYFUNCTION("GOOGLETRANSLATE(B954,""id"",""en"")"),"['Out', 'update', 'buy', 'package', 'data', 'application', 'hot', 'system', 'experience', 'bug', 'system', 'sometimes' Force ',' Close ',' restart ',' The result ',' Please ',' repaired ',' Thank you ', ""]")</f>
        <v>['Out', 'update', 'buy', 'package', 'data', 'application', 'hot', 'system', 'experience', 'bug', 'system', 'sometimes' Force ',' Close ',' restart ',' The result ',' Please ',' repaired ',' Thank you ', "]</v>
      </c>
      <c r="D954" s="3">
        <v>1.0</v>
      </c>
    </row>
    <row r="955" ht="15.75" customHeight="1">
      <c r="A955" s="1">
        <v>953.0</v>
      </c>
      <c r="B955" s="3" t="s">
        <v>956</v>
      </c>
      <c r="C955" s="3" t="str">
        <f>IFERROR(__xludf.DUMMYFUNCTION("GOOGLETRANSLATE(B955,""id"",""en"")"),"['Telkomsel', 'Closed', 'Application', 'Login', 'Telkomsel', 'Direct', 'Closed', 'Application', 'Jelekkk', 'AIRI', 'Telkomsel', ""]")</f>
        <v>['Telkomsel', 'Closed', 'Application', 'Login', 'Telkomsel', 'Direct', 'Closed', 'Application', 'Jelekkk', 'AIRI', 'Telkomsel', "]</v>
      </c>
      <c r="D955" s="3">
        <v>1.0</v>
      </c>
    </row>
    <row r="956" ht="15.75" customHeight="1">
      <c r="A956" s="1">
        <v>954.0</v>
      </c>
      <c r="B956" s="3" t="s">
        <v>957</v>
      </c>
      <c r="C956" s="3" t="str">
        <f>IFERROR(__xludf.DUMMYFUNCTION("GOOGLETRANSLATE(B956,""id"",""en"")"),"['What', 'SIII', 'Min', 'Fill', 'Credit', 'Automatic', 'Buy', 'Package', 'Internet', 'Buy', 'Subscription', 'Package', ' Combo ',' Sakti ',' Honest ',' Disappointed ',' Min ', ""]")</f>
        <v>['What', 'SIII', 'Min', 'Fill', 'Credit', 'Automatic', 'Buy', 'Package', 'Internet', 'Buy', 'Subscription', 'Package', ' Combo ',' Sakti ',' Honest ',' Disappointed ',' Min ', "]</v>
      </c>
      <c r="D956" s="3">
        <v>3.0</v>
      </c>
    </row>
    <row r="957" ht="15.75" customHeight="1">
      <c r="A957" s="1">
        <v>955.0</v>
      </c>
      <c r="B957" s="3" t="s">
        <v>958</v>
      </c>
      <c r="C957" s="3" t="str">
        <f>IFERROR(__xludf.DUMMYFUNCTION("GOOGLETRANSLATE(B957,""id"",""en"")"),"['Original', 'Telkomsel', 'Best', 'Please', 'Miss',' Buy ',' Package ',' Add ',' Menu ',' Asikkk ',' Deturn ',' Donk ',' Fox ',' Fox ',' Menu ',' Paketan ',' Slalu ',' Promo ',' TPI ',' Promotions', 'ilang', 'Embossed', ""]")</f>
        <v>['Original', 'Telkomsel', 'Best', 'Please', 'Miss',' Buy ',' Package ',' Add ',' Menu ',' Asikkk ',' Deturn ',' Donk ',' Fox ',' Fox ',' Menu ',' Paketan ',' Slalu ',' Promo ',' TPI ',' Promotions', 'ilang', 'Embossed', "]</v>
      </c>
      <c r="D957" s="3">
        <v>5.0</v>
      </c>
    </row>
    <row r="958" ht="15.75" customHeight="1">
      <c r="A958" s="1">
        <v>956.0</v>
      </c>
      <c r="B958" s="3" t="s">
        <v>959</v>
      </c>
      <c r="C958" s="3" t="str">
        <f>IFERROR(__xludf.DUMMYFUNCTION("GOOGLETRANSLATE(B958,""id"",""en"")"),"['please', 'Telkomsel', 'how', 'buy', 'package', 'combo', 'pulse', 'silver', 'direct', 'get', 'notif', 'operator', ' Now ',' Credit ',' sufficient ',' bought ',' Many ',' Package ',' internet ',' processed ',' surprised ',' Telkomsel ',' intention ',' sel"&amp;"l ', ""]")</f>
        <v>['please', 'Telkomsel', 'how', 'buy', 'package', 'combo', 'pulse', 'silver', 'direct', 'get', 'notif', 'operator', ' Now ',' Credit ',' sufficient ',' bought ',' Many ',' Package ',' internet ',' processed ',' surprised ',' Telkomsel ',' intention ',' sell ', "]</v>
      </c>
      <c r="D958" s="3">
        <v>1.0</v>
      </c>
    </row>
    <row r="959" ht="15.75" customHeight="1">
      <c r="A959" s="1">
        <v>957.0</v>
      </c>
      <c r="B959" s="3" t="s">
        <v>960</v>
      </c>
      <c r="C959" s="3" t="str">
        <f>IFERROR(__xludf.DUMMYFUNCTION("GOOGLETRANSLATE(B959,""id"",""en"")"),"['Telkomsel', 'cave', 'buy', 'card', 'customers',' telkomsel ',' signal ',' open ',' akes', 'internet', 'gymna', 'please', ' Fix ',' as soon as possible, 'Customer', 'Comfortable', 'Kek', 'cave', 'please', 'fix', 'as soon as possible,' so ',' thank ',' lo"&amp;"ve ']")</f>
        <v>['Telkomsel', 'cave', 'buy', 'card', 'customers',' telkomsel ',' signal ',' open ',' akes', 'internet', 'gymna', 'please', ' Fix ',' as soon as possible, 'Customer', 'Comfortable', 'Kek', 'cave', 'please', 'fix', 'as soon as possible,' so ',' thank ',' love ']</v>
      </c>
      <c r="D959" s="3">
        <v>1.0</v>
      </c>
    </row>
    <row r="960" ht="15.75" customHeight="1">
      <c r="A960" s="1">
        <v>958.0</v>
      </c>
      <c r="B960" s="3" t="s">
        <v>961</v>
      </c>
      <c r="C960" s="3" t="str">
        <f>IFERROR(__xludf.DUMMYFUNCTION("GOOGLETRANSLATE(B960,""id"",""en"")"),"['Provider', 'chaotic', 'fares',' expensive ',' network ',' bapuk ',' network ',' home ',' room ',' terrace ',' get ',' Dalem ',' home ',' internet ',' connection ',' times', 'communication', 'smooth', 'home', '']")</f>
        <v>['Provider', 'chaotic', 'fares',' expensive ',' network ',' bapuk ',' network ',' home ',' room ',' terrace ',' get ',' Dalem ',' home ',' internet ',' connection ',' times', 'communication', 'smooth', 'home', '']</v>
      </c>
      <c r="D960" s="3">
        <v>1.0</v>
      </c>
    </row>
    <row r="961" ht="15.75" customHeight="1">
      <c r="A961" s="1">
        <v>959.0</v>
      </c>
      <c r="B961" s="3" t="s">
        <v>962</v>
      </c>
      <c r="C961" s="3" t="str">
        <f>IFERROR(__xludf.DUMMYFUNCTION("GOOGLETRANSLATE(B961,""id"",""en"")"),"['Telkomsel', 'quality', 'shy', 'BUMN', 'quality', 'network', 'slow', 'signal', 'weak', 'cost', 'city', 'expensive', ' Costs', 'Calls',' expensive ',' Costs', 'SMS', 'expensive', 'employees',' Telkomsel ',' work ',' eat ',' salary ',' blind ',' work ' , '"&amp;"because', 'people', 'protest', 'ignore', 'fast', 'repaired', 'network', 'signal', 'smooth', 'communication', ""]")</f>
        <v>['Telkomsel', 'quality', 'shy', 'BUMN', 'quality', 'network', 'slow', 'signal', 'weak', 'cost', 'city', 'expensive', ' Costs', 'Calls',' expensive ',' Costs', 'SMS', 'expensive', 'employees',' Telkomsel ',' work ',' eat ',' salary ',' blind ',' work ' , 'because', 'people', 'protest', 'ignore', 'fast', 'repaired', 'network', 'signal', 'smooth', 'communication', "]</v>
      </c>
      <c r="D961" s="3">
        <v>1.0</v>
      </c>
    </row>
    <row r="962" ht="15.75" customHeight="1">
      <c r="A962" s="1">
        <v>960.0</v>
      </c>
      <c r="B962" s="3" t="s">
        <v>963</v>
      </c>
      <c r="C962" s="3" t="str">
        <f>IFERROR(__xludf.DUMMYFUNCTION("GOOGLETRANSLATE(B962,""id"",""en"")"),"['Service', 'best', 'customer', 'loyal', 'Telkomsel', 'price', 'printed', 'according to', 'Redem', 'advanced', 'Jaya', 'bescapan', ' air', '']")</f>
        <v>['Service', 'best', 'customer', 'loyal', 'Telkomsel', 'price', 'printed', 'according to', 'Redem', 'advanced', 'Jaya', 'bescapan', ' air', '']</v>
      </c>
      <c r="D962" s="3">
        <v>5.0</v>
      </c>
    </row>
    <row r="963" ht="15.75" customHeight="1">
      <c r="A963" s="1">
        <v>961.0</v>
      </c>
      <c r="B963" s="3" t="s">
        <v>964</v>
      </c>
      <c r="C963" s="3" t="str">
        <f>IFERROR(__xludf.DUMMYFUNCTION("GOOGLETRANSLATE(B963,""id"",""en"")"),"['difficult', 'entry', 'update', 'sms',' link ',' entry ',' verification ',' sms', 'fast', 'use', 'method', 'tired', ' Deh ']")</f>
        <v>['difficult', 'entry', 'update', 'sms',' link ',' entry ',' verification ',' sms', 'fast', 'use', 'method', 'tired', ' Deh ']</v>
      </c>
      <c r="D963" s="3">
        <v>1.0</v>
      </c>
    </row>
    <row r="964" ht="15.75" customHeight="1">
      <c r="A964" s="1">
        <v>962.0</v>
      </c>
      <c r="B964" s="3" t="s">
        <v>965</v>
      </c>
      <c r="C964" s="3" t="str">
        <f>IFERROR(__xludf.DUMMYFUNCTION("GOOGLETRANSLATE(B964,""id"",""en"")"),"['application', 'good', 'complete', 'easy', 'practical', 'promo', 'package', 'data', 'cheap', 'festive', 'added', 'Telkomsel', ' Customers', 'Open', 'Application', 'Nyedot', 'Packages',' Data ',' Credit ',' Yap ',' Success', 'Telkomsel', 'Provider', 'Prid"&amp;"e', 'Child' , 'Nation', 'Hurry', 'Download', '']")</f>
        <v>['application', 'good', 'complete', 'easy', 'practical', 'promo', 'package', 'data', 'cheap', 'festive', 'added', 'Telkomsel', ' Customers', 'Open', 'Application', 'Nyedot', 'Packages',' Data ',' Credit ',' Yap ',' Success', 'Telkomsel', 'Provider', 'Pride', 'Child' , 'Nation', 'Hurry', 'Download', '']</v>
      </c>
      <c r="D964" s="3">
        <v>5.0</v>
      </c>
    </row>
    <row r="965" ht="15.75" customHeight="1">
      <c r="A965" s="1">
        <v>963.0</v>
      </c>
      <c r="B965" s="3" t="s">
        <v>966</v>
      </c>
      <c r="C965" s="3" t="str">
        <f>IFERROR(__xludf.DUMMYFUNCTION("GOOGLETRANSLATE(B965,""id"",""en"")"),"['Please', 'Network', 'conditioned', 'Wear', 'Telkomsel', 'Karna', 'Network', 'Good', 'Yesterday', 'Fun', 'Use', 'Telkomsel', ' Change ',' Stop ',' Wear ',' Telkomsel ',' Switch ',' Please ',' Enhanced ',' Use ',' Telkomsel ',' Rare ',' Use ',' Telkomsel "&amp;"']")</f>
        <v>['Please', 'Network', 'conditioned', 'Wear', 'Telkomsel', 'Karna', 'Network', 'Good', 'Yesterday', 'Fun', 'Use', 'Telkomsel', ' Change ',' Stop ',' Wear ',' Telkomsel ',' Switch ',' Please ',' Enhanced ',' Use ',' Telkomsel ',' Rare ',' Use ',' Telkomsel ']</v>
      </c>
      <c r="D965" s="3">
        <v>1.0</v>
      </c>
    </row>
    <row r="966" ht="15.75" customHeight="1">
      <c r="A966" s="1">
        <v>964.0</v>
      </c>
      <c r="B966" s="3" t="s">
        <v>967</v>
      </c>
      <c r="C966" s="3" t="str">
        <f>IFERROR(__xludf.DUMMYFUNCTION("GOOGLETRANSLATE(B966,""id"",""en"")"),"['The card', 'Useful', 'Cook', 'fill in', 'pulse', 'direct', 'take', 'second', 'pulse', 'directly', 'take', 'package', ' Whatever ',' call ',' another ',' signal ',' ngoncat ',' I ',' Damn ',' use ',' card ',' buy ']")</f>
        <v>['The card', 'Useful', 'Cook', 'fill in', 'pulse', 'direct', 'take', 'second', 'pulse', 'directly', 'take', 'package', ' Whatever ',' call ',' another ',' signal ',' ngoncat ',' I ',' Damn ',' use ',' card ',' buy ']</v>
      </c>
      <c r="D966" s="3">
        <v>1.0</v>
      </c>
    </row>
    <row r="967" ht="15.75" customHeight="1">
      <c r="A967" s="1">
        <v>965.0</v>
      </c>
      <c r="B967" s="3" t="s">
        <v>968</v>
      </c>
      <c r="C967" s="3" t="str">
        <f>IFERROR(__xludf.DUMMYFUNCTION("GOOGLETRANSLATE(B967,""id"",""en"")"),"['contents',' pulse ',' sucked ',' data ',' active ',' owe ',' operator ',' play ',' suck ',' signal ',' good ',' imemblance ',' "", 'Maap', 'Comments', 'Easy', 'Dahlah', 'Telkomsel', 'Hopefully', 'Love', 'Enlightenment', 'Greedy']")</f>
        <v>['contents',' pulse ',' sucked ',' data ',' active ',' owe ',' operator ',' play ',' suck ',' signal ',' good ',' imemblance ',' ", 'Maap', 'Comments', 'Easy', 'Dahlah', 'Telkomsel', 'Hopefully', 'Love', 'Enlightenment', 'Greedy']</v>
      </c>
      <c r="D967" s="3">
        <v>1.0</v>
      </c>
    </row>
    <row r="968" ht="15.75" customHeight="1">
      <c r="A968" s="1">
        <v>966.0</v>
      </c>
      <c r="B968" s="3" t="s">
        <v>969</v>
      </c>
      <c r="C968" s="3" t="str">
        <f>IFERROR(__xludf.DUMMYFUNCTION("GOOGLETRANSLATE(B968,""id"",""en"")"),"['The network', 'bad', 'really', 'like', 'until', 'red', 'ping it', 'play', 'pub', 'comfortable', 'dilobby', 'ping', ' green ',' game ',' ping ',' red ',' sampe ',' ms', 'sosmed', 'like', 'ugly', 'signal', 'lose', 'card', 'price' , 'Cheap', 'signal', 'Ken"&amp;"ceng', 'really']")</f>
        <v>['The network', 'bad', 'really', 'like', 'until', 'red', 'ping it', 'play', 'pub', 'comfortable', 'dilobby', 'ping', ' green ',' game ',' ping ',' red ',' sampe ',' ms', 'sosmed', 'like', 'ugly', 'signal', 'lose', 'card', 'price' , 'Cheap', 'signal', 'Kenceng', 'really']</v>
      </c>
      <c r="D968" s="3">
        <v>1.0</v>
      </c>
    </row>
    <row r="969" ht="15.75" customHeight="1">
      <c r="A969" s="1">
        <v>967.0</v>
      </c>
      <c r="B969" s="3" t="s">
        <v>970</v>
      </c>
      <c r="C969" s="3" t="str">
        <f>IFERROR(__xludf.DUMMYFUNCTION("GOOGLETRANSLATE(B969,""id"",""en"")"),"['What', 'min', 'buy', 'card', 'prime', 'already', 'register', 'buy', 'package', 'unlimitedmax', 'GB', 'GB', ' powerful ',' watch ',' GB ',' quota ',' local ',' just ',' GB ',' Alnet ', ""]")</f>
        <v>['What', 'min', 'buy', 'card', 'prime', 'already', 'register', 'buy', 'package', 'unlimitedmax', 'GB', 'GB', ' powerful ',' watch ',' GB ',' quota ',' local ',' just ',' GB ',' Alnet ', "]</v>
      </c>
      <c r="D969" s="3">
        <v>1.0</v>
      </c>
    </row>
    <row r="970" ht="15.75" customHeight="1">
      <c r="A970" s="1">
        <v>968.0</v>
      </c>
      <c r="B970" s="3" t="s">
        <v>971</v>
      </c>
      <c r="C970" s="3" t="str">
        <f>IFERROR(__xludf.DUMMYFUNCTION("GOOGLETRANSLATE(B970,""id"",""en"")"),"['Lumyan', 'Lahk', 'Good', 'Quota', 'Promo', 'Buy', 'APK', 'Hariga', 'Cheap', 'Quota', 'Problems',' Transaction ',' Transactions', 'PLIS', 'Lahk', 'Signal', 'Enhanced', 'Affairs',' Game ',' Auto ',' Login ',' Sekianterterimasih ',' One ',' Gatot ',' ADD '"&amp;" , 'Melehoy', ""]")</f>
        <v>['Lumyan', 'Lahk', 'Good', 'Quota', 'Promo', 'Buy', 'APK', 'Hariga', 'Cheap', 'Quota', 'Problems',' Transaction ',' Transactions', 'PLIS', 'Lahk', 'Signal', 'Enhanced', 'Affairs',' Game ',' Auto ',' Login ',' Sekianterterimasih ',' One ',' Gatot ',' ADD ' , 'Melehoy', "]</v>
      </c>
      <c r="D970" s="3">
        <v>5.0</v>
      </c>
    </row>
    <row r="971" ht="15.75" customHeight="1">
      <c r="A971" s="1">
        <v>969.0</v>
      </c>
      <c r="B971" s="3" t="s">
        <v>972</v>
      </c>
      <c r="C971" s="3" t="str">
        <f>IFERROR(__xludf.DUMMYFUNCTION("GOOGLETRANSLATE(B971,""id"",""en"")"),"['already', 'price', 'expensive', 'network', 'slow', 'then', 'already', 'ealy "",' told ',' Twitter ',' What's ',' Response ',' Please, 'Use', 'Telkomsel', 'Sad', 'Leet', 'Hopefully', 'Change', 'In the future']")</f>
        <v>['already', 'price', 'expensive', 'network', 'slow', 'then', 'already', 'ealy ",' told ',' Twitter ',' What's ',' Response ',' Please, 'Use', 'Telkomsel', 'Sad', 'Leet', 'Hopefully', 'Change', 'In the future']</v>
      </c>
      <c r="D971" s="3">
        <v>1.0</v>
      </c>
    </row>
    <row r="972" ht="15.75" customHeight="1">
      <c r="A972" s="1">
        <v>970.0</v>
      </c>
      <c r="B972" s="3" t="s">
        <v>973</v>
      </c>
      <c r="C972" s="3" t="str">
        <f>IFERROR(__xludf.DUMMYFUNCTION("GOOGLETRANSLATE(B972,""id"",""en"")"),"['application', 'Telkomsel', 'makes it easy', 'speed up', 'in', 'informasih', 'pulse', 'card']")</f>
        <v>['application', 'Telkomsel', 'makes it easy', 'speed up', 'in', 'informasih', 'pulse', 'card']</v>
      </c>
      <c r="D972" s="3">
        <v>5.0</v>
      </c>
    </row>
    <row r="973" ht="15.75" customHeight="1">
      <c r="A973" s="1">
        <v>971.0</v>
      </c>
      <c r="B973" s="3" t="s">
        <v>974</v>
      </c>
      <c r="C973" s="3" t="str">
        <f>IFERROR(__xludf.DUMMYFUNCTION("GOOGLETRANSLATE(B973,""id"",""en"")"),"['paaaaaaaaaaaaaaah', 'ugly', 'udh', 'sympathy', 'many years',' special ',' signal ',' bkn ',' hot ',' ugly ',' yrs', 'Telkomsel', ' Good ',' signal ',' expensive ',' doang ',' ']")</f>
        <v>['paaaaaaaaaaaaaaah', 'ugly', 'udh', 'sympathy', 'many years',' special ',' signal ',' bkn ',' hot ',' ugly ',' yrs', 'Telkomsel', ' Good ',' signal ',' expensive ',' doang ',' ']</v>
      </c>
      <c r="D973" s="3">
        <v>1.0</v>
      </c>
    </row>
    <row r="974" ht="15.75" customHeight="1">
      <c r="A974" s="1">
        <v>972.0</v>
      </c>
      <c r="B974" s="3" t="s">
        <v>975</v>
      </c>
      <c r="C974" s="3" t="str">
        <f>IFERROR(__xludf.DUMMYFUNCTION("GOOGLETRANSLATE(B974,""id"",""en"")"),"['', 'Ngerti', 'obstacles',' signal ',' Tetep ',' repairs', 'YouTube', 'sosmed', 'lag', 'game', 'user', 'quota', 'unlimited ',' The price ',' Nambah ',' good ',' lag ',' gini ',' easy ',' Han ',' office ',' Telkomsel ',' fire ', ""]")</f>
        <v>['', 'Ngerti', 'obstacles',' signal ',' Tetep ',' repairs', 'YouTube', 'sosmed', 'lag', 'game', 'user', 'quota', 'unlimited ',' The price ',' Nambah ',' good ',' lag ',' gini ',' easy ',' Han ',' office ',' Telkomsel ',' fire ', "]</v>
      </c>
      <c r="D974" s="3">
        <v>1.0</v>
      </c>
    </row>
    <row r="975" ht="15.75" customHeight="1">
      <c r="A975" s="1">
        <v>973.0</v>
      </c>
      <c r="B975" s="3" t="s">
        <v>976</v>
      </c>
      <c r="C975" s="3" t="str">
        <f>IFERROR(__xludf.DUMMYFUNCTION("GOOGLETRANSLATE(B975,""id"",""en"")"),"['Neck', 'Pakek', 'Telkomsel', 'Network', 'slow', 'price', 'package', 'expensive', 'darling', 'area', 'operator', 'replace', ' Simcard ',' Telkomsel ',' Try ',' Monitor ',' Signal ',' Putok ',' Sit ',' Silent ',' Wait ',' Report ']")</f>
        <v>['Neck', 'Pakek', 'Telkomsel', 'Network', 'slow', 'price', 'package', 'expensive', 'darling', 'area', 'operator', 'replace', ' Simcard ',' Telkomsel ',' Try ',' Monitor ',' Signal ',' Putok ',' Sit ',' Silent ',' Wait ',' Report ']</v>
      </c>
      <c r="D975" s="3">
        <v>1.0</v>
      </c>
    </row>
    <row r="976" ht="15.75" customHeight="1">
      <c r="A976" s="1">
        <v>974.0</v>
      </c>
      <c r="B976" s="3" t="s">
        <v>977</v>
      </c>
      <c r="C976" s="3" t="str">
        <f>IFERROR(__xludf.DUMMYFUNCTION("GOOGLETRANSLATE(B976,""id"",""en"")"),"['Update', 'Uninstall', 'Until', 'Download', 'APK', 'Tetep', 'enter', 'SMS', 'Very', 'entry', 'second', 'Gifts',' Enter ',' SMS ',' Difficult ',' Enter ',' My Account ',' How ',' Login ',' ']")</f>
        <v>['Update', 'Uninstall', 'Until', 'Download', 'APK', 'Tetep', 'enter', 'SMS', 'Very', 'entry', 'second', 'Gifts',' Enter ',' SMS ',' Difficult ',' Enter ',' My Account ',' How ',' Login ',' ']</v>
      </c>
      <c r="D976" s="3">
        <v>1.0</v>
      </c>
    </row>
    <row r="977" ht="15.75" customHeight="1">
      <c r="A977" s="1">
        <v>975.0</v>
      </c>
      <c r="B977" s="3" t="s">
        <v>978</v>
      </c>
      <c r="C977" s="3" t="str">
        <f>IFERROR(__xludf.DUMMYFUNCTION("GOOGLETRANSLATE(B977,""id"",""en"")"),"['Data', 'multemedia', 'use', 'data', 'internet', 'main', 'additional', 'data', 'multimedia', 'use', 'data', 'utana', ' run out ',' data ',' main ',' run out ',' access', 'internet', 'contents',' contents', 'data', 'multi', 'use', 'use', 'dmana' , '']")</f>
        <v>['Data', 'multemedia', 'use', 'data', 'internet', 'main', 'additional', 'data', 'multimedia', 'use', 'data', 'utana', ' run out ',' data ',' main ',' run out ',' access', 'internet', 'contents',' contents', 'data', 'multi', 'use', 'use', 'dmana' , '']</v>
      </c>
      <c r="D977" s="3">
        <v>3.0</v>
      </c>
    </row>
    <row r="978" ht="15.75" customHeight="1">
      <c r="A978" s="1">
        <v>976.0</v>
      </c>
      <c r="B978" s="3" t="s">
        <v>979</v>
      </c>
      <c r="C978" s="3" t="str">
        <f>IFERROR(__xludf.DUMMYFUNCTION("GOOGLETRANSLATE(B978,""id"",""en"")"),"['Knp', 'Telkomsel', 'Network', 'Severe', 'Very', 'Paketan', 'Price', 'Expensive', 'Play', 'Mobile', 'Legend', 'Signal', ' Threat ',' signal ',' provider ',' smooth ',' severe ']")</f>
        <v>['Knp', 'Telkomsel', 'Network', 'Severe', 'Very', 'Paketan', 'Price', 'Expensive', 'Play', 'Mobile', 'Legend', 'Signal', ' Threat ',' signal ',' provider ',' smooth ',' severe ']</v>
      </c>
      <c r="D978" s="3">
        <v>1.0</v>
      </c>
    </row>
    <row r="979" ht="15.75" customHeight="1">
      <c r="A979" s="1">
        <v>977.0</v>
      </c>
      <c r="B979" s="3" t="s">
        <v>980</v>
      </c>
      <c r="C979" s="3" t="str">
        <f>IFERROR(__xludf.DUMMYFUNCTION("GOOGLETRANSLATE(B979,""id"",""en"")"),"['Disappointed', 'already', 'umpteenth', 'time', 'contents',' pulse ',' chick ',' rb ',' brave ',' complement ',' because ',' emang ',' borrowing ',' pulse ',' emergency ',' contents', 'pulses',' always', 'piece', 'please', 'search', 'cuan', 'blessing', '"&amp;"nipu']")</f>
        <v>['Disappointed', 'already', 'umpteenth', 'time', 'contents',' pulse ',' chick ',' rb ',' brave ',' complement ',' because ',' emang ',' borrowing ',' pulse ',' emergency ',' contents', 'pulses',' always', 'piece', 'please', 'search', 'cuan', 'blessing', 'nipu']</v>
      </c>
      <c r="D979" s="3">
        <v>1.0</v>
      </c>
    </row>
    <row r="980" ht="15.75" customHeight="1">
      <c r="A980" s="1">
        <v>978.0</v>
      </c>
      <c r="B980" s="3" t="s">
        <v>981</v>
      </c>
      <c r="C980" s="3" t="str">
        <f>IFERROR(__xludf.DUMMYFUNCTION("GOOGLETRANSLATE(B980,""id"",""en"")"),"['expensive', 'doang', 'quality', 'bad', 'disappointed', 'network', 'Telkomsel', 'use', 'disappointing', '']")</f>
        <v>['expensive', 'doang', 'quality', 'bad', 'disappointed', 'network', 'Telkomsel', 'use', 'disappointing', '']</v>
      </c>
      <c r="D980" s="3">
        <v>1.0</v>
      </c>
    </row>
    <row r="981" ht="15.75" customHeight="1">
      <c r="A981" s="1">
        <v>979.0</v>
      </c>
      <c r="B981" s="3" t="s">
        <v>982</v>
      </c>
      <c r="C981" s="3" t="str">
        <f>IFERROR(__xludf.DUMMYFUNCTION("GOOGLETRANSLATE(B981,""id"",""en"")"),"['apk', 'good', 'emang', 'good']")</f>
        <v>['apk', 'good', 'emang', 'good']</v>
      </c>
      <c r="D981" s="3">
        <v>5.0</v>
      </c>
    </row>
    <row r="982" ht="15.75" customHeight="1">
      <c r="A982" s="1">
        <v>980.0</v>
      </c>
      <c r="B982" s="3" t="s">
        <v>983</v>
      </c>
      <c r="C982" s="3" t="str">
        <f>IFERROR(__xludf.DUMMYFUNCTION("GOOGLETRANSLATE(B982,""id"",""en"")"),"['Leave', 'star', 'talk', 'application', 'good', 'plus',' star ',' please ',' Donk ',' Increase ',' feature ',' upgrade ',' cards', 'network', 'disability', 'grapari', 'upgrade', 'card', 'network', 'thank you', 'mytelkomsel', 'apps',' ']")</f>
        <v>['Leave', 'star', 'talk', 'application', 'good', 'plus',' star ',' please ',' Donk ',' Increase ',' feature ',' upgrade ',' cards', 'network', 'disability', 'grapari', 'upgrade', 'card', 'network', 'thank you', 'mytelkomsel', 'apps',' ']</v>
      </c>
      <c r="D982" s="3">
        <v>5.0</v>
      </c>
    </row>
    <row r="983" ht="15.75" customHeight="1">
      <c r="A983" s="1">
        <v>981.0</v>
      </c>
      <c r="B983" s="3" t="s">
        <v>984</v>
      </c>
      <c r="C983" s="3" t="str">
        <f>IFERROR(__xludf.DUMMYFUNCTION("GOOGLETRANSLATE(B983,""id"",""en"")"),"['Please', 'Network', 'sought', 'stable', 'fast', 'because', 'price', 'package', 'data', 'expensive', 'user', 'loss',' Love ',' Star ',' Hopefully ',' Decrease ',' Price ',' Package ',' Data ']")</f>
        <v>['Please', 'Network', 'sought', 'stable', 'fast', 'because', 'price', 'package', 'data', 'expensive', 'user', 'loss',' Love ',' Star ',' Hopefully ',' Decrease ',' Price ',' Package ',' Data ']</v>
      </c>
      <c r="D983" s="3">
        <v>5.0</v>
      </c>
    </row>
    <row r="984" ht="15.75" customHeight="1">
      <c r="A984" s="1">
        <v>982.0</v>
      </c>
      <c r="B984" s="3" t="s">
        <v>985</v>
      </c>
      <c r="C984" s="3" t="str">
        <f>IFERROR(__xludf.DUMMYFUNCTION("GOOGLETRANSLATE(B984,""id"",""en"")"),"['Telkom', 'Tsel', 'Tsel', 'Stable', 'Support', 'Telkom', 'Tsel', 'Best', 'Customer', 'Faithful', 'Hope', 'In the future', ' Telkom ',' Tsel ',' ']")</f>
        <v>['Telkom', 'Tsel', 'Tsel', 'Stable', 'Support', 'Telkom', 'Tsel', 'Best', 'Customer', 'Faithful', 'Hope', 'In the future', ' Telkom ',' Tsel ',' ']</v>
      </c>
      <c r="D984" s="3">
        <v>5.0</v>
      </c>
    </row>
    <row r="985" ht="15.75" customHeight="1">
      <c r="A985" s="1">
        <v>983.0</v>
      </c>
      <c r="B985" s="3" t="s">
        <v>986</v>
      </c>
      <c r="C985" s="3" t="str">
        <f>IFERROR(__xludf.DUMMYFUNCTION("GOOGLETRANSLATE(B985,""id"",""en"")"),"['Telkomsel', 'good', 'mare', 'proven', 'appears',' sms', 'telkomsel', 'package', 'magic', 'quota', 'sms',' call ',' activated ',' pulse ',' backup ',' simcard ',' sucked ',' run out ',' bad ',' really ', ""]")</f>
        <v>['Telkomsel', 'good', 'mare', 'proven', 'appears',' sms', 'telkomsel', 'package', 'magic', 'quota', 'sms',' call ',' activated ',' pulse ',' backup ',' simcard ',' sucked ',' run out ',' bad ',' really ', "]</v>
      </c>
      <c r="D985" s="3">
        <v>1.0</v>
      </c>
    </row>
    <row r="986" ht="15.75" customHeight="1">
      <c r="A986" s="1">
        <v>984.0</v>
      </c>
      <c r="B986" s="3" t="s">
        <v>987</v>
      </c>
      <c r="C986" s="3" t="str">
        <f>IFERROR(__xludf.DUMMYFUNCTION("GOOGLETRANSLATE(B986,""id"",""en"")"),"['Say "",' MusikMax ',' Quota ',' Wesing ',' Wesing ',' Quota ',' Main ',' Cut"", 'Quota', 'Musikmax', 'Tetep', 'That Sege', ' Scams', '']")</f>
        <v>['Say ",' MusikMax ',' Quota ',' Wesing ',' Wesing ',' Quota ',' Main ',' Cut", 'Quota', 'Musikmax', 'Tetep', 'That Sege', ' Scams', '']</v>
      </c>
      <c r="D986" s="3">
        <v>1.0</v>
      </c>
    </row>
    <row r="987" ht="15.75" customHeight="1">
      <c r="A987" s="1">
        <v>985.0</v>
      </c>
      <c r="B987" s="3" t="s">
        <v>988</v>
      </c>
      <c r="C987" s="3" t="str">
        <f>IFERROR(__xludf.DUMMYFUNCTION("GOOGLETRANSLATE(B987,""id"",""en"")"),"['Choice', 'unlimited', 'number', 'expensive', 'number', 'sympathy', 'family', 'unlimited', 'choice', 'different', 'number', 'sympathy', ' Bro ',' weird ']")</f>
        <v>['Choice', 'unlimited', 'number', 'expensive', 'number', 'sympathy', 'family', 'unlimited', 'choice', 'different', 'number', 'sympathy', ' Bro ',' weird ']</v>
      </c>
      <c r="D987" s="3">
        <v>1.0</v>
      </c>
    </row>
    <row r="988" ht="15.75" customHeight="1">
      <c r="A988" s="1">
        <v>986.0</v>
      </c>
      <c r="B988" s="3" t="s">
        <v>989</v>
      </c>
      <c r="C988" s="3" t="str">
        <f>IFERROR(__xludf.DUMMYFUNCTION("GOOGLETRANSLATE(B988,""id"",""en"")"),"['Moving', 'KartuHalo', 'May', 'Network', 'Telkomsel', 'Leet', 'Disconnect', 'Disconnect', 'internet', 'complain', 'repaired', 'change', ' Shame ',' use ',' kartuHALO ',' network ',' break up ',' broke ',' telephone ',' emotion ',' friend ',' offered ',' "&amp;"migration ',' kartuHalo ',' repaired ' , 'The network', 'love', 'star', 'Telkomsel', 'Bener', 'Denny', 'Siregar', 'service', 'Telkomsel', 'poor', ""]")</f>
        <v>['Moving', 'KartuHalo', 'May', 'Network', 'Telkomsel', 'Leet', 'Disconnect', 'Disconnect', 'internet', 'complain', 'repaired', 'change', ' Shame ',' use ',' kartuHALO ',' network ',' break up ',' broke ',' telephone ',' emotion ',' friend ',' offered ',' migration ',' kartuHalo ',' repaired ' , 'The network', 'love', 'star', 'Telkomsel', 'Bener', 'Denny', 'Siregar', 'service', 'Telkomsel', 'poor', "]</v>
      </c>
      <c r="D988" s="3">
        <v>1.0</v>
      </c>
    </row>
    <row r="989" ht="15.75" customHeight="1">
      <c r="A989" s="1">
        <v>987.0</v>
      </c>
      <c r="B989" s="3" t="s">
        <v>990</v>
      </c>
      <c r="C989" s="3" t="str">
        <f>IFERROR(__xludf.DUMMYFUNCTION("GOOGLETRANSLATE(B989,""id"",""en"")"),"['Points',' then ',' Reedem ',' right ',' Redem ',' Direct ',' get ',' SMS ',' Please ',' Sorry ',' System ',' Busy ',' Try ',' Points ',' Returned ',' Thank "", 'Love', 'Delete', 'Points', 'Reedem']")</f>
        <v>['Points',' then ',' Reedem ',' right ',' Redem ',' Direct ',' get ',' SMS ',' Please ',' Sorry ',' System ',' Busy ',' Try ',' Points ',' Returned ',' Thank ", 'Love', 'Delete', 'Points', 'Reedem']</v>
      </c>
      <c r="D989" s="3">
        <v>1.0</v>
      </c>
    </row>
    <row r="990" ht="15.75" customHeight="1">
      <c r="A990" s="1">
        <v>988.0</v>
      </c>
      <c r="B990" s="3" t="s">
        <v>991</v>
      </c>
      <c r="C990" s="3" t="str">
        <f>IFERROR(__xludf.DUMMYFUNCTION("GOOGLETRANSLATE(B990,""id"",""en"")"),"['buy', 'quota', 'free', 'quota', 'multimedia', 'useful', 'mending', 'free', 'user', 'application', 'Telkomsel', 'mending', ' Uninstall ',' ']")</f>
        <v>['buy', 'quota', 'free', 'quota', 'multimedia', 'useful', 'mending', 'free', 'user', 'application', 'Telkomsel', 'mending', ' Uninstall ',' ']</v>
      </c>
      <c r="D990" s="3">
        <v>1.0</v>
      </c>
    </row>
    <row r="991" ht="15.75" customHeight="1">
      <c r="A991" s="1">
        <v>989.0</v>
      </c>
      <c r="B991" s="3" t="s">
        <v>992</v>
      </c>
      <c r="C991" s="3" t="str">
        <f>IFERROR(__xludf.DUMMYFUNCTION("GOOGLETRANSLATE(B991,""id"",""en"")"),"['Please', 'Help', 'Activate', 'reset', 'card', 'blocked', 'contents',' reset ',' pulse ',' factor ',' loss', 'can', ' Check ',' The card ',' blocked ',' ']")</f>
        <v>['Please', 'Help', 'Activate', 'reset', 'card', 'blocked', 'contents',' reset ',' pulse ',' factor ',' loss', 'can', ' Check ',' The card ',' blocked ',' ']</v>
      </c>
      <c r="D991" s="3">
        <v>5.0</v>
      </c>
    </row>
    <row r="992" ht="15.75" customHeight="1">
      <c r="A992" s="1">
        <v>990.0</v>
      </c>
      <c r="B992" s="3" t="s">
        <v>993</v>
      </c>
      <c r="C992" s="3" t="str">
        <f>IFERROR(__xludf.DUMMYFUNCTION("GOOGLETRANSLATE(B992,""id"",""en"")"),"['Sad', 'the ""run out', 'Date', 'Fill', 'Credit', 'Date', 'Admin', 'Registered', 'Alias',' Active ',' Out ',' replace ',' admin ',' slow ',' response ',' really ',' bales', 'tweet', 'person', 'fast', 'cdm', 'already', 'twt', 'yaudah' , 'Alhamdulillah', '"&amp;"Dibales', 'Thanks', '']")</f>
        <v>['Sad', 'the "run out', 'Date', 'Fill', 'Credit', 'Date', 'Admin', 'Registered', 'Alias',' Active ',' Out ',' replace ',' admin ',' slow ',' response ',' really ',' bales', 'tweet', 'person', 'fast', 'cdm', 'already', 'twt', 'yaudah' , 'Alhamdulillah', 'Dibales', 'Thanks', '']</v>
      </c>
      <c r="D992" s="3">
        <v>1.0</v>
      </c>
    </row>
    <row r="993" ht="15.75" customHeight="1">
      <c r="A993" s="1">
        <v>991.0</v>
      </c>
      <c r="B993" s="3" t="s">
        <v>994</v>
      </c>
      <c r="C993" s="3" t="str">
        <f>IFERROR(__xludf.DUMMYFUNCTION("GOOGLETRANSLATE(B993,""id"",""en"")"),"['Network', 'bad', 'please', 'repaired', 'package', 'network', 'bad', 'sometimes',' right ',' night ',' dipake ',' kayak ',' run out ',' package ',' fill in ',' disappointed ',' really ',' Telkomsel ']")</f>
        <v>['Network', 'bad', 'please', 'repaired', 'package', 'network', 'bad', 'sometimes',' right ',' night ',' dipake ',' kayak ',' run out ',' package ',' fill in ',' disappointed ',' really ',' Telkomsel ']</v>
      </c>
      <c r="D993" s="3">
        <v>1.0</v>
      </c>
    </row>
    <row r="994" ht="15.75" customHeight="1">
      <c r="A994" s="1">
        <v>992.0</v>
      </c>
      <c r="B994" s="3" t="s">
        <v>995</v>
      </c>
      <c r="C994" s="3" t="str">
        <f>IFERROR(__xludf.DUMMYFUNCTION("GOOGLETRANSLATE(B994,""id"",""en"")"),"['Please', 'Fix', 'Signal', 'Region', 'Special', 'Indragiri', 'Hulu', 'Karna', 'Network', 'Stable', 'Play', 'Game', ' Online ',' card ',' expensive ',' according to ',' performance ',' ']")</f>
        <v>['Please', 'Fix', 'Signal', 'Region', 'Special', 'Indragiri', 'Hulu', 'Karna', 'Network', 'Stable', 'Play', 'Game', ' Online ',' card ',' expensive ',' according to ',' performance ',' ']</v>
      </c>
      <c r="D994" s="3">
        <v>1.0</v>
      </c>
    </row>
    <row r="995" ht="15.75" customHeight="1">
      <c r="A995" s="1">
        <v>993.0</v>
      </c>
      <c r="B995" s="3" t="s">
        <v>996</v>
      </c>
      <c r="C995" s="3" t="str">
        <f>IFERROR(__xludf.DUMMYFUNCTION("GOOGLETRANSLATE(B995,""id"",""en"")"),"['Telkomsel', 'ugly', 'games',' mobile ',' Legend ',' ping ',' Naek ',' down ',' green ',' direct ',' red ',' wonder ',' Paketan ',' data ',' count ',' expensive ',' card ',' please ',' fix ',' problem ',' ping ',' stable ',' thank ',' love ']")</f>
        <v>['Telkomsel', 'ugly', 'games',' mobile ',' Legend ',' ping ',' Naek ',' down ',' green ',' direct ',' red ',' wonder ',' Paketan ',' data ',' count ',' expensive ',' card ',' please ',' fix ',' problem ',' ping ',' stable ',' thank ',' love ']</v>
      </c>
      <c r="D995" s="3">
        <v>1.0</v>
      </c>
    </row>
    <row r="996" ht="15.75" customHeight="1">
      <c r="A996" s="1">
        <v>994.0</v>
      </c>
      <c r="B996" s="3" t="s">
        <v>997</v>
      </c>
      <c r="C996" s="3" t="str">
        <f>IFERROR(__xludf.DUMMYFUNCTION("GOOGLETRANSLATE(B996,""id"",""en"")"),"['package', 'doang', 'expensive', 'network', 'bad', 'clock', 'night', 'right', 'maen', 'game', 'mening', 'use', ' Package ',' cheap ',' stable ',' ']")</f>
        <v>['package', 'doang', 'expensive', 'network', 'bad', 'clock', 'night', 'right', 'maen', 'game', 'mening', 'use', ' Package ',' cheap ',' stable ',' ']</v>
      </c>
      <c r="D996" s="3">
        <v>1.0</v>
      </c>
    </row>
    <row r="997" ht="15.75" customHeight="1">
      <c r="A997" s="1">
        <v>995.0</v>
      </c>
      <c r="B997" s="3" t="s">
        <v>998</v>
      </c>
      <c r="C997" s="3" t="str">
        <f>IFERROR(__xludf.DUMMYFUNCTION("GOOGLETRANSLATE(B997,""id"",""en"")"),"['Package', 'Sakti', 'Price', 'Thousand', 'Buy', 'Pulses',' Hufff ',' Please ',' Return ',' Price ',' Plusin ',' Thousand ',' Males', 'Maketin', 'Sorry', 'Reduce', 'Star']")</f>
        <v>['Package', 'Sakti', 'Price', 'Thousand', 'Buy', 'Pulses',' Hufff ',' Please ',' Return ',' Price ',' Plusin ',' Thousand ',' Males', 'Maketin', 'Sorry', 'Reduce', 'Star']</v>
      </c>
      <c r="D997" s="3">
        <v>3.0</v>
      </c>
    </row>
    <row r="998" ht="15.75" customHeight="1">
      <c r="A998" s="1">
        <v>996.0</v>
      </c>
      <c r="B998" s="3" t="s">
        <v>999</v>
      </c>
      <c r="C998" s="3" t="str">
        <f>IFERROR(__xludf.DUMMYFUNCTION("GOOGLETRANSLATE(B998,""id"",""en"")"),"['hard', 'connection', 'network', 'slow', 'watch', 'video', 'download', 'video', 'already', 'era', 'connection', 'internet', ' ',' foster ',' update ',' smooth ',' turn ',' internet ',' poor ',' kontolllll ']")</f>
        <v>['hard', 'connection', 'network', 'slow', 'watch', 'video', 'download', 'video', 'already', 'era', 'connection', 'internet', ' ',' foster ',' update ',' smooth ',' turn ',' internet ',' poor ',' kontolllll ']</v>
      </c>
      <c r="D998" s="3">
        <v>1.0</v>
      </c>
    </row>
    <row r="999" ht="15.75" customHeight="1">
      <c r="A999" s="1">
        <v>997.0</v>
      </c>
      <c r="B999" s="3" t="s">
        <v>1000</v>
      </c>
      <c r="C999" s="3" t="str">
        <f>IFERROR(__xludf.DUMMYFUNCTION("GOOGLETRANSLATE(B999,""id"",""en"")"),"['Telkomsel', 'bgtt', 'nyabut', 'pulse', 'dipake', 'already', 'bgttt', 'times',' that's', 'package', 'cheerful', 'GB', ' Gada ',' Package ',' Cheap ',' Plis', '']")</f>
        <v>['Telkomsel', 'bgtt', 'nyabut', 'pulse', 'dipake', 'already', 'bgttt', 'times',' that's', 'package', 'cheerful', 'GB', ' Gada ',' Package ',' Cheap ',' Plis', '']</v>
      </c>
      <c r="D999" s="3">
        <v>1.0</v>
      </c>
    </row>
    <row r="1000" ht="15.75" customHeight="1">
      <c r="A1000" s="1">
        <v>998.0</v>
      </c>
      <c r="B1000" s="3" t="s">
        <v>1001</v>
      </c>
      <c r="C1000" s="3" t="str">
        <f>IFERROR(__xludf.DUMMYFUNCTION("GOOGLETRANSLATE(B1000,""id"",""en"")"),"['Please', 'price', 'quota', 'Telkomsel', 'Lower', 'city', 'cheap', 'remote', 'village', 'expensive', 'please', 'price', ' Quota ',' Telkomsel ',' Lower ', ""]")</f>
        <v>['Please', 'price', 'quota', 'Telkomsel', 'Lower', 'city', 'cheap', 'remote', 'village', 'expensive', 'please', 'price', ' Quota ',' Telkomsel ',' Lower ', "]</v>
      </c>
      <c r="D1000" s="3">
        <v>1.0</v>
      </c>
    </row>
    <row r="1001" ht="15.75" customHeight="1">
      <c r="A1001" s="1">
        <v>999.0</v>
      </c>
      <c r="B1001" s="3" t="s">
        <v>1002</v>
      </c>
      <c r="C1001" s="3" t="str">
        <f>IFERROR(__xludf.DUMMYFUNCTION("GOOGLETRANSLATE(B1001,""id"",""en"")"),"['Please', 'price', 'package', 'internet', 'already', 'expensive', 'signal', 'comparable', 'price', 'package', 'play', 'game', ' signal ',' red ',' yellow ',' please ',' fix ',' strength ',' signal ', ""]")</f>
        <v>['Please', 'price', 'package', 'internet', 'already', 'expensive', 'signal', 'comparable', 'price', 'package', 'play', 'game', ' signal ',' red ',' yellow ',' please ',' fix ',' strength ',' signal ', "]</v>
      </c>
      <c r="D1001" s="3">
        <v>1.0</v>
      </c>
    </row>
    <row r="1002" ht="15.75" customHeight="1">
      <c r="A1002" s="1">
        <v>1000.0</v>
      </c>
      <c r="B1002" s="3" t="s">
        <v>1003</v>
      </c>
      <c r="C1002" s="3" t="str">
        <f>IFERROR(__xludf.DUMMYFUNCTION("GOOGLETRANSLATE(B1002,""id"",""en"")"),"['Please', 'sorry', 'buy', 'package', 'data', 'Telkomsel', 'expensive', 'quality', 'network', 'according to', 'price', 'please', ' Telkomsel ',' users', 'Telkomsel', 'many years',' bad ',' quality ',' network ',' quota ',' watch ',' buffering ',' watch ',"&amp;"' open ',' goggle ' , 'slow', 'forgiveness', 'please', 'respond', 'trmksh']")</f>
        <v>['Please', 'sorry', 'buy', 'package', 'data', 'Telkomsel', 'expensive', 'quality', 'network', 'according to', 'price', 'please', ' Telkomsel ',' users', 'Telkomsel', 'many years',' bad ',' quality ',' network ',' quota ',' watch ',' buffering ',' watch ',' open ',' goggle ' , 'slow', 'forgiveness', 'please', 'respond', 'trmksh']</v>
      </c>
      <c r="D1002" s="3">
        <v>2.0</v>
      </c>
    </row>
    <row r="1003" ht="15.75" customHeight="1">
      <c r="A1003" s="1">
        <v>1001.0</v>
      </c>
      <c r="B1003" s="3" t="s">
        <v>1004</v>
      </c>
      <c r="C1003" s="3" t="str">
        <f>IFERROR(__xludf.DUMMYFUNCTION("GOOGLETRANSLATE(B1003,""id"",""en"")"),"['Telkomsel', 'signal', 'ilang', 'appears',' leaning ',' ilang ',' youtube ',' open ',' crome ',' ama ',' snail ',' kenceng ',' Snail ',' his way ',' astagaaaaa ',' data ',' expensive ',' surprised ',' ama ',' Telkomsel ',' ']")</f>
        <v>['Telkomsel', 'signal', 'ilang', 'appears',' leaning ',' ilang ',' youtube ',' open ',' crome ',' ama ',' snail ',' kenceng ',' Snail ',' his way ',' astagaaaaa ',' data ',' expensive ',' surprised ',' ama ',' Telkomsel ',' ']</v>
      </c>
      <c r="D1003" s="3">
        <v>1.0</v>
      </c>
    </row>
    <row r="1004" ht="15.75" customHeight="1">
      <c r="A1004" s="1">
        <v>1002.0</v>
      </c>
      <c r="B1004" s="3" t="s">
        <v>1005</v>
      </c>
      <c r="C1004" s="3" t="str">
        <f>IFERROR(__xludf.DUMMYFUNCTION("GOOGLETRANSLATE(B1004,""id"",""en"")"),"['network', 'Telkomsel', 'remote', 'good', 'skrang', 'slow', 'please', 'fix', 'pln', 'die', 'die', 'signal', ' Telkomsel ',' Lost ',' Operator ',' Next ',' Kenceng ',' Dead ',' Lights', 'Use', 'Number', 'Telkomsel', 'Tens',' Disappointed ', ""]")</f>
        <v>['network', 'Telkomsel', 'remote', 'good', 'skrang', 'slow', 'please', 'fix', 'pln', 'die', 'die', 'signal', ' Telkomsel ',' Lost ',' Operator ',' Next ',' Kenceng ',' Dead ',' Lights', 'Use', 'Number', 'Telkomsel', 'Tens',' Disappointed ', "]</v>
      </c>
      <c r="D1004" s="3">
        <v>1.0</v>
      </c>
    </row>
    <row r="1005" ht="15.75" customHeight="1">
      <c r="A1005" s="1">
        <v>1003.0</v>
      </c>
      <c r="B1005" s="3" t="s">
        <v>1006</v>
      </c>
      <c r="C1005" s="3" t="str">
        <f>IFERROR(__xludf.DUMMYFUNCTION("GOOGLETRANSLATE(B1005,""id"",""en"")"),"['Good', 'expensive', 'occasioniiiiiiii', 'please', 'kah', 'community', 'sacan', 'community', 'expensive', 'buy', 'community', 'what', ' power ',' buy ',' expensive ',' contents', 'package', 'data', 'appikel', 'mytelkomsel', 'data', 'child', 'education', "&amp;"'online', 'giga' , 'thousand', 'exhausted', 'zoom', 'education', 'difficult', 'paya', 'he said', 'eat', 'rb', 'sudh', 'please', 'kah', ' management ',' Telkomsel ',' program ',' as']")</f>
        <v>['Good', 'expensive', 'occasioniiiiiiii', 'please', 'kah', 'community', 'sacan', 'community', 'expensive', 'buy', 'community', 'what', ' power ',' buy ',' expensive ',' contents', 'package', 'data', 'appikel', 'mytelkomsel', 'data', 'child', 'education', 'online', 'giga' , 'thousand', 'exhausted', 'zoom', 'education', 'difficult', 'paya', 'he said', 'eat', 'rb', 'sudh', 'please', 'kah', ' management ',' Telkomsel ',' program ',' as']</v>
      </c>
      <c r="D1005" s="3">
        <v>2.0</v>
      </c>
    </row>
    <row r="1006" ht="15.75" customHeight="1">
      <c r="A1006" s="1">
        <v>1004.0</v>
      </c>
      <c r="B1006" s="3" t="s">
        <v>1007</v>
      </c>
      <c r="C1006" s="3" t="str">
        <f>IFERROR(__xludf.DUMMYFUNCTION("GOOGLETRANSLATE(B1006,""id"",""en"")"),"['Telkomsel', 'already', 'internet', 'network', 'internet', 'like', 'broke', 'Gara', 'focus', 'you', 'ignore', ""]")</f>
        <v>['Telkomsel', 'already', 'internet', 'network', 'internet', 'like', 'broke', 'Gara', 'focus', 'you', 'ignore', "]</v>
      </c>
      <c r="D1006" s="3">
        <v>1.0</v>
      </c>
    </row>
    <row r="1007" ht="15.75" customHeight="1">
      <c r="A1007" s="1">
        <v>1005.0</v>
      </c>
      <c r="B1007" s="3" t="s">
        <v>1008</v>
      </c>
      <c r="C1007" s="3" t="str">
        <f>IFERROR(__xludf.DUMMYFUNCTION("GOOGLETRANSLATE(B1007,""id"",""en"")"),"['application', 'good', 'application', 'help', 'leftover', 'quota', 'pulse', 'type', 'type', 'plus',' replace ',' gift ',' kit ',' car ',' gadget ',' exchange ',' point ',' syaa ',' Allah ',' car ', ""]")</f>
        <v>['application', 'good', 'application', 'help', 'leftover', 'quota', 'pulse', 'type', 'type', 'plus',' replace ',' gift ',' kit ',' car ',' gadget ',' exchange ',' point ',' syaa ',' Allah ',' car ', "]</v>
      </c>
      <c r="D1007" s="3">
        <v>5.0</v>
      </c>
    </row>
    <row r="1008" ht="15.75" customHeight="1">
      <c r="A1008" s="1">
        <v>1006.0</v>
      </c>
      <c r="B1008" s="3" t="s">
        <v>1009</v>
      </c>
      <c r="C1008" s="3" t="str">
        <f>IFERROR(__xludf.DUMMYFUNCTION("GOOGLETRANSLATE(B1008,""id"",""en"")"),"['quota', 'Daily', 'Cecin', 'Sometimes',' setabilia ',' network ',' network ',' data ',' network ',' signal ',' full ',' emang ',' free ',' display ',' change ',' update ',' try ',' stabilizing ',' application ',' bug ',' bug ',' ']")</f>
        <v>['quota', 'Daily', 'Cecin', 'Sometimes',' setabilia ',' network ',' network ',' data ',' network ',' signal ',' full ',' emang ',' free ',' display ',' change ',' update ',' try ',' stabilizing ',' application ',' bug ',' bug ',' ']</v>
      </c>
      <c r="D1008" s="3">
        <v>4.0</v>
      </c>
    </row>
    <row r="1009" ht="15.75" customHeight="1">
      <c r="A1009" s="1">
        <v>1007.0</v>
      </c>
      <c r="B1009" s="3" t="s">
        <v>1010</v>
      </c>
      <c r="C1009" s="3" t="str">
        <f>IFERROR(__xludf.DUMMYFUNCTION("GOOGLETRANSLATE(B1009,""id"",""en"")"),"['buy', 'package', 'internet', 'thousand', 'rupiah', 'pulse', 'sucked', 'package', 'internet', 'active', 'please', 'fix', ' error ',' harm "", 'org', '']")</f>
        <v>['buy', 'package', 'internet', 'thousand', 'rupiah', 'pulse', 'sucked', 'package', 'internet', 'active', 'please', 'fix', ' error ',' harm ", 'org', '']</v>
      </c>
      <c r="D1009" s="3">
        <v>1.0</v>
      </c>
    </row>
    <row r="1010" ht="15.75" customHeight="1">
      <c r="A1010" s="1">
        <v>1008.0</v>
      </c>
      <c r="B1010" s="3" t="s">
        <v>1011</v>
      </c>
      <c r="C1010" s="3" t="str">
        <f>IFERROR(__xludf.DUMMYFUNCTION("GOOGLETRANSLATE(B1010,""id"",""en"")"),"['tdak', 'internet', 'Telkomsel', 'network', 'destroyed', 'price', 'package', 'expensive', 'according to', 'hope', 'internet', 'Telkomsel', ' Forgiveness', '']")</f>
        <v>['tdak', 'internet', 'Telkomsel', 'network', 'destroyed', 'price', 'package', 'expensive', 'according to', 'hope', 'internet', 'Telkomsel', ' Forgiveness', '']</v>
      </c>
      <c r="D1010" s="3">
        <v>1.0</v>
      </c>
    </row>
    <row r="1011" ht="15.75" customHeight="1">
      <c r="A1011" s="1">
        <v>1009.0</v>
      </c>
      <c r="B1011" s="3" t="s">
        <v>1012</v>
      </c>
      <c r="C1011" s="3" t="str">
        <f>IFERROR(__xludf.DUMMYFUNCTION("GOOGLETRANSLATE(B1011,""id"",""en"")"),"['Disappointed', 'Telkomsel', 'yrs',' loyal ',' Telkomsel ',' obstacles', 'natural', 'price', 'package', 'expensive', 'forgiveness',' Kenda ',' Network ',' Disappointed ',' Buffering ',' YouTube ',' Google ',' Price ',' Expensive ',' Update ',' Please ','"&amp;" Fix ',' Convenient ',' Customer ',' Customer ' , 'move', '']")</f>
        <v>['Disappointed', 'Telkomsel', 'yrs',' loyal ',' Telkomsel ',' obstacles', 'natural', 'price', 'package', 'expensive', 'forgiveness',' Kenda ',' Network ',' Disappointed ',' Buffering ',' YouTube ',' Google ',' Price ',' Expensive ',' Update ',' Please ',' Fix ',' Convenient ',' Customer ',' Customer ' , 'move', '']</v>
      </c>
      <c r="D1011" s="3">
        <v>2.0</v>
      </c>
    </row>
    <row r="1012" ht="15.75" customHeight="1">
      <c r="A1012" s="1">
        <v>1010.0</v>
      </c>
      <c r="B1012" s="3" t="s">
        <v>1013</v>
      </c>
      <c r="C1012" s="3" t="str">
        <f>IFERROR(__xludf.DUMMYFUNCTION("GOOGLETRANSLATE(B1012,""id"",""en"")"),"['Hello', 'Min', 'Andri', 'Regarding', 'Card', 'Hello', 'Blocking', 'Paying', 'On', 'Waiting', 'Clock', 'Chat', ' Veronika ',' reply ',' Waiting ',' Clock ',' Waiting ',' ']")</f>
        <v>['Hello', 'Min', 'Andri', 'Regarding', 'Card', 'Hello', 'Blocking', 'Paying', 'On', 'Waiting', 'Clock', 'Chat', ' Veronika ',' reply ',' Waiting ',' Clock ',' Waiting ',' ']</v>
      </c>
      <c r="D1012" s="3">
        <v>1.0</v>
      </c>
    </row>
    <row r="1013" ht="15.75" customHeight="1">
      <c r="A1013" s="1">
        <v>1011.0</v>
      </c>
      <c r="B1013" s="3" t="s">
        <v>1014</v>
      </c>
      <c r="C1013" s="3" t="str">
        <f>IFERROR(__xludf.DUMMYFUNCTION("GOOGLETRANSLATE(B1013,""id"",""en"")"),"['Telkomsel', 'pulse', 'package', 'data', 'expensive', 'try', 'price', 'updated', 'person', 'buy', 'pulse', 'package', ' Data ',' expensive ',' Need ',' Thank you ', ""]")</f>
        <v>['Telkomsel', 'pulse', 'package', 'data', 'expensive', 'try', 'price', 'updated', 'person', 'buy', 'pulse', 'package', ' Data ',' expensive ',' Need ',' Thank you ', "]</v>
      </c>
      <c r="D1013" s="3">
        <v>2.0</v>
      </c>
    </row>
    <row r="1014" ht="15.75" customHeight="1">
      <c r="A1014" s="1">
        <v>1012.0</v>
      </c>
      <c r="B1014" s="3" t="s">
        <v>1015</v>
      </c>
      <c r="C1014" s="3" t="str">
        <f>IFERROR(__xludf.DUMMYFUNCTION("GOOGLETRANSLATE(B1014,""id"",""en"")"),"['service', 'good', 'just', 'package', 'unlimited', 'watch', 'YouTube', 'Video', 'streaming', 'satisfying', 'week', 'and that', ' Bonus', 'Pakenya', 'Browsing', 'YouTube', '']")</f>
        <v>['service', 'good', 'just', 'package', 'unlimited', 'watch', 'YouTube', 'Video', 'streaming', 'satisfying', 'week', 'and that', ' Bonus', 'Pakenya', 'Browsing', 'YouTube', '']</v>
      </c>
      <c r="D1014" s="3">
        <v>3.0</v>
      </c>
    </row>
    <row r="1015" ht="15.75" customHeight="1">
      <c r="A1015" s="1">
        <v>1013.0</v>
      </c>
      <c r="B1015" s="3" t="s">
        <v>1016</v>
      </c>
      <c r="C1015" s="3" t="str">
        <f>IFERROR(__xludf.DUMMYFUNCTION("GOOGLETRANSLATE(B1015,""id"",""en"")"),"['Telkomsel', 'bad', 'cook', 'signal', 'lose', 'provider', 'thousands',' price ',' package ',' expensive ',' please ',' fixed ',' ']")</f>
        <v>['Telkomsel', 'bad', 'cook', 'signal', 'lose', 'provider', 'thousands',' price ',' package ',' expensive ',' please ',' fixed ',' ']</v>
      </c>
      <c r="D1015" s="3">
        <v>1.0</v>
      </c>
    </row>
    <row r="1016" ht="15.75" customHeight="1">
      <c r="A1016" s="1">
        <v>1014.0</v>
      </c>
      <c r="B1016" s="3" t="s">
        <v>1017</v>
      </c>
      <c r="C1016" s="3" t="str">
        <f>IFERROR(__xludf.DUMMYFUNCTION("GOOGLETRANSLATE(B1016,""id"",""en"")"),"['Package', 'data', 'night', 'expensive', 'GB', 'signal', 'send', 'message', 'clay', 'quota', 'bales',' bales', ' Colently ',' quota ',' night ',' ']")</f>
        <v>['Package', 'data', 'night', 'expensive', 'GB', 'signal', 'send', 'message', 'clay', 'quota', 'bales',' bales', ' Colently ',' quota ',' night ',' ']</v>
      </c>
      <c r="D1016" s="3">
        <v>1.0</v>
      </c>
    </row>
    <row r="1017" ht="15.75" customHeight="1">
      <c r="A1017" s="1">
        <v>1015.0</v>
      </c>
      <c r="B1017" s="3" t="s">
        <v>1018</v>
      </c>
      <c r="C1017" s="3" t="str">
        <f>IFERROR(__xludf.DUMMYFUNCTION("GOOGLETRANSLATE(B1017,""id"",""en"")"),"['ugly', 'entry', 'application', 'sms',' verification ',' send ',' disappointed ',' love ',' star ',' change ',' in the future ',' hijrah ',' Ajalah ',' aka ',' Change ',' card ',' ']")</f>
        <v>['ugly', 'entry', 'application', 'sms',' verification ',' send ',' disappointed ',' love ',' star ',' change ',' in the future ',' hijrah ',' Ajalah ',' aka ',' Change ',' card ',' ']</v>
      </c>
      <c r="D1017" s="3">
        <v>1.0</v>
      </c>
    </row>
    <row r="1018" ht="15.75" customHeight="1">
      <c r="A1018" s="1">
        <v>1016.0</v>
      </c>
      <c r="B1018" s="3" t="s">
        <v>1019</v>
      </c>
      <c r="C1018" s="3" t="str">
        <f>IFERROR(__xludf.DUMMYFUNCTION("GOOGLETRANSLATE(B1018,""id"",""en"")"),"['times', 'at the time', 'Genting', 'upset', 'quality', 'downhill', 'amid "",' urban ',' signal ',' sometimes ',' loss ',' connection ',' Sometimes', 'annoying', 'activity', 'comfortable', 'beg', 'fix', 'quality', 'org', 'entrust', 'Telkomsel', 'as',' pro"&amp;"ducts', 'BUMN' , 'plg', 'smg', 'correction', 'telkomsel', 'service', 'thx']")</f>
        <v>['times', 'at the time', 'Genting', 'upset', 'quality', 'downhill', 'amid ",' urban ',' signal ',' sometimes ',' loss ',' connection ',' Sometimes', 'annoying', 'activity', 'comfortable', 'beg', 'fix', 'quality', 'org', 'entrust', 'Telkomsel', 'as',' products', 'BUMN' , 'plg', 'smg', 'correction', 'telkomsel', 'service', 'thx']</v>
      </c>
      <c r="D1018" s="3">
        <v>1.0</v>
      </c>
    </row>
    <row r="1019" ht="15.75" customHeight="1">
      <c r="A1019" s="1">
        <v>1017.0</v>
      </c>
      <c r="B1019" s="3" t="s">
        <v>1020</v>
      </c>
      <c r="C1019" s="3" t="str">
        <f>IFERROR(__xludf.DUMMYFUNCTION("GOOGLETRANSLATE(B1019,""id"",""en"")"),"['already', 'corruption', 'network', 'udh', 'ugly', 'still', 'leftover', 'pulse', 'ilang', 'buy', 'package', 'price', ' pulses', 'change', 'ilang', 'right']")</f>
        <v>['already', 'corruption', 'network', 'udh', 'ugly', 'still', 'leftover', 'pulse', 'ilang', 'buy', 'package', 'price', ' pulses', 'change', 'ilang', 'right']</v>
      </c>
      <c r="D1019" s="3">
        <v>1.0</v>
      </c>
    </row>
    <row r="1020" ht="15.75" customHeight="1">
      <c r="A1020" s="1">
        <v>1018.0</v>
      </c>
      <c r="B1020" s="3" t="s">
        <v>1021</v>
      </c>
      <c r="C1020" s="3" t="str">
        <f>IFERROR(__xludf.DUMMYFUNCTION("GOOGLETRANSLATE(B1020,""id"",""en"")"),"['Suggestion', 'Syaa', 'update', 'account', 'Telkomsel', 'log', 'out', 'buy', 'fail', 'Udh', 'cheated', 'Udh', ' Money ',' Balikin ',' Nipu ',' Stayy ',' Halal ',' guys']")</f>
        <v>['Suggestion', 'Syaa', 'update', 'account', 'Telkomsel', 'log', 'out', 'buy', 'fail', 'Udh', 'cheated', 'Udh', ' Money ',' Balikin ',' Nipu ',' Stayy ',' Halal ',' guys']</v>
      </c>
      <c r="D1020" s="3">
        <v>1.0</v>
      </c>
    </row>
    <row r="1021" ht="15.75" customHeight="1">
      <c r="A1021" s="1">
        <v>1019.0</v>
      </c>
      <c r="B1021" s="3" t="s">
        <v>1022</v>
      </c>
      <c r="C1021" s="3" t="str">
        <f>IFERROR(__xludf.DUMMYFUNCTION("GOOGLETRANSLATE(B1021,""id"",""en"")"),"['please', 'slow', 'really', 'check', 'quota', 'pulse', 'wait', 'clock', 'right', 'fill', 'pulse', 'longaaa', ' Customers', 'out', 'lho', 'ugly', 'really', 'service', 'Telkomsel', 'win', 'expensive', ""]")</f>
        <v>['please', 'slow', 'really', 'check', 'quota', 'pulse', 'wait', 'clock', 'right', 'fill', 'pulse', 'longaaa', ' Customers', 'out', 'lho', 'ugly', 'really', 'service', 'Telkomsel', 'win', 'expensive', "]</v>
      </c>
      <c r="D1021" s="3">
        <v>1.0</v>
      </c>
    </row>
    <row r="1022" ht="15.75" customHeight="1">
      <c r="A1022" s="1">
        <v>1020.0</v>
      </c>
      <c r="B1022" s="3" t="s">
        <v>1023</v>
      </c>
      <c r="C1022" s="3" t="str">
        <f>IFERROR(__xludf.DUMMYFUNCTION("GOOGLETRANSLATE(B1022,""id"",""en"")"),"['Okay', 'Telkomsel', 'Hope', 'Enhanced', 'Live', 'West Jakarta', 'Experiencing', 'Signal', 'Down', 'In', 'Office', 'Hope', ' Next ',' Mantab ',' Bravo ',' Telkomsel ', ""]")</f>
        <v>['Okay', 'Telkomsel', 'Hope', 'Enhanced', 'Live', 'West Jakarta', 'Experiencing', 'Signal', 'Down', 'In', 'Office', 'Hope', ' Next ',' Mantab ',' Bravo ',' Telkomsel ', "]</v>
      </c>
      <c r="D1022" s="3">
        <v>5.0</v>
      </c>
    </row>
    <row r="1023" ht="15.75" customHeight="1">
      <c r="A1023" s="1">
        <v>1021.0</v>
      </c>
      <c r="B1023" s="3" t="s">
        <v>1024</v>
      </c>
      <c r="C1023" s="3" t="str">
        <f>IFERROR(__xludf.DUMMYFUNCTION("GOOGLETRANSLATE(B1023,""id"",""en"")"),"[ 'Good', 'winner', 'rendem', 'gift', 'asiiiiiiiiiiiiiiiiiiiiiiiiiiiiiiiiiiiiiiiiiiiiiiiiiiiiiiiiiiiiiiiiiiiiiiiiiiiiiiiiiiiiiuuuiiiiuiiuiuuuuuuuiuuuiiiiiiiiiiiiiiiiiiiiiiiiiiiiikkkkkkkkkkkkkkkkkkkkkikkkkkkkkk']")</f>
        <v>[ 'Good', 'winner', 'rendem', 'gift', 'asiiiiiiiiiiiiiiiiiiiiiiiiiiiiiiiiiiiiiiiiiiiiiiiiiiiiiiiiiiiiiiiiiiiiiiiiiiiiiiiiiiiiiuuuiiiiuiiuiuuuuuuuiuuuiiiiiiiiiiiiiiiiiiiiiiiiiiiiikkkkkkkkkkkkkkkkkkkkkikkkkkkkkk']</v>
      </c>
      <c r="D1023" s="3">
        <v>4.0</v>
      </c>
    </row>
    <row r="1024" ht="15.75" customHeight="1">
      <c r="A1024" s="1">
        <v>1022.0</v>
      </c>
      <c r="B1024" s="3" t="s">
        <v>1025</v>
      </c>
      <c r="C1024" s="3" t="str">
        <f>IFERROR(__xludf.DUMMYFUNCTION("GOOGLETRANSLATE(B1024,""id"",""en"")"),"['Telkomsel', 'network', 'equivalent', 'Indonesia', 'in fact', 'network', 'Papua', 'Sorong', 'good', 'compare', 'network', 'Java', ' Sukomoro ',' Nganjuk ',' Fikir ',' Network ',' Java ',' Javan ',' equivalent ',' Network ',' Sorong ',' Papua ',' Network "&amp;"',' Telkomsel ',' Java ' , 'Severe', 'Compare', 'Network', 'Telkomsel', 'Papua', 'Hope', 'Telkomsel', ""]")</f>
        <v>['Telkomsel', 'network', 'equivalent', 'Indonesia', 'in fact', 'network', 'Papua', 'Sorong', 'good', 'compare', 'network', 'Java', ' Sukomoro ',' Nganjuk ',' Fikir ',' Network ',' Java ',' Javan ',' equivalent ',' Network ',' Sorong ',' Papua ',' Network ',' Telkomsel ',' Java ' , 'Severe', 'Compare', 'Network', 'Telkomsel', 'Papua', 'Hope', 'Telkomsel', "]</v>
      </c>
      <c r="D1024" s="3">
        <v>3.0</v>
      </c>
    </row>
    <row r="1025" ht="15.75" customHeight="1">
      <c r="A1025" s="1">
        <v>1023.0</v>
      </c>
      <c r="B1025" s="3" t="s">
        <v>1026</v>
      </c>
      <c r="C1025" s="3" t="str">
        <f>IFERROR(__xludf.DUMMYFUNCTION("GOOGLETRANSLATE(B1025,""id"",""en"")"),"['Package', 'Data', 'Telkomsel', 'Package', 'Tel', 'AEWAU', 'OPERATOR', 'A month', 'After', 'Tel', 'Info', 'Usage', ' pulses', 'reduced', 'hope', 'contents',' explanation ',' reduced ',' Please ',' explanation ',' disappointed ', ""]")</f>
        <v>['Package', 'Data', 'Telkomsel', 'Package', 'Tel', 'AEWAU', 'OPERATOR', 'A month', 'After', 'Tel', 'Info', 'Usage', ' pulses', 'reduced', 'hope', 'contents',' explanation ',' reduced ',' Please ',' explanation ',' disappointed ', "]</v>
      </c>
      <c r="D1025" s="3">
        <v>1.0</v>
      </c>
    </row>
    <row r="1026" ht="15.75" customHeight="1">
      <c r="A1026" s="1">
        <v>1024.0</v>
      </c>
      <c r="B1026" s="3" t="s">
        <v>1027</v>
      </c>
      <c r="C1026" s="3" t="str">
        <f>IFERROR(__xludf.DUMMYFUNCTION("GOOGLETRANSLATE(B1026,""id"",""en"")"),"['KMPRT', 'intention', 'gave', 'unlimited', 'Gausah', 'given', 'gave', 'unlimited', 'limit', 'Normal', 'GB', 'Namany', ' BKN ',' unlimited ',' cmn ',' application ',' application ',' kgk ',' emotion ',' maen ',' game ',' so ',' open ',' youtube ',' that's"&amp;"' , 'Tiktokan', 'that's', '']")</f>
        <v>['KMPRT', 'intention', 'gave', 'unlimited', 'Gausah', 'given', 'gave', 'unlimited', 'limit', 'Normal', 'GB', 'Namany', ' BKN ',' unlimited ',' cmn ',' application ',' application ',' kgk ',' emotion ',' maen ',' game ',' so ',' open ',' youtube ',' that's' , 'Tiktokan', 'that's', '']</v>
      </c>
      <c r="D1026" s="3">
        <v>1.0</v>
      </c>
    </row>
    <row r="1027" ht="15.75" customHeight="1">
      <c r="A1027" s="1">
        <v>1025.0</v>
      </c>
      <c r="B1027" s="3" t="s">
        <v>1028</v>
      </c>
      <c r="C1027" s="3" t="str">
        <f>IFERROR(__xludf.DUMMYFUNCTION("GOOGLETRANSLATE(B1027,""id"",""en"")"),"['Fill', 'pulse', 'Gopay', 'enter', 'Gopay', 'success',' buy ',' quota ',' promo ',' pay ',' use ',' Gopay ',' Enter ',' quota ',' ']")</f>
        <v>['Fill', 'pulse', 'Gopay', 'enter', 'Gopay', 'success',' buy ',' quota ',' promo ',' pay ',' use ',' Gopay ',' Enter ',' quota ',' ']</v>
      </c>
      <c r="D1027" s="3">
        <v>2.0</v>
      </c>
    </row>
    <row r="1028" ht="15.75" customHeight="1">
      <c r="A1028" s="1">
        <v>1026.0</v>
      </c>
      <c r="B1028" s="3" t="s">
        <v>1029</v>
      </c>
      <c r="C1028" s="3" t="str">
        <f>IFERROR(__xludf.DUMMYFUNCTION("GOOGLETRANSLATE(B1028,""id"",""en"")"),"['here', 'disruption', 'annoying', 'detrimental', 'obstacles',' buy ',' package ',' special ',' over ',' over ',' Something ',' Wrong ',' Sorry ',' disorder ',' email ',' response ',' improvement ',' essence ',' disappointed ',' ']")</f>
        <v>['here', 'disruption', 'annoying', 'detrimental', 'obstacles',' buy ',' package ',' special ',' over ',' over ',' Something ',' Wrong ',' Sorry ',' disorder ',' email ',' response ',' improvement ',' essence ',' disappointed ',' ']</v>
      </c>
      <c r="D1028" s="3">
        <v>1.0</v>
      </c>
    </row>
    <row r="1029" ht="15.75" customHeight="1">
      <c r="A1029" s="1">
        <v>1027.0</v>
      </c>
      <c r="B1029" s="3" t="s">
        <v>1030</v>
      </c>
      <c r="C1029" s="3" t="str">
        <f>IFERROR(__xludf.DUMMYFUNCTION("GOOGLETRANSLATE(B1029,""id"",""en"")"),"['Soon', 'Woy', 'Sinyal', 'WhatsApp', 'Current', 'YouTube', 'Ngelag', 'really', 'already', 'replace', 'APN', 'Karna', ' APN ',' default ',' gag ',' energy ',' play ',' game ',' smooth ',' signal ',' change ',' price ',' package ',' expensive ',' signal ' "&amp;", 'My place', 'Tower', 'Telkomsel', 'Please', 'fixed', 'About', 'signal', 'Changed', 'Rain', 'Operator', 'Strong', 'Rain', ' Telkomsel ',' slow ']")</f>
        <v>['Soon', 'Woy', 'Sinyal', 'WhatsApp', 'Current', 'YouTube', 'Ngelag', 'really', 'already', 'replace', 'APN', 'Karna', ' APN ',' default ',' gag ',' energy ',' play ',' game ',' smooth ',' signal ',' change ',' price ',' package ',' expensive ',' signal ' , 'My place', 'Tower', 'Telkomsel', 'Please', 'fixed', 'About', 'signal', 'Changed', 'Rain', 'Operator', 'Strong', 'Rain', ' Telkomsel ',' slow ']</v>
      </c>
      <c r="D1029" s="3">
        <v>1.0</v>
      </c>
    </row>
    <row r="1030" ht="15.75" customHeight="1">
      <c r="A1030" s="1">
        <v>1028.0</v>
      </c>
      <c r="B1030" s="3" t="s">
        <v>1031</v>
      </c>
      <c r="C1030" s="3" t="str">
        <f>IFERROR(__xludf.DUMMYFUNCTION("GOOGLETRANSLATE(B1030,""id"",""en"")"),"['application', 'Telkomsel', 'check', 'quota', 'buy', 'package', 'exchange', 'Points',' uses', 'like', 'happy', 'MyTelkomsel', ' Success', 'Love', 'Telkomsel', 'Telkomsel', ""]")</f>
        <v>['application', 'Telkomsel', 'check', 'quota', 'buy', 'package', 'exchange', 'Points',' uses', 'like', 'happy', 'MyTelkomsel', ' Success', 'Love', 'Telkomsel', 'Telkomsel', "]</v>
      </c>
      <c r="D1030" s="3">
        <v>5.0</v>
      </c>
    </row>
    <row r="1031" ht="15.75" customHeight="1">
      <c r="A1031" s="1">
        <v>1029.0</v>
      </c>
      <c r="B1031" s="3" t="s">
        <v>1032</v>
      </c>
      <c r="C1031" s="3" t="str">
        <f>IFERROR(__xludf.DUMMYFUNCTION("GOOGLETRANSLATE(B1031,""id"",""en"")"),"['Males',' point ',' content ',' reset ',' credit ',' Reedem ',' min ',' please ',' stay ',' rural ',' price ',' package ',' Telkomsel ',' expensive ',' nuker ',' point ',' jadiin ',' pulse ',' min ',' disappointed ',' really ']")</f>
        <v>['Males',' point ',' content ',' reset ',' credit ',' Reedem ',' min ',' please ',' stay ',' rural ',' price ',' package ',' Telkomsel ',' expensive ',' nuker ',' point ',' jadiin ',' pulse ',' min ',' disappointed ',' really ']</v>
      </c>
      <c r="D1031" s="3">
        <v>1.0</v>
      </c>
    </row>
    <row r="1032" ht="15.75" customHeight="1">
      <c r="A1032" s="1">
        <v>1030.0</v>
      </c>
      <c r="B1032" s="3" t="s">
        <v>1033</v>
      </c>
      <c r="C1032" s="3" t="str">
        <f>IFERROR(__xludf.DUMMYFUNCTION("GOOGLETRANSLATE(B1032,""id"",""en"")"),"['buy', 'package', 'balance', 'truncated', 'palette', 'gal', 'enter', 'enter', 'please', 'update', 'good', 'BURIK', ' ']")</f>
        <v>['buy', 'package', 'balance', 'truncated', 'palette', 'gal', 'enter', 'enter', 'please', 'update', 'good', 'BURIK', ' ']</v>
      </c>
      <c r="D1032" s="3">
        <v>1.0</v>
      </c>
    </row>
    <row r="1033" ht="15.75" customHeight="1">
      <c r="A1033" s="1">
        <v>1031.0</v>
      </c>
      <c r="B1033" s="3" t="s">
        <v>1034</v>
      </c>
      <c r="C1033" s="3" t="str">
        <f>IFERROR(__xludf.DUMMYFUNCTION("GOOGLETRANSLATE(B1033,""id"",""en"")"),"['MyTelkomsel', 'how', 'right', 'buy', 'package', 'internet', 'already', 'package', 'pulse', 'reduced', 'fix']")</f>
        <v>['MyTelkomsel', 'how', 'right', 'buy', 'package', 'internet', 'already', 'package', 'pulse', 'reduced', 'fix']</v>
      </c>
      <c r="D1033" s="3">
        <v>1.0</v>
      </c>
    </row>
    <row r="1034" ht="15.75" customHeight="1">
      <c r="A1034" s="1">
        <v>1032.0</v>
      </c>
      <c r="B1034" s="3" t="s">
        <v>1035</v>
      </c>
      <c r="C1034" s="3" t="str">
        <f>IFERROR(__xludf.DUMMYFUNCTION("GOOGLETRANSLATE(B1034,""id"",""en"")"),"['Deeched', 'Network', 'slow', 'urban', 'streaming', 'smooth', 'abis',' hope ',' smooth ',' forward ',' circles', 'people', ' Young ',' people ',' old ']")</f>
        <v>['Deeched', 'Network', 'slow', 'urban', 'streaming', 'smooth', 'abis',' hope ',' smooth ',' forward ',' circles', 'people', ' Young ',' people ',' old ']</v>
      </c>
      <c r="D1034" s="3">
        <v>5.0</v>
      </c>
    </row>
    <row r="1035" ht="15.75" customHeight="1">
      <c r="A1035" s="1">
        <v>1033.0</v>
      </c>
      <c r="B1035" s="3" t="s">
        <v>1036</v>
      </c>
      <c r="C1035" s="3" t="str">
        <f>IFERROR(__xludf.DUMMYFUNCTION("GOOGLETRANSLATE(B1035,""id"",""en"")"),"['Telkomsel', 'Package', 'Internet', 'GB', 'TTEP', 'Credit', 'Cut', 'Internet', 'Nonpacket', 'Needs',' Maketin ',' GB ',' Gini ',' already ',' disappointing ',' ']")</f>
        <v>['Telkomsel', 'Package', 'Internet', 'GB', 'TTEP', 'Credit', 'Cut', 'Internet', 'Nonpacket', 'Needs',' Maketin ',' GB ',' Gini ',' already ',' disappointing ',' ']</v>
      </c>
      <c r="D1035" s="3">
        <v>2.0</v>
      </c>
    </row>
    <row r="1036" ht="15.75" customHeight="1">
      <c r="A1036" s="1">
        <v>1034.0</v>
      </c>
      <c r="B1036" s="3" t="s">
        <v>1037</v>
      </c>
      <c r="C1036" s="3" t="str">
        <f>IFERROR(__xludf.DUMMYFUNCTION("GOOGLETRANSLATE(B1036,""id"",""en"")"),"['Package', 'Kembangin', 'Expensive', 'Quality', 'Signal', 'Bad', 'Woiii', 'Iming', 'In', 'Migration', 'Postpaid', 'Signal', ' Good ',' AncooOorr ',' Hancuur ',' Lebuild ',' Trapped ',' Postpaid ',' Package ',' Expensive ',' Gabisa ',' Memberentin ',' Spe"&amp;"ed ​​',' Mbps', 'Send' , 'picture', 'mAh', 'kasi', 'see', 'orng', 'clay', 'complement', 'dummers',' times', 'no', 'action', 'sure', ' Telkomsel ',' Viralin ',' Sosmed ',' Service ',' Network ',' ']")</f>
        <v>['Package', 'Kembangin', 'Expensive', 'Quality', 'Signal', 'Bad', 'Woiii', 'Iming', 'In', 'Migration', 'Postpaid', 'Signal', ' Good ',' AncooOorr ',' Hancuur ',' Lebuild ',' Trapped ',' Postpaid ',' Package ',' Expensive ',' Gabisa ',' Memberentin ',' Speed ​​',' Mbps', 'Send' , 'picture', 'mAh', 'kasi', 'see', 'orng', 'clay', 'complement', 'dummers',' times', 'no', 'action', 'sure', ' Telkomsel ',' Viralin ',' Sosmed ',' Service ',' Network ',' ']</v>
      </c>
      <c r="D1036" s="3">
        <v>1.0</v>
      </c>
    </row>
    <row r="1037" ht="15.75" customHeight="1">
      <c r="A1037" s="1">
        <v>1035.0</v>
      </c>
      <c r="B1037" s="3" t="s">
        <v>1038</v>
      </c>
      <c r="C1037" s="3" t="str">
        <f>IFERROR(__xludf.DUMMYFUNCTION("GOOGLETRANSLATE(B1037,""id"",""en"")"),"['Live', 'Suak', 'Kec', 'Sidomulyo', 'Lampung', 'South', 'Lampung', 'Signal', 'Full', 'Slow', 'Network', 'Internet', ' Under ',' Kbps', 'users',' Telkomsel ',' please ',' repaired ',' quality ',' internet ',' min ']")</f>
        <v>['Live', 'Suak', 'Kec', 'Sidomulyo', 'Lampung', 'South', 'Lampung', 'Signal', 'Full', 'Slow', 'Network', 'Internet', ' Under ',' Kbps', 'users',' Telkomsel ',' please ',' repaired ',' quality ',' internet ',' min ']</v>
      </c>
      <c r="D1037" s="3">
        <v>2.0</v>
      </c>
    </row>
    <row r="1038" ht="15.75" customHeight="1">
      <c r="A1038" s="1">
        <v>1036.0</v>
      </c>
      <c r="B1038" s="3" t="s">
        <v>1039</v>
      </c>
      <c r="C1038" s="3" t="str">
        <f>IFERROR(__xludf.DUMMYFUNCTION("GOOGLETRANSLATE(B1038,""id"",""en"")"),"['times',' update ',' NOT ',' EASY ',' ACCESS ',' COMPLITED ',' MLH ',' BULET ',' RIBET ',' NDAK ',' Simple ',' SPT ',' Check ',' Data ',' TLP ',' pressure ',' Turns', 'SPT', 'WOI', 'Dead', 'Lights',' Signal ',' Rotten ', ""]")</f>
        <v>['times',' update ',' NOT ',' EASY ',' ACCESS ',' COMPLITED ',' MLH ',' BULET ',' RIBET ',' NDAK ',' Simple ',' SPT ',' Check ',' Data ',' TLP ',' pressure ',' Turns', 'SPT', 'WOI', 'Dead', 'Lights',' Signal ',' Rotten ', "]</v>
      </c>
      <c r="D1038" s="3">
        <v>1.0</v>
      </c>
    </row>
    <row r="1039" ht="15.75" customHeight="1">
      <c r="A1039" s="1">
        <v>1037.0</v>
      </c>
      <c r="B1039" s="3" t="s">
        <v>1040</v>
      </c>
      <c r="C1039" s="3" t="str">
        <f>IFERROR(__xludf.DUMMYFUNCTION("GOOGLETRANSLATE(B1039,""id"",""en"")"),"['package', 'drastic', 'package', 'MB', 'price', 'price', 'please', 'collapsed', 'price', 'quota', ""]")</f>
        <v>['package', 'drastic', 'package', 'MB', 'price', 'price', 'please', 'collapsed', 'price', 'quota', "]</v>
      </c>
      <c r="D1039" s="3">
        <v>1.0</v>
      </c>
    </row>
    <row r="1040" ht="15.75" customHeight="1">
      <c r="A1040" s="1">
        <v>1038.0</v>
      </c>
      <c r="B1040" s="3" t="s">
        <v>1041</v>
      </c>
      <c r="C1040" s="3" t="str">
        <f>IFERROR(__xludf.DUMMYFUNCTION("GOOGLETRANSLATE(B1040,""id"",""en"")"),"['Experience', 'Region', 'Telkomsel', 'Sosmed', 'YouTube', 'App', 'App', 'Sinyal', 'KCT', 'Key', 'Chang', 'Token', ' Please ',' Telkomsel ',' Strengthen ',' Sousal ',' ']")</f>
        <v>['Experience', 'Region', 'Telkomsel', 'Sosmed', 'YouTube', 'App', 'App', 'Sinyal', 'KCT', 'Key', 'Chang', 'Token', ' Please ',' Telkomsel ',' Strengthen ',' Sousal ',' ']</v>
      </c>
      <c r="D1040" s="3">
        <v>4.0</v>
      </c>
    </row>
    <row r="1041" ht="15.75" customHeight="1">
      <c r="A1041" s="1">
        <v>1039.0</v>
      </c>
      <c r="B1041" s="3" t="s">
        <v>1042</v>
      </c>
      <c r="C1041" s="3" t="str">
        <f>IFERROR(__xludf.DUMMYFUNCTION("GOOGLETRANSLATE(B1041,""id"",""en"")"),"['signal', 'changed', 'already', 'kek', 'gini', 'forced', 'Makai', 'card', 'signal', 'Telkomsel', 'city', 'inland', ' Papua ']")</f>
        <v>['signal', 'changed', 'already', 'kek', 'gini', 'forced', 'Makai', 'card', 'signal', 'Telkomsel', 'city', 'inland', ' Papua ']</v>
      </c>
      <c r="D1041" s="3">
        <v>1.0</v>
      </c>
    </row>
    <row r="1042" ht="15.75" customHeight="1">
      <c r="A1042" s="1">
        <v>1040.0</v>
      </c>
      <c r="B1042" s="3" t="s">
        <v>1043</v>
      </c>
      <c r="C1042" s="3" t="str">
        <f>IFERROR(__xludf.DUMMYFUNCTION("GOOGLETRANSLATE(B1042,""id"",""en"")"),"['please', 'Telkomsel', 'buy', 'quota', 'motif', 'sorry', 'disorder', 'system', 'try', 'waited', 'wait', ' Gabisa ',' until ',' pulse ',' Sumpot ',' NSP ',' please ',' Please ',' repair ']")</f>
        <v>['please', 'Telkomsel', 'buy', 'quota', 'motif', 'sorry', 'disorder', 'system', 'try', 'waited', 'wait', ' Gabisa ',' until ',' pulse ',' Sumpot ',' NSP ',' please ',' Please ',' repair ']</v>
      </c>
      <c r="D1042" s="3">
        <v>1.0</v>
      </c>
    </row>
    <row r="1043" ht="15.75" customHeight="1">
      <c r="A1043" s="1">
        <v>1041.0</v>
      </c>
      <c r="B1043" s="3" t="s">
        <v>1044</v>
      </c>
      <c r="C1043" s="3" t="str">
        <f>IFERROR(__xludf.DUMMYFUNCTION("GOOGLETRANSLATE(B1043,""id"",""en"")"),"['Input', 'Please', 'Speed', 'Ride', 'Stabilize', 'User', 'Comfortable', 'Use', 'Upload', 'Download', 'Gaming', 'Stable', ' The goal is', 'user', 'comfortable', 'thank you', '']")</f>
        <v>['Input', 'Please', 'Speed', 'Ride', 'Stabilize', 'User', 'Comfortable', 'Use', 'Upload', 'Download', 'Gaming', 'Stable', ' The goal is', 'user', 'comfortable', 'thank you', '']</v>
      </c>
      <c r="D1043" s="3">
        <v>4.0</v>
      </c>
    </row>
    <row r="1044" ht="15.75" customHeight="1">
      <c r="A1044" s="1">
        <v>1042.0</v>
      </c>
      <c r="B1044" s="3" t="s">
        <v>1045</v>
      </c>
      <c r="C1044" s="3" t="str">
        <f>IFERROR(__xludf.DUMMYFUNCTION("GOOGLETRANSLATE(B1044,""id"",""en"")"),"['Love', 'Bintang', 'already', 'Telkomsel', 'mah', 'no', 'star', 'mah', 'cave', 'love', 'star', 'pepayhhh', ' package ',' expensive ',' signal ',' bapuk ',' raise ',' limit ',' card ',' hello ',' no ',' pay ',' bill ',' cave ',' already ' , 'Pay', 'bills'"&amp;",' then ',' use ',' cave ',' use ',' hello ',' already ',' ngeChat ',' admin ',' mah ',' Solution ',' dilapidated ',' moved ',' provider ',' cave ',' Makai ',' Telkomsel ',' already ',' use ',' number ']")</f>
        <v>['Love', 'Bintang', 'already', 'Telkomsel', 'mah', 'no', 'star', 'mah', 'cave', 'love', 'star', 'pepayhhh', ' package ',' expensive ',' signal ',' bapuk ',' raise ',' limit ',' card ',' hello ',' no ',' pay ',' bill ',' cave ',' already ' , 'Pay', 'bills',' then ',' use ',' cave ',' use ',' hello ',' already ',' ngeChat ',' admin ',' mah ',' Solution ',' dilapidated ',' moved ',' provider ',' cave ',' Makai ',' Telkomsel ',' already ',' use ',' number ']</v>
      </c>
      <c r="D1044" s="3">
        <v>1.0</v>
      </c>
    </row>
    <row r="1045" ht="15.75" customHeight="1">
      <c r="A1045" s="1">
        <v>1043.0</v>
      </c>
      <c r="B1045" s="3" t="s">
        <v>1046</v>
      </c>
      <c r="C1045" s="3" t="str">
        <f>IFERROR(__xludf.DUMMYFUNCTION("GOOGLETRANSLATE(B1045,""id"",""en"")"),"['Try', 'Exchange', 'Points',' Credit ',' Features', 'Interesting', 'Download', 'Points',' MCM ',' Pot ',' Flowers', 'Exchange', ' Data ',' Karna ',' according to ',' Location ',' Papua ',' Exchange ',' Points', 'Data', 'Additional', 'Credit', 'Points',' "&amp;"Krna ',' Points' , 'MyTelkomsel', 'Success', 'Nyak', 'Download', 'Event', 'Good', '']")</f>
        <v>['Try', 'Exchange', 'Points',' Credit ',' Features', 'Interesting', 'Download', 'Points',' MCM ',' Pot ',' Flowers', 'Exchange', ' Data ',' Karna ',' according to ',' Location ',' Papua ',' Exchange ',' Points', 'Data', 'Additional', 'Credit', 'Points',' Krna ',' Points' , 'MyTelkomsel', 'Success', 'Nyak', 'Download', 'Event', 'Good', '']</v>
      </c>
      <c r="D1045" s="3">
        <v>5.0</v>
      </c>
    </row>
    <row r="1046" ht="15.75" customHeight="1">
      <c r="A1046" s="1">
        <v>1044.0</v>
      </c>
      <c r="B1046" s="3" t="s">
        <v>1047</v>
      </c>
      <c r="C1046" s="3" t="str">
        <f>IFERROR(__xludf.DUMMYFUNCTION("GOOGLETRANSLATE(B1046,""id"",""en"")"),"['Android', 'use', 'Telkomsel', 'Telkomsel', 'pay attention', 'user', 'reward', 'boss',' officials', 'company', 'wear', 'Telkomsel', ' It's easy for ',' coordination ',' communication ',' business', 'thank', 'love']")</f>
        <v>['Android', 'use', 'Telkomsel', 'Telkomsel', 'pay attention', 'user', 'reward', 'boss',' officials', 'company', 'wear', 'Telkomsel', ' It's easy for ',' coordination ',' communication ',' business', 'thank', 'love']</v>
      </c>
      <c r="D1046" s="3">
        <v>5.0</v>
      </c>
    </row>
    <row r="1047" ht="15.75" customHeight="1">
      <c r="A1047" s="1">
        <v>1045.0</v>
      </c>
      <c r="B1047" s="3" t="s">
        <v>1048</v>
      </c>
      <c r="C1047" s="3" t="str">
        <f>IFERROR(__xludf.DUMMYFUNCTION("GOOGLETRANSLATE(B1047,""id"",""en"")"),"['subscribe', 'card', 'Telkomsel', 'signal', 'home', 'stable', 'upset', 'play', 'game', 'lag', 'signal', 'move', ' card ',' family ',' pakek ',' card ',' telkomsel ',' hope ',' read ',' admin ',' segerah ',' action ',' continued ',' as soon as', 'Cerme' ,"&amp;" 'Gresik', '']")</f>
        <v>['subscribe', 'card', 'Telkomsel', 'signal', 'home', 'stable', 'upset', 'play', 'game', 'lag', 'signal', 'move', ' card ',' family ',' pakek ',' card ',' telkomsel ',' hope ',' read ',' admin ',' segerah ',' action ',' continued ',' as soon as', 'Cerme' , 'Gresik', '']</v>
      </c>
      <c r="D1047" s="3">
        <v>1.0</v>
      </c>
    </row>
    <row r="1048" ht="15.75" customHeight="1">
      <c r="A1048" s="1">
        <v>1046.0</v>
      </c>
      <c r="B1048" s="3" t="s">
        <v>1049</v>
      </c>
      <c r="C1048" s="3" t="str">
        <f>IFERROR(__xludf.DUMMYFUNCTION("GOOGLETRANSLATE(B1048,""id"",""en"")"),"['Update', 'Application', 'Telkomsel', 'Version', 'Exchange', 'Points',' Get ',' Update ',' Yesterday ',' ilang ',' Exchange ',' Points', ' How ',' Change ',' Version ',' Get ',' Exchange ',' Points', 'Get', 'GB', ""]")</f>
        <v>['Update', 'Application', 'Telkomsel', 'Version', 'Exchange', 'Points',' Get ',' Update ',' Yesterday ',' ilang ',' Exchange ',' Points', ' How ',' Change ',' Version ',' Get ',' Exchange ',' Points', 'Get', 'GB', "]</v>
      </c>
      <c r="D1048" s="3">
        <v>4.0</v>
      </c>
    </row>
    <row r="1049" ht="15.75" customHeight="1">
      <c r="A1049" s="1">
        <v>1047.0</v>
      </c>
      <c r="B1049" s="3" t="s">
        <v>1050</v>
      </c>
      <c r="C1049" s="3" t="str">
        <f>IFERROR(__xludf.DUMMYFUNCTION("GOOGLETRANSLATE(B1049,""id"",""en"")"),"['Reedem', 'Points',' Cumulative ',' Direct ',' Exchange ',' Points', 'Click', 'Facilitates',' Consumers', 'Discard', 'Points',' Care ',' Points', 'Gifts',' Layday ',' Most important ',' Signal ',' Good ',' Internet ',' Current ',' Price ',' Dampened ',' "&amp;"Adrasted ',' Operator ', ""]")</f>
        <v>['Reedem', 'Points',' Cumulative ',' Direct ',' Exchange ',' Points', 'Click', 'Facilitates',' Consumers', 'Discard', 'Points',' Care ',' Points', 'Gifts',' Layday ',' Most important ',' Signal ',' Good ',' Internet ',' Current ',' Price ',' Dampened ',' Adrasted ',' Operator ', "]</v>
      </c>
      <c r="D1049" s="3">
        <v>3.0</v>
      </c>
    </row>
    <row r="1050" ht="15.75" customHeight="1">
      <c r="A1050" s="1">
        <v>1048.0</v>
      </c>
      <c r="B1050" s="3" t="s">
        <v>1051</v>
      </c>
      <c r="C1050" s="3" t="str">
        <f>IFERROR(__xludf.DUMMYFUNCTION("GOOGLETRANSLATE(B1050,""id"",""en"")"),"['deficiency', 'application', 'send', 'gift', 'appears',' price ',' expensive ',' expensive ',' package ',' combo ',' sakti ',' appears', ' ',' Send ',' gift ',' Telkomsel ',' share ',' pulse ',' gartis', 'expensive', '']")</f>
        <v>['deficiency', 'application', 'send', 'gift', 'appears',' price ',' expensive ',' expensive ',' package ',' combo ',' sakti ',' appears', ' ',' Send ',' gift ',' Telkomsel ',' share ',' pulse ',' gartis', 'expensive', '']</v>
      </c>
      <c r="D1050" s="3">
        <v>3.0</v>
      </c>
    </row>
    <row r="1051" ht="15.75" customHeight="1">
      <c r="A1051" s="1">
        <v>1049.0</v>
      </c>
      <c r="B1051" s="3" t="s">
        <v>1052</v>
      </c>
      <c r="C1051" s="3" t="str">
        <f>IFERROR(__xludf.DUMMYFUNCTION("GOOGLETRANSLATE(B1051,""id"",""en"")"),"['Help', 'Sometimes',' signal ',' missing ',' price ',' quota ',' Not bad ',' expensive ',' mah ',' rbb ',' brave ',' use ',' Package ',' RbU ',' Mending ',' Contents', 'Credit', 'Ajh', 'Need', 'Tlpn', 'SMS', 'RB', 'Msih', 'feels',' use ' , 'Males',' ajh "&amp;"',' replace ',' mah ',' gkn ',' replace ',' jdi ',' hello ',' tetep ',' want ',' sympathy ',' ajh ',' postpaid ',' mah ',' mind ',' jdi ',' burden ',' mending ',' prepaid ',' ajh ',' ']")</f>
        <v>['Help', 'Sometimes',' signal ',' missing ',' price ',' quota ',' Not bad ',' expensive ',' mah ',' rbb ',' brave ',' use ',' Package ',' RbU ',' Mending ',' Contents', 'Credit', 'Ajh', 'Need', 'Tlpn', 'SMS', 'RB', 'Msih', 'feels',' use ' , 'Males',' ajh ',' replace ',' mah ',' gkn ',' replace ',' jdi ',' hello ',' tetep ',' want ',' sympathy ',' ajh ',' postpaid ',' mah ',' mind ',' jdi ',' burden ',' mending ',' prepaid ',' ajh ',' ']</v>
      </c>
      <c r="D1051" s="3">
        <v>3.0</v>
      </c>
    </row>
    <row r="1052" ht="15.75" customHeight="1">
      <c r="A1052" s="1">
        <v>1050.0</v>
      </c>
      <c r="B1052" s="3" t="s">
        <v>1053</v>
      </c>
      <c r="C1052" s="3" t="str">
        <f>IFERROR(__xludf.DUMMYFUNCTION("GOOGLETRANSLATE(B1052,""id"",""en"")"),"['Plate', 'Red', 'Price', 'Ngilake', 'Unlimited', 'FUP', 'Already', 'That's',' Protest ',' PLN ',' Business', 'Internet', ' Ngilake ',' Mending ',' PLN ',' Price ',' Enter ',' Word ',' Capitalist ',' Plat ',' Red ']")</f>
        <v>['Plate', 'Red', 'Price', 'Ngilake', 'Unlimited', 'FUP', 'Already', 'That's',' Protest ',' PLN ',' Business', 'Internet', ' Ngilake ',' Mending ',' PLN ',' Price ',' Enter ',' Word ',' Capitalist ',' Plat ',' Red ']</v>
      </c>
      <c r="D1052" s="3">
        <v>1.0</v>
      </c>
    </row>
    <row r="1053" ht="15.75" customHeight="1">
      <c r="A1053" s="1">
        <v>1051.0</v>
      </c>
      <c r="B1053" s="3" t="s">
        <v>1054</v>
      </c>
      <c r="C1053" s="3" t="str">
        <f>IFERROR(__xludf.DUMMYFUNCTION("GOOGLETRANSLATE(B1053,""id"",""en"")"),"['', 'Telkomsel', 'skrng', 'efficient', 'really', 'like', 'slow', 'then', 'pulse', 'sya', 'cheek', 'mulu', 'replace ',' AXIS ',' Purchase ',' App ',' Failed ',' Cutting ',' Credit ',' App ',' Disappointing ',' Costumer ',' Greetings', 'Full', 'Disappointe"&amp;"d']")</f>
        <v>['', 'Telkomsel', 'skrng', 'efficient', 'really', 'like', 'slow', 'then', 'pulse', 'sya', 'cheek', 'mulu', 'replace ',' AXIS ',' Purchase ',' App ',' Failed ',' Cutting ',' Credit ',' App ',' Disappointing ',' Costumer ',' Greetings', 'Full', 'Disappointed']</v>
      </c>
      <c r="D1053" s="3">
        <v>1.0</v>
      </c>
    </row>
    <row r="1054" ht="15.75" customHeight="1">
      <c r="A1054" s="1">
        <v>1052.0</v>
      </c>
      <c r="B1054" s="3" t="s">
        <v>1055</v>
      </c>
      <c r="C1054" s="3" t="str">
        <f>IFERROR(__xludf.DUMMYFUNCTION("GOOGLETRANSLATE(B1054,""id"",""en"")"),"['Package', 'expensive', 'kmrin', 'buy', 'combo', 'tuk', 'usage', 'skrg', 'package', 'expensive', 'bnyak', 'please', ' affordable prices', '']")</f>
        <v>['Package', 'expensive', 'kmrin', 'buy', 'combo', 'tuk', 'usage', 'skrg', 'package', 'expensive', 'bnyak', 'please', ' affordable prices', '']</v>
      </c>
      <c r="D1054" s="3">
        <v>1.0</v>
      </c>
    </row>
    <row r="1055" ht="15.75" customHeight="1">
      <c r="A1055" s="1">
        <v>1053.0</v>
      </c>
      <c r="B1055" s="3" t="s">
        <v>1056</v>
      </c>
      <c r="C1055" s="3" t="str">
        <f>IFERROR(__xludf.DUMMYFUNCTION("GOOGLETRANSLATE(B1055,""id"",""en"")"),"['Cave', 'Player', 'Free', 'Fire', 'Cave', 'Customer', 'Telkomsel', 'Severe', 'Network', 'Stable', 'Game', 'Reconect', ' cave ',' disappointed ',' severe ',' class', 'Telkomsel', 'lose', 'friend', 'cave', 'card', 'expensive', 'doang', 'quality', 'bad' , '"&amp;"Lose', 'high school', 'cheap', 'please', 'improve', 'maximalka', 'performance', 'stability', 'improved', 'trimakasih', ""]")</f>
        <v>['Cave', 'Player', 'Free', 'Fire', 'Cave', 'Customer', 'Telkomsel', 'Severe', 'Network', 'Stable', 'Game', 'Reconect', ' cave ',' disappointed ',' severe ',' class', 'Telkomsel', 'lose', 'friend', 'cave', 'card', 'expensive', 'doang', 'quality', 'bad' , 'Lose', 'high school', 'cheap', 'please', 'improve', 'maximalka', 'performance', 'stability', 'improved', 'trimakasih', "]</v>
      </c>
      <c r="D1055" s="3">
        <v>1.0</v>
      </c>
    </row>
    <row r="1056" ht="15.75" customHeight="1">
      <c r="A1056" s="1">
        <v>1054.0</v>
      </c>
      <c r="B1056" s="3" t="s">
        <v>1057</v>
      </c>
      <c r="C1056" s="3" t="str">
        <f>IFERROR(__xludf.DUMMYFUNCTION("GOOGLETRANSLATE(B1056,""id"",""en"")"),"['Lower', 'Bintang', 'Karna', 'APL', 'Promising', 'Proven', 'Telkomsel', 'Points',' Prizes', 'Karna', 'TEL', 'Points',' Nudgeting ',' number ',' ']")</f>
        <v>['Lower', 'Bintang', 'Karna', 'APL', 'Promising', 'Proven', 'Telkomsel', 'Points',' Prizes', 'Karna', 'TEL', 'Points',' Nudgeting ',' number ',' ']</v>
      </c>
      <c r="D1056" s="3">
        <v>4.0</v>
      </c>
    </row>
    <row r="1057" ht="15.75" customHeight="1">
      <c r="A1057" s="1">
        <v>1055.0</v>
      </c>
      <c r="B1057" s="3" t="s">
        <v>1058</v>
      </c>
      <c r="C1057" s="3" t="str">
        <f>IFERROR(__xludf.DUMMYFUNCTION("GOOGLETRANSLATE(B1057,""id"",""en"")"),"['Please', 'fix', 'signal', 'Telkomsel', 'diciledug', 'signal', 'disconnected', 'use', 'Telkomsel', 'Maen', 'game', 'online', ' signal ',' Merahhh ',' Mulu ',' Maen ',' in the area ',' gandaria ',' cottage ',' beautiful ',' cottage ',' bet "", 'etc.', 'si"&amp;"gnal', 'smooth' , 'signal', 'Telkomsel', 'problematic', 'in the area', 'ciledug']")</f>
        <v>['Please', 'fix', 'signal', 'Telkomsel', 'diciledug', 'signal', 'disconnected', 'use', 'Telkomsel', 'Maen', 'game', 'online', ' signal ',' Merahhh ',' Mulu ',' Maen ',' in the area ',' gandaria ',' cottage ',' beautiful ',' cottage ',' bet ", 'etc.', 'signal', 'smooth' , 'signal', 'Telkomsel', 'problematic', 'in the area', 'ciledug']</v>
      </c>
      <c r="D1057" s="3">
        <v>2.0</v>
      </c>
    </row>
    <row r="1058" ht="15.75" customHeight="1">
      <c r="A1058" s="1">
        <v>1056.0</v>
      </c>
      <c r="B1058" s="3" t="s">
        <v>1059</v>
      </c>
      <c r="C1058" s="3" t="str">
        <f>IFERROR(__xludf.DUMMYFUNCTION("GOOGLETRANSLATE(B1058,""id"",""en"")"),"['Login', 'Ber', 'Redeem', 'Point', 'Posts',' Category ',' Program ',' Disappointing ',' Plus', 'Buy', 'Quota', 'Night', ' No ',' signal ',' emang ',' error ',' emang ',' effect ',' quota ',' cheap ',' active ',' finished ',' coakes', 'disappointing', 'in"&amp;"come' , 'money', '']")</f>
        <v>['Login', 'Ber', 'Redeem', 'Point', 'Posts',' Category ',' Program ',' Disappointing ',' Plus', 'Buy', 'Quota', 'Night', ' No ',' signal ',' emang ',' error ',' emang ',' effect ',' quota ',' cheap ',' active ',' finished ',' coakes', 'disappointing', 'income' , 'money', '']</v>
      </c>
      <c r="D1058" s="3">
        <v>1.0</v>
      </c>
    </row>
    <row r="1059" ht="15.75" customHeight="1">
      <c r="A1059" s="1">
        <v>1057.0</v>
      </c>
      <c r="B1059" s="3" t="s">
        <v>1060</v>
      </c>
      <c r="C1059" s="3" t="str">
        <f>IFERROR(__xludf.DUMMYFUNCTION("GOOGLETRANSLATE(B1059,""id"",""en"")"),"['Please', 'Telkomsel', 'credit', 'sya', 'pulse', 'suck', 'then', 'professional', 'data', 'die', 'use', 'sya', ' Leave ',' Pulse ',' TPI ',' Skarang ',' Deliberate ',' Register ',' Package ',' JDI ',' Credit ',' Snacking ',' Cut ',' PDAH ',' BWT ' , 'plea"&amp;"se', 'Telkomsel', 'knapa', ""]")</f>
        <v>['Please', 'Telkomsel', 'credit', 'sya', 'pulse', 'suck', 'then', 'professional', 'data', 'die', 'use', 'sya', ' Leave ',' Pulse ',' TPI ',' Skarang ',' Deliberate ',' Register ',' Package ',' JDI ',' Credit ',' Snacking ',' Cut ',' PDAH ',' BWT ' , 'please', 'Telkomsel', 'knapa', "]</v>
      </c>
      <c r="D1059" s="3">
        <v>1.0</v>
      </c>
    </row>
    <row r="1060" ht="15.75" customHeight="1">
      <c r="A1060" s="1">
        <v>1058.0</v>
      </c>
      <c r="B1060" s="3" t="s">
        <v>1061</v>
      </c>
      <c r="C1060" s="3" t="str">
        <f>IFERROR(__xludf.DUMMYFUNCTION("GOOGLETRANSLATE(B1060,""id"",""en"")"),"['complain', 'network', 'slow', 'package', 'enter', 'contact', 'told', 'restar', 'restar', 'network', 'mode', 'plane', ' Unplug ',' card ',' child ',' Dego ',' Season ',' Gitanin ',' Ajaaay ', ""]")</f>
        <v>['complain', 'network', 'slow', 'package', 'enter', 'contact', 'told', 'restar', 'restar', 'network', 'mode', 'plane', ' Unplug ',' card ',' child ',' Dego ',' Season ',' Gitanin ',' Ajaaay ', "]</v>
      </c>
      <c r="D1060" s="3">
        <v>1.0</v>
      </c>
    </row>
    <row r="1061" ht="15.75" customHeight="1">
      <c r="A1061" s="1">
        <v>1059.0</v>
      </c>
      <c r="B1061" s="3" t="s">
        <v>1062</v>
      </c>
      <c r="C1061" s="3" t="str">
        <f>IFERROR(__xludf.DUMMYFUNCTION("GOOGLETRANSLATE(B1061,""id"",""en"")"),"['confused', 'notif', 'active', 'run out', 'network', 'ugly', 'complicated', 'type', 'package', 'already', 'buy it', 'quota', ' Gede ',' auto ',' extend ',' quota ',' run out ',' eat ',' pulse ',' ']")</f>
        <v>['confused', 'notif', 'active', 'run out', 'network', 'ugly', 'complicated', 'type', 'package', 'already', 'buy it', 'quota', ' Gede ',' auto ',' extend ',' quota ',' run out ',' eat ',' pulse ',' ']</v>
      </c>
      <c r="D1061" s="3">
        <v>1.0</v>
      </c>
    </row>
    <row r="1062" ht="15.75" customHeight="1">
      <c r="A1062" s="1">
        <v>1060.0</v>
      </c>
      <c r="B1062" s="3" t="s">
        <v>1063</v>
      </c>
      <c r="C1062" s="3" t="str">
        <f>IFERROR(__xludf.DUMMYFUNCTION("GOOGLETRANSLATE(B1062,""id"",""en"")"),"['Credit', 'Reduced', 'Automatic', 'Confined', 'Erus',' Out ',' Wear ',' SMS ',' Call ',' Please ',' Expert ',' Program ',' What is 'pulses', '']")</f>
        <v>['Credit', 'Reduced', 'Automatic', 'Confined', 'Erus',' Out ',' Wear ',' SMS ',' Call ',' Please ',' Expert ',' Program ',' What is 'pulses', '']</v>
      </c>
      <c r="D1062" s="3">
        <v>5.0</v>
      </c>
    </row>
    <row r="1063" ht="15.75" customHeight="1">
      <c r="A1063" s="1">
        <v>1061.0</v>
      </c>
      <c r="B1063" s="3" t="s">
        <v>1064</v>
      </c>
      <c r="C1063" s="3" t="str">
        <f>IFERROR(__xludf.DUMMYFUNCTION("GOOGLETRANSLATE(B1063,""id"",""en"")"),"['knpa', 'Telkomsel', 'complicated', 'lgi', 'network', 'difficult', 'play', 'game', 'open', 'status',' error ',' the network ',' ']")</f>
        <v>['knpa', 'Telkomsel', 'complicated', 'lgi', 'network', 'difficult', 'play', 'game', 'open', 'status',' error ',' the network ',' ']</v>
      </c>
      <c r="D1063" s="3">
        <v>1.0</v>
      </c>
    </row>
    <row r="1064" ht="15.75" customHeight="1">
      <c r="A1064" s="1">
        <v>1062.0</v>
      </c>
      <c r="B1064" s="3" t="s">
        <v>1065</v>
      </c>
      <c r="C1064" s="3" t="str">
        <f>IFERROR(__xludf.DUMMYFUNCTION("GOOGLETRANSLATE(B1064,""id"",""en"")"),"['min', 'please', 'fix', 'knp', 'signal', 'jaringgan', 'Telkomsel', 'lost', 'pdhl', 'tmn', 'card', 'Telkomsel', ' Bgus', 'Bgus',' as soon as', 'signal', 'quota', 'PKE', 'Please', 'Fix', 'Sudh', 'Fix', 'Love', 'star']")</f>
        <v>['min', 'please', 'fix', 'knp', 'signal', 'jaringgan', 'Telkomsel', 'lost', 'pdhl', 'tmn', 'card', 'Telkomsel', ' Bgus', 'Bgus',' as soon as', 'signal', 'quota', 'PKE', 'Please', 'Fix', 'Sudh', 'Fix', 'Love', 'star']</v>
      </c>
      <c r="D1064" s="3">
        <v>1.0</v>
      </c>
    </row>
    <row r="1065" ht="15.75" customHeight="1">
      <c r="A1065" s="1">
        <v>1063.0</v>
      </c>
      <c r="B1065" s="3" t="s">
        <v>1066</v>
      </c>
      <c r="C1065" s="3" t="str">
        <f>IFERROR(__xludf.DUMMYFUNCTION("GOOGLETRANSLATE(B1065,""id"",""en"")"),"['quota', 'games',' max ',' play ',' games', 'network', 'decision', 'until', 'damaged', 'ping', 'game', 'this',' Really ',' Bad ',' intentions', 'Good', 'That's',' ping ',' despair ',' That's', 'Why', 'Annoyed', ""]")</f>
        <v>['quota', 'games',' max ',' play ',' games', 'network', 'decision', 'until', 'damaged', 'ping', 'game', 'this',' Really ',' Bad ',' intentions', 'Good', 'That's',' ping ',' despair ',' That's', 'Why', 'Annoyed', "]</v>
      </c>
      <c r="D1065" s="3">
        <v>1.0</v>
      </c>
    </row>
    <row r="1066" ht="15.75" customHeight="1">
      <c r="A1066" s="1">
        <v>1064.0</v>
      </c>
      <c r="B1066" s="3" t="s">
        <v>1067</v>
      </c>
      <c r="C1066" s="3" t="str">
        <f>IFERROR(__xludf.DUMMYFUNCTION("GOOGLETRANSLATE(B1066,""id"",""en"")"),"['Price', 'Package', 'Internet', 'Network', 'Dropped', 'Promosilah', 'Ada', 'Bohongan', 'Network', 'Down', 'Change', 'Card', ' Nambahin ',' Sin ',' Telkomsel ',' say ',' dizziness', 'Look', ""]")</f>
        <v>['Price', 'Package', 'Internet', 'Network', 'Dropped', 'Promosilah', 'Ada', 'Bohongan', 'Network', 'Down', 'Change', 'Card', ' Nambahin ',' Sin ',' Telkomsel ',' say ',' dizziness', 'Look', "]</v>
      </c>
      <c r="D1066" s="3">
        <v>1.0</v>
      </c>
    </row>
    <row r="1067" ht="15.75" customHeight="1">
      <c r="A1067" s="1">
        <v>1065.0</v>
      </c>
      <c r="B1067" s="3" t="s">
        <v>1068</v>
      </c>
      <c r="C1067" s="3" t="str">
        <f>IFERROR(__xludf.DUMMYFUNCTION("GOOGLETRANSLATE(B1067,""id"",""en"")"),"['Signal', 'BURIK', 'Telkomsel', 'Down', 'Bener', 'vigorous',' Sampe ',' rich ',' garbage ',' gini ',' emang ',' Telkomsel ',' Bacot ',' good ',' service ',' BURIK ',' RICH ',' ']")</f>
        <v>['Signal', 'BURIK', 'Telkomsel', 'Down', 'Bener', 'vigorous',' Sampe ',' rich ',' garbage ',' gini ',' emang ',' Telkomsel ',' Bacot ',' good ',' service ',' BURIK ',' RICH ',' ']</v>
      </c>
      <c r="D1067" s="3">
        <v>1.0</v>
      </c>
    </row>
    <row r="1068" ht="15.75" customHeight="1">
      <c r="A1068" s="1">
        <v>1066.0</v>
      </c>
      <c r="B1068" s="3" t="s">
        <v>1069</v>
      </c>
      <c r="C1068" s="3" t="str">
        <f>IFERROR(__xludf.DUMMYFUNCTION("GOOGLETRANSLATE(B1068,""id"",""en"")"),"['Telkomsel', 'skrng', 'signal', 'ugly', 'in the season', 'rain', 'severe', 'paraaaah', 'maen', 'game', 'online', 'lag', ' Ryesel ',' PKE ',' Telkomsel ',' PKE ',' Telkomsel ',' Leg ',' Maen ',' Game ', ""]")</f>
        <v>['Telkomsel', 'skrng', 'signal', 'ugly', 'in the season', 'rain', 'severe', 'paraaaah', 'maen', 'game', 'online', 'lag', ' Ryesel ',' PKE ',' Telkomsel ',' PKE ',' Telkomsel ',' Leg ',' Maen ',' Game ', "]</v>
      </c>
      <c r="D1068" s="3">
        <v>1.0</v>
      </c>
    </row>
    <row r="1069" ht="15.75" customHeight="1">
      <c r="A1069" s="1">
        <v>1067.0</v>
      </c>
      <c r="B1069" s="3" t="s">
        <v>1070</v>
      </c>
      <c r="C1069" s="3" t="str">
        <f>IFERROR(__xludf.DUMMYFUNCTION("GOOGLETRANSLATE(B1069,""id"",""en"")"),"['Network', 'Telkomsel', 'ngeta', 'play', 'game', 'happy', 'emotion', 'user', 'card', 'hello', 'ugly', 'network', ' network ',' priority ',' rich ',' gini ',' hedeh ']")</f>
        <v>['Network', 'Telkomsel', 'ngeta', 'play', 'game', 'happy', 'emotion', 'user', 'card', 'hello', 'ugly', 'network', ' network ',' priority ',' rich ',' gini ',' hedeh ']</v>
      </c>
      <c r="D1069" s="3">
        <v>1.0</v>
      </c>
    </row>
    <row r="1070" ht="15.75" customHeight="1">
      <c r="A1070" s="1">
        <v>1068.0</v>
      </c>
      <c r="B1070" s="3" t="s">
        <v>1071</v>
      </c>
      <c r="C1070" s="3" t="str">
        <f>IFERROR(__xludf.DUMMYFUNCTION("GOOGLETRANSLATE(B1070,""id"",""en"")"),"['Good', 'use', 'Telkomsel', 'Signal', 'Embossed', 'Sinking', 'People', 'Drifting', 'Quota', 'Internet', 'Plus',' Unlimited ',' taste ',' quota ',' win ',' price ',' package ',' expensive ',' repay ',' ntar ',' customer ',' blur ',' move ',' heart ',' pac"&amp;"kage ' , 'buy', 'yes', 'beggar', 'network', '']")</f>
        <v>['Good', 'use', 'Telkomsel', 'Signal', 'Embossed', 'Sinking', 'People', 'Drifting', 'Quota', 'Internet', 'Plus',' Unlimited ',' taste ',' quota ',' win ',' price ',' package ',' expensive ',' repay ',' ntar ',' customer ',' blur ',' move ',' heart ',' package ' , 'buy', 'yes', 'beggar', 'network', '']</v>
      </c>
      <c r="D1070" s="3">
        <v>1.0</v>
      </c>
    </row>
    <row r="1071" ht="15.75" customHeight="1">
      <c r="A1071" s="1">
        <v>1069.0</v>
      </c>
      <c r="B1071" s="3" t="s">
        <v>1072</v>
      </c>
      <c r="C1071" s="3" t="str">
        <f>IFERROR(__xludf.DUMMYFUNCTION("GOOGLETRANSLATE(B1071,""id"",""en"")"),"['Telkosel', 'family', 'telkosel', 'Bener', 'real', 'network', 'remote', 'village', '']")</f>
        <v>['Telkosel', 'family', 'telkosel', 'Bener', 'real', 'network', 'remote', 'village', '']</v>
      </c>
      <c r="D1071" s="3">
        <v>5.0</v>
      </c>
    </row>
    <row r="1072" ht="15.75" customHeight="1">
      <c r="A1072" s="1">
        <v>1070.0</v>
      </c>
      <c r="B1072" s="3" t="s">
        <v>1073</v>
      </c>
      <c r="C1072" s="3" t="str">
        <f>IFERROR(__xludf.DUMMYFUNCTION("GOOGLETRANSLATE(B1072,""id"",""en"")"),"['price', 'package', 'expensive', 'in the city', 'win', 'tower', 'signal', 'good', 'clock', 'night', 'until', 'clock', ' Morning ',' suitable ',' price ',' Hadeh ',' Telkomsel ',' update ',' Recommended ',' already ',' Sunday ',' signal ',' ugly ',' mode "&amp;"',' network ' , 'cook', 'smooth', 'clock', 'night', 'until', 'clock', 'morning', 'come on', 'Telkomsel', 'distance', 'tower', 'tower', ' Meter ',' Dimari ',' ']")</f>
        <v>['price', 'package', 'expensive', 'in the city', 'win', 'tower', 'signal', 'good', 'clock', 'night', 'until', 'clock', ' Morning ',' suitable ',' price ',' Hadeh ',' Telkomsel ',' update ',' Recommended ',' already ',' Sunday ',' signal ',' ugly ',' mode ',' network ' , 'cook', 'smooth', 'clock', 'night', 'until', 'clock', 'morning', 'come on', 'Telkomsel', 'distance', 'tower', 'tower', ' Meter ',' Dimari ',' ']</v>
      </c>
      <c r="D1072" s="3">
        <v>1.0</v>
      </c>
    </row>
    <row r="1073" ht="15.75" customHeight="1">
      <c r="A1073" s="1">
        <v>1071.0</v>
      </c>
      <c r="B1073" s="3" t="s">
        <v>1074</v>
      </c>
      <c r="C1073" s="3" t="str">
        <f>IFERROR(__xludf.DUMMYFUNCTION("GOOGLETRANSLATE(B1073,""id"",""en"")"),"['Telkomsel', 'signal', 'ugly', 'really', 'jamred', 'buy', 'package', 'expensive', 'sleep', 'sampe', 'slamming', 'signal', ' crazy ',' satisfaction ',' customer ']")</f>
        <v>['Telkomsel', 'signal', 'ugly', 'really', 'jamred', 'buy', 'package', 'expensive', 'sleep', 'sampe', 'slamming', 'signal', ' crazy ',' satisfaction ',' customer ']</v>
      </c>
      <c r="D1073" s="3">
        <v>1.0</v>
      </c>
    </row>
    <row r="1074" ht="15.75" customHeight="1">
      <c r="A1074" s="1">
        <v>1072.0</v>
      </c>
      <c r="B1074" s="3" t="s">
        <v>1075</v>
      </c>
      <c r="C1074" s="3" t="str">
        <f>IFERROR(__xludf.DUMMYFUNCTION("GOOGLETRANSLATE(B1074,""id"",""en"")"),"['A ',' quota ',' unlimited ',' Telkomsel ',' gabisa ',' quota ',' unlimited ',' price ',' network ',' stable ',' buy ',' quota ',' unlimited ',' quota ',' unlimited ']")</f>
        <v>['A ',' quota ',' unlimited ',' Telkomsel ',' gabisa ',' quota ',' unlimited ',' price ',' network ',' stable ',' buy ',' quota ',' unlimited ',' quota ',' unlimited ']</v>
      </c>
      <c r="D1074" s="3">
        <v>1.0</v>
      </c>
    </row>
    <row r="1075" ht="15.75" customHeight="1">
      <c r="A1075" s="1">
        <v>1073.0</v>
      </c>
      <c r="B1075" s="3" t="s">
        <v>1076</v>
      </c>
      <c r="C1075" s="3" t="str">
        <f>IFERROR(__xludf.DUMMYFUNCTION("GOOGLETRANSLATE(B1075,""id"",""en"")"),"['Package', 'cheerful', 'kagak', 'buy', 'purchase', 'third', 'time', 'buy', 'his writing', 'error', 'Please', 'min', ' repair', '']")</f>
        <v>['Package', 'cheerful', 'kagak', 'buy', 'purchase', 'third', 'time', 'buy', 'his writing', 'error', 'Please', 'min', ' repair', '']</v>
      </c>
      <c r="D1075" s="3">
        <v>2.0</v>
      </c>
    </row>
    <row r="1076" ht="15.75" customHeight="1">
      <c r="A1076" s="1">
        <v>1074.0</v>
      </c>
      <c r="B1076" s="3" t="s">
        <v>1077</v>
      </c>
      <c r="C1076" s="3" t="str">
        <f>IFERROR(__xludf.DUMMYFUNCTION("GOOGLETRANSLATE(B1076,""id"",""en"")"),"['Blocking', 'pop', 'class',' disturbing ',' cool ',' play ',' game ',' appears', 'repeat', 'reset', 'cause', 'force', ' Close ',' Gemenya ',' Bener ',' annoyed ',' ad ',' class', 'solution', 'mending', 'replace', 'provider']")</f>
        <v>['Blocking', 'pop', 'class',' disturbing ',' cool ',' play ',' game ',' appears', 'repeat', 'reset', 'cause', 'force', ' Close ',' Gemenya ',' Bener ',' annoyed ',' ad ',' class', 'solution', 'mending', 'replace', 'provider']</v>
      </c>
      <c r="D1076" s="3">
        <v>2.0</v>
      </c>
    </row>
    <row r="1077" ht="15.75" customHeight="1">
      <c r="A1077" s="1">
        <v>1075.0</v>
      </c>
      <c r="B1077" s="3" t="s">
        <v>1078</v>
      </c>
      <c r="C1077" s="3" t="str">
        <f>IFERROR(__xludf.DUMMYFUNCTION("GOOGLETRANSLATE(B1077,""id"",""en"")"),"['Telkomsel', 'Telkomsel', 'Season', 'Cave', 'Nge', 'Rank', 'Network', 'Red', 'Mulu', 'Pay', 'Expensive', 'Network', ' ugly ',' mah ',' lossiii ',' ']")</f>
        <v>['Telkomsel', 'Telkomsel', 'Season', 'Cave', 'Nge', 'Rank', 'Network', 'Red', 'Mulu', 'Pay', 'Expensive', 'Network', ' ugly ',' mah ',' lossiii ',' ']</v>
      </c>
      <c r="D1077" s="3">
        <v>1.0</v>
      </c>
    </row>
    <row r="1078" ht="15.75" customHeight="1">
      <c r="A1078" s="1">
        <v>1076.0</v>
      </c>
      <c r="B1078" s="3" t="s">
        <v>1079</v>
      </c>
      <c r="C1078" s="3" t="str">
        <f>IFERROR(__xludf.DUMMYFUNCTION("GOOGLETRANSLATE(B1078,""id"",""en"")"),"['Good', 'Network', 'fast', 'slow', 'wherever', 'hope', 'promo', 'unlimited', 'returned', 'help', 'student', 'extra', ' buy ',' card ',' next door ',' color ',' yellow ',' buy ',' yellow ',' waste ',' money ']")</f>
        <v>['Good', 'Network', 'fast', 'slow', 'wherever', 'hope', 'promo', 'unlimited', 'returned', 'help', 'student', 'extra', ' buy ',' card ',' next door ',' color ',' yellow ',' buy ',' yellow ',' waste ',' money ']</v>
      </c>
      <c r="D1078" s="3">
        <v>5.0</v>
      </c>
    </row>
    <row r="1079" ht="15.75" customHeight="1">
      <c r="A1079" s="1">
        <v>1077.0</v>
      </c>
      <c r="B1079" s="3" t="s">
        <v>1080</v>
      </c>
      <c r="C1079" s="3" t="str">
        <f>IFERROR(__xludf.DUMMYFUNCTION("GOOGLETRANSLATE(B1079,""id"",""en"")"),"['signal', 'Full', 'bar', 'quota', 'access',' game ',' online ',' browsing ',' play ',' youtube ',' slow ',' download ',' Bener ',' Disappointed ']")</f>
        <v>['signal', 'Full', 'bar', 'quota', 'access',' game ',' online ',' browsing ',' play ',' youtube ',' slow ',' download ',' Bener ',' Disappointed ']</v>
      </c>
      <c r="D1079" s="3">
        <v>1.0</v>
      </c>
    </row>
    <row r="1080" ht="15.75" customHeight="1">
      <c r="A1080" s="1">
        <v>1078.0</v>
      </c>
      <c r="B1080" s="3" t="s">
        <v>1081</v>
      </c>
      <c r="C1080" s="3" t="str">
        <f>IFERROR(__xludf.DUMMYFUNCTION("GOOGLETRANSLATE(B1080,""id"",""en"")"),"['application', 'bad', 'promo', 'disappointed', 'Indonesia', 'mainly', 'install', 'application', 'kindness', ""]")</f>
        <v>['application', 'bad', 'promo', 'disappointed', 'Indonesia', 'mainly', 'install', 'application', 'kindness', "]</v>
      </c>
      <c r="D1080" s="3">
        <v>1.0</v>
      </c>
    </row>
    <row r="1081" ht="15.75" customHeight="1">
      <c r="A1081" s="1">
        <v>1079.0</v>
      </c>
      <c r="B1081" s="3" t="s">
        <v>1082</v>
      </c>
      <c r="C1081" s="3" t="str">
        <f>IFERROR(__xludf.DUMMYFUNCTION("GOOGLETRANSLATE(B1081,""id"",""en"")"),"['Telkomsel', 'Price', 'Quota', 'Most expensive', 'Indonesia', 'Raya', 'internet', 'Boro', 'Main', 'Game', 'Online', 'Ngadat', ' Please ',' Fix ',' Service ',' ']")</f>
        <v>['Telkomsel', 'Price', 'Quota', 'Most expensive', 'Indonesia', 'Raya', 'internet', 'Boro', 'Main', 'Game', 'Online', 'Ngadat', ' Please ',' Fix ',' Service ',' ']</v>
      </c>
      <c r="D1081" s="3">
        <v>1.0</v>
      </c>
    </row>
    <row r="1082" ht="15.75" customHeight="1">
      <c r="A1082" s="1">
        <v>1080.0</v>
      </c>
      <c r="B1082" s="3" t="s">
        <v>1083</v>
      </c>
      <c r="C1082" s="3" t="str">
        <f>IFERROR(__xludf.DUMMYFUNCTION("GOOGLETRANSLATE(B1082,""id"",""en"")"),"['Telcomsel', 'Package', 'Network', 'Troubled', 'Package', 'Dour', 'Buy', 'Package', 'Klw', 'Gini', 'Ngeselin', ""]")</f>
        <v>['Telcomsel', 'Package', 'Network', 'Troubled', 'Package', 'Dour', 'Buy', 'Package', 'Klw', 'Gini', 'Ngeselin', "]</v>
      </c>
      <c r="D1082" s="3">
        <v>1.0</v>
      </c>
    </row>
    <row r="1083" ht="15.75" customHeight="1">
      <c r="A1083" s="1">
        <v>1081.0</v>
      </c>
      <c r="B1083" s="3" t="s">
        <v>1084</v>
      </c>
      <c r="C1083" s="3" t="str">
        <f>IFERROR(__xludf.DUMMYFUNCTION("GOOGLETRANSLATE(B1083,""id"",""en"")"),"['Thank you', 'Telkomsel', 'Application', 'Help', 'Hopefully', 'Application', 'Useful', 'People', 'People', 'Application', 'Telkkmsel', 'Thank you']")</f>
        <v>['Thank you', 'Telkomsel', 'Application', 'Help', 'Hopefully', 'Application', 'Useful', 'People', 'People', 'Application', 'Telkkmsel', 'Thank you']</v>
      </c>
      <c r="D1083" s="3">
        <v>5.0</v>
      </c>
    </row>
    <row r="1084" ht="15.75" customHeight="1">
      <c r="A1084" s="1">
        <v>1082.0</v>
      </c>
      <c r="B1084" s="3" t="s">
        <v>1085</v>
      </c>
      <c r="C1084" s="3" t="str">
        <f>IFERROR(__xludf.DUMMYFUNCTION("GOOGLETRANSLATE(B1084,""id"",""en"")"),"['woi', 'card', 'expensive', 'quality', 'change', 'jncok', 'ngerak', 'think', 'brain', 'internet', 'slow', 'bengak', ' Emng ',' UDH ',' FIX ',' Rating ',' Full ',' Star ',' Kek ',' Pig ',' Lose ',' Streak ',' Main ',' Gara ',' lag ' , 'Network', 'please',"&amp;" 'fix', 'wrong', 'user', 'satisfied', 'greetings', 'disappointed', '']")</f>
        <v>['woi', 'card', 'expensive', 'quality', 'change', 'jncok', 'ngerak', 'think', 'brain', 'internet', 'slow', 'bengak', ' Emng ',' UDH ',' FIX ',' Rating ',' Full ',' Star ',' Kek ',' Pig ',' Lose ',' Streak ',' Main ',' Gara ',' lag ' , 'Network', 'please', 'fix', 'wrong', 'user', 'satisfied', 'greetings', 'disappointed', '']</v>
      </c>
      <c r="D1084" s="3">
        <v>1.0</v>
      </c>
    </row>
    <row r="1085" ht="15.75" customHeight="1">
      <c r="A1085" s="1">
        <v>1083.0</v>
      </c>
      <c r="B1085" s="3" t="s">
        <v>1086</v>
      </c>
      <c r="C1085" s="3" t="str">
        <f>IFERROR(__xludf.DUMMYFUNCTION("GOOGLETRANSLATE(B1085,""id"",""en"")"),"['Promo', 'Except', 'Except', 'Promotions', 'Limited', 'Iming', 'Iming', '']")</f>
        <v>['Promo', 'Except', 'Except', 'Promotions', 'Limited', 'Iming', 'Iming', '']</v>
      </c>
      <c r="D1085" s="3">
        <v>5.0</v>
      </c>
    </row>
    <row r="1086" ht="15.75" customHeight="1">
      <c r="A1086" s="1">
        <v>1084.0</v>
      </c>
      <c r="B1086" s="3" t="s">
        <v>1087</v>
      </c>
      <c r="C1086" s="3" t="str">
        <f>IFERROR(__xludf.DUMMYFUNCTION("GOOGLETRANSLATE(B1086,""id"",""en"")"),"['Cape', 'gini', 'download', 'fast', 'slow', 'really', 'update', 'GB', 'minute', 'Wait', 'clock', 'user', ' Unlimited ',' Bring ',' Bring ',' ugly ',' signal ',' buy ',' expensive ',' expensive ',' slow ',' really ',' like ',' drop ',' Pulak ' , 'Please',"&amp;" 'work', ""]")</f>
        <v>['Cape', 'gini', 'download', 'fast', 'slow', 'really', 'update', 'GB', 'minute', 'Wait', 'clock', 'user', ' Unlimited ',' Bring ',' Bring ',' ugly ',' signal ',' buy ',' expensive ',' expensive ',' slow ',' really ',' like ',' drop ',' Pulak ' , 'Please', 'work', "]</v>
      </c>
      <c r="D1086" s="3">
        <v>1.0</v>
      </c>
    </row>
    <row r="1087" ht="15.75" customHeight="1">
      <c r="A1087" s="1">
        <v>1085.0</v>
      </c>
      <c r="B1087" s="3" t="s">
        <v>1088</v>
      </c>
      <c r="C1087" s="3" t="str">
        <f>IFERROR(__xludf.DUMMYFUNCTION("GOOGLETRANSLATE(B1087,""id"",""en"")"),"['price', 'quota', 'expensive', 'signal', 'ugly', 'really', 'play', 'game', 'online', 'good', 'signal', 'take', ' Benefits', 'Benuffs',' Society ']")</f>
        <v>['price', 'quota', 'expensive', 'signal', 'ugly', 'really', 'play', 'game', 'online', 'good', 'signal', 'take', ' Benefits', 'Benuffs',' Society ']</v>
      </c>
      <c r="D1087" s="3">
        <v>1.0</v>
      </c>
    </row>
    <row r="1088" ht="15.75" customHeight="1">
      <c r="A1088" s="1">
        <v>1086.0</v>
      </c>
      <c r="B1088" s="3" t="s">
        <v>1089</v>
      </c>
      <c r="C1088" s="3" t="str">
        <f>IFERROR(__xludf.DUMMYFUNCTION("GOOGLETRANSLATE(B1088,""id"",""en"")"),"['Get', 'free', 'quota', 'GB', 'Exchange', 'Points',' Ngeta ',' in ',' indicator ',' signal ',' watch ',' Yutub ',' Advertisements', 'road', 'Mending', 'free', '']")</f>
        <v>['Get', 'free', 'quota', 'GB', 'Exchange', 'Points',' Ngeta ',' in ',' indicator ',' signal ',' watch ',' Yutub ',' Advertisements', 'road', 'Mending', 'free', '']</v>
      </c>
      <c r="D1088" s="3">
        <v>1.0</v>
      </c>
    </row>
    <row r="1089" ht="15.75" customHeight="1">
      <c r="A1089" s="1">
        <v>1087.0</v>
      </c>
      <c r="B1089" s="3" t="s">
        <v>1090</v>
      </c>
      <c r="C1089" s="3" t="str">
        <f>IFERROR(__xludf.DUMMYFUNCTION("GOOGLETRANSLATE(B1089,""id"",""en"")"),"['Buy', 'Package', 'Data', 'Telkomsel', 'Connected', 'Internet', 'Package', 'Data', 'Out', 'Open', 'Open', 'Telkomsel', ' package ',' data ',' reduce ',' pulse ',' ']")</f>
        <v>['Buy', 'Package', 'Data', 'Telkomsel', 'Connected', 'Internet', 'Package', 'Data', 'Out', 'Open', 'Open', 'Telkomsel', ' package ',' data ',' reduce ',' pulse ',' ']</v>
      </c>
      <c r="D1089" s="3">
        <v>3.0</v>
      </c>
    </row>
    <row r="1090" ht="15.75" customHeight="1">
      <c r="A1090" s="1">
        <v>1088.0</v>
      </c>
      <c r="B1090" s="3" t="s">
        <v>1091</v>
      </c>
      <c r="C1090" s="3" t="str">
        <f>IFERROR(__xludf.DUMMYFUNCTION("GOOGLETRANSLATE(B1090,""id"",""en"")"),"['buy', 'card', 'Telkom', 'times',' chat ',' obstacles', 'lag', 'etc.', 'play', 'game', 'Telkom', 'internet', ' worst']")</f>
        <v>['buy', 'card', 'Telkom', 'times',' chat ',' obstacles', 'lag', 'etc.', 'play', 'game', 'Telkom', 'internet', ' worst']</v>
      </c>
      <c r="D1090" s="3">
        <v>1.0</v>
      </c>
    </row>
    <row r="1091" ht="15.75" customHeight="1">
      <c r="A1091" s="1">
        <v>1089.0</v>
      </c>
      <c r="B1091" s="3" t="s">
        <v>1092</v>
      </c>
      <c r="C1091" s="3" t="str">
        <f>IFERROR(__xludf.DUMMYFUNCTION("GOOGLETRANSLATE(B1091,""id"",""en"")"),"['Sis',' Knp ',' Telkomsel ',' Jdi ',' Kyk ',' Gini ',' Network ',' Sya ',' KGK ',' Open ',' APK ',' Rich ',' "", 'buy', 'package', 'unlimited', 'unlimited', 'dipake', 'apk', 'package', 'internet', 'how', 'buy', 'package', 'unlimited' , 'AMA', 'Package', "&amp;"'Unlimited', 'UDH', 'limit', 'Naturally', 'Sya', 'Student', 'Sis', 'Sya', 'Package', 'That's' Pandemic ',' Buy ',' MyTelkomsel ',' Server ',' Error ',' Fix ',' ']")</f>
        <v>['Sis',' Knp ',' Telkomsel ',' Jdi ',' Kyk ',' Gini ',' Network ',' Sya ',' KGK ',' Open ',' APK ',' Rich ',' ", 'buy', 'package', 'unlimited', 'unlimited', 'dipake', 'apk', 'package', 'internet', 'how', 'buy', 'package', 'unlimited' , 'AMA', 'Package', 'Unlimited', 'UDH', 'limit', 'Naturally', 'Sya', 'Student', 'Sis', 'Sya', 'Package', 'That's' Pandemic ',' Buy ',' MyTelkomsel ',' Server ',' Error ',' Fix ',' ']</v>
      </c>
      <c r="D1091" s="3">
        <v>1.0</v>
      </c>
    </row>
    <row r="1092" ht="15.75" customHeight="1">
      <c r="A1092" s="1">
        <v>1090.0</v>
      </c>
      <c r="B1092" s="3" t="s">
        <v>1093</v>
      </c>
      <c r="C1092" s="3" t="str">
        <f>IFERROR(__xludf.DUMMYFUNCTION("GOOGLETRANSLATE(B1092,""id"",""en"")"),"['Kirain', 'filled', 'quota', 'smooth', 'bln', 'ask', 'knp', 'enter', 'game', 'signal', 'changed', 'then' ilang ',' signal ',' bar ',' disappear ',' look for ',' luck ',' bae ',' luh ',' network ',' slow ',' ']")</f>
        <v>['Kirain', 'filled', 'quota', 'smooth', 'bln', 'ask', 'knp', 'enter', 'game', 'signal', 'changed', 'then' ilang ',' signal ',' bar ',' disappear ',' look for ',' luck ',' bae ',' luh ',' network ',' slow ',' ']</v>
      </c>
      <c r="D1092" s="3">
        <v>1.0</v>
      </c>
    </row>
    <row r="1093" ht="15.75" customHeight="1">
      <c r="A1093" s="1">
        <v>1091.0</v>
      </c>
      <c r="B1093" s="3" t="s">
        <v>1094</v>
      </c>
      <c r="C1093" s="3" t="str">
        <f>IFERROR(__xludf.DUMMYFUNCTION("GOOGLETRANSLATE(B1093,""id"",""en"")"),"['Assalamualaikum', 'Congratulations',' night ',' gift ',' Honda ',' Mobilio ',' Redeem ',' Points', 'Success',' Wait ',' Date ',' July ',' Gala ',' Alkausar ',' County ',' Bima ',' District ',' Bolo ',' Village ',' Timu ',' Gifts', 'Gifts',' Mobilio ',' "&amp;"Results', 'Results' , 'accept', '']")</f>
        <v>['Assalamualaikum', 'Congratulations',' night ',' gift ',' Honda ',' Mobilio ',' Redeem ',' Points', 'Success',' Wait ',' Date ',' July ',' Gala ',' Alkausar ',' County ',' Bima ',' District ',' Bolo ',' Village ',' Timu ',' Gifts', 'Gifts',' Mobilio ',' Results', 'Results' , 'accept', '']</v>
      </c>
      <c r="D1093" s="3">
        <v>5.0</v>
      </c>
    </row>
    <row r="1094" ht="15.75" customHeight="1">
      <c r="A1094" s="1">
        <v>1092.0</v>
      </c>
      <c r="B1094" s="3" t="s">
        <v>1095</v>
      </c>
      <c r="C1094" s="3" t="str">
        <f>IFERROR(__xludf.DUMMYFUNCTION("GOOGLETRANSLATE(B1094,""id"",""en"")"),"['Network', 'bad', 'bad', 'please', 'fix', 'customize', 'price', 'quality', 'price', 'expensive', 'quality', 'bad', ' ']")</f>
        <v>['Network', 'bad', 'bad', 'please', 'fix', 'customize', 'price', 'quality', 'price', 'expensive', 'quality', 'bad', ' ']</v>
      </c>
      <c r="D1094" s="3">
        <v>1.0</v>
      </c>
    </row>
    <row r="1095" ht="15.75" customHeight="1">
      <c r="A1095" s="1">
        <v>1093.0</v>
      </c>
      <c r="B1095" s="3" t="s">
        <v>1096</v>
      </c>
      <c r="C1095" s="3" t="str">
        <f>IFERROR(__xludf.DUMMYFUNCTION("GOOGLETRANSLATE(B1095,""id"",""en"")"),"['', 'Telkomsel', 'Region', 'Gaada', 'Signal', 'Severe', 'Please', 'Fix', 'Location', 'Jakarta', 'Timur', 'Ujung', 'Krawang ',' Internet ',' expensive ',' expensive ',' signal ',' kayak ',' cheap ',' please ',' fix ',' already ',' signal ',' blank ',' los"&amp;"t ', 'Lost', 'Haduh', 'Severe', '']")</f>
        <v>['', 'Telkomsel', 'Region', 'Gaada', 'Signal', 'Severe', 'Please', 'Fix', 'Location', 'Jakarta', 'Timur', 'Ujung', 'Krawang ',' Internet ',' expensive ',' expensive ',' signal ',' kayak ',' cheap ',' please ',' fix ',' already ',' signal ',' blank ',' lost ', 'Lost', 'Haduh', 'Severe', '']</v>
      </c>
      <c r="D1095" s="3">
        <v>1.0</v>
      </c>
    </row>
    <row r="1096" ht="15.75" customHeight="1">
      <c r="A1096" s="1">
        <v>1094.0</v>
      </c>
      <c r="B1096" s="3" t="s">
        <v>1097</v>
      </c>
      <c r="C1096" s="3" t="str">
        <f>IFERROR(__xludf.DUMMYFUNCTION("GOOGLETRANSLATE(B1096,""id"",""en"")"),"['Package', 'data', 'quota', 'main', 'abis',' move ',' quota ',' unlimited ',' app ',' udh ',' following ',' speed ',' The limit ',' minimum ',' usage ',' quota ',' unlimited ',' app ',' abis', 'blum', 'limit', 'quota', ""]")</f>
        <v>['Package', 'data', 'quota', 'main', 'abis',' move ',' quota ',' unlimited ',' app ',' udh ',' following ',' speed ',' The limit ',' minimum ',' usage ',' quota ',' unlimited ',' app ',' abis', 'blum', 'limit', 'quota', "]</v>
      </c>
      <c r="D1096" s="3">
        <v>1.0</v>
      </c>
    </row>
    <row r="1097" ht="15.75" customHeight="1">
      <c r="A1097" s="1">
        <v>1095.0</v>
      </c>
      <c r="B1097" s="3" t="s">
        <v>1098</v>
      </c>
      <c r="C1097" s="3" t="str">
        <f>IFERROR(__xludf.DUMMYFUNCTION("GOOGLETRANSLATE(B1097,""id"",""en"")"),"['', 'Telkomsel', 'Lock', 'Credit', 'Credit', 'Cut', 'RbU', 'Buy', 'Package', 'Kouta', 'Game', 'My APK', 'sucked ',' Credit ',' EMG ',' Kura ',' Cngggih ',' APK ',' Rich ',' AXIS ',' UDH ',' Feature ',' Lock ',' Credit ',' Safe ', 'Data', 'On', 'Mending',"&amp;" 'Discard', 'Cart', 'Solution', 'Administration', ""]")</f>
        <v>['', 'Telkomsel', 'Lock', 'Credit', 'Credit', 'Cut', 'RbU', 'Buy', 'Package', 'Kouta', 'Game', 'My APK', 'sucked ',' Credit ',' EMG ',' Kura ',' Cngggih ',' APK ',' Rich ',' AXIS ',' UDH ',' Feature ',' Lock ',' Credit ',' Safe ', 'Data', 'On', 'Mending', 'Discard', 'Cart', 'Solution', 'Administration', "]</v>
      </c>
      <c r="D1097" s="3">
        <v>1.0</v>
      </c>
    </row>
    <row r="1098" ht="15.75" customHeight="1">
      <c r="A1098" s="1">
        <v>1096.0</v>
      </c>
      <c r="B1098" s="3" t="s">
        <v>1099</v>
      </c>
      <c r="C1098" s="3" t="str">
        <f>IFERROR(__xludf.DUMMYFUNCTION("GOOGLETRANSLATE(B1098,""id"",""en"")"),"['brp', 'quota', 'Telkomsel', 'stable', 'network', 'quota', 'cave', 'GB', 'open', 'photo', 'whatsapp', 'play', ' Games', 'Threat', 'Severe', 'Network', 'Gara', 'Focus',' ']")</f>
        <v>['brp', 'quota', 'Telkomsel', 'stable', 'network', 'quota', 'cave', 'GB', 'open', 'photo', 'whatsapp', 'play', ' Games', 'Threat', 'Severe', 'Network', 'Gara', 'Focus',' ']</v>
      </c>
      <c r="D1098" s="3">
        <v>1.0</v>
      </c>
    </row>
    <row r="1099" ht="15.75" customHeight="1">
      <c r="A1099" s="1">
        <v>1097.0</v>
      </c>
      <c r="B1099" s="3" t="s">
        <v>1100</v>
      </c>
      <c r="C1099" s="3" t="str">
        <f>IFERROR(__xludf.DUMMYFUNCTION("GOOGLETRANSLATE(B1099,""id"",""en"")"),"['Please', 'Sorry', 'Telkomsel', 'Use', 'Telkomsel', 'Network', 'Strong', 'Area', 'Live', 'Bad', 'Lecture', 'Choose', ' Operators', 'Sorry', 'Telkomsel', 'Hopefully', 'In the future', 'The network', 'Good', ""]")</f>
        <v>['Please', 'Sorry', 'Telkomsel', 'Use', 'Telkomsel', 'Network', 'Strong', 'Area', 'Live', 'Bad', 'Lecture', 'Choose', ' Operators', 'Sorry', 'Telkomsel', 'Hopefully', 'In the future', 'The network', 'Good', "]</v>
      </c>
      <c r="D1099" s="3">
        <v>1.0</v>
      </c>
    </row>
    <row r="1100" ht="15.75" customHeight="1">
      <c r="A1100" s="1">
        <v>1098.0</v>
      </c>
      <c r="B1100" s="3" t="s">
        <v>1101</v>
      </c>
      <c r="C1100" s="3" t="str">
        <f>IFERROR(__xludf.DUMMYFUNCTION("GOOGLETRANSLATE(B1100,""id"",""en"")"),"['Update', 'BNYK', 'Changed', 'Points', 'Banykin', 'Type', 'Exchange', 'Gift', 'LGSG', 'DRPD', 'Digital', ""]")</f>
        <v>['Update', 'BNYK', 'Changed', 'Points', 'Banykin', 'Type', 'Exchange', 'Gift', 'LGSG', 'DRPD', 'Digital', "]</v>
      </c>
      <c r="D1100" s="3">
        <v>3.0</v>
      </c>
    </row>
    <row r="1101" ht="15.75" customHeight="1">
      <c r="A1101" s="1">
        <v>1099.0</v>
      </c>
      <c r="B1101" s="3" t="s">
        <v>1102</v>
      </c>
      <c r="C1101" s="3" t="str">
        <f>IFERROR(__xludf.DUMMYFUNCTION("GOOGLETRANSLATE(B1101,""id"",""en"")"),"['buy', 'package', 'check', 'pulse', 'truncated', 'times',' check ',' pulse ',' sucked ',' sampe ',' costumer ',' harmed ',' ']")</f>
        <v>['buy', 'package', 'check', 'pulse', 'truncated', 'times',' check ',' pulse ',' sucked ',' sampe ',' costumer ',' harmed ',' ']</v>
      </c>
      <c r="D1101" s="3">
        <v>2.0</v>
      </c>
    </row>
    <row r="1102" ht="15.75" customHeight="1">
      <c r="A1102" s="1">
        <v>1100.0</v>
      </c>
      <c r="B1102" s="3" t="s">
        <v>1103</v>
      </c>
      <c r="C1102" s="3" t="str">
        <f>IFERROR(__xludf.DUMMYFUNCTION("GOOGLETRANSLATE(B1102,""id"",""en"")"),"['kaka', 'Telkomsel', 'how', 'fill in', 'pulse', 'buy', 'package', 'quota', 'finished', 'pulse', 'disappointing', 'please', ' repaired ',' third ',' time ',' pulse ',' scorched ',' sorry ',' Telkomsel ',' Kasi ',' star ', ""]")</f>
        <v>['kaka', 'Telkomsel', 'how', 'fill in', 'pulse', 'buy', 'package', 'quota', 'finished', 'pulse', 'disappointing', 'please', ' repaired ',' third ',' time ',' pulse ',' scorched ',' sorry ',' Telkomsel ',' Kasi ',' star ', "]</v>
      </c>
      <c r="D1102" s="3">
        <v>1.0</v>
      </c>
    </row>
    <row r="1103" ht="15.75" customHeight="1">
      <c r="A1103" s="1">
        <v>1101.0</v>
      </c>
      <c r="B1103" s="3" t="s">
        <v>1104</v>
      </c>
      <c r="C1103" s="3" t="str">
        <f>IFERROR(__xludf.DUMMYFUNCTION("GOOGLETRANSLATE(B1103,""id"",""en"")"),"['network', 'extensive', 'speed', 'network', 'low', 'download', 'maximum', 'good', 'as wide as',' Telkomsel ',' consistent ',' prioritizes', ' Speed ​​',' Network ',' ']")</f>
        <v>['network', 'extensive', 'speed', 'network', 'low', 'download', 'maximum', 'good', 'as wide as',' Telkomsel ',' consistent ',' prioritizes', ' Speed ​​',' Network ',' ']</v>
      </c>
      <c r="D1103" s="3">
        <v>1.0</v>
      </c>
    </row>
    <row r="1104" ht="15.75" customHeight="1">
      <c r="A1104" s="1">
        <v>1102.0</v>
      </c>
      <c r="B1104" s="3" t="s">
        <v>1105</v>
      </c>
      <c r="C1104" s="3" t="str">
        <f>IFERROR(__xludf.DUMMYFUNCTION("GOOGLETRANSLATE(B1104,""id"",""en"")"),"['oath', 'God', 'here', 'Telkomsel', 'buy', 'voucher', 'MLBB', 'Diamond', 'right', 'contacted', 'delete', 'message', ' Disappointed ',' Telkomsel ',' Network ',' Leet ',' Disappointed ',' Heavy ',' ']")</f>
        <v>['oath', 'God', 'here', 'Telkomsel', 'buy', 'voucher', 'MLBB', 'Diamond', 'right', 'contacted', 'delete', 'message', ' Disappointed ',' Telkomsel ',' Network ',' Leet ',' Disappointed ',' Heavy ',' ']</v>
      </c>
      <c r="D1104" s="3">
        <v>1.0</v>
      </c>
    </row>
    <row r="1105" ht="15.75" customHeight="1">
      <c r="A1105" s="1">
        <v>1103.0</v>
      </c>
      <c r="B1105" s="3" t="s">
        <v>1106</v>
      </c>
      <c r="C1105" s="3" t="str">
        <f>IFERROR(__xludf.DUMMYFUNCTION("GOOGLETRANSLATE(B1105,""id"",""en"")"),"['', 'disappointing', 'help', 'finish', 'Season', 'buy', 'quota', 'monthly', 'apply', 'quota', 'extra', 'unlimited', 'follow ',' apply ',' quota ',' monthly ',' good ',' disappointing ']")</f>
        <v>['', 'disappointing', 'help', 'finish', 'Season', 'buy', 'quota', 'monthly', 'apply', 'quota', 'extra', 'unlimited', 'follow ',' apply ',' quota ',' monthly ',' good ',' disappointing ']</v>
      </c>
      <c r="D1105" s="3">
        <v>1.0</v>
      </c>
    </row>
    <row r="1106" ht="15.75" customHeight="1">
      <c r="A1106" s="1">
        <v>1104.0</v>
      </c>
      <c r="B1106" s="3" t="s">
        <v>1107</v>
      </c>
      <c r="C1106" s="3" t="str">
        <f>IFERROR(__xludf.DUMMYFUNCTION("GOOGLETRANSLATE(B1106,""id"",""en"")"),"['bangs',' network ',' JLS ',' price ',' quota ',' expensive ',' according to ',' LHH ',' WOI ',' Network ',' JLS ',' really ',' ',' good ',' network ',' broken ',' cave ',' see ',' cave ',' accept ',' request ',' sorry ',' telkomsel ',' network ',' blm '"&amp;" , 'good', '']")</f>
        <v>['bangs',' network ',' JLS ',' price ',' quota ',' expensive ',' according to ',' LHH ',' WOI ',' Network ',' JLS ',' really ',' ',' good ',' network ',' broken ',' cave ',' see ',' cave ',' accept ',' request ',' sorry ',' telkomsel ',' network ',' blm ' , 'good', '']</v>
      </c>
      <c r="D1106" s="3">
        <v>1.0</v>
      </c>
    </row>
    <row r="1107" ht="15.75" customHeight="1">
      <c r="A1107" s="1">
        <v>1105.0</v>
      </c>
      <c r="B1107" s="3" t="s">
        <v>1108</v>
      </c>
      <c r="C1107" s="3" t="str">
        <f>IFERROR(__xludf.DUMMYFUNCTION("GOOGLETRANSLATE(B1107,""id"",""en"")"),"['Ampe', 'bored', 'Exchange', 'Points',' Can ',' Your Network ',' Region ',' Sumsel ',' Lemot ',' Please ',' Stop ',' Application ',' Automatic ',' subscribe ',' Turn ',' Stop ',' told ',' TLP ',' Operator ',' Jngn ',' Disappointed ',' Change ',' Card ','"&amp;" Blit ',' Honey ' , 'because', 'sympathy', 'hopefully', 'Telkomsel', 'best', ""]")</f>
        <v>['Ampe', 'bored', 'Exchange', 'Points',' Can ',' Your Network ',' Region ',' Sumsel ',' Lemot ',' Please ',' Stop ',' Application ',' Automatic ',' subscribe ',' Turn ',' Stop ',' told ',' TLP ',' Operator ',' Jngn ',' Disappointed ',' Change ',' Card ',' Blit ',' Honey ' , 'because', 'sympathy', 'hopefully', 'Telkomsel', 'best', "]</v>
      </c>
      <c r="D1107" s="3">
        <v>1.0</v>
      </c>
    </row>
    <row r="1108" ht="15.75" customHeight="1">
      <c r="A1108" s="1">
        <v>1106.0</v>
      </c>
      <c r="B1108" s="3" t="s">
        <v>1109</v>
      </c>
      <c r="C1108" s="3" t="str">
        <f>IFERROR(__xludf.DUMMYFUNCTION("GOOGLETRANSLATE(B1108,""id"",""en"")"),"['users',' Telkomsel ',' Telkomsel ',' Progam ',' PHP ',' special ',' click ',' Reedem ',' package ',' zonk ',' aka ',' disappointed ',' polll ',' auto ',' star ',' thx ']")</f>
        <v>['users',' Telkomsel ',' Telkomsel ',' Progam ',' PHP ',' special ',' click ',' Reedem ',' package ',' zonk ',' aka ',' disappointed ',' polll ',' auto ',' star ',' thx ']</v>
      </c>
      <c r="D1108" s="3">
        <v>1.0</v>
      </c>
    </row>
    <row r="1109" ht="15.75" customHeight="1">
      <c r="A1109" s="1">
        <v>1107.0</v>
      </c>
      <c r="B1109" s="3" t="s">
        <v>1110</v>
      </c>
      <c r="C1109" s="3" t="str">
        <f>IFERROR(__xludf.DUMMYFUNCTION("GOOGLETRANSLATE(B1109,""id"",""en"")"),"['signal', 'Telkomsel', 'bad', 'BURIK', 'Kayak', 'Snail', 'buy', 'quota', 'ehh', 'right', 'play', 'game', ' signal ',' red ',' yellow ',' kayak ',' smooth ',' jaya ',' slow ',' moved ',' fup ',' unlimited ']")</f>
        <v>['signal', 'Telkomsel', 'bad', 'BURIK', 'Kayak', 'Snail', 'buy', 'quota', 'ehh', 'right', 'play', 'game', ' signal ',' red ',' yellow ',' kayak ',' smooth ',' jaya ',' slow ',' moved ',' fup ',' unlimited ']</v>
      </c>
      <c r="D1109" s="3">
        <v>1.0</v>
      </c>
    </row>
    <row r="1110" ht="15.75" customHeight="1">
      <c r="A1110" s="1">
        <v>1108.0</v>
      </c>
      <c r="B1110" s="3" t="s">
        <v>1111</v>
      </c>
      <c r="C1110" s="3" t="str">
        <f>IFERROR(__xludf.DUMMYFUNCTION("GOOGLETRANSLATE(B1110,""id"",""en"")"),"['expensive', 'deh', 'expensive', 'gapapa', 'the network', 'good', 'hahaha', 'this', 'already', 'expensive', 'network', 'slow' Males', 'Deh', 'Kayak', 'Application', 'Next to', 'Tetep', 'Cheap', 'Network', 'Stable', '']")</f>
        <v>['expensive', 'deh', 'expensive', 'gapapa', 'the network', 'good', 'hahaha', 'this', 'already', 'expensive', 'network', 'slow' Males', 'Deh', 'Kayak', 'Application', 'Next to', 'Tetep', 'Cheap', 'Network', 'Stable', '']</v>
      </c>
      <c r="D1110" s="3">
        <v>2.0</v>
      </c>
    </row>
    <row r="1111" ht="15.75" customHeight="1">
      <c r="A1111" s="1">
        <v>1109.0</v>
      </c>
      <c r="B1111" s="3" t="s">
        <v>1112</v>
      </c>
      <c r="C1111" s="3" t="str">
        <f>IFERROR(__xludf.DUMMYFUNCTION("GOOGLETRANSLATE(B1111,""id"",""en"")"),"['application', 'Telkomsel', 'tlng', 'donk', 'confirmed', 'before', 'package', 'submit', 'add', 'package', 'quota', 'thousand', ' "", 'January', 'Knp', 'payment', 'thousand', '']")</f>
        <v>['application', 'Telkomsel', 'tlng', 'donk', 'confirmed', 'before', 'package', 'submit', 'add', 'package', 'quota', 'thousand', ' ", 'January', 'Knp', 'payment', 'thousand', '']</v>
      </c>
      <c r="D1111" s="3">
        <v>3.0</v>
      </c>
    </row>
    <row r="1112" ht="15.75" customHeight="1">
      <c r="A1112" s="1">
        <v>1110.0</v>
      </c>
      <c r="B1112" s="3" t="s">
        <v>1113</v>
      </c>
      <c r="C1112" s="3" t="str">
        <f>IFERROR(__xludf.DUMMYFUNCTION("GOOGLETRANSLATE(B1112,""id"",""en"")"),"['Telkomsel', 'network', 'ugly', 'obstacles',' anything ',' network ',' skrng ',' already ',' sek ',' thanks', 'concerned', 'user', ' Please ',' Upgrade ',' Network ',' LGi ',' ']")</f>
        <v>['Telkomsel', 'network', 'ugly', 'obstacles',' anything ',' network ',' skrng ',' already ',' sek ',' thanks', 'concerned', 'user', ' Please ',' Upgrade ',' Network ',' LGi ',' ']</v>
      </c>
      <c r="D1112" s="3">
        <v>1.0</v>
      </c>
    </row>
    <row r="1113" ht="15.75" customHeight="1">
      <c r="A1113" s="1">
        <v>1111.0</v>
      </c>
      <c r="B1113" s="3" t="s">
        <v>1114</v>
      </c>
      <c r="C1113" s="3" t="str">
        <f>IFERROR(__xludf.DUMMYFUNCTION("GOOGLETRANSLATE(B1113,""id"",""en"")"),"['paan', 'signal', 'sometimes',' good ',' sometimes', 'lost', 'worse', 'signal', 'missing', 'sudden', 'jammed', 'gabisa', ' Scroll ',' skali ',' already ',' poor ',' Telkomsel ']")</f>
        <v>['paan', 'signal', 'sometimes',' good ',' sometimes', 'lost', 'worse', 'signal', 'missing', 'sudden', 'jammed', 'gabisa', ' Scroll ',' skali ',' already ',' poor ',' Telkomsel ']</v>
      </c>
      <c r="D1113" s="3">
        <v>1.0</v>
      </c>
    </row>
    <row r="1114" ht="15.75" customHeight="1">
      <c r="A1114" s="1">
        <v>1112.0</v>
      </c>
      <c r="B1114" s="3" t="s">
        <v>1115</v>
      </c>
      <c r="C1114" s="3" t="str">
        <f>IFERROR(__xludf.DUMMYFUNCTION("GOOGLETRANSLATE(B1114,""id"",""en"")"),"['Please', 'admin', 'fix', 'signal', 'buy', 'quota', 'unlimited', 'TPI', 'signal', 'slow', 'udh', 'signal', ' Full ',' rich ',' Gini ',' skarang ',' slow ',' open ',' slow ',' dlu ',' package ',' unlimited ',' boundary ',' skrng ',' limit ' , 'usage', 'Na"&amp;"turally', 'high school', 'unlimited', 'please', 'fix', 'lgi', ""]")</f>
        <v>['Please', 'admin', 'fix', 'signal', 'buy', 'quota', 'unlimited', 'TPI', 'signal', 'slow', 'udh', 'signal', ' Full ',' rich ',' Gini ',' skarang ',' slow ',' open ',' slow ',' dlu ',' package ',' unlimited ',' boundary ',' skrng ',' limit ' , 'usage', 'Naturally', 'high school', 'unlimited', 'please', 'fix', 'lgi', "]</v>
      </c>
      <c r="D1114" s="3">
        <v>1.0</v>
      </c>
    </row>
    <row r="1115" ht="15.75" customHeight="1">
      <c r="A1115" s="1">
        <v>1113.0</v>
      </c>
      <c r="B1115" s="3" t="s">
        <v>1116</v>
      </c>
      <c r="C1115" s="3" t="str">
        <f>IFERROR(__xludf.DUMMYFUNCTION("GOOGLETRANSLATE(B1115,""id"",""en"")"),"['price', 'package', 'subscribe', 'card', 'package', 'price', 'Different', 'exorbitant', 'promo', 'expensive', 'name', 'promo', ' expensive ',' Disappointed ',' Telkomsel ',' thank ',' love ']")</f>
        <v>['price', 'package', 'subscribe', 'card', 'package', 'price', 'Different', 'exorbitant', 'promo', 'expensive', 'name', 'promo', ' expensive ',' Disappointed ',' Telkomsel ',' thank ',' love ']</v>
      </c>
      <c r="D1115" s="3">
        <v>1.0</v>
      </c>
    </row>
    <row r="1116" ht="15.75" customHeight="1">
      <c r="A1116" s="1">
        <v>1114.0</v>
      </c>
      <c r="B1116" s="3" t="s">
        <v>1117</v>
      </c>
      <c r="C1116" s="3" t="str">
        <f>IFERROR(__xludf.DUMMYFUNCTION("GOOGLETRANSLATE(B1116,""id"",""en"")"),"['YTH', 'Telkomsel', 'Sunday', 'Internet', 'Telkomsel', 'Slow', 'Region', 'Rawamangun', 'Jakarta', 'East', 'remaining', 'quota', ' Please, 'repaired', 'hopefully', 'enhanced', 'service', 'users', '']")</f>
        <v>['YTH', 'Telkomsel', 'Sunday', 'Internet', 'Telkomsel', 'Slow', 'Region', 'Rawamangun', 'Jakarta', 'East', 'remaining', 'quota', ' Please, 'repaired', 'hopefully', 'enhanced', 'service', 'users', '']</v>
      </c>
      <c r="D1116" s="3">
        <v>5.0</v>
      </c>
    </row>
    <row r="1117" ht="15.75" customHeight="1">
      <c r="A1117" s="1">
        <v>1115.0</v>
      </c>
      <c r="B1117" s="3" t="s">
        <v>1118</v>
      </c>
      <c r="C1117" s="3" t="str">
        <f>IFERROR(__xludf.DUMMYFUNCTION("GOOGLETRANSLATE(B1117,""id"",""en"")"),"['Have', 'Exchange', 'Points',' GB ',' Surprise ',' Points', 'Real', 'Package', 'Thousand', 'Credit', 'Whisah', 'GB', ' package ',' data ',' skrng ',' hn ',' GB ',' data ',' severe ',' skrng ',' already ',' thousand ',' Telkomsel ',' squeeze ',' help ' , "&amp;"'public', '']")</f>
        <v>['Have', 'Exchange', 'Points',' GB ',' Surprise ',' Points', 'Real', 'Package', 'Thousand', 'Credit', 'Whisah', 'GB', ' package ',' data ',' skrng ',' hn ',' GB ',' data ',' severe ',' skrng ',' already ',' thousand ',' Telkomsel ',' squeeze ',' help ' , 'public', '']</v>
      </c>
      <c r="D1117" s="3">
        <v>1.0</v>
      </c>
    </row>
    <row r="1118" ht="15.75" customHeight="1">
      <c r="A1118" s="1">
        <v>1116.0</v>
      </c>
      <c r="B1118" s="3" t="s">
        <v>1119</v>
      </c>
      <c r="C1118" s="3" t="str">
        <f>IFERROR(__xludf.DUMMYFUNCTION("GOOGLETRANSLATE(B1118,""id"",""en"")"),"['complain', 'pulse', 'sucked', 'data', 'internet', 'quota', 'unlimited', 'max', 'pulse', 'suck', 'data', 'cellular', ' "", 'Look', 'Untung', 'signal', 'Sometimes', 'ilang', 'begging', 'operator', 'TTP', 'Report', 'CEO', 'Telkomsel', 'Please' , 'explanati"&amp;"on', 'fix it', 'system', 'profit', 'buy', 'expensive', 'expensive', 'tricks']")</f>
        <v>['complain', 'pulse', 'sucked', 'data', 'internet', 'quota', 'unlimited', 'max', 'pulse', 'suck', 'data', 'cellular', ' ", 'Look', 'Untung', 'signal', 'Sometimes', 'ilang', 'begging', 'operator', 'TTP', 'Report', 'CEO', 'Telkomsel', 'Please' , 'explanation', 'fix it', 'system', 'profit', 'buy', 'expensive', 'expensive', 'tricks']</v>
      </c>
      <c r="D1118" s="3">
        <v>1.0</v>
      </c>
    </row>
    <row r="1119" ht="15.75" customHeight="1">
      <c r="A1119" s="1">
        <v>1117.0</v>
      </c>
      <c r="B1119" s="3" t="s">
        <v>1120</v>
      </c>
      <c r="C1119" s="3" t="str">
        <f>IFERROR(__xludf.DUMMYFUNCTION("GOOGLETRANSLATE(B1119,""id"",""en"")"),"['Here', 'Tsel', 'Disappointing', 'Wait', 'Until', 'Gaada', 'Repair', 'Signal', 'Fiz', 'Change', 'Provider', 'expensive', ' guarantee ',' bulu ',' mending ',' provider ',' cheap ',' cheap ']")</f>
        <v>['Here', 'Tsel', 'Disappointing', 'Wait', 'Until', 'Gaada', 'Repair', 'Signal', 'Fiz', 'Change', 'Provider', 'expensive', ' guarantee ',' bulu ',' mending ',' provider ',' cheap ',' cheap ']</v>
      </c>
      <c r="D1119" s="3">
        <v>3.0</v>
      </c>
    </row>
    <row r="1120" ht="15.75" customHeight="1">
      <c r="A1120" s="1">
        <v>1118.0</v>
      </c>
      <c r="B1120" s="3" t="s">
        <v>1121</v>
      </c>
      <c r="C1120" s="3" t="str">
        <f>IFERROR(__xludf.DUMMYFUNCTION("GOOGLETRANSLATE(B1120,""id"",""en"")"),"['Please', 'yaa', 'application', 'mytsel', 'promo', 'cheerful', 'GB', 'bought', 'pressing', 'button', 'buy', 'pulse', ' truncated ',' package ',' promo ',' enter ',' please ',' help ',' because ',' need ',' package ',' ']")</f>
        <v>['Please', 'yaa', 'application', 'mytsel', 'promo', 'cheerful', 'GB', 'bought', 'pressing', 'button', 'buy', 'pulse', ' truncated ',' package ',' promo ',' enter ',' please ',' help ',' because ',' need ',' package ',' ']</v>
      </c>
      <c r="D1120" s="3">
        <v>2.0</v>
      </c>
    </row>
    <row r="1121" ht="15.75" customHeight="1">
      <c r="A1121" s="1">
        <v>1119.0</v>
      </c>
      <c r="B1121" s="3" t="s">
        <v>1122</v>
      </c>
      <c r="C1121" s="3" t="str">
        <f>IFERROR(__xludf.DUMMYFUNCTION("GOOGLETRANSLATE(B1121,""id"",""en"")"),"['Costs',' Rates', 'Transfer', 'Credit', 'Increased', 'Credit', 'How', 'System', 'Buy', 'Credit', 'get', 'Rates',' Telkomsel ',' Transfer ',' getting ',' tariff ',' What ',' in the future ',' pulse ',' breakthrough ',' payment ',' digital ', ""]")</f>
        <v>['Costs',' Rates', 'Transfer', 'Credit', 'Increased', 'Credit', 'How', 'System', 'Buy', 'Credit', 'get', 'Rates',' Telkomsel ',' Transfer ',' getting ',' tariff ',' What ',' in the future ',' pulse ',' breakthrough ',' payment ',' digital ', "]</v>
      </c>
      <c r="D1121" s="3">
        <v>1.0</v>
      </c>
    </row>
    <row r="1122" ht="15.75" customHeight="1">
      <c r="A1122" s="1">
        <v>1120.0</v>
      </c>
      <c r="B1122" s="3" t="s">
        <v>1123</v>
      </c>
      <c r="C1122" s="3" t="str">
        <f>IFERROR(__xludf.DUMMYFUNCTION("GOOGLETRANSLATE(B1122,""id"",""en"")"),"['Gegara', 'wrong', 'contents',' plz ',' forced ',' internet ',' tsel ',' kirain ',' good ',' difficult ',' udh ',' mah ',' Rates', 'expensive', 'feelings',' cheap ',' internet ',' smooth ',' Jaya ',' obstacles', 'alternating', 'SIM', 'SIM']")</f>
        <v>['Gegara', 'wrong', 'contents',' plz ',' forced ',' internet ',' tsel ',' kirain ',' good ',' difficult ',' udh ',' mah ',' Rates', 'expensive', 'feelings',' cheap ',' internet ',' smooth ',' Jaya ',' obstacles', 'alternating', 'SIM', 'SIM']</v>
      </c>
      <c r="D1122" s="3">
        <v>1.0</v>
      </c>
    </row>
    <row r="1123" ht="15.75" customHeight="1">
      <c r="A1123" s="1">
        <v>1121.0</v>
      </c>
      <c r="B1123" s="3" t="s">
        <v>1124</v>
      </c>
      <c r="C1123" s="3" t="str">
        <f>IFERROR(__xludf.DUMMYFUNCTION("GOOGLETRANSLATE(B1123,""id"",""en"")"),"['Telkomsel', 'Please', 'Reply', 'Signal', 'Since', 'Ultah', 'Telkomsel', 'Signal', 'Improved', 'Bad', 'Staff', 'Telkomsel', ' holiday', '']")</f>
        <v>['Telkomsel', 'Please', 'Reply', 'Signal', 'Since', 'Ultah', 'Telkomsel', 'Signal', 'Improved', 'Bad', 'Staff', 'Telkomsel', ' holiday', '']</v>
      </c>
      <c r="D1123" s="3">
        <v>1.0</v>
      </c>
    </row>
    <row r="1124" ht="15.75" customHeight="1">
      <c r="A1124" s="1">
        <v>1122.0</v>
      </c>
      <c r="B1124" s="3" t="s">
        <v>1125</v>
      </c>
      <c r="C1124" s="3" t="str">
        <f>IFERROR(__xludf.DUMMYFUNCTION("GOOGLETRANSLATE(B1124,""id"",""en"")"),"['Sangt', 'disappointed', 'network', 'upset', 'position', 'city', 'remote', 'tolonh', 'increase', 'cook', 'lose', 'network', ' Axis']")</f>
        <v>['Sangt', 'disappointed', 'network', 'upset', 'position', 'city', 'remote', 'tolonh', 'increase', 'cook', 'lose', 'network', ' Axis']</v>
      </c>
      <c r="D1124" s="3">
        <v>1.0</v>
      </c>
    </row>
    <row r="1125" ht="15.75" customHeight="1">
      <c r="A1125" s="1">
        <v>1123.0</v>
      </c>
      <c r="B1125" s="3" t="s">
        <v>1126</v>
      </c>
      <c r="C1125" s="3" t="str">
        <f>IFERROR(__xludf.DUMMYFUNCTION("GOOGLETRANSLATE(B1125,""id"",""en"")"),"['Application', 'MyTelkomsel', 'Help', 'Easy', 'Use', 'Remnant', 'Quota', 'Reward', 'Profitable', 'Customer', ""]")</f>
        <v>['Application', 'MyTelkomsel', 'Help', 'Easy', 'Use', 'Remnant', 'Quota', 'Reward', 'Profitable', 'Customer', "]</v>
      </c>
      <c r="D1125" s="3">
        <v>5.0</v>
      </c>
    </row>
    <row r="1126" ht="15.75" customHeight="1">
      <c r="A1126" s="1">
        <v>1124.0</v>
      </c>
      <c r="B1126" s="3" t="s">
        <v>1127</v>
      </c>
      <c r="C1126" s="3" t="str">
        <f>IFERROR(__xludf.DUMMYFUNCTION("GOOGLETRANSLATE(B1126,""id"",""en"")"),"['Please', 'fix', 'signal', 'ngekame', 'lag', 'mulu', 'pdhal', 'signal', 'good', 'please', 'lahhh', 'msih', ' Survive ',' high school ',' card ',' Telkomsel ',' please ',' fix ',' ']")</f>
        <v>['Please', 'fix', 'signal', 'ngekame', 'lag', 'mulu', 'pdhal', 'signal', 'good', 'please', 'lahhh', 'msih', ' Survive ',' high school ',' card ',' Telkomsel ',' please ',' fix ',' ']</v>
      </c>
      <c r="D1126" s="3">
        <v>3.0</v>
      </c>
    </row>
    <row r="1127" ht="15.75" customHeight="1">
      <c r="A1127" s="1">
        <v>1125.0</v>
      </c>
      <c r="B1127" s="3" t="s">
        <v>1128</v>
      </c>
      <c r="C1127" s="3" t="str">
        <f>IFERROR(__xludf.DUMMYFUNCTION("GOOGLETRANSLATE(B1127,""id"",""en"")"),"['Card', 'Telkomsel', 'confusing', 'times',' buy ',' package ',' data ',' quota ',' main ',' MB ',' Nyampe ',' MB ',' already ',' sucked ',' pulse ',' for a while ',' ehh ',' ilang ',' sometimes', 'nyampe', 'dizzy', 'buy', 'pulse', 'already', 'run out' , "&amp;"'Please', 'improvediiii', '']")</f>
        <v>['Card', 'Telkomsel', 'confusing', 'times',' buy ',' package ',' data ',' quota ',' main ',' MB ',' Nyampe ',' MB ',' already ',' sucked ',' pulse ',' for a while ',' ehh ',' ilang ',' sometimes', 'nyampe', 'dizzy', 'buy', 'pulse', 'already', 'run out' , 'Please', 'improvediiii', '']</v>
      </c>
      <c r="D1127" s="3">
        <v>1.0</v>
      </c>
    </row>
    <row r="1128" ht="15.75" customHeight="1">
      <c r="A1128" s="1">
        <v>1126.0</v>
      </c>
      <c r="B1128" s="3" t="s">
        <v>1129</v>
      </c>
      <c r="C1128" s="3" t="str">
        <f>IFERROR(__xludf.DUMMYFUNCTION("GOOGLETRANSLATE(B1128,""id"",""en"")"),"['Cool', 'really', 'application', '']")</f>
        <v>['Cool', 'really', 'application', '']</v>
      </c>
      <c r="D1128" s="3">
        <v>5.0</v>
      </c>
    </row>
    <row r="1129" ht="15.75" customHeight="1">
      <c r="A1129" s="1">
        <v>1127.0</v>
      </c>
      <c r="B1129" s="3" t="s">
        <v>1130</v>
      </c>
      <c r="C1129" s="3" t="str">
        <f>IFERROR(__xludf.DUMMYFUNCTION("GOOGLETRANSLATE(B1129,""id"",""en"")"),"['Sorry', 'Love', 'Bintang', 'Please', 'Fix', 'APK', 'Yesterday', 'Download', 'APK', 'PAS', 'Register', 'quota', ' directly ',' ilang ',' Please ',' fix ',' already ',' love ',' star ', ""]")</f>
        <v>['Sorry', 'Love', 'Bintang', 'Please', 'Fix', 'APK', 'Yesterday', 'Download', 'APK', 'PAS', 'Register', 'quota', ' directly ',' ilang ',' Please ',' fix ',' already ',' love ',' star ', "]</v>
      </c>
      <c r="D1129" s="3">
        <v>1.0</v>
      </c>
    </row>
    <row r="1130" ht="15.75" customHeight="1">
      <c r="A1130" s="1">
        <v>1128.0</v>
      </c>
      <c r="B1130" s="3" t="s">
        <v>1131</v>
      </c>
      <c r="C1130" s="3" t="str">
        <f>IFERROR(__xludf.DUMMYFUNCTION("GOOGLETRANSLATE(B1130,""id"",""en"")"),"['package', 'quota', 'main', 'internet', 'lbh', 'compared', 'package', 'internet', 'multimedia', 'network', 'signal', 'as' Mainstay ',' ammmpppuuuunnnn ',' BLM ',' quota ',' internet ',' multimedia ',' confiscated ',' quota ',' internet ',' main ', ""]")</f>
        <v>['package', 'quota', 'main', 'internet', 'lbh', 'compared', 'package', 'internet', 'multimedia', 'network', 'signal', 'as' Mainstay ',' ammmpppuuuunnnn ',' BLM ',' quota ',' internet ',' multimedia ',' confiscated ',' quota ',' internet ',' main ', "]</v>
      </c>
      <c r="D1130" s="3">
        <v>1.0</v>
      </c>
    </row>
    <row r="1131" ht="15.75" customHeight="1">
      <c r="A1131" s="1">
        <v>1129.0</v>
      </c>
      <c r="B1131" s="3" t="s">
        <v>1132</v>
      </c>
      <c r="C1131" s="3" t="str">
        <f>IFERROR(__xludf.DUMMYFUNCTION("GOOGLETRANSLATE(B1131,""id"",""en"")"),"['Review', 'deleted', 'Min', 'Mon', 'Sorry', 'bad', 'really', 'network', 'already', 'win', 'name', 'quality', ' network ',' decline ',' balanced ',' good ',' name ',' good ',' quality ',' all-round ',' slow ',' ngeleg ']")</f>
        <v>['Review', 'deleted', 'Min', 'Mon', 'Sorry', 'bad', 'really', 'network', 'already', 'win', 'name', 'quality', ' network ',' decline ',' balanced ',' good ',' name ',' good ',' quality ',' all-round ',' slow ',' ngeleg ']</v>
      </c>
      <c r="D1131" s="3">
        <v>1.0</v>
      </c>
    </row>
    <row r="1132" ht="15.75" customHeight="1">
      <c r="A1132" s="1">
        <v>1130.0</v>
      </c>
      <c r="B1132" s="3" t="s">
        <v>1133</v>
      </c>
      <c r="C1132" s="3" t="str">
        <f>IFERROR(__xludf.DUMMYFUNCTION("GOOGLETRANSLATE(B1132,""id"",""en"")"),"['buy', 'pulse', 'pulses',' enter ',' try ',' bali ',' enter ',' number ',' right ',' gini ',' loss', 'reverse', ' money']")</f>
        <v>['buy', 'pulse', 'pulses',' enter ',' try ',' bali ',' enter ',' number ',' right ',' gini ',' loss', 'reverse', ' money']</v>
      </c>
      <c r="D1132" s="3">
        <v>2.0</v>
      </c>
    </row>
    <row r="1133" ht="15.75" customHeight="1">
      <c r="A1133" s="1">
        <v>1131.0</v>
      </c>
      <c r="B1133" s="3" t="s">
        <v>1134</v>
      </c>
      <c r="C1133" s="3" t="str">
        <f>IFERROR(__xludf.DUMMYFUNCTION("GOOGLETRANSLATE(B1133,""id"",""en"")"),"['Not bad', 'good', 'Please', 'clarified', 'customer', 'entitled', 'promo', 'choice', 'package', 'ad', 'notification', 'appears',' Enable ',' ads', 'trims']")</f>
        <v>['Not bad', 'good', 'Please', 'clarified', 'customer', 'entitled', 'promo', 'choice', 'package', 'ad', 'notification', 'appears',' Enable ',' ads', 'trims']</v>
      </c>
      <c r="D1133" s="3">
        <v>4.0</v>
      </c>
    </row>
    <row r="1134" ht="15.75" customHeight="1">
      <c r="A1134" s="1">
        <v>1132.0</v>
      </c>
      <c r="B1134" s="3" t="s">
        <v>1135</v>
      </c>
      <c r="C1134" s="3" t="str">
        <f>IFERROR(__xludf.DUMMYFUNCTION("GOOGLETRANSLATE(B1134,""id"",""en"")"),"['times', 'login', 'Feedback', 'Feedback', 'annoying', '']")</f>
        <v>['times', 'login', 'Feedback', 'Feedback', 'annoying', '']</v>
      </c>
      <c r="D1134" s="3">
        <v>1.0</v>
      </c>
    </row>
    <row r="1135" ht="15.75" customHeight="1">
      <c r="A1135" s="1">
        <v>1133.0</v>
      </c>
      <c r="B1135" s="3" t="s">
        <v>1136</v>
      </c>
      <c r="C1135" s="3" t="str">
        <f>IFERROR(__xludf.DUMMYFUNCTION("GOOGLETRANSLATE(B1135,""id"",""en"")"),"['Telkomsel', 'Carik', 'Untung', 'yaa', 'times',' sucked ',' pulse ',' careless', 'padbalan', 'package', 'msih', 'bnyak', ' Clay ',' maybe ',' maybe ',' habit ',' woooiii ',' pakek ',' akakk ', ""]")</f>
        <v>['Telkomsel', 'Carik', 'Untung', 'yaa', 'times',' sucked ',' pulse ',' careless', 'padbalan', 'package', 'msih', 'bnyak', ' Clay ',' maybe ',' maybe ',' habit ',' woooiii ',' pakek ',' akakk ', "]</v>
      </c>
      <c r="D1135" s="3">
        <v>1.0</v>
      </c>
    </row>
    <row r="1136" ht="15.75" customHeight="1">
      <c r="A1136" s="1">
        <v>1134.0</v>
      </c>
      <c r="B1136" s="3" t="s">
        <v>1137</v>
      </c>
      <c r="C1136" s="3" t="str">
        <f>IFERROR(__xludf.DUMMYFUNCTION("GOOGLETRANSLATE(B1136,""id"",""en"")"),"['', 'Telkomsel', 'Make it easy', 'reward', 'offer', 'interesting', 'Telkomsel', 'pampering', 'user', 'card', 'Telkomsel', ""]")</f>
        <v>['', 'Telkomsel', 'Make it easy', 'reward', 'offer', 'interesting', 'Telkomsel', 'pampering', 'user', 'card', 'Telkomsel', "]</v>
      </c>
      <c r="D1136" s="3">
        <v>5.0</v>
      </c>
    </row>
    <row r="1137" ht="15.75" customHeight="1">
      <c r="A1137" s="1">
        <v>1135.0</v>
      </c>
      <c r="B1137" s="3" t="s">
        <v>1138</v>
      </c>
      <c r="C1137" s="3" t="str">
        <f>IFERROR(__xludf.DUMMYFUNCTION("GOOGLETRANSLATE(B1137,""id"",""en"")"),"['Quality', 'Network', 'Area', 'Covered', 'Extensive', 'Thank "",' Love ',' Telkomsel ',' Help ',' Strong ',' Network ',' Greetings ',' Sejahtera ',' BUMN ',' Indonesia ',' Beloved ', ""]")</f>
        <v>['Quality', 'Network', 'Area', 'Covered', 'Extensive', 'Thank ",' Love ',' Telkomsel ',' Help ',' Strong ',' Network ',' Greetings ',' Sejahtera ',' BUMN ',' Indonesia ',' Beloved ', "]</v>
      </c>
      <c r="D1137" s="3">
        <v>5.0</v>
      </c>
    </row>
    <row r="1138" ht="15.75" customHeight="1">
      <c r="A1138" s="1">
        <v>1136.0</v>
      </c>
      <c r="B1138" s="3" t="s">
        <v>1139</v>
      </c>
      <c r="C1138" s="3" t="str">
        <f>IFERROR(__xludf.DUMMYFUNCTION("GOOGLETRANSLATE(B1138,""id"",""en"")"),"['ngak', 'gmn', 'muji', 'telkomsel', 'best', 'staple', 'best', 'bother', 'community', 'era', 'pandemic', 'bnyk', ' PHK ',' LBH ',' Berwirausha ',' Use ',' Internet ',' Quota ',' Mahalin ',' Please ',' Kemanusaa ',' Fair ',' Balabad ',' SBLM ',' Naro ' , '"&amp;"price', 'package', 'package', 'expensive', 'wasteful', 'Indonesia', 'Dubai', 'sultan']")</f>
        <v>['ngak', 'gmn', 'muji', 'telkomsel', 'best', 'staple', 'best', 'bother', 'community', 'era', 'pandemic', 'bnyk', ' PHK ',' LBH ',' Berwirausha ',' Use ',' Internet ',' Quota ',' Mahalin ',' Please ',' Kemanusaa ',' Fair ',' Balabad ',' SBLM ',' Naro ' , 'price', 'package', 'package', 'expensive', 'wasteful', 'Indonesia', 'Dubai', 'sultan']</v>
      </c>
      <c r="D1138" s="3">
        <v>1.0</v>
      </c>
    </row>
    <row r="1139" ht="15.75" customHeight="1">
      <c r="A1139" s="1">
        <v>1137.0</v>
      </c>
      <c r="B1139" s="3" t="s">
        <v>1140</v>
      </c>
      <c r="C1139" s="3" t="str">
        <f>IFERROR(__xludf.DUMMYFUNCTION("GOOGLETRANSLATE(B1139,""id"",""en"")"),"['Nice', 'Like', 'Display', 'Fresh', 'Suitable', 'Android', 'Comfortable', 'Viewed', 'Increases', 'Telkomsel', ""]")</f>
        <v>['Nice', 'Like', 'Display', 'Fresh', 'Suitable', 'Android', 'Comfortable', 'Viewed', 'Increases', 'Telkomsel', "]</v>
      </c>
      <c r="D1139" s="3">
        <v>5.0</v>
      </c>
    </row>
    <row r="1140" ht="15.75" customHeight="1">
      <c r="A1140" s="1">
        <v>1138.0</v>
      </c>
      <c r="B1140" s="3" t="s">
        <v>1141</v>
      </c>
      <c r="C1140" s="3" t="str">
        <f>IFERROR(__xludf.DUMMYFUNCTION("GOOGLETRANSLATE(B1140,""id"",""en"")"),"['Bad', 'buy', 'pulse', 'activated', 'data', 'open', 'application', 'buy', 'data', 'sumps',' until ',' traveling ',' "", 'repeat', 'times', 'System', 'App', 'Telokm', 'No', 'Change', 'Please', 'Fix', 'Open', 'Application', 'Please' , 'Wear', 'Data', 'Anje"&amp;"eeng', 'Disappointed', 'Telkomsel']")</f>
        <v>['Bad', 'buy', 'pulse', 'activated', 'data', 'open', 'application', 'buy', 'data', 'sumps',' until ',' traveling ',' ", 'repeat', 'times', 'System', 'App', 'Telokm', 'No', 'Change', 'Please', 'Fix', 'Open', 'Application', 'Please' , 'Wear', 'Data', 'Anjeeeng', 'Disappointed', 'Telkomsel']</v>
      </c>
      <c r="D1140" s="3">
        <v>1.0</v>
      </c>
    </row>
    <row r="1141" ht="15.75" customHeight="1">
      <c r="A1141" s="1">
        <v>1139.0</v>
      </c>
      <c r="B1141" s="3" t="s">
        <v>1142</v>
      </c>
      <c r="C1141" s="3" t="str">
        <f>IFERROR(__xludf.DUMMYFUNCTION("GOOGLETRANSLATE(B1141,""id"",""en"")"),"['update', 'difficult', 'enter', 'application', 'logged', 'login', 'difficult', 'enter', 'enter', 'screen', 'application', 'display', ' menu ',' package ',' data ',' package ',' call ',' etc. ',' please ',' fix ',' signs', 'notification', 'message', 'ente"&amp;"r', 'read' , 'signs', 'message', 'read', 'trivial', 'leftover', 'package', 'accumulated', 'please', 'fix', 'bugs', ""]")</f>
        <v>['update', 'difficult', 'enter', 'application', 'logged', 'login', 'difficult', 'enter', 'enter', 'screen', 'application', 'display', ' menu ',' package ',' data ',' package ',' call ',' etc. ',' please ',' fix ',' signs', 'notification', 'message', 'enter', 'read' , 'signs', 'message', 'read', 'trivial', 'leftover', 'package', 'accumulated', 'please', 'fix', 'bugs', "]</v>
      </c>
      <c r="D1141" s="3">
        <v>5.0</v>
      </c>
    </row>
    <row r="1142" ht="15.75" customHeight="1">
      <c r="A1142" s="1">
        <v>1140.0</v>
      </c>
      <c r="B1142" s="3" t="s">
        <v>1143</v>
      </c>
      <c r="C1142" s="3" t="str">
        <f>IFERROR(__xludf.DUMMYFUNCTION("GOOGLETRANSLATE(B1142,""id"",""en"")"),"['disappointed', 'pulse', 'play', 'sucked', 'package', 'pulse', 'suck', 'ehhh', 'package', 'sucked', 'disappointed', ""]")</f>
        <v>['disappointed', 'pulse', 'play', 'sucked', 'package', 'pulse', 'suck', 'ehhh', 'package', 'sucked', 'disappointed', "]</v>
      </c>
      <c r="D1142" s="3">
        <v>1.0</v>
      </c>
    </row>
    <row r="1143" ht="15.75" customHeight="1">
      <c r="A1143" s="1">
        <v>1141.0</v>
      </c>
      <c r="B1143" s="3" t="s">
        <v>1144</v>
      </c>
      <c r="C1143" s="3" t="str">
        <f>IFERROR(__xludf.DUMMYFUNCTION("GOOGLETRANSLATE(B1143,""id"",""en"")"),"['use', 'Telkomsel', 'Telkomsel', 'belongs',' Indonesia ',' SPT ',' operator ',' Indo ',' sold ',' Meg ',' sold ',' silent ',' COLOON ',' Singapore ',' permission ',' People ',' Indonesia ', ""]")</f>
        <v>['use', 'Telkomsel', 'Telkomsel', 'belongs',' Indonesia ',' SPT ',' operator ',' Indo ',' sold ',' Meg ',' sold ',' silent ',' COLOON ',' Singapore ',' permission ',' People ',' Indonesia ', "]</v>
      </c>
      <c r="D1143" s="3">
        <v>5.0</v>
      </c>
    </row>
    <row r="1144" ht="15.75" customHeight="1">
      <c r="A1144" s="1">
        <v>1142.0</v>
      </c>
      <c r="B1144" s="3" t="s">
        <v>1145</v>
      </c>
      <c r="C1144" s="3" t="str">
        <f>IFERROR(__xludf.DUMMYFUNCTION("GOOGLETRANSLATE(B1144,""id"",""en"")"),"['Telkomsel', 'signal', 'dead', 'disconnected', 'Telkomsel', 'ugly', 'please', 'repaired', 'switch', ""]")</f>
        <v>['Telkomsel', 'signal', 'dead', 'disconnected', 'Telkomsel', 'ugly', 'please', 'repaired', 'switch', "]</v>
      </c>
      <c r="D1144" s="3">
        <v>1.0</v>
      </c>
    </row>
    <row r="1145" ht="15.75" customHeight="1">
      <c r="A1145" s="1">
        <v>1143.0</v>
      </c>
      <c r="B1145" s="3" t="s">
        <v>1146</v>
      </c>
      <c r="C1145" s="3" t="str">
        <f>IFERROR(__xludf.DUMMYFUNCTION("GOOGLETRANSLATE(B1145,""id"",""en"")"),"['network', 'safe', 'ugly', 'really', 'open', 'application', 'slow', 'severe', 'try', 'buy', 'package', 'repeat', ' reset ',' times ',' say "", 'processed', 'package', 'active', 'active', 'forgiveness']")</f>
        <v>['network', 'safe', 'ugly', 'really', 'open', 'application', 'slow', 'severe', 'try', 'buy', 'package', 'repeat', ' reset ',' times ',' say ", 'processed', 'package', 'active', 'active', 'forgiveness']</v>
      </c>
      <c r="D1145" s="3">
        <v>1.0</v>
      </c>
    </row>
    <row r="1146" ht="15.75" customHeight="1">
      <c r="A1146" s="1">
        <v>1144.0</v>
      </c>
      <c r="B1146" s="3" t="s">
        <v>1147</v>
      </c>
      <c r="C1146" s="3" t="str">
        <f>IFERROR(__xludf.DUMMYFUNCTION("GOOGLETRANSLATE(B1146,""id"",""en"")"),"['Yesterday', 'Buy', 'Package', 'Unlimited', 'YouTube', 'buy', 'Package', 'GB', 'YouTube', 'Play', 'YouTube', 'Disappointed', ' Really ',' Ama ',' Package ',' YouTube ',' Telkomsel ',' ']")</f>
        <v>['Yesterday', 'Buy', 'Package', 'Unlimited', 'YouTube', 'buy', 'Package', 'GB', 'YouTube', 'Play', 'YouTube', 'Disappointed', ' Really ',' Ama ',' Package ',' YouTube ',' Telkomsel ',' ']</v>
      </c>
      <c r="D1146" s="3">
        <v>1.0</v>
      </c>
    </row>
    <row r="1147" ht="15.75" customHeight="1">
      <c r="A1147" s="1">
        <v>1145.0</v>
      </c>
      <c r="B1147" s="3" t="s">
        <v>1148</v>
      </c>
      <c r="C1147" s="3" t="str">
        <f>IFERROR(__xludf.DUMMYFUNCTION("GOOGLETRANSLATE(B1147,""id"",""en"")"),"['', 'Bar', 'Full', 'Tetep', 'Lola', 'Disabled', 'Production', 'Garong', 'Package', 'Expensive', 'Kalu', 'Lemot', 'Mending ',' Change ',' card ',' price ',' cheap ',' slow ',' normal ',' already ',' change ',' slow ',' emang ',' defective ',' package ', '"&amp;"expensive', 'sinya', 'boddy']")</f>
        <v>['', 'Bar', 'Full', 'Tetep', 'Lola', 'Disabled', 'Production', 'Garong', 'Package', 'Expensive', 'Kalu', 'Lemot', 'Mending ',' Change ',' card ',' price ',' cheap ',' slow ',' normal ',' already ',' change ',' slow ',' emang ',' defective ',' package ', 'expensive', 'sinya', 'boddy']</v>
      </c>
      <c r="D1147" s="3">
        <v>1.0</v>
      </c>
    </row>
    <row r="1148" ht="15.75" customHeight="1">
      <c r="A1148" s="1">
        <v>1146.0</v>
      </c>
      <c r="B1148" s="3" t="s">
        <v>1149</v>
      </c>
      <c r="C1148" s="3" t="str">
        <f>IFERROR(__xludf.DUMMYFUNCTION("GOOGLETRANSLATE(B1148,""id"",""en"")"),"['TELKOMTOD', 'Telkomsel', 'Ngentod', 'KPD', 'YTH', 'Staff', 'Telkomsel', 'users',' Telkomsel ',' Satisfied ',' Denagan ',' Network ',' superrrrrrrrrrr ',' slow ',' signal ',' snail ',' buy ',' quota ',' already ',' expensive ',' signal ',' good ',' mash "&amp;"',' rame ',' customer ' , 'Please', 'repaired', 'Jangn', 'just', 'naekin', 'price', 'buy', 'quota', 'expensive', 'signal', 'kek', 'ngentod', ' People ',' Make ',' Telkomsel ',' Comfortable ',' Malh ',' Restless', 'Mix', 'Emotion', 'repay', 'Napa', ""]")</f>
        <v>['TELKOMTOD', 'Telkomsel', 'Ngentod', 'KPD', 'YTH', 'Staff', 'Telkomsel', 'users',' Telkomsel ',' Satisfied ',' Denagan ',' Network ',' superrrrrrrrrrr ',' slow ',' signal ',' snail ',' buy ',' quota ',' already ',' expensive ',' signal ',' good ',' mash ',' rame ',' customer ' , 'Please', 'repaired', 'Jangn', 'just', 'naekin', 'price', 'buy', 'quota', 'expensive', 'signal', 'kek', 'ngentod', ' People ',' Make ',' Telkomsel ',' Comfortable ',' Malh ',' Restless', 'Mix', 'Emotion', 'repay', 'Napa', "]</v>
      </c>
      <c r="D1148" s="3">
        <v>1.0</v>
      </c>
    </row>
    <row r="1149" ht="15.75" customHeight="1">
      <c r="A1149" s="1">
        <v>1147.0</v>
      </c>
      <c r="B1149" s="3" t="s">
        <v>1150</v>
      </c>
      <c r="C1149" s="3" t="str">
        <f>IFERROR(__xludf.DUMMYFUNCTION("GOOGLETRANSLATE(B1149,""id"",""en"")"),"['Buset', 'Threat', 'Signal', 'Told', 'Dipake', 'Together', 'ISAT', 'Lost', 'Ship', 'Fly', 'Lost', 'Ama', ' ISAT ',' drizzle ',' lost ',' Ama ',' ISAT ',' dizziness', 'dizziness',' loss', 'health', 'mah', 'blood', 'ting', 'ting' , '']")</f>
        <v>['Buset', 'Threat', 'Signal', 'Told', 'Dipake', 'Together', 'ISAT', 'Lost', 'Ship', 'Fly', 'Lost', 'Ama', ' ISAT ',' drizzle ',' lost ',' Ama ',' ISAT ',' dizziness', 'dizziness',' loss', 'health', 'mah', 'blood', 'ting', 'ting' , '']</v>
      </c>
      <c r="D1149" s="3">
        <v>1.0</v>
      </c>
    </row>
    <row r="1150" ht="15.75" customHeight="1">
      <c r="A1150" s="1">
        <v>1148.0</v>
      </c>
      <c r="B1150" s="3" t="s">
        <v>1151</v>
      </c>
      <c r="C1150" s="3" t="str">
        <f>IFERROR(__xludf.DUMMYFUNCTION("GOOGLETRANSLATE(B1150,""id"",""en"")"),"['Review', 'Removed', 'Rating', 'Low', 'Performance', 'Fix', 'Play', 'Kayak', 'Mouse', 'Measons',' Make ',' Get Out ',' money ',' quota ',' hope ',' network ',' stable ',' kayak ',' taik ',' telkomsel ',' network ',' most expensive ',' operator ',' pairs'"&amp;", 'price' , 'according to', 'quality', 'network', '']")</f>
        <v>['Review', 'Removed', 'Rating', 'Low', 'Performance', 'Fix', 'Play', 'Kayak', 'Mouse', 'Measons',' Make ',' Get Out ',' money ',' quota ',' hope ',' network ',' stable ',' kayak ',' taik ',' telkomsel ',' network ',' most expensive ',' operator ',' pairs', 'price' , 'according to', 'quality', 'network', '']</v>
      </c>
      <c r="D1150" s="3">
        <v>1.0</v>
      </c>
    </row>
    <row r="1151" ht="15.75" customHeight="1">
      <c r="A1151" s="1">
        <v>1149.0</v>
      </c>
      <c r="B1151" s="3" t="s">
        <v>1152</v>
      </c>
      <c r="C1151" s="3" t="str">
        <f>IFERROR(__xludf.DUMMYFUNCTION("GOOGLETRANSLATE(B1151,""id"",""en"")"),"['quality', 'signal', 'ugly', 'TPI', 'package', 'expensive', 'play', 'game', 'online', 'ping', 'down', 'rain', ' Gede ',' Like ',' ilang ',' Different ',' Provider ',' Please ',' Donk ',' Strengthen ',' Network ',' Network ', ""]")</f>
        <v>['quality', 'signal', 'ugly', 'TPI', 'package', 'expensive', 'play', 'game', 'online', 'ping', 'down', 'rain', ' Gede ',' Like ',' ilang ',' Different ',' Provider ',' Please ',' Donk ',' Strengthen ',' Network ',' Network ', "]</v>
      </c>
      <c r="D1151" s="3">
        <v>2.0</v>
      </c>
    </row>
    <row r="1152" ht="15.75" customHeight="1">
      <c r="A1152" s="1">
        <v>1150.0</v>
      </c>
      <c r="B1152" s="3" t="s">
        <v>1153</v>
      </c>
      <c r="C1152" s="3" t="str">
        <f>IFERROR(__xludf.DUMMYFUNCTION("GOOGLETRANSLATE(B1152,""id"",""en"")"),"['Wey', 'Bener', 'Donggg', 'ugly', 'package', 'mahalin', 'good', 'signal', 'dilapidated', 'no', 'shy', 'consumer', ' Shame ',' provider ',' good ',' signal ',' stupid ',' ']")</f>
        <v>['Wey', 'Bener', 'Donggg', 'ugly', 'package', 'mahalin', 'good', 'signal', 'dilapidated', 'no', 'shy', 'consumer', ' Shame ',' provider ',' good ',' signal ',' stupid ',' ']</v>
      </c>
      <c r="D1152" s="3">
        <v>1.0</v>
      </c>
    </row>
    <row r="1153" ht="15.75" customHeight="1">
      <c r="A1153" s="1">
        <v>1151.0</v>
      </c>
      <c r="B1153" s="3" t="s">
        <v>1154</v>
      </c>
      <c r="C1153" s="3" t="str">
        <f>IFERROR(__xludf.DUMMYFUNCTION("GOOGLETRANSLATE(B1153,""id"",""en"")"),"['Package', 'subscribe', 'Remove', 'RB', 'RB', 'GB', 'Nelp', 'Unlimited', 'already', 'subscribe', 'Removing', 'Mank', ' Zone ',' Raise ',' Hrga ',' Delete ',' Original ',' Disappointed ',' Mentang ',' Region ',' Papua ',' Outback ',' Provider ',' CUMN ','"&amp;" Telkomsel ' , 'Maen', 'tasty', 'greetings', 'child', 'nomad', 'please', 'fix', ""]")</f>
        <v>['Package', 'subscribe', 'Remove', 'RB', 'RB', 'GB', 'Nelp', 'Unlimited', 'already', 'subscribe', 'Removing', 'Mank', ' Zone ',' Raise ',' Hrga ',' Delete ',' Original ',' Disappointed ',' Mentang ',' Region ',' Papua ',' Outback ',' Provider ',' CUMN ',' Telkomsel ' , 'Maen', 'tasty', 'greetings', 'child', 'nomad', 'please', 'fix', "]</v>
      </c>
      <c r="D1153" s="3">
        <v>1.0</v>
      </c>
    </row>
    <row r="1154" ht="15.75" customHeight="1">
      <c r="A1154" s="1">
        <v>1152.0</v>
      </c>
      <c r="B1154" s="3" t="s">
        <v>1155</v>
      </c>
      <c r="C1154" s="3" t="str">
        <f>IFERROR(__xludf.DUMMYFUNCTION("GOOGLETRANSLATE(B1154,""id"",""en"")"),"['customer', 'loyal', 'Telkomsel', 'disappointed', 'quality', 'signal', 'bad', 'severe', 'signal', 'difficult', 'connection', 'kayak', ' Snails ',' Toya ',' retreat ',' Papa ',' LEG ',' Mahalllllllllllllllllllllllllllllllllllllllllllllll")</f>
        <v>['customer', 'loyal', 'Telkomsel', 'disappointed', 'quality', 'signal', 'bad', 'severe', 'signal', 'difficult', 'connection', 'kayak', ' Snails ',' Toya ',' retreat ',' Papa ',' LEG ',' Mahalllllllllllllllllllllllllllllllllllllllllllllll</v>
      </c>
      <c r="D1154" s="3">
        <v>1.0</v>
      </c>
    </row>
    <row r="1155" ht="15.75" customHeight="1">
      <c r="A1155" s="1">
        <v>1153.0</v>
      </c>
      <c r="B1155" s="3" t="s">
        <v>1156</v>
      </c>
      <c r="C1155" s="3" t="str">
        <f>IFERROR(__xludf.DUMMYFUNCTION("GOOGLETRANSLATE(B1155,""id"",""en"")"),"['What', 'buy', 'pket', 'data', 'credit', 'the application', 'open', 'Ajha', 'color', 'just', 'white', 'plain', ' Mulu ',' strange ',' quota ',' unlimitid ',' quota ',' regular ',' abis', 'please', 'explained', 'min', 'so', 'paid', 'paid' , 'Money', 'Bukn"&amp;"', 'PKE', 'Leaves', '']")</f>
        <v>['What', 'buy', 'pket', 'data', 'credit', 'the application', 'open', 'Ajha', 'color', 'just', 'white', 'plain', ' Mulu ',' strange ',' quota ',' unlimitid ',' quota ',' regular ',' abis', 'please', 'explained', 'min', 'so', 'paid', 'paid' , 'Money', 'Bukn', 'PKE', 'Leaves', '']</v>
      </c>
      <c r="D1155" s="3">
        <v>1.0</v>
      </c>
    </row>
    <row r="1156" ht="15.75" customHeight="1">
      <c r="A1156" s="1">
        <v>1154.0</v>
      </c>
      <c r="B1156" s="3" t="s">
        <v>1157</v>
      </c>
      <c r="C1156" s="3" t="str">
        <f>IFERROR(__xludf.DUMMYFUNCTION("GOOGLETRANSLATE(B1156,""id"",""en"")"),"['Please', 'loading', 'speed', 'gift', 'chechkkinya', 'package', 'data', 'pulse', 'vouchee', 'shopee', 'other', 'used', ' vain', '']")</f>
        <v>['Please', 'loading', 'speed', 'gift', 'chechkkinya', 'package', 'data', 'pulse', 'vouchee', 'shopee', 'other', 'used', ' vain', '']</v>
      </c>
      <c r="D1156" s="3">
        <v>3.0</v>
      </c>
    </row>
    <row r="1157" ht="15.75" customHeight="1">
      <c r="A1157" s="1">
        <v>1155.0</v>
      </c>
      <c r="B1157" s="3" t="s">
        <v>1158</v>
      </c>
      <c r="C1157" s="3" t="str">
        <f>IFERROR(__xludf.DUMMYFUNCTION("GOOGLETRANSLATE(B1157,""id"",""en"")"),"['buy', 'internet', 'pure', 'division', 'complicated', 'match', 'need', 'made', 'quota', 'as if', 'coercion', 'customer', ' The menu ',' choices', 'operators',' according to ',' needs', 'Customer', 'Hopefully', 'Ribet', 'Kayak', 'Gini', ""]")</f>
        <v>['buy', 'internet', 'pure', 'division', 'complicated', 'match', 'need', 'made', 'quota', 'as if', 'coercion', 'customer', ' The menu ',' choices', 'operators',' according to ',' needs', 'Customer', 'Hopefully', 'Ribet', 'Kayak', 'Gini', "]</v>
      </c>
      <c r="D1157" s="3">
        <v>3.0</v>
      </c>
    </row>
    <row r="1158" ht="15.75" customHeight="1">
      <c r="A1158" s="1">
        <v>1156.0</v>
      </c>
      <c r="B1158" s="3" t="s">
        <v>1159</v>
      </c>
      <c r="C1158" s="3" t="str">
        <f>IFERROR(__xludf.DUMMYFUNCTION("GOOGLETRANSLATE(B1158,""id"",""en"")"),"['Disappointed', 'Severe', 'Buy', 'Quota', 'YouTube', 'Unlimited', 'Tiktok', 'Voucher', 'GB', 'YouTube', 'Tik', 'Tok', ' Abis', 'GB', 'GB', 'Out', 'Ngebugg', 'Nggk', 'Maketin', 'Unlimited', 'YouTube', 'ICT', 'Tok', 'Try', 'buy' , 'Ulnlimited', 'expensive'"&amp;", 'PHP', 'Worse', 'Sinyal', 'Masalllaaaaah', 'Muluuuu', 'Dizzy', 'Disappointed', 'Disappointed', 'Disappointed', 'Paraaah', ' Mending ',' Buy ',' Indosat ',' Cheap ',' Jaringa ',' Network ',' Stable ']")</f>
        <v>['Disappointed', 'Severe', 'Buy', 'Quota', 'YouTube', 'Unlimited', 'Tiktok', 'Voucher', 'GB', 'YouTube', 'Tik', 'Tok', ' Abis', 'GB', 'GB', 'Out', 'Ngebugg', 'Nggk', 'Maketin', 'Unlimited', 'YouTube', 'ICT', 'Tok', 'Try', 'buy' , 'Ulnlimited', 'expensive', 'PHP', 'Worse', 'Sinyal', 'Masalllaaaaah', 'Muluuuu', 'Dizzy', 'Disappointed', 'Disappointed', 'Disappointed', 'Paraaah', ' Mending ',' Buy ',' Indosat ',' Cheap ',' Jaringa ',' Network ',' Stable ']</v>
      </c>
      <c r="D1158" s="3">
        <v>1.0</v>
      </c>
    </row>
    <row r="1159" ht="15.75" customHeight="1">
      <c r="A1159" s="1">
        <v>1157.0</v>
      </c>
      <c r="B1159" s="3" t="s">
        <v>1160</v>
      </c>
      <c r="C1159" s="3" t="str">
        <f>IFERROR(__xludf.DUMMYFUNCTION("GOOGLETRANSLATE(B1159,""id"",""en"")"),"['message', 'spam', 'Telkomsel', 'no', 'Keep', 'privacy', 'please', 'fix', 'person', 'easy', 'number', ""]")</f>
        <v>['message', 'spam', 'Telkomsel', 'no', 'Keep', 'privacy', 'please', 'fix', 'person', 'easy', 'number', "]</v>
      </c>
      <c r="D1159" s="3">
        <v>1.0</v>
      </c>
    </row>
    <row r="1160" ht="15.75" customHeight="1">
      <c r="A1160" s="1">
        <v>1158.0</v>
      </c>
      <c r="B1160" s="3" t="s">
        <v>1161</v>
      </c>
      <c r="C1160" s="3" t="str">
        <f>IFERROR(__xludf.DUMMYFUNCTION("GOOGLETRANSLATE(B1160,""id"",""en"")"),"['oath', 'slow', 'really', 'Telkomsel', 'boro', 'ngap', 'ngap', 'amit', 'amit', 'please', 'fix', 'quality', ' TELKOMSEL ',' Already ',' alternating ',' complement ',' Sorry ',' Mulu ',' Improved ',' Mulu ',' Moving ',' Cars', 'Hearts',' Rich ',' Gini ' , "&amp;"'oath', 'Sebel', 'mah', '']")</f>
        <v>['oath', 'slow', 'really', 'Telkomsel', 'boro', 'ngap', 'ngap', 'amit', 'amit', 'please', 'fix', 'quality', ' TELKOMSEL ',' Already ',' alternating ',' complement ',' Sorry ',' Mulu ',' Improved ',' Mulu ',' Moving ',' Cars', 'Hearts',' Rich ',' Gini ' , 'oath', 'Sebel', 'mah', '']</v>
      </c>
      <c r="D1160" s="3">
        <v>1.0</v>
      </c>
    </row>
    <row r="1161" ht="15.75" customHeight="1">
      <c r="A1161" s="1">
        <v>1159.0</v>
      </c>
      <c r="B1161" s="3" t="s">
        <v>1162</v>
      </c>
      <c r="C1161" s="3" t="str">
        <f>IFERROR(__xludf.DUMMYFUNCTION("GOOGLETRANSLATE(B1161,""id"",""en"")"),"['Keisini', 'quality', 'service', 'bad', 'top', 'difficult', 'really', 'dapetin', 'message', 'verification', 'account', 'Telkomsel', ' If ',' account ',' verification ',' cell ',' gapake ',' Telkomsel ',' service ',' sprti ']")</f>
        <v>['Keisini', 'quality', 'service', 'bad', 'top', 'difficult', 'really', 'dapetin', 'message', 'verification', 'account', 'Telkomsel', ' If ',' account ',' verification ',' cell ',' gapake ',' Telkomsel ',' service ',' sprti ']</v>
      </c>
      <c r="D1161" s="3">
        <v>1.0</v>
      </c>
    </row>
    <row r="1162" ht="15.75" customHeight="1">
      <c r="A1162" s="1">
        <v>1160.0</v>
      </c>
      <c r="B1162" s="3" t="s">
        <v>1163</v>
      </c>
      <c r="C1162" s="3" t="str">
        <f>IFERROR(__xludf.DUMMYFUNCTION("GOOGLETRANSLATE(B1162,""id"",""en"")"),"['hmmm', 'package', 'expensive', 'network', 'change', 'provider', 'darling', 'card', 'please', 'repair', 'according to', 'price', ' Package ',' Quality ',' Network ']")</f>
        <v>['hmmm', 'package', 'expensive', 'network', 'change', 'provider', 'darling', 'card', 'please', 'repair', 'according to', 'price', ' Package ',' Quality ',' Network ']</v>
      </c>
      <c r="D1162" s="3">
        <v>1.0</v>
      </c>
    </row>
    <row r="1163" ht="15.75" customHeight="1">
      <c r="A1163" s="1">
        <v>1161.0</v>
      </c>
      <c r="B1163" s="3" t="s">
        <v>1164</v>
      </c>
      <c r="C1163" s="3" t="str">
        <f>IFERROR(__xludf.DUMMYFUNCTION("GOOGLETRANSLATE(B1163,""id"",""en"")"),"['Alah', 'Package', 'Doang', 'Expensive', 'Provider', 'Famous',' World ',' Signal ',' Please ',' Really ',' Signal ',' Sebagi ',' Users', 'harmed', 'please', 'quality', 'according to', 'price']")</f>
        <v>['Alah', 'Package', 'Doang', 'Expensive', 'Provider', 'Famous',' World ',' Signal ',' Please ',' Really ',' Signal ',' Sebagi ',' Users', 'harmed', 'please', 'quality', 'according to', 'price']</v>
      </c>
      <c r="D1163" s="3">
        <v>1.0</v>
      </c>
    </row>
    <row r="1164" ht="15.75" customHeight="1">
      <c r="A1164" s="1">
        <v>1162.0</v>
      </c>
      <c r="B1164" s="3" t="s">
        <v>1165</v>
      </c>
      <c r="C1164" s="3" t="str">
        <f>IFERROR(__xludf.DUMMYFUNCTION("GOOGLETRANSLATE(B1164,""id"",""en"")"),"['Dear', 'admin', 'application', 'heavy', 'bget', 'ram', 'GB', 'network', 'abis',' quota ',' cma ',' entry ',' Page ',' veranda ',' please ',' fix ']")</f>
        <v>['Dear', 'admin', 'application', 'heavy', 'bget', 'ram', 'GB', 'network', 'abis',' quota ',' cma ',' entry ',' Page ',' veranda ',' please ',' fix ']</v>
      </c>
      <c r="D1164" s="3">
        <v>1.0</v>
      </c>
    </row>
    <row r="1165" ht="15.75" customHeight="1">
      <c r="A1165" s="1">
        <v>1163.0</v>
      </c>
      <c r="B1165" s="3" t="s">
        <v>1166</v>
      </c>
      <c r="C1165" s="3" t="str">
        <f>IFERROR(__xludf.DUMMYFUNCTION("GOOGLETRANSLATE(B1165,""id"",""en"")"),"['dilapung', 'network', 'Telkomsel', 'Available', 'and then', 'slow', 'tower', 'purchase', 'package', 'data', 'expensive', 'Telkomsel', ' INDONESIA ',' CONTACT ',' KARNA ',' Reach ',' Please ',' Telkomsel ',' Irit ',' Help ',' People ',' User ',' Telkomse"&amp;"l ',' Enjoy ',' People ' , 'money', '']")</f>
        <v>['dilapung', 'network', 'Telkomsel', 'Available', 'and then', 'slow', 'tower', 'purchase', 'package', 'data', 'expensive', 'Telkomsel', ' INDONESIA ',' CONTACT ',' KARNA ',' Reach ',' Please ',' Telkomsel ',' Irit ',' Help ',' People ',' User ',' Telkomsel ',' Enjoy ',' People ' , 'money', '']</v>
      </c>
      <c r="D1165" s="3">
        <v>2.0</v>
      </c>
    </row>
    <row r="1166" ht="15.75" customHeight="1">
      <c r="A1166" s="1">
        <v>1164.0</v>
      </c>
      <c r="B1166" s="3" t="s">
        <v>1167</v>
      </c>
      <c r="C1166" s="3" t="str">
        <f>IFERROR(__xludf.DUMMYFUNCTION("GOOGLETRANSLATE(B1166,""id"",""en"")"),"['Signal', 'Telkomsel', 'Region', 'Kelurahan', 'Ulu', 'Subdistrict', 'Seberang', 'Ulu', 'City', 'Palembang', 'Disappointing', 'Subscribe', ' Move ',' Provider ',' ']")</f>
        <v>['Signal', 'Telkomsel', 'Region', 'Kelurahan', 'Ulu', 'Subdistrict', 'Seberang', 'Ulu', 'City', 'Palembang', 'Disappointing', 'Subscribe', ' Move ',' Provider ',' ']</v>
      </c>
      <c r="D1166" s="3">
        <v>1.0</v>
      </c>
    </row>
    <row r="1167" ht="15.75" customHeight="1">
      <c r="A1167" s="1">
        <v>1165.0</v>
      </c>
      <c r="B1167" s="3" t="s">
        <v>1168</v>
      </c>
      <c r="C1167" s="3" t="str">
        <f>IFERROR(__xludf.DUMMYFUNCTION("GOOGLETRANSLATE(B1167,""id"",""en"")"),"['Min', 'Signal', 'Telkom', 'here', 'ugly', 'February', 'Good', 'DSNI', 'MAH', 'PKE', 'TELKOM', 'Temn', ' Sya ',' DSNI ',' PKE ',' TELKOM ',' SKRNG ',' TELKOM ',' UGK ',' JDI ',' GNTI ',' Indosat ']")</f>
        <v>['Min', 'Signal', 'Telkom', 'here', 'ugly', 'February', 'Good', 'DSNI', 'MAH', 'PKE', 'TELKOM', 'Temn', ' Sya ',' DSNI ',' PKE ',' TELKOM ',' SKRNG ',' TELKOM ',' UGK ',' JDI ',' GNTI ',' Indosat ']</v>
      </c>
      <c r="D1167" s="3">
        <v>1.0</v>
      </c>
    </row>
    <row r="1168" ht="15.75" customHeight="1">
      <c r="A1168" s="1">
        <v>1166.0</v>
      </c>
      <c r="B1168" s="3" t="s">
        <v>1169</v>
      </c>
      <c r="C1168" s="3" t="str">
        <f>IFERROR(__xludf.DUMMYFUNCTION("GOOGLETRANSLATE(B1168,""id"",""en"")"),"['signal', 'severe', 'really', 'threat', 'signal', 'Telkomsel', 'Please', 'fix', 'network', 'price', 'package', 'doang', ' expensive ',' signal ',' bad ',' ']")</f>
        <v>['signal', 'severe', 'really', 'threat', 'signal', 'Telkomsel', 'Please', 'fix', 'network', 'price', 'package', 'doang', ' expensive ',' signal ',' bad ',' ']</v>
      </c>
      <c r="D1168" s="3">
        <v>1.0</v>
      </c>
    </row>
    <row r="1169" ht="15.75" customHeight="1">
      <c r="A1169" s="1">
        <v>1167.0</v>
      </c>
      <c r="B1169" s="3" t="s">
        <v>1170</v>
      </c>
      <c r="C1169" s="3" t="str">
        <f>IFERROR(__xludf.DUMMYFUNCTION("GOOGLETRANSLATE(B1169,""id"",""en"")"),"['Telkomsel', 'Network', 'Ter', 'Let', 'Worst', 'Package', 'Expensive', 'Switch', 'Next to', 'Package', 'Cheap', 'Network', ' Strong ',' disappointed ',' user ',' Telkomsel ',' so ',' ']")</f>
        <v>['Telkomsel', 'Network', 'Ter', 'Let', 'Worst', 'Package', 'Expensive', 'Switch', 'Next to', 'Package', 'Cheap', 'Network', ' Strong ',' disappointed ',' user ',' Telkomsel ',' so ',' ']</v>
      </c>
      <c r="D1169" s="3">
        <v>1.0</v>
      </c>
    </row>
    <row r="1170" ht="15.75" customHeight="1">
      <c r="A1170" s="1">
        <v>1168.0</v>
      </c>
      <c r="B1170" s="3" t="s">
        <v>1171</v>
      </c>
      <c r="C1170" s="3" t="str">
        <f>IFERROR(__xludf.DUMMYFUNCTION("GOOGLETRANSLATE(B1170,""id"",""en"")"),"['Since', 'updated', 'Bad', 'quality', 'regret', 'already', 'update', 'sorry', 'forced', 'less',' star ',' because 'because' Honest ',' emang ',' like ',' application ',' ']")</f>
        <v>['Since', 'updated', 'Bad', 'quality', 'regret', 'already', 'update', 'sorry', 'forced', 'less',' star ',' because 'because' Honest ',' emang ',' like ',' application ',' ']</v>
      </c>
      <c r="D1170" s="3">
        <v>2.0</v>
      </c>
    </row>
    <row r="1171" ht="15.75" customHeight="1">
      <c r="A1171" s="1">
        <v>1169.0</v>
      </c>
      <c r="B1171" s="3" t="s">
        <v>1172</v>
      </c>
      <c r="C1171" s="3" t="str">
        <f>IFERROR(__xludf.DUMMYFUNCTION("GOOGLETRANSLATE(B1171,""id"",""en"")"),"['Sometimes',' Kere ',' expensive ',' really ',' like ',' sad ',' see ',' package ',' friend ',' prime ',' cave ',' expensive ',' ']")</f>
        <v>['Sometimes',' Kere ',' expensive ',' really ',' like ',' sad ',' see ',' package ',' friend ',' prime ',' cave ',' expensive ',' ']</v>
      </c>
      <c r="D1171" s="3">
        <v>1.0</v>
      </c>
    </row>
    <row r="1172" ht="15.75" customHeight="1">
      <c r="A1172" s="1">
        <v>1170.0</v>
      </c>
      <c r="B1172" s="3" t="s">
        <v>1173</v>
      </c>
      <c r="C1172" s="3" t="str">
        <f>IFERROR(__xludf.DUMMYFUNCTION("GOOGLETRANSLATE(B1172,""id"",""en"")"),"['Telkomsel', 'signal', 'package', 'open', 'internet', 'slow', 'forgiveness',' hope ',' fix ',' good ',' upgrade ',' star ',' ']")</f>
        <v>['Telkomsel', 'signal', 'package', 'open', 'internet', 'slow', 'forgiveness',' hope ',' fix ',' good ',' upgrade ',' star ',' ']</v>
      </c>
      <c r="D1172" s="3">
        <v>1.0</v>
      </c>
    </row>
    <row r="1173" ht="15.75" customHeight="1">
      <c r="A1173" s="1">
        <v>1171.0</v>
      </c>
      <c r="B1173" s="3" t="s">
        <v>1174</v>
      </c>
      <c r="C1173" s="3" t="str">
        <f>IFERROR(__xludf.DUMMYFUNCTION("GOOGLETRANSLATE(B1173,""id"",""en"")"),"['signal', 'Telkomsel', 'missing', 'losing', 'provider', 'next door', 'senior', 'steady', 'signal', 'crush', 'use', 'internet', ' Kayak ',' Satan ',' No ',' Customer ',' Disappointed ']")</f>
        <v>['signal', 'Telkomsel', 'missing', 'losing', 'provider', 'next door', 'senior', 'steady', 'signal', 'crush', 'use', 'internet', ' Kayak ',' Satan ',' No ',' Customer ',' Disappointed ']</v>
      </c>
      <c r="D1173" s="3">
        <v>1.0</v>
      </c>
    </row>
    <row r="1174" ht="15.75" customHeight="1">
      <c r="A1174" s="1">
        <v>1172.0</v>
      </c>
      <c r="B1174" s="3" t="s">
        <v>1175</v>
      </c>
      <c r="C1174" s="3" t="str">
        <f>IFERROR(__xludf.DUMMYFUNCTION("GOOGLETRANSLATE(B1174,""id"",""en"")"),"['package', 'expensive', 'signal', 'kek', 'bangse', 'connection', 'internet', 'slow', 'location', 'city', 'semarang', 'work', ' then ',' what 'is' Woyy', 'Gituu', '']")</f>
        <v>['package', 'expensive', 'signal', 'kek', 'bangse', 'connection', 'internet', 'slow', 'location', 'city', 'semarang', 'work', ' then ',' what 'is' Woyy', 'Gituu', '']</v>
      </c>
      <c r="D1174" s="3">
        <v>1.0</v>
      </c>
    </row>
    <row r="1175" ht="15.75" customHeight="1">
      <c r="A1175" s="1">
        <v>1173.0</v>
      </c>
      <c r="B1175" s="3" t="s">
        <v>1176</v>
      </c>
      <c r="C1175" s="3" t="str">
        <f>IFERROR(__xludf.DUMMYFUNCTION("GOOGLETRANSLATE(B1175,""id"",""en"")"),"['gibster', 'may', 'credit', 'free', 'TPI', 'tdak', 'BSA', 'claimed', 'apply', 'tdak', 'can' claim ',' ']")</f>
        <v>['gibster', 'may', 'credit', 'free', 'TPI', 'tdak', 'BSA', 'claimed', 'apply', 'tdak', 'can' claim ',' ']</v>
      </c>
      <c r="D1175" s="3">
        <v>1.0</v>
      </c>
    </row>
    <row r="1176" ht="15.75" customHeight="1">
      <c r="A1176" s="1">
        <v>1174.0</v>
      </c>
      <c r="B1176" s="3" t="s">
        <v>1177</v>
      </c>
      <c r="C1176" s="3" t="str">
        <f>IFERROR(__xludf.DUMMYFUNCTION("GOOGLETRANSLATE(B1176,""id"",""en"")"),"['Severe', 'Telkomsel', 'network', 'internet', 'slow', 'severe', 'card', 'hello', 'quota', 'abundant', 'network', 'slow', ' how ',' Telkomsel ',' mess', 'work', 'disturbed', 'disappointed', 'normal', '']")</f>
        <v>['Severe', 'Telkomsel', 'network', 'internet', 'slow', 'severe', 'card', 'hello', 'quota', 'abundant', 'network', 'slow', ' how ',' Telkomsel ',' mess', 'work', 'disturbed', 'disappointed', 'normal', '']</v>
      </c>
      <c r="D1176" s="3">
        <v>1.0</v>
      </c>
    </row>
    <row r="1177" ht="15.75" customHeight="1">
      <c r="A1177" s="1">
        <v>1175.0</v>
      </c>
      <c r="B1177" s="3" t="s">
        <v>1178</v>
      </c>
      <c r="C1177" s="3" t="str">
        <f>IFERROR(__xludf.DUMMYFUNCTION("GOOGLETRANSLATE(B1177,""id"",""en"")"),"['buy', 'package', 'cheerful', 'pulse', 'buy', 'notification', 'pulse', 'sufficient', 'please', 'fix', 'pulse', 'cut', ' Use ',' Call ',' Thank ',' Love ']")</f>
        <v>['buy', 'package', 'cheerful', 'pulse', 'buy', 'notification', 'pulse', 'sufficient', 'please', 'fix', 'pulse', 'cut', ' Use ',' Call ',' Thank ',' Love ']</v>
      </c>
      <c r="D1177" s="3">
        <v>1.0</v>
      </c>
    </row>
    <row r="1178" ht="15.75" customHeight="1">
      <c r="A1178" s="1">
        <v>1176.0</v>
      </c>
      <c r="B1178" s="3" t="s">
        <v>1179</v>
      </c>
      <c r="C1178" s="3" t="str">
        <f>IFERROR(__xludf.DUMMYFUNCTION("GOOGLETRANSLATE(B1178,""id"",""en"")"),"['Ngelek', 'Dipelek', 'Network', 'Telkomsel', '']")</f>
        <v>['Ngelek', 'Dipelek', 'Network', 'Telkomsel', '']</v>
      </c>
      <c r="D1178" s="3">
        <v>1.0</v>
      </c>
    </row>
    <row r="1179" ht="15.75" customHeight="1">
      <c r="A1179" s="1">
        <v>1177.0</v>
      </c>
      <c r="B1179" s="3" t="s">
        <v>1180</v>
      </c>
      <c r="C1179" s="3" t="str">
        <f>IFERROR(__xludf.DUMMYFUNCTION("GOOGLETRANSLATE(B1179,""id"",""en"")"),"['Telkomsel', 'please', 'level', 'Sinyall', 'Region', 'Special', 'Region', 'Mountains',' Kel ',' Sayar ',' Tanjung ',' Ilir ',' City ',' Serang ',' Banten ',' Region ',' Difficult ',' Signal ',' Network ',' Stable ',' Please ',' Level ',' Khuality ',' Sin"&amp;"yall ', ""]")</f>
        <v>['Telkomsel', 'please', 'level', 'Sinyall', 'Region', 'Special', 'Region', 'Mountains',' Kel ',' Sayar ',' Tanjung ',' Ilir ',' City ',' Serang ',' Banten ',' Region ',' Difficult ',' Signal ',' Network ',' Stable ',' Please ',' Level ',' Khuality ',' Sinyall ', "]</v>
      </c>
      <c r="D1179" s="3">
        <v>3.0</v>
      </c>
    </row>
    <row r="1180" ht="15.75" customHeight="1">
      <c r="A1180" s="1">
        <v>1178.0</v>
      </c>
      <c r="B1180" s="3" t="s">
        <v>1181</v>
      </c>
      <c r="C1180" s="3" t="str">
        <f>IFERROR(__xludf.DUMMYFUNCTION("GOOGLETRANSLATE(B1180,""id"",""en"")"),"['Network', 'already', 'steady', 'price', 'package', 'unlimited', 'max', 'stunned', 'pandemic', 'kek', 'gini', 'search', ' Money ',' difficult ',' Please ',' Min ',' Lower ',' Price ',' ']")</f>
        <v>['Network', 'already', 'steady', 'price', 'package', 'unlimited', 'max', 'stunned', 'pandemic', 'kek', 'gini', 'search', ' Money ',' difficult ',' Please ',' Min ',' Lower ',' Price ',' ']</v>
      </c>
      <c r="D1180" s="3">
        <v>3.0</v>
      </c>
    </row>
    <row r="1181" ht="15.75" customHeight="1">
      <c r="A1181" s="1">
        <v>1179.0</v>
      </c>
      <c r="B1181" s="3" t="s">
        <v>1182</v>
      </c>
      <c r="C1181" s="3" t="str">
        <f>IFERROR(__xludf.DUMMYFUNCTION("GOOGLETRANSLATE(B1181,""id"",""en"")"),"['name', 'doang', 'package', 'expensive', 'quality', 'network', 'signal', 'bad', 'shy', 'operator', 'package', 'cheap', ' quota ',' network ',' TOP ']")</f>
        <v>['name', 'doang', 'package', 'expensive', 'quality', 'network', 'signal', 'bad', 'shy', 'operator', 'package', 'cheap', ' quota ',' network ',' TOP ']</v>
      </c>
      <c r="D1181" s="3">
        <v>2.0</v>
      </c>
    </row>
    <row r="1182" ht="15.75" customHeight="1">
      <c r="A1182" s="1">
        <v>1180.0</v>
      </c>
      <c r="B1182" s="3" t="s">
        <v>1183</v>
      </c>
      <c r="C1182" s="3" t="str">
        <f>IFERROR(__xludf.DUMMYFUNCTION("GOOGLETRANSLATE(B1182,""id"",""en"")"),"['Disappointed', 'Telkomsel', 'Package', 'Internet', 'Abis',' Fast ',' Swallow ',' Earth ',' Fortunately ',' Double ',' Pay ',' right ',' Love ',' Full ',' Jngan ',' BLM ',' Data ',' Intrnet ',' Out ',' Swallow ',' Earth ',' Hopefully ',' Rest it ',' Seti"&amp;"mpal ',' Do it ' , 'Amin']")</f>
        <v>['Disappointed', 'Telkomsel', 'Package', 'Internet', 'Abis',' Fast ',' Swallow ',' Earth ',' Fortunately ',' Double ',' Pay ',' right ',' Love ',' Full ',' Jngan ',' BLM ',' Data ',' Intrnet ',' Out ',' Swallow ',' Earth ',' Hopefully ',' Rest it ',' Setimpal ',' Do it ' , 'Amin']</v>
      </c>
      <c r="D1182" s="3">
        <v>1.0</v>
      </c>
    </row>
    <row r="1183" ht="15.75" customHeight="1">
      <c r="A1183" s="1">
        <v>1181.0</v>
      </c>
      <c r="B1183" s="3" t="s">
        <v>1184</v>
      </c>
      <c r="C1183" s="3" t="str">
        <f>IFERROR(__xludf.DUMMYFUNCTION("GOOGLETRANSLATE(B1183,""id"",""en"")"),"['Telkomsel', 'mah', 'buy', 'package', 'GB', 'right', 'dated', 'June', 'date', 'June', 'GB', 'Gabisa', ' Please '' explanation ']")</f>
        <v>['Telkomsel', 'mah', 'buy', 'package', 'GB', 'right', 'dated', 'June', 'date', 'June', 'GB', 'Gabisa', ' Please '' explanation ']</v>
      </c>
      <c r="D1183" s="3">
        <v>1.0</v>
      </c>
    </row>
    <row r="1184" ht="15.75" customHeight="1">
      <c r="A1184" s="1">
        <v>1182.0</v>
      </c>
      <c r="B1184" s="3" t="s">
        <v>1185</v>
      </c>
      <c r="C1184" s="3" t="str">
        <f>IFERROR(__xludf.DUMMYFUNCTION("GOOGLETRANSLATE(B1184,""id"",""en"")"),"['Tipu', 'situ', 'write', 'unlimited', 'buy', 'kgk', 'unlimited', 'buy', 'GB', 'GB', 'doang', 'unlimited', ' Atmiya ',' KBS ', ""]")</f>
        <v>['Tipu', 'situ', 'write', 'unlimited', 'buy', 'kgk', 'unlimited', 'buy', 'GB', 'GB', 'doang', 'unlimited', ' Atmiya ',' KBS ', "]</v>
      </c>
      <c r="D1184" s="3">
        <v>1.0</v>
      </c>
    </row>
    <row r="1185" ht="15.75" customHeight="1">
      <c r="A1185" s="1">
        <v>1183.0</v>
      </c>
      <c r="B1185" s="3" t="s">
        <v>1186</v>
      </c>
      <c r="C1185" s="3" t="str">
        <f>IFERROR(__xludf.DUMMYFUNCTION("GOOGLETRANSLATE(B1185,""id"",""en"")"),"['Like', 'SMS', 'Pinjol', 'Fraud', 'SMS', 'Card', 'Telkomsel', 'Card', 'SMS', 'Litu', ""]")</f>
        <v>['Like', 'SMS', 'Pinjol', 'Fraud', 'SMS', 'Card', 'Telkomsel', 'Card', 'SMS', 'Litu', "]</v>
      </c>
      <c r="D1185" s="3">
        <v>1.0</v>
      </c>
    </row>
    <row r="1186" ht="15.75" customHeight="1">
      <c r="A1186" s="1">
        <v>1184.0</v>
      </c>
      <c r="B1186" s="3" t="s">
        <v>1187</v>
      </c>
      <c r="C1186" s="3" t="str">
        <f>IFERROR(__xludf.DUMMYFUNCTION("GOOGLETRANSLATE(B1186,""id"",""en"")"),"['network', 'Telkomsel', 'slow', 'really', 'bru', 'buy', 'promo', 'dri', 'Telkomsel', 'TPI', 'disappointed', 'enjoy', ' Please, 'Fix', 'Performance', 'Telkomsel', '']")</f>
        <v>['network', 'Telkomsel', 'slow', 'really', 'bru', 'buy', 'promo', 'dri', 'Telkomsel', 'TPI', 'disappointed', 'enjoy', ' Please, 'Fix', 'Performance', 'Telkomsel', '']</v>
      </c>
      <c r="D1186" s="3">
        <v>4.0</v>
      </c>
    </row>
    <row r="1187" ht="15.75" customHeight="1">
      <c r="A1187" s="1">
        <v>1185.0</v>
      </c>
      <c r="B1187" s="3" t="s">
        <v>1188</v>
      </c>
      <c r="C1187" s="3" t="str">
        <f>IFERROR(__xludf.DUMMYFUNCTION("GOOGLETRANSLATE(B1187,""id"",""en"")"),"['transaction', 'MyTelkomsel', 'Send', 'Gift', 'Payment', 'Shopeepay', 'Balance', 'Cut', 'Notification', 'Successful', 'MyTelkomsel', 'Success',' Credit ',' Enter ',' Contact ',' Sunday ',' Defended ',' Shopeepay ',' June ',' Transaction ',' Contact ',' I"&amp;"magine ',' hundred ',' million ',' person ' , 'transaction', 'enter', 'contact', 'suggestion', 'remove', 'feature', 'sendgift', 'emotion', 'leave', 'Telkomsel', 'good', ""]")</f>
        <v>['transaction', 'MyTelkomsel', 'Send', 'Gift', 'Payment', 'Shopeepay', 'Balance', 'Cut', 'Notification', 'Successful', 'MyTelkomsel', 'Success',' Credit ',' Enter ',' Contact ',' Sunday ',' Defended ',' Shopeepay ',' June ',' Transaction ',' Contact ',' Imagine ',' hundred ',' million ',' person ' , 'transaction', 'enter', 'contact', 'suggestion', 'remove', 'feature', 'sendgift', 'emotion', 'leave', 'Telkomsel', 'good', "]</v>
      </c>
      <c r="D1187" s="3">
        <v>1.0</v>
      </c>
    </row>
    <row r="1188" ht="15.75" customHeight="1">
      <c r="A1188" s="1">
        <v>1186.0</v>
      </c>
      <c r="B1188" s="3" t="s">
        <v>1189</v>
      </c>
      <c r="C1188" s="3" t="str">
        <f>IFERROR(__xludf.DUMMYFUNCTION("GOOGLETRANSLATE(B1188,""id"",""en"")"),"['friend', 'father', 'migration', 'card', 'finished', 'love', 'KTP', 'direct', 'opera', 'sales',' subject to ',' costs', ' Change ',' card ',' replace ',' card ',' migration ',' card ',' damaged ',' lost ',' getting ',' cost ',' disappointed ',' heavy ','"&amp;" grapari ' , 'Prabumulih']")</f>
        <v>['friend', 'father', 'migration', 'card', 'finished', 'love', 'KTP', 'direct', 'opera', 'sales',' subject to ',' costs', ' Change ',' card ',' replace ',' card ',' migration ',' card ',' damaged ',' lost ',' getting ',' cost ',' disappointed ',' heavy ',' grapari ' , 'Prabumulih']</v>
      </c>
      <c r="D1188" s="3">
        <v>1.0</v>
      </c>
    </row>
    <row r="1189" ht="15.75" customHeight="1">
      <c r="A1189" s="1">
        <v>1187.0</v>
      </c>
      <c r="B1189" s="3" t="s">
        <v>1190</v>
      </c>
      <c r="C1189" s="3" t="str">
        <f>IFERROR(__xludf.DUMMYFUNCTION("GOOGLETRANSLATE(B1189,""id"",""en"")"),"['Please', 'Fix', 'Network', 'Internet', 'NYA', 'BUY', 'Change', 'Lemot', 'Move', 'Provider']")</f>
        <v>['Please', 'Fix', 'Network', 'Internet', 'NYA', 'BUY', 'Change', 'Lemot', 'Move', 'Provider']</v>
      </c>
      <c r="D1189" s="3">
        <v>1.0</v>
      </c>
    </row>
    <row r="1190" ht="15.75" customHeight="1">
      <c r="A1190" s="1">
        <v>1188.0</v>
      </c>
      <c r="B1190" s="3" t="s">
        <v>1191</v>
      </c>
      <c r="C1190" s="3" t="str">
        <f>IFERROR(__xludf.DUMMYFUNCTION("GOOGLETRANSLATE(B1190,""id"",""en"")"),"['Please', 'Telkomsel', 'Dear', 'Fix', 'Network', 'Region', 'Jakarta', 'South', 'Special', 'Region', 'Mampang', 'Prapatan', ' why ',' network ',' severe ',' missing ',' network ',' annoying ',' Maen ',' game ',' online ',' experience ',' lag ',' due to ',"&amp;"' network ' , 'problematic', 'respectable', 'please', 'listen', 'sound', 'data', 'expensive', 'network', 'stable', 'Telkomsel', 'respectable', '']")</f>
        <v>['Please', 'Telkomsel', 'Dear', 'Fix', 'Network', 'Region', 'Jakarta', 'South', 'Special', 'Region', 'Mampang', 'Prapatan', ' why ',' network ',' severe ',' missing ',' network ',' annoying ',' Maen ',' game ',' online ',' experience ',' lag ',' due to ',' network ' , 'problematic', 'respectable', 'please', 'listen', 'sound', 'data', 'expensive', 'network', 'stable', 'Telkomsel', 'respectable', '']</v>
      </c>
      <c r="D1190" s="3">
        <v>5.0</v>
      </c>
    </row>
    <row r="1191" ht="15.75" customHeight="1">
      <c r="A1191" s="1">
        <v>1189.0</v>
      </c>
      <c r="B1191" s="3" t="s">
        <v>1192</v>
      </c>
      <c r="C1191" s="3" t="str">
        <f>IFERROR(__xludf.DUMMYFUNCTION("GOOGLETRANSLATE(B1191,""id"",""en"")"),"['Severe', 'complaints',' difficult ',' contact ',' chat ',' sllu ',' bls', 'computer', 'regret', 'oath', 'pulse', 'application', ' Slow ',' response ',' boss', 'chat', 'bls',' machine ',' mah ',' child ',' work ',' Telkomsel ']")</f>
        <v>['Severe', 'complaints',' difficult ',' contact ',' chat ',' sllu ',' bls', 'computer', 'regret', 'oath', 'pulse', 'application', ' Slow ',' response ',' boss', 'chat', 'bls',' machine ',' mah ',' child ',' work ',' Telkomsel ']</v>
      </c>
      <c r="D1191" s="3">
        <v>1.0</v>
      </c>
    </row>
    <row r="1192" ht="15.75" customHeight="1">
      <c r="A1192" s="1">
        <v>1190.0</v>
      </c>
      <c r="B1192" s="3" t="s">
        <v>1193</v>
      </c>
      <c r="C1192" s="3" t="str">
        <f>IFERROR(__xludf.DUMMYFUNCTION("GOOGLETRANSLATE(B1192,""id"",""en"")"),"['Are there', 'package', 'quota', 'internet', 'run out', 'quota', 'eat', 'pulse', 'search', 'provider', 'internet', 'buy', ' package ',' quota ',' internet ',' see ',' leftover ',' quota ',' worry ',' pulse ',' sucked ',' ']")</f>
        <v>['Are there', 'package', 'quota', 'internet', 'run out', 'quota', 'eat', 'pulse', 'search', 'provider', 'internet', 'buy', ' package ',' quota ',' internet ',' see ',' leftover ',' quota ',' worry ',' pulse ',' sucked ',' ']</v>
      </c>
      <c r="D1192" s="3">
        <v>2.0</v>
      </c>
    </row>
    <row r="1193" ht="15.75" customHeight="1">
      <c r="A1193" s="1">
        <v>1191.0</v>
      </c>
      <c r="B1193" s="3" t="s">
        <v>1194</v>
      </c>
      <c r="C1193" s="3" t="str">
        <f>IFERROR(__xludf.DUMMYFUNCTION("GOOGLETRANSLATE(B1193,""id"",""en"")"),"['network', 'Telkomsel', 'fix', 'expensive', 'doang', 'signal', 'full', 'loading', 'then', 'buy', 'quota', 'until', ' GB ',' PKE ',' Maen ',' Game ',' Line ',' Red ',' Mulu ',' aka ',' ugly ']")</f>
        <v>['network', 'Telkomsel', 'fix', 'expensive', 'doang', 'signal', 'full', 'loading', 'then', 'buy', 'quota', 'until', ' GB ',' PKE ',' Maen ',' Game ',' Line ',' Red ',' Mulu ',' aka ',' ugly ']</v>
      </c>
      <c r="D1193" s="3">
        <v>1.0</v>
      </c>
    </row>
    <row r="1194" ht="15.75" customHeight="1">
      <c r="A1194" s="1">
        <v>1192.0</v>
      </c>
      <c r="B1194" s="3" t="s">
        <v>1195</v>
      </c>
      <c r="C1194" s="3" t="str">
        <f>IFERROR(__xludf.DUMMYFUNCTION("GOOGLETRANSLATE(B1194,""id"",""en"")"),"['feature', 'chat', 'automatic', 'system', 'help', 'chat', 'slow', 'response', 'package', 'macem', 'actually', 'need', ' already ',' package ',' buy ',' ']")</f>
        <v>['feature', 'chat', 'automatic', 'system', 'help', 'chat', 'slow', 'response', 'package', 'macem', 'actually', 'need', ' already ',' package ',' buy ',' ']</v>
      </c>
      <c r="D1194" s="3">
        <v>2.0</v>
      </c>
    </row>
    <row r="1195" ht="15.75" customHeight="1">
      <c r="A1195" s="1">
        <v>1193.0</v>
      </c>
      <c r="B1195" s="3" t="s">
        <v>1196</v>
      </c>
      <c r="C1195" s="3" t="str">
        <f>IFERROR(__xludf.DUMMYFUNCTION("GOOGLETRANSLATE(B1195,""id"",""en"")"),"['easy', 'simple', 'hope', 'please', 'signal', 'repaired', 'foot', 'mountain', 'ciremai', 'thank you']")</f>
        <v>['easy', 'simple', 'hope', 'please', 'signal', 'repaired', 'foot', 'mountain', 'ciremai', 'thank you']</v>
      </c>
      <c r="D1195" s="3">
        <v>5.0</v>
      </c>
    </row>
    <row r="1196" ht="15.75" customHeight="1">
      <c r="A1196" s="1">
        <v>1194.0</v>
      </c>
      <c r="B1196" s="3" t="s">
        <v>1197</v>
      </c>
      <c r="C1196" s="3" t="str">
        <f>IFERROR(__xludf.DUMMYFUNCTION("GOOGLETRANSLATE(B1196,""id"",""en"")"),"['Severe', 'Telkomsel', 'ugly', 'Gini', 'connection', 'Telkomsel', 'card', 'already', 'view', 'good', 'person', ' ugly ',' Gini ',' min ',' please ',' price ',' kouta ',' you ',' naunt ',' signal ',' ugly ',' comfortable ',' gini ',' Telkomsel ' ]")</f>
        <v>['Severe', 'Telkomsel', 'ugly', 'Gini', 'connection', 'Telkomsel', 'card', 'already', 'view', 'good', 'person', ' ugly ',' Gini ',' min ',' please ',' price ',' kouta ',' you ',' naunt ',' signal ',' ugly ',' comfortable ',' gini ',' Telkomsel ' ]</v>
      </c>
      <c r="D1196" s="3">
        <v>1.0</v>
      </c>
    </row>
    <row r="1197" ht="15.75" customHeight="1">
      <c r="A1197" s="1">
        <v>1195.0</v>
      </c>
      <c r="B1197" s="3" t="s">
        <v>1198</v>
      </c>
      <c r="C1197" s="3" t="str">
        <f>IFERROR(__xludf.DUMMYFUNCTION("GOOGLETRANSLATE(B1197,""id"",""en"")"),"['Hoy', 'Telkom', 'You', 'Trash', 'Card', 'Telkomsel', 'Signal', 'Kartumu', 'Troubled', 'Quota', 'Pulses',' Want ',' buy ',' quota ',' cheerful ',' GB ',' bought ',' Telkomsel ',' afraid ',' pulse ',' sucked ',' right ',' buy ',' card ',' pulses' , 'Emoti"&amp;"on', 'decided', 'buy', 'directly', 'Telkomsel', 'How', 'surprised', 'credit', 'missing', 'open', 'apk', 'Telkomsel', ' change']")</f>
        <v>['Hoy', 'Telkom', 'You', 'Trash', 'Card', 'Telkomsel', 'Signal', 'Kartumu', 'Troubled', 'Quota', 'Pulses',' Want ',' buy ',' quota ',' cheerful ',' GB ',' bought ',' Telkomsel ',' afraid ',' pulse ',' sucked ',' right ',' buy ',' card ',' pulses' , 'Emotion', 'decided', 'buy', 'directly', 'Telkomsel', 'How', 'surprised', 'credit', 'missing', 'open', 'apk', 'Telkomsel', ' change']</v>
      </c>
      <c r="D1197" s="3">
        <v>1.0</v>
      </c>
    </row>
    <row r="1198" ht="15.75" customHeight="1">
      <c r="A1198" s="1">
        <v>1196.0</v>
      </c>
      <c r="B1198" s="3" t="s">
        <v>1199</v>
      </c>
      <c r="C1198" s="3" t="str">
        <f>IFERROR(__xludf.DUMMYFUNCTION("GOOGLETRANSLATE(B1198,""id"",""en"")"),"['please', 'Telkomsel', 'program', 'card', 'hello', 'weve', 'want', 'stop', 'subscribe', 'card', 'hello', 'number', ' replace ',' please ',' UDH ',' Disappointed ',' Telkomsel ',' Gara ',' Gara ',' Card ',' Hello ']")</f>
        <v>['please', 'Telkomsel', 'program', 'card', 'hello', 'weve', 'want', 'stop', 'subscribe', 'card', 'hello', 'number', ' replace ',' please ',' UDH ',' Disappointed ',' Telkomsel ',' Gara ',' Gara ',' Card ',' Hello ']</v>
      </c>
      <c r="D1198" s="3">
        <v>1.0</v>
      </c>
    </row>
    <row r="1199" ht="15.75" customHeight="1">
      <c r="A1199" s="1">
        <v>1197.0</v>
      </c>
      <c r="B1199" s="3" t="s">
        <v>1200</v>
      </c>
      <c r="C1199" s="3" t="str">
        <f>IFERROR(__xludf.DUMMYFUNCTION("GOOGLETRANSLATE(B1199,""id"",""en"")"),"['Please', 'Hold', 'Features',' Stop ',' Subscribe ',' Card ',' Hello ',' Application ',' People ',' Stay ',' Urban ',' Interest ',' Urge ',' subscription ',' Telkomsel ',' hopefully ',' as soon as possible ',' held ',' feature ',' stop ',' subscribe ',' "&amp;"card ',' hello ',' thank ',' love ' ]")</f>
        <v>['Please', 'Hold', 'Features',' Stop ',' Subscribe ',' Card ',' Hello ',' Application ',' People ',' Stay ',' Urban ',' Interest ',' Urge ',' subscription ',' Telkomsel ',' hopefully ',' as soon as possible ',' held ',' feature ',' stop ',' subscribe ',' card ',' hello ',' thank ',' love ' ]</v>
      </c>
      <c r="D1199" s="3">
        <v>4.0</v>
      </c>
    </row>
    <row r="1200" ht="15.75" customHeight="1">
      <c r="A1200" s="1">
        <v>1198.0</v>
      </c>
      <c r="B1200" s="3" t="s">
        <v>1201</v>
      </c>
      <c r="C1200" s="3" t="str">
        <f>IFERROR(__xludf.DUMMYFUNCTION("GOOGLETRANSLATE(B1200,""id"",""en"")"),"['oath', 'pkek', 'Telkomsel', 'Blood', 'already', 'package', 'expensive', 'expensive', 'Sixal', 'worker', 'come on', 'money', ' In the future ',' Sixal ',' fix ',' if ',' home ',' card ',' tasty ',' pakek ',' card ',' rather ',' Telkomsel ']")</f>
        <v>['oath', 'pkek', 'Telkomsel', 'Blood', 'already', 'package', 'expensive', 'expensive', 'Sixal', 'worker', 'come on', 'money', ' In the future ',' Sixal ',' fix ',' if ',' home ',' card ',' tasty ',' pakek ',' card ',' rather ',' Telkomsel ']</v>
      </c>
      <c r="D1200" s="3">
        <v>1.0</v>
      </c>
    </row>
    <row r="1201" ht="15.75" customHeight="1">
      <c r="A1201" s="1">
        <v>1199.0</v>
      </c>
      <c r="B1201" s="3" t="s">
        <v>1202</v>
      </c>
      <c r="C1201" s="3" t="str">
        <f>IFERROR(__xludf.DUMMYFUNCTION("GOOGLETRANSLATE(B1201,""id"",""en"")"),"['buy', 'package', 'enter', 'yaa', 'right', 'price', 'printed', 'application', 'jdi', 'loss',' gara ',' application ',' Please, 'Please', 'Fix', 'LGi', 'The Application']")</f>
        <v>['buy', 'package', 'enter', 'yaa', 'right', 'price', 'printed', 'application', 'jdi', 'loss',' gara ',' application ',' Please, 'Please', 'Fix', 'LGi', 'The Application']</v>
      </c>
      <c r="D1201" s="3">
        <v>1.0</v>
      </c>
    </row>
    <row r="1202" ht="15.75" customHeight="1">
      <c r="A1202" s="1">
        <v>1200.0</v>
      </c>
      <c r="B1202" s="3" t="s">
        <v>1203</v>
      </c>
      <c r="C1202" s="3" t="str">
        <f>IFERROR(__xludf.DUMMYFUNCTION("GOOGLETRANSLATE(B1202,""id"",""en"")"),"['signal', 'hello', 'Telkomsel', 'bad', 'bad', 'boss',' excited ',' kapok ',' telkomsel ',' pay ',' monthly ',' expensive ',' signal ',' destroyed ',' pay ',' expensive ',' hope ',' destroyed ',' replace ',' provider ',' laen ',' smooth ',' Jaya ', ""]")</f>
        <v>['signal', 'hello', 'Telkomsel', 'bad', 'bad', 'boss',' excited ',' kapok ',' telkomsel ',' pay ',' monthly ',' expensive ',' signal ',' destroyed ',' pay ',' expensive ',' hope ',' destroyed ',' replace ',' provider ',' laen ',' smooth ',' Jaya ', "]</v>
      </c>
      <c r="D1202" s="3">
        <v>1.0</v>
      </c>
    </row>
    <row r="1203" ht="15.75" customHeight="1">
      <c r="A1203" s="1">
        <v>1201.0</v>
      </c>
      <c r="B1203" s="3" t="s">
        <v>1204</v>
      </c>
      <c r="C1203" s="3" t="str">
        <f>IFERROR(__xludf.DUMMYFUNCTION("GOOGLETRANSLATE(B1203,""id"",""en"")"),"['Preovider', 'Government', 'Dear', 'Please', 'Quality', 'Signal', 'Fix', 'Chaw', 'Customer', 'Signal', 'ugly', 'Customer', ' Switch ',' Provider ']")</f>
        <v>['Preovider', 'Government', 'Dear', 'Please', 'Quality', 'Signal', 'Fix', 'Chaw', 'Customer', 'Signal', 'ugly', 'Customer', ' Switch ',' Provider ']</v>
      </c>
      <c r="D1203" s="3">
        <v>1.0</v>
      </c>
    </row>
    <row r="1204" ht="15.75" customHeight="1">
      <c r="A1204" s="1">
        <v>1202.0</v>
      </c>
      <c r="B1204" s="3" t="s">
        <v>1205</v>
      </c>
      <c r="C1204" s="3" t="str">
        <f>IFERROR(__xludf.DUMMYFUNCTION("GOOGLETRANSLATE(B1204,""id"",""en"")"),"['hi', 'min', 'pulse', 'cave', 'drained', 'times',' know ',' pdhl ',' paketan ',' tlg ',' donk ',' min ',' Credit ',' cave ',' turning back ',' Jang ',' take ',' donk ',' cave ',' belom ',' buy ',' loss', 'lho', '']")</f>
        <v>['hi', 'min', 'pulse', 'cave', 'drained', 'times',' know ',' pdhl ',' paketan ',' tlg ',' donk ',' min ',' Credit ',' cave ',' turning back ',' Jang ',' take ',' donk ',' cave ',' belom ',' buy ',' loss', 'lho', '']</v>
      </c>
      <c r="D1204" s="3">
        <v>1.0</v>
      </c>
    </row>
    <row r="1205" ht="15.75" customHeight="1">
      <c r="A1205" s="1">
        <v>1203.0</v>
      </c>
      <c r="B1205" s="3" t="s">
        <v>1206</v>
      </c>
      <c r="C1205" s="3" t="str">
        <f>IFERROR(__xludf.DUMMYFUNCTION("GOOGLETRANSLATE(B1205,""id"",""en"")"),"['min', 'please', 'Read', 'Review', 'suggest', 'feature', 'top', 'game', 'application', 'practical', 'so', 'min', ' greetings', 'btw', 'name', 'password', 'greetings',' readaa ',' yahhhh ',' Thankssssss', 'love', 'you', 'telkomsellll', 'forget', 'adin' , "&amp;"'Event', 'quota', 'free', 'hehheheh', 'healthy', 'dahhh', ""]")</f>
        <v>['min', 'please', 'Read', 'Review', 'suggest', 'feature', 'top', 'game', 'application', 'practical', 'so', 'min', ' greetings', 'btw', 'name', 'password', 'greetings',' readaa ',' yahhhh ',' Thankssssss', 'love', 'you', 'telkomsellll', 'forget', 'adin' , 'Event', 'quota', 'free', 'hehheheh', 'healthy', 'dahhh', "]</v>
      </c>
      <c r="D1205" s="3">
        <v>5.0</v>
      </c>
    </row>
    <row r="1206" ht="15.75" customHeight="1">
      <c r="A1206" s="1">
        <v>1204.0</v>
      </c>
      <c r="B1206" s="3" t="s">
        <v>1207</v>
      </c>
      <c r="C1206" s="3" t="str">
        <f>IFERROR(__xludf.DUMMYFUNCTION("GOOGLETRANSLATE(B1206,""id"",""en"")"),"['Please', 'service', 'public', 'noticed', 'choose', 'menu', 'Help', 'center', 'chat', 'veronika', 'just', 'system', ' Wait ',' Advanced ']")</f>
        <v>['Please', 'service', 'public', 'noticed', 'choose', 'menu', 'Help', 'center', 'chat', 'veronika', 'just', 'system', ' Wait ',' Advanced ']</v>
      </c>
      <c r="D1206" s="3">
        <v>1.0</v>
      </c>
    </row>
    <row r="1207" ht="15.75" customHeight="1">
      <c r="A1207" s="1">
        <v>1205.0</v>
      </c>
      <c r="B1207" s="3" t="s">
        <v>1208</v>
      </c>
      <c r="C1207" s="3" t="str">
        <f>IFERROR(__xludf.DUMMYFUNCTION("GOOGLETRANSLATE(B1207,""id"",""en"")"),"['Makinnn', 'Naturally', 'Yesterday', 'Fill', 'Reset', 'App', 'Tsel', 'Pay', 'Use', 'Shopeepay', 'Enter', 'Then', ' skarang ',' contents', 'reset', 'app', 'enter', 'sii', 'TPI', 'reduced', 'subscribe', 'anything', 'use', 'data', 'regret' , 'users', 'Telko"&amp;"msel', 'it hurts', 'Dri', 'PDA', 'Fortunately']")</f>
        <v>['Makinnn', 'Naturally', 'Yesterday', 'Fill', 'Reset', 'App', 'Tsel', 'Pay', 'Use', 'Shopeepay', 'Enter', 'Then', ' skarang ',' contents', 'reset', 'app', 'enter', 'sii', 'TPI', 'reduced', 'subscribe', 'anything', 'use', 'data', 'regret' , 'users', 'Telkomsel', 'it hurts', 'Dri', 'PDA', 'Fortunately']</v>
      </c>
      <c r="D1207" s="3">
        <v>1.0</v>
      </c>
    </row>
    <row r="1208" ht="15.75" customHeight="1">
      <c r="A1208" s="1">
        <v>1206.0</v>
      </c>
      <c r="B1208" s="3" t="s">
        <v>1209</v>
      </c>
      <c r="C1208" s="3" t="str">
        <f>IFERROR(__xludf.DUMMYFUNCTION("GOOGLETRANSLATE(B1208,""id"",""en"")"),"['Signal', 'Severe', 'BUMN', 'Quality', 'Worst', 'History', 'Complain', 'Lying', 'Linerin', 'Quality', 'Network', 'ask', ' minister ',' BUMN ',' hold ',' evaluation ',' BUMN ',' cleaning ',' quantity ',' internal ',' Telkom ',' Telkomsel ',' produce ',' q"&amp;"uality ',' people ' , 'Corruption', 'there', 'quality', 'network', 'bad', 'worst', 'network', '']")</f>
        <v>['Signal', 'Severe', 'BUMN', 'Quality', 'Worst', 'History', 'Complain', 'Lying', 'Linerin', 'Quality', 'Network', 'ask', ' minister ',' BUMN ',' hold ',' evaluation ',' BUMN ',' cleaning ',' quantity ',' internal ',' Telkom ',' Telkomsel ',' produce ',' quality ',' people ' , 'Corruption', 'there', 'quality', 'network', 'bad', 'worst', 'network', '']</v>
      </c>
      <c r="D1208" s="3">
        <v>1.0</v>
      </c>
    </row>
    <row r="1209" ht="15.75" customHeight="1">
      <c r="A1209" s="1">
        <v>1207.0</v>
      </c>
      <c r="B1209" s="3" t="s">
        <v>1210</v>
      </c>
      <c r="C1209" s="3" t="str">
        <f>IFERROR(__xludf.DUMMYFUNCTION("GOOGLETRANSLATE(B1209,""id"",""en"")"),"['network', 'slow', 'Telkomsel', 'telephone', 'ugly', 'really', 'please', 'fix', 'network', 'area', 'acehh', 'cpp', ' Buy ',' Package ',' Kayak ',' Ngak ',' Package ',' Klau ',' Ngak ',' Can ',' Ngak ',' Open ',' Branch ',' Branch ']")</f>
        <v>['network', 'slow', 'Telkomsel', 'telephone', 'ugly', 'really', 'please', 'fix', 'network', 'area', 'acehh', 'cpp', ' Buy ',' Package ',' Kayak ',' Ngak ',' Package ',' Klau ',' Ngak ',' Can ',' Ngak ',' Open ',' Branch ',' Branch ']</v>
      </c>
      <c r="D1209" s="3">
        <v>1.0</v>
      </c>
    </row>
    <row r="1210" ht="15.75" customHeight="1">
      <c r="A1210" s="1">
        <v>1208.0</v>
      </c>
      <c r="B1210" s="3" t="s">
        <v>1211</v>
      </c>
      <c r="C1210" s="3" t="str">
        <f>IFERROR(__xludf.DUMMYFUNCTION("GOOGLETRANSLATE(B1210,""id"",""en"")"),"['The application', 'good', 'just', 'signal', 'area', 'ntb', 'sometimes', 'good', 'TPI', 'appeal', 'dangan', ""]")</f>
        <v>['The application', 'good', 'just', 'signal', 'area', 'ntb', 'sometimes', 'good', 'TPI', 'appeal', 'dangan', "]</v>
      </c>
      <c r="D1210" s="3">
        <v>4.0</v>
      </c>
    </row>
    <row r="1211" ht="15.75" customHeight="1">
      <c r="A1211" s="1">
        <v>1209.0</v>
      </c>
      <c r="B1211" s="3" t="s">
        <v>1212</v>
      </c>
      <c r="C1211" s="3" t="str">
        <f>IFERROR(__xludf.DUMMYFUNCTION("GOOGLETRANSLATE(B1211,""id"",""en"")"),"['card', 'quota', 'expensive', 'internet', 'stable', 'already', 'sunset', 'slow', 'kek', 'Indosat', 'game', 'ping', ' Threat ',' Severe ',' Signal ',' Game ',' Ngellag ',' Mulu ',' Basic ',' Card ',' Hibus', 'Corruptor', 'How', 'Listen', 'Consumer' , 'stu"&amp;"pid']")</f>
        <v>['card', 'quota', 'expensive', 'internet', 'stable', 'already', 'sunset', 'slow', 'kek', 'Indosat', 'game', 'ping', ' Threat ',' Severe ',' Signal ',' Game ',' Ngellag ',' Mulu ',' Basic ',' Card ',' Hibus', 'Corruptor', 'How', 'Listen', 'Consumer' , 'stupid']</v>
      </c>
      <c r="D1211" s="3">
        <v>1.0</v>
      </c>
    </row>
    <row r="1212" ht="15.75" customHeight="1">
      <c r="A1212" s="1">
        <v>1210.0</v>
      </c>
      <c r="B1212" s="3" t="s">
        <v>1213</v>
      </c>
      <c r="C1212" s="3" t="str">
        <f>IFERROR(__xludf.DUMMYFUNCTION("GOOGLETRANSLATE(B1212,""id"",""en"")"),"['ugly', 'really', 'sometimes',' contents', 'quota', 'balance', 'link', 'already', 'cheek', 'status',' managed ',' quota ',' entry ',' really ',' temple ',' temple ',' stupid ',' muter ',' tetep ',' entry ',' quota ']")</f>
        <v>['ugly', 'really', 'sometimes',' contents', 'quota', 'balance', 'link', 'already', 'cheek', 'status',' managed ',' quota ',' entry ',' really ',' temple ',' temple ',' stupid ',' muter ',' tetep ',' entry ',' quota ']</v>
      </c>
      <c r="D1212" s="3">
        <v>3.0</v>
      </c>
    </row>
    <row r="1213" ht="15.75" customHeight="1">
      <c r="A1213" s="1">
        <v>1211.0</v>
      </c>
      <c r="B1213" s="3" t="s">
        <v>1214</v>
      </c>
      <c r="C1213" s="3" t="str">
        <f>IFERROR(__xludf.DUMMYFUNCTION("GOOGLETRANSLATE(B1213,""id"",""en"")"),"['Paketan', 'Telkomsel', 'Changed', 'Severe', 'Quota', 'Daily', 'Main', 'Pulse', 'Sumpot', 'Gajelas',' BLM ',' Open ',' Application ',' pulses', 'already', 'run out', 'fed up']")</f>
        <v>['Paketan', 'Telkomsel', 'Changed', 'Severe', 'Quota', 'Daily', 'Main', 'Pulse', 'Sumpot', 'Gajelas',' BLM ',' Open ',' Application ',' pulses', 'already', 'run out', 'fed up']</v>
      </c>
      <c r="D1213" s="3">
        <v>1.0</v>
      </c>
    </row>
    <row r="1214" ht="15.75" customHeight="1">
      <c r="A1214" s="1">
        <v>1212.0</v>
      </c>
      <c r="B1214" s="3" t="s">
        <v>1215</v>
      </c>
      <c r="C1214" s="3" t="str">
        <f>IFERROR(__xludf.DUMMYFUNCTION("GOOGLETRANSLATE(B1214,""id"",""en"")"),"['The network', 'lalot', 'weak', 'speed', 'network', 'hot', 'lalod', 'package', 'data', 'expensive', 'according to', 'quality', ' The network is', 'Network', 'Telkomsel', 'Region', 'Gowa', 'Sulawesi', 'South', 'Skapan', 'Eledied', '']")</f>
        <v>['The network', 'lalot', 'weak', 'speed', 'network', 'hot', 'lalod', 'package', 'data', 'expensive', 'according to', 'quality', ' The network is', 'Network', 'Telkomsel', 'Region', 'Gowa', 'Sulawesi', 'South', 'Skapan', 'Eledied', '']</v>
      </c>
      <c r="D1214" s="3">
        <v>1.0</v>
      </c>
    </row>
    <row r="1215" ht="15.75" customHeight="1">
      <c r="A1215" s="1">
        <v>1213.0</v>
      </c>
      <c r="B1215" s="3" t="s">
        <v>1216</v>
      </c>
      <c r="C1215" s="3" t="str">
        <f>IFERROR(__xludf.DUMMYFUNCTION("GOOGLETRANSLATE(B1215,""id"",""en"")"),"['Good', 'The application', 'update', 'yaa', 'display', 'interesting', 'present', 'application', 'wallet']")</f>
        <v>['Good', 'The application', 'update', 'yaa', 'display', 'interesting', 'present', 'application', 'wallet']</v>
      </c>
      <c r="D1215" s="3">
        <v>4.0</v>
      </c>
    </row>
    <row r="1216" ht="15.75" customHeight="1">
      <c r="A1216" s="1">
        <v>1214.0</v>
      </c>
      <c r="B1216" s="3" t="s">
        <v>1217</v>
      </c>
      <c r="C1216" s="3" t="str">
        <f>IFERROR(__xludf.DUMMYFUNCTION("GOOGLETRANSLATE(B1216,""id"",""en"")"),"['Satisfied', 'love', 'direct', 'star', 'times', 'love', 'promo', 'customer', 'loyal', 'please', 'pay attention', 'quality' network ',' internet ',' bts', 'because', 'location', 'network', 'internet', 'slow', 'location', 'rmh', 'btw', 'thank', 'love' , 'T"&amp;"elkomsel', '']")</f>
        <v>['Satisfied', 'love', 'direct', 'star', 'times', 'love', 'promo', 'customer', 'loyal', 'please', 'pay attention', 'quality' network ',' internet ',' bts', 'because', 'location', 'network', 'internet', 'slow', 'location', 'rmh', 'btw', 'thank', 'love' , 'Telkomsel', '']</v>
      </c>
      <c r="D1216" s="3">
        <v>5.0</v>
      </c>
    </row>
    <row r="1217" ht="15.75" customHeight="1">
      <c r="A1217" s="1">
        <v>1215.0</v>
      </c>
      <c r="B1217" s="3" t="s">
        <v>1218</v>
      </c>
      <c r="C1217" s="3" t="str">
        <f>IFERROR(__xludf.DUMMYFUNCTION("GOOGLETRANSLATE(B1217,""id"",""en"")"),"['Dear', 'Telkomsel', 'please', 'Telkomsel', 'quota', 'night', 'quota', 'to get', 'add', 'please', 'think', 'Telkomsel', ' already ',' collect ',' money ',' buy ',' quota ',' pulse ',' right ',' buy ',' quota ',' night ',' then ',' pulse ',' person ' , 's"&amp;"tingy', 'stingy', 'replace', 'card', 'changed', 'price', 'yes', 'emang', 'leftover', 'credit', 'call', 'etc.' Already ',' name ',' ']")</f>
        <v>['Dear', 'Telkomsel', 'please', 'Telkomsel', 'quota', 'night', 'quota', 'to get', 'add', 'please', 'think', 'Telkomsel', ' already ',' collect ',' money ',' buy ',' quota ',' pulse ',' right ',' buy ',' quota ',' night ',' then ',' pulse ',' person ' , 'stingy', 'stingy', 'replace', 'card', 'changed', 'price', 'yes', 'emang', 'leftover', 'credit', 'call', 'etc.' Already ',' name ',' ']</v>
      </c>
      <c r="D1217" s="3">
        <v>1.0</v>
      </c>
    </row>
    <row r="1218" ht="15.75" customHeight="1">
      <c r="A1218" s="1">
        <v>1216.0</v>
      </c>
      <c r="B1218" s="3" t="s">
        <v>1219</v>
      </c>
      <c r="C1218" s="3" t="str">
        <f>IFERROR(__xludf.DUMMYFUNCTION("GOOGLETRANSLATE(B1218,""id"",""en"")"),"['lose', 'competitiveness',' provider ',' cook ',' country ',' network ',' slow ',' lag ',' difficult ',' check ',' package ',' etc. ',' Please, 'Love', 'Clarity', 'Service', 'Customer', '']")</f>
        <v>['lose', 'competitiveness',' provider ',' cook ',' country ',' network ',' slow ',' lag ',' difficult ',' check ',' package ',' etc. ',' Please, 'Love', 'Clarity', 'Service', 'Customer', '']</v>
      </c>
      <c r="D1218" s="3">
        <v>1.0</v>
      </c>
    </row>
    <row r="1219" ht="15.75" customHeight="1">
      <c r="A1219" s="1">
        <v>1217.0</v>
      </c>
      <c r="B1219" s="3" t="s">
        <v>1220</v>
      </c>
      <c r="C1219" s="3" t="str">
        <f>IFERROR(__xludf.DUMMYFUNCTION("GOOGLETRANSLATE(B1219,""id"",""en"")"),"['buy', 'pulse', 'thousand', 'succeed', 'select', 'package', 'price', 'thousand', 'succeed', 'pulse', 'cut "",' thousand ',' Loss', 'already', 'package', 'Cut', 'pulse', 'thousand', 'replace']")</f>
        <v>['buy', 'pulse', 'thousand', 'succeed', 'select', 'package', 'price', 'thousand', 'succeed', 'pulse', 'cut ",' thousand ',' Loss', 'already', 'package', 'Cut', 'pulse', 'thousand', 'replace']</v>
      </c>
      <c r="D1219" s="3">
        <v>1.0</v>
      </c>
    </row>
    <row r="1220" ht="15.75" customHeight="1">
      <c r="A1220" s="1">
        <v>1218.0</v>
      </c>
      <c r="B1220" s="3" t="s">
        <v>1221</v>
      </c>
      <c r="C1220" s="3" t="str">
        <f>IFERROR(__xludf.DUMMYFUNCTION("GOOGLETRANSLATE(B1220,""id"",""en"")"),"['Benerin', 'signal', 'idiot', 'bad', 'signal', 'customer', 'comfortable', 'use', 'Telkomsel', ""]")</f>
        <v>['Benerin', 'signal', 'idiot', 'bad', 'signal', 'customer', 'comfortable', 'use', 'Telkomsel', "]</v>
      </c>
      <c r="D1220" s="3">
        <v>1.0</v>
      </c>
    </row>
    <row r="1221" ht="15.75" customHeight="1">
      <c r="A1221" s="1">
        <v>1219.0</v>
      </c>
      <c r="B1221" s="3" t="s">
        <v>1222</v>
      </c>
      <c r="C1221" s="3" t="str">
        <f>IFERROR(__xludf.DUMMYFUNCTION("GOOGLETRANSLATE(B1221,""id"",""en"")"),"['Read', 'KOG', 'Twitter', 'Review', 'responded', 'Performance', 'Telkomsel', 'Signal', 'Internet', 'Region', 'Madura', 'Bad', ' Pantes', 'users',' Telkomsel ',' Region ',' Madura ']")</f>
        <v>['Read', 'KOG', 'Twitter', 'Review', 'responded', 'Performance', 'Telkomsel', 'Signal', 'Internet', 'Region', 'Madura', 'Bad', ' Pantes', 'users',' Telkomsel ',' Region ',' Madura ']</v>
      </c>
      <c r="D1221" s="3">
        <v>1.0</v>
      </c>
    </row>
    <row r="1222" ht="15.75" customHeight="1">
      <c r="A1222" s="1">
        <v>1220.0</v>
      </c>
      <c r="B1222" s="3" t="s">
        <v>1223</v>
      </c>
      <c r="C1222" s="3" t="str">
        <f>IFERROR(__xludf.DUMMYFUNCTION("GOOGLETRANSLATE(B1222,""id"",""en"")"),"['Points',' Points', 'Exchange', 'Credit', 'Points',' Woe ',' Order ',' Exchange ',' Points', 'App', 'Credit', 'Nollll', ' expensive ',' yes', 'wasteful', 'yes',' mending ',' points', 'delete', 'nope', 'ppppppppppooooooooooiiiiiiiiiiiinnnnnnnnnnnnnnnn', '"&amp;"ggggggggggaaaaaaaaakkkkkkkkk', 'ggggggguuuuuuuuuuunnnnnnnnnaaaaaaaaaaaaaaaaa', '']")</f>
        <v>['Points',' Points', 'Exchange', 'Credit', 'Points',' Woe ',' Order ',' Exchange ',' Points', 'App', 'Credit', 'Nollll', ' expensive ',' yes', 'wasteful', 'yes',' mending ',' points', 'delete', 'nope', 'ppppppppppooooooooooiiiiiiiiiiiinnnnnnnnnnnnnnnn', 'ggggggggggaaaaaaaaakkkkkkkkk', 'ggggggguuuuuuuuuuunnnnnnnnnaaaaaaaaaaaaaaaaa', '']</v>
      </c>
      <c r="D1222" s="3">
        <v>1.0</v>
      </c>
    </row>
    <row r="1223" ht="15.75" customHeight="1">
      <c r="A1223" s="1">
        <v>1221.0</v>
      </c>
      <c r="B1223" s="3" t="s">
        <v>1224</v>
      </c>
      <c r="C1223" s="3" t="str">
        <f>IFERROR(__xludf.DUMMYFUNCTION("GOOGLETRANSLATE(B1223,""id"",""en"")"),"['please', 'read', 'application', 'cave', 'application', 'really', 'bug', 'kdang', 'like', 'error', 'account', 'log', ' out ',' please ',' repay ',' ']")</f>
        <v>['please', 'read', 'application', 'cave', 'application', 'really', 'bug', 'kdang', 'like', 'error', 'account', 'log', ' out ',' please ',' repay ',' ']</v>
      </c>
      <c r="D1223" s="3">
        <v>1.0</v>
      </c>
    </row>
    <row r="1224" ht="15.75" customHeight="1">
      <c r="A1224" s="1">
        <v>1222.0</v>
      </c>
      <c r="B1224" s="3" t="s">
        <v>1225</v>
      </c>
      <c r="C1224" s="3" t="str">
        <f>IFERROR(__xludf.DUMMYFUNCTION("GOOGLETRANSLATE(B1224,""id"",""en"")"),"['already', 'buy', 'package', 'expensive', 'download', 'application', 'playstore', 'doang', 'MB', 'MEMBIT', 'already', 'bored', ' blasphemy ',' you ',' here ',' his net ',' ugly ',' really ',' Saangaat ',' ugly ',' his web ',' recommendation ',' use ',' T"&amp;"elkomsel ',' his web ' , 'ugly', 'love', 'bintanng', 'base', 'signal', 'Telkomsel', 'garbage', ""]")</f>
        <v>['already', 'buy', 'package', 'expensive', 'download', 'application', 'playstore', 'doang', 'MB', 'MEMBIT', 'already', 'bored', ' blasphemy ',' you ',' here ',' his net ',' ugly ',' really ',' Saangaat ',' ugly ',' his web ',' recommendation ',' use ',' Telkomsel ',' his web ' , 'ugly', 'love', 'bintanng', 'base', 'signal', 'Telkomsel', 'garbage', "]</v>
      </c>
      <c r="D1224" s="3">
        <v>1.0</v>
      </c>
    </row>
    <row r="1225" ht="15.75" customHeight="1">
      <c r="A1225" s="1">
        <v>1223.0</v>
      </c>
      <c r="B1225" s="3" t="s">
        <v>1226</v>
      </c>
      <c r="C1225" s="3" t="str">
        <f>IFERROR(__xludf.DUMMYFUNCTION("GOOGLETRANSLATE(B1225,""id"",""en"")"),"['Hello', 'Telkomsel', 'network', 'company', 'wifi', 'murahyg', 'pairs',' bts', 'tower', 'network', 'ugly', 'signal', ' installed ',' tower ',' network ',' transmitter ',' signal ',' wifi ',' cheap ',' signal ',' good ',' zoom ',' bwt ',' child ',' school"&amp;" ' , 'steady', 'zoom', 'signal', 'difficult', 'knp', '']")</f>
        <v>['Hello', 'Telkomsel', 'network', 'company', 'wifi', 'murahyg', 'pairs',' bts', 'tower', 'network', 'ugly', 'signal', ' installed ',' tower ',' network ',' transmitter ',' signal ',' wifi ',' cheap ',' signal ',' good ',' zoom ',' bwt ',' child ',' school ' , 'steady', 'zoom', 'signal', 'difficult', 'knp', '']</v>
      </c>
      <c r="D1225" s="3">
        <v>1.0</v>
      </c>
    </row>
    <row r="1226" ht="15.75" customHeight="1">
      <c r="A1226" s="1">
        <v>1224.0</v>
      </c>
      <c r="B1226" s="3" t="s">
        <v>1227</v>
      </c>
      <c r="C1226" s="3" t="str">
        <f>IFERROR(__xludf.DUMMYFUNCTION("GOOGLETRANSLATE(B1226,""id"",""en"")"),"['confused', 'buy', 'package', 'new', 'omg', 'activation', 'get', 'sms',' payment ',' belom ',' managed ',' payment ',' Shoope ',' Balance ',' Shoope ',' Cut ',' Package ',' Internet ',' Belom ',' Keep ',' Please ',' Response ',' ']")</f>
        <v>['confused', 'buy', 'package', 'new', 'omg', 'activation', 'get', 'sms',' payment ',' belom ',' managed ',' payment ',' Shoope ',' Balance ',' Shoope ',' Cut ',' Package ',' Internet ',' Belom ',' Keep ',' Please ',' Response ',' ']</v>
      </c>
      <c r="D1226" s="3">
        <v>2.0</v>
      </c>
    </row>
    <row r="1227" ht="15.75" customHeight="1">
      <c r="A1227" s="1">
        <v>1225.0</v>
      </c>
      <c r="B1227" s="3" t="s">
        <v>1228</v>
      </c>
      <c r="C1227" s="3" t="str">
        <f>IFERROR(__xludf.DUMMYFUNCTION("GOOGLETRANSLATE(B1227,""id"",""en"")"),"['Out', 'buy', 'package', 'night', 'GB', 'balance', 'Ovo', 'Cut', 'Package', 'Enter', 'Disappointed', 'Enter', ' SMS ',' check ',' restriction ',' balance ',' lost ',' package ',' price ',' package ',' lose ',' provider ',' should ',' Telkomsel ',' good '"&amp;" , 'service', 'network', 'price', 'compete', 'provider', '']")</f>
        <v>['Out', 'buy', 'package', 'night', 'GB', 'balance', 'Ovo', 'Cut', 'Package', 'Enter', 'Disappointed', 'Enter', ' SMS ',' check ',' restriction ',' balance ',' lost ',' package ',' price ',' package ',' lose ',' provider ',' should ',' Telkomsel ',' good ' , 'service', 'network', 'price', 'compete', 'provider', '']</v>
      </c>
      <c r="D1227" s="3">
        <v>1.0</v>
      </c>
    </row>
    <row r="1228" ht="15.75" customHeight="1">
      <c r="A1228" s="1">
        <v>1226.0</v>
      </c>
      <c r="B1228" s="3" t="s">
        <v>1229</v>
      </c>
      <c r="C1228" s="3" t="str">
        <f>IFERROR(__xludf.DUMMYFUNCTION("GOOGLETRANSLATE(B1228,""id"",""en"")"),"['buy', 'Package', 'Internet', 'Shopee', 'Pay', 'Method', 'Payment', 'Where', 'APP', 'MyTelkomsel', 'Payment', 'SUCCESS', ' Internet ',' entry ',' money ',' account ',' shopee ',' pay ',' truncated ',' transaction ',' declared ',' managed ',' Please ',' a"&amp;"ssisted ']")</f>
        <v>['buy', 'Package', 'Internet', 'Shopee', 'Pay', 'Method', 'Payment', 'Where', 'APP', 'MyTelkomsel', 'Payment', 'SUCCESS', ' Internet ',' entry ',' money ',' account ',' shopee ',' pay ',' truncated ',' transaction ',' declared ',' managed ',' Please ',' assisted ']</v>
      </c>
      <c r="D1228" s="3">
        <v>1.0</v>
      </c>
    </row>
    <row r="1229" ht="15.75" customHeight="1">
      <c r="A1229" s="1">
        <v>1227.0</v>
      </c>
      <c r="B1229" s="3" t="s">
        <v>1230</v>
      </c>
      <c r="C1229" s="3" t="str">
        <f>IFERROR(__xludf.DUMMYFUNCTION("GOOGLETRANSLATE(B1229,""id"",""en"")"),"['buy', 'Package', 'Kouta', 'internet', 'a month', 'usage', 'package', 'regret', 'buy', 'package', 'internet', 'application', ' Telkomsel ',' please ',' server ',' restore ',' ']")</f>
        <v>['buy', 'Package', 'Kouta', 'internet', 'a month', 'usage', 'package', 'regret', 'buy', 'package', 'internet', 'application', ' Telkomsel ',' please ',' server ',' restore ',' ']</v>
      </c>
      <c r="D1229" s="3">
        <v>1.0</v>
      </c>
    </row>
    <row r="1230" ht="15.75" customHeight="1">
      <c r="A1230" s="1">
        <v>1228.0</v>
      </c>
      <c r="B1230" s="3" t="s">
        <v>1231</v>
      </c>
      <c r="C1230" s="3" t="str">
        <f>IFERROR(__xludf.DUMMYFUNCTION("GOOGLETRANSLATE(B1230,""id"",""en"")"),"['Contents',' Quota ',' Combo ',' Sakti ',' Unlimited ',' RB ',' Date ',' June ',' Date ',' June ',' quota ',' Missing ',' zero ',' quota ',' local ',' run out ',' quota ',' unlimited ',' run out ',' please ',' Telkomsel ',' return ',' quota ',' harmed ',"&amp;"' quota ' , 'GB', 'Out', 'Sudden', '']")</f>
        <v>['Contents',' Quota ',' Combo ',' Sakti ',' Unlimited ',' RB ',' Date ',' June ',' Date ',' June ',' quota ',' Missing ',' zero ',' quota ',' local ',' run out ',' quota ',' unlimited ',' run out ',' please ',' Telkomsel ',' return ',' quota ',' harmed ',' quota ' , 'GB', 'Out', 'Sudden', '']</v>
      </c>
      <c r="D1230" s="3">
        <v>1.0</v>
      </c>
    </row>
    <row r="1231" ht="15.75" customHeight="1">
      <c r="A1231" s="1">
        <v>1229.0</v>
      </c>
      <c r="B1231" s="3" t="s">
        <v>1232</v>
      </c>
      <c r="C1231" s="3" t="str">
        <f>IFERROR(__xludf.DUMMYFUNCTION("GOOGLETRANSLATE(B1231,""id"",""en"")"),"['accept', 'sms',' spam ',' submission ',' gubris', 'person', 'old', 'cheated', 'beg', 'sms',' spam ',' stopped ',' report']")</f>
        <v>['accept', 'sms',' spam ',' submission ',' gubris', 'person', 'old', 'cheated', 'beg', 'sms',' spam ',' stopped ',' report']</v>
      </c>
      <c r="D1231" s="3">
        <v>2.0</v>
      </c>
    </row>
    <row r="1232" ht="15.75" customHeight="1">
      <c r="A1232" s="1">
        <v>1230.0</v>
      </c>
      <c r="B1232" s="3" t="s">
        <v>1233</v>
      </c>
      <c r="C1232" s="3" t="str">
        <f>IFERROR(__xludf.DUMMYFUNCTION("GOOGLETRANSLATE(B1232,""id"",""en"")"),"['price', 'package', 'expensive', 'fix', 'signal', 'many years',' tsel ',' offer ',' expensive ',' signal ',' TBTB ',' drop ',' ilang ',' sesuain ',' high school ',' price ',' package ',' crazy ',' price ',' boss', 'thx']")</f>
        <v>['price', 'package', 'expensive', 'fix', 'signal', 'many years',' tsel ',' offer ',' expensive ',' signal ',' TBTB ',' drop ',' ilang ',' sesuain ',' high school ',' price ',' package ',' crazy ',' price ',' boss', 'thx']</v>
      </c>
      <c r="D1232" s="3">
        <v>1.0</v>
      </c>
    </row>
    <row r="1233" ht="15.75" customHeight="1">
      <c r="A1233" s="1">
        <v>1231.0</v>
      </c>
      <c r="B1233" s="3" t="s">
        <v>1234</v>
      </c>
      <c r="C1233" s="3" t="str">
        <f>IFERROR(__xludf.DUMMYFUNCTION("GOOGLETRANSLATE(B1233,""id"",""en"")"),"['ask', 'quota', 'main', 'quota', 'local', 'difference', 'quota', 'main', 'run out', 'quota', 'local', 'open', ' Google ',' YouTube ',' explained ',' Min ',' Minsyal ',' Mimin ',' UDH ',' Kejelasin ',' Kalis', 'Bintang', 'Promise', ""]")</f>
        <v>['ask', 'quota', 'main', 'quota', 'local', 'difference', 'quota', 'main', 'run out', 'quota', 'local', 'open', ' Google ',' YouTube ',' explained ',' Min ',' Minsyal ',' Mimin ',' UDH ',' Kejelasin ',' Kalis', 'Bintang', 'Promise', "]</v>
      </c>
      <c r="D1233" s="3">
        <v>1.0</v>
      </c>
    </row>
    <row r="1234" ht="15.75" customHeight="1">
      <c r="A1234" s="1">
        <v>1232.0</v>
      </c>
      <c r="B1234" s="3" t="s">
        <v>1235</v>
      </c>
      <c r="C1234" s="3" t="str">
        <f>IFERROR(__xludf.DUMMYFUNCTION("GOOGLETRANSLATE(B1234,""id"",""en"")"),"['package', 'expensive', 'already', 'greget', 'talking', 'signal', 'forget', 'LEP', 'down', 'play', 'game', 'lag', ' Benah ',' Donk ',' Features', 'Kayak', 'Provider', 'Safe', 'Credit', ""]")</f>
        <v>['package', 'expensive', 'already', 'greget', 'talking', 'signal', 'forget', 'LEP', 'down', 'play', 'game', 'lag', ' Benah ',' Donk ',' Features', 'Kayak', 'Provider', 'Safe', 'Credit', "]</v>
      </c>
      <c r="D1234" s="3">
        <v>1.0</v>
      </c>
    </row>
    <row r="1235" ht="15.75" customHeight="1">
      <c r="A1235" s="1">
        <v>1233.0</v>
      </c>
      <c r="B1235" s="3" t="s">
        <v>1236</v>
      </c>
      <c r="C1235" s="3" t="str">
        <f>IFERROR(__xludf.DUMMYFUNCTION("GOOGLETRANSLATE(B1235,""id"",""en"")"),"['Improvement', 'System', 'Dead', 'Sousal', 'Maen', 'Level', 'Increase', 'Becus',' Handling ',' Change ',' Provider ',' Kek ',' Ryesel ',' really ',' buy ',' Package ',' visits', 'get', 'Uda', 'Cut', 'pulses']")</f>
        <v>['Improvement', 'System', 'Dead', 'Sousal', 'Maen', 'Level', 'Increase', 'Becus',' Handling ',' Change ',' Provider ',' Kek ',' Ryesel ',' really ',' buy ',' Package ',' visits', 'get', 'Uda', 'Cut', 'pulses']</v>
      </c>
      <c r="D1235" s="3">
        <v>1.0</v>
      </c>
    </row>
    <row r="1236" ht="15.75" customHeight="1">
      <c r="A1236" s="1">
        <v>1234.0</v>
      </c>
      <c r="B1236" s="3" t="s">
        <v>1237</v>
      </c>
      <c r="C1236" s="3" t="str">
        <f>IFERROR(__xludf.DUMMYFUNCTION("GOOGLETRANSLATE(B1236,""id"",""en"")"),"['fit', 'open', 'application', 'slow', 'udh', 'pke', 'network', 'wifi', 'ram', 'GB', 'package', 'strange', ' Different ',' Tmn ',' cave ',' user ',' sympathy ',' right ',' check ',' application ',' price ',' package ',' different ',' aneeeehhh ',' moved '"&amp;" , '']")</f>
        <v>['fit', 'open', 'application', 'slow', 'udh', 'pke', 'network', 'wifi', 'ram', 'GB', 'package', 'strange', ' Different ',' Tmn ',' cave ',' user ',' sympathy ',' right ',' check ',' application ',' price ',' package ',' different ',' aneeeehhh ',' moved ' , '']</v>
      </c>
      <c r="D1236" s="3">
        <v>1.0</v>
      </c>
    </row>
    <row r="1237" ht="15.75" customHeight="1">
      <c r="A1237" s="1">
        <v>1235.0</v>
      </c>
      <c r="B1237" s="3" t="s">
        <v>1238</v>
      </c>
      <c r="C1237" s="3" t="str">
        <f>IFERROR(__xludf.DUMMYFUNCTION("GOOGLETRANSLATE(B1237,""id"",""en"")"),"['Data', 'Internet', 'Error', 'Package', 'Unlimited', 'YouTube', 'Package', 'Unlimited', 'Game', 'Unlimited', 'Tiktok', 'Telkomsel', ' good']")</f>
        <v>['Data', 'Internet', 'Error', 'Package', 'Unlimited', 'YouTube', 'Package', 'Unlimited', 'Game', 'Unlimited', 'Tiktok', 'Telkomsel', ' good']</v>
      </c>
      <c r="D1237" s="3">
        <v>1.0</v>
      </c>
    </row>
    <row r="1238" ht="15.75" customHeight="1">
      <c r="A1238" s="1">
        <v>1236.0</v>
      </c>
      <c r="B1238" s="3" t="s">
        <v>1239</v>
      </c>
      <c r="C1238" s="3" t="str">
        <f>IFERROR(__xludf.DUMMYFUNCTION("GOOGLETRANSLATE(B1238,""id"",""en"")"),"['Disappointed', 'card', 'list', 'package', 'unlimitid', 'facebook', 'package', 'data', 'take', 'many', 'times',' like ',' ber ',' use ',' please ',' Telkomsel ',' consumer ',' stopped ',' promo ',' package ',' so ',' mah ',' promo ',' remove ',' what's "&amp;""" , '']")</f>
        <v>['Disappointed', 'card', 'list', 'package', 'unlimitid', 'facebook', 'package', 'data', 'take', 'many', 'times',' like ',' ber ',' use ',' please ',' Telkomsel ',' consumer ',' stopped ',' promo ',' package ',' so ',' mah ',' promo ',' remove ',' what's " , '']</v>
      </c>
      <c r="D1238" s="3">
        <v>1.0</v>
      </c>
    </row>
    <row r="1239" ht="15.75" customHeight="1">
      <c r="A1239" s="1">
        <v>1237.0</v>
      </c>
      <c r="B1239" s="3" t="s">
        <v>1240</v>
      </c>
      <c r="C1239" s="3" t="str">
        <f>IFERROR(__xludf.DUMMYFUNCTION("GOOGLETRANSLATE(B1239,""id"",""en"")"),"['Sorry', 'hesitant', 'Lottery', 'Exchange', 'Points',' Lottery ',' Unum ',' Telkomsel ',' The draw ',' Transparent ',' Judge ',' Word ',' Akalan ',' Lottery ',' Telkomsel ',' Points', '']")</f>
        <v>['Sorry', 'hesitant', 'Lottery', 'Exchange', 'Points',' Lottery ',' Unum ',' Telkomsel ',' The draw ',' Transparent ',' Judge ',' Word ',' Akalan ',' Lottery ',' Telkomsel ',' Points', '']</v>
      </c>
      <c r="D1239" s="3">
        <v>5.0</v>
      </c>
    </row>
    <row r="1240" ht="15.75" customHeight="1">
      <c r="A1240" s="1">
        <v>1238.0</v>
      </c>
      <c r="B1240" s="3" t="s">
        <v>1241</v>
      </c>
      <c r="C1240" s="3" t="str">
        <f>IFERROR(__xludf.DUMMYFUNCTION("GOOGLETRANSLATE(B1240,""id"",""en"")"),"['Disappointed', 'Quality', 'Products',' Service ',' Telkomsel ',' skrg ',' Package ',' internet ',' expensive ',' signal ',' internet ',' slow ',' Severe ',' as', 'customers',' loyal ',' Telkomsel ',' THN ',' Disappointed ',' Service ',' Telkomsel ',' Ch"&amp;"ange ',' Provider ',' Sousal ',' Good ' , 'tariff', 'package', 'internet', 'pouch', 'bolong', ""]")</f>
        <v>['Disappointed', 'Quality', 'Products',' Service ',' Telkomsel ',' skrg ',' Package ',' internet ',' expensive ',' signal ',' internet ',' slow ',' Severe ',' as', 'customers',' loyal ',' Telkomsel ',' THN ',' Disappointed ',' Service ',' Telkomsel ',' Change ',' Provider ',' Sousal ',' Good ' , 'tariff', 'package', 'internet', 'pouch', 'bolong', "]</v>
      </c>
      <c r="D1240" s="3">
        <v>1.0</v>
      </c>
    </row>
    <row r="1241" ht="15.75" customHeight="1">
      <c r="A1241" s="1">
        <v>1239.0</v>
      </c>
      <c r="B1241" s="3" t="s">
        <v>1242</v>
      </c>
      <c r="C1241" s="3" t="str">
        <f>IFERROR(__xludf.DUMMYFUNCTION("GOOGLETRANSLATE(B1241,""id"",""en"")"),"['Since', 'card', 'replace', 'postpaid', 'card', 'hello', 'gini', 'yes', 'quota', 'direct', 'finished', 'so' Limit ',' BLM ',' Nyampe ',' Quota ',' Out ',' Yes', 'Wait', 'Date', 'Buy', 'Quota', 'Please', 'Definition', 'Jga' , 'Coins', 'Tuker', 'Gini', 'Me"&amp;"nding', 'Change', 'Prepaid', 'Ribet']")</f>
        <v>['Since', 'card', 'replace', 'postpaid', 'card', 'hello', 'gini', 'yes', 'quota', 'direct', 'finished', 'so' Limit ',' BLM ',' Nyampe ',' Quota ',' Out ',' Yes', 'Wait', 'Date', 'Buy', 'Quota', 'Please', 'Definition', 'Jga' , 'Coins', 'Tuker', 'Gini', 'Mending', 'Change', 'Prepaid', 'Ribet']</v>
      </c>
      <c r="D1241" s="3">
        <v>2.0</v>
      </c>
    </row>
    <row r="1242" ht="15.75" customHeight="1">
      <c r="A1242" s="1">
        <v>1240.0</v>
      </c>
      <c r="B1242" s="3" t="s">
        <v>1243</v>
      </c>
      <c r="C1242" s="3" t="str">
        <f>IFERROR(__xludf.DUMMYFUNCTION("GOOGLETRANSLATE(B1242,""id"",""en"")"),"['Telkomsel', 'severe', 'really', 'network', 'connection', 'slow', 'abis', 'maintenence', 'sometimes', 'connection', 'internet']")</f>
        <v>['Telkomsel', 'severe', 'really', 'network', 'connection', 'slow', 'abis', 'maintenence', 'sometimes', 'connection', 'internet']</v>
      </c>
      <c r="D1242" s="3">
        <v>1.0</v>
      </c>
    </row>
    <row r="1243" ht="15.75" customHeight="1">
      <c r="A1243" s="1">
        <v>1241.0</v>
      </c>
      <c r="B1243" s="3" t="s">
        <v>1244</v>
      </c>
      <c r="C1243" s="3" t="str">
        <f>IFERROR(__xludf.DUMMYFUNCTION("GOOGLETRANSLATE(B1243,""id"",""en"")"),"['Kekewe', 'Telkomsel', 'knapa', 'buy', 'package', 'combo', 'magic', 'thousand', 'thousand', 'knapa', 'check', 'pulses',' Credit ',' cut ',' please ',' data ',' cellular ',' life ',' deliberate ',' pulses', 'direct', 'run out', 'please', 'Telkomsel']")</f>
        <v>['Kekewe', 'Telkomsel', 'knapa', 'buy', 'package', 'combo', 'magic', 'thousand', 'thousand', 'knapa', 'check', 'pulses',' Credit ',' cut ',' please ',' data ',' cellular ',' life ',' deliberate ',' pulses', 'direct', 'run out', 'please', 'Telkomsel']</v>
      </c>
      <c r="D1243" s="3">
        <v>1.0</v>
      </c>
    </row>
    <row r="1244" ht="15.75" customHeight="1">
      <c r="A1244" s="1">
        <v>1242.0</v>
      </c>
      <c r="B1244" s="3" t="s">
        <v>1245</v>
      </c>
      <c r="C1244" s="3" t="str">
        <f>IFERROR(__xludf.DUMMYFUNCTION("GOOGLETRANSLATE(B1244,""id"",""en"")"),"['Notification', 'Package', 'Combo', 'Sakti', 'Not bad', 'Cheap', 'Price', 'Nnya', 'right', 'pressing', 'appears',' package ',' Search ',' Available ',' Kang ',' PHP ',' Emang ',' ']")</f>
        <v>['Notification', 'Package', 'Combo', 'Sakti', 'Not bad', 'Cheap', 'Price', 'Nnya', 'right', 'pressing', 'appears',' package ',' Search ',' Available ',' Kang ',' PHP ',' Emang ',' ']</v>
      </c>
      <c r="D1244" s="3">
        <v>2.0</v>
      </c>
    </row>
    <row r="1245" ht="15.75" customHeight="1">
      <c r="A1245" s="1">
        <v>1243.0</v>
      </c>
      <c r="B1245" s="3" t="s">
        <v>1246</v>
      </c>
      <c r="C1245" s="3" t="str">
        <f>IFERROR(__xludf.DUMMYFUNCTION("GOOGLETRANSLATE(B1245,""id"",""en"")"),"['Lahh', 'Package', 'Thinking', 'YouTube', 'Dipake', 'quota', 'mainly', 'UDH', 'buy', 'quota', 'main', 'right', ' Ngeyoutube ',' Sumpot ',' quota ',' main ',' quota ',' YouTube ',' how ',' Nihh ',' Telkomsel ', ""]")</f>
        <v>['Lahh', 'Package', 'Thinking', 'YouTube', 'Dipake', 'quota', 'mainly', 'UDH', 'buy', 'quota', 'main', 'right', ' Ngeyoutube ',' Sumpot ',' quota ',' main ',' quota ',' YouTube ',' how ',' Nihh ',' Telkomsel ', "]</v>
      </c>
      <c r="D1245" s="3">
        <v>1.0</v>
      </c>
    </row>
    <row r="1246" ht="15.75" customHeight="1">
      <c r="A1246" s="1">
        <v>1244.0</v>
      </c>
      <c r="B1246" s="3" t="s">
        <v>1247</v>
      </c>
      <c r="C1246" s="3" t="str">
        <f>IFERROR(__xludf.DUMMYFUNCTION("GOOGLETRANSLATE(B1246,""id"",""en"")"),"['Read', 'comment', 'Mending', 'Moving', 'Operator', 'Telkomsel', 'Enforce', 'Restrictions',' Quota ',' Gunain ',' Quota ',' Unlimited ',' As wide as', 'heart', 'moved', 'DRPD', 'loss',' buy ',' Package ',' Telkomsel ',' expensive ', ""]")</f>
        <v>['Read', 'comment', 'Mending', 'Moving', 'Operator', 'Telkomsel', 'Enforce', 'Restrictions',' Quota ',' Gunain ',' Quota ',' Unlimited ',' As wide as', 'heart', 'moved', 'DRPD', 'loss',' buy ',' Package ',' Telkomsel ',' expensive ', "]</v>
      </c>
      <c r="D1246" s="3">
        <v>1.0</v>
      </c>
    </row>
    <row r="1247" ht="15.75" customHeight="1">
      <c r="A1247" s="1">
        <v>1245.0</v>
      </c>
      <c r="B1247" s="3" t="s">
        <v>1248</v>
      </c>
      <c r="C1247" s="3" t="str">
        <f>IFERROR(__xludf.DUMMYFUNCTION("GOOGLETRANSLATE(B1247,""id"",""en"")"),"['What', 'Telkomsel', 'price', 'package', 'contents', 'package', 'according to', 'purchase', 'disappointed', 'see', 'Telkomsel', 'according to' facts', 'data', 'package', 'liar', 'public', 'disappointed', 'Telkomsel']")</f>
        <v>['What', 'Telkomsel', 'price', 'package', 'contents', 'package', 'according to', 'purchase', 'disappointed', 'see', 'Telkomsel', 'according to' facts', 'data', 'package', 'liar', 'public', 'disappointed', 'Telkomsel']</v>
      </c>
      <c r="D1247" s="3">
        <v>1.0</v>
      </c>
    </row>
    <row r="1248" ht="15.75" customHeight="1">
      <c r="A1248" s="1">
        <v>1246.0</v>
      </c>
      <c r="B1248" s="3" t="s">
        <v>1249</v>
      </c>
      <c r="C1248" s="3" t="str">
        <f>IFERROR(__xludf.DUMMYFUNCTION("GOOGLETRANSLATE(B1248,""id"",""en"")"),"['hard', 'here', 'internet', 'Telkomsel', 'slow', 'Embed', 'Embed', 'package', 'combo', 'quota', 'dipake', 'tetep', ' quota ',' main ',' hit ',' try ',' active ',' package ',' following ',' active ',' number ',' sometimes', 'at home', 'use', 'wifi' , 'Som"&amp;"etimes',' leftovers', 'Sometimes',' quota ',' right ',' outside ',' package ',' run out ',' hit ',' pulse ',' main ',' hamsyong ',' Nomers', 'Telkomsel', 'already', 'th', 'replace', 'skrg', 'disappointed', 'heavy', ""]")</f>
        <v>['hard', 'here', 'internet', 'Telkomsel', 'slow', 'Embed', 'Embed', 'package', 'combo', 'quota', 'dipake', 'tetep', ' quota ',' main ',' hit ',' try ',' active ',' package ',' following ',' active ',' number ',' sometimes', 'at home', 'use', 'wifi' , 'Sometimes',' leftovers', 'Sometimes',' quota ',' right ',' outside ',' package ',' run out ',' hit ',' pulse ',' main ',' hamsyong ',' Nomers', 'Telkomsel', 'already', 'th', 'replace', 'skrg', 'disappointed', 'heavy', "]</v>
      </c>
      <c r="D1248" s="3">
        <v>2.0</v>
      </c>
    </row>
    <row r="1249" ht="15.75" customHeight="1">
      <c r="A1249" s="1">
        <v>1247.0</v>
      </c>
      <c r="B1249" s="3" t="s">
        <v>1250</v>
      </c>
      <c r="C1249" s="3" t="str">
        <f>IFERROR(__xludf.DUMMYFUNCTION("GOOGLETRANSLATE(B1249,""id"",""en"")"),"['Signal', 'Telkom', 'plump', 'KNPA', 'Ngegame', 'Like', 'ilang', 'then', 'broken', 'Please', 'fix', 'ping', ' JGAN ',' package ',' expensive ',' quality ',' signal ',' ugly ',' users', 'Telkom', 'disappointed', 'trmksh', ""]")</f>
        <v>['Signal', 'Telkom', 'plump', 'KNPA', 'Ngegame', 'Like', 'ilang', 'then', 'broken', 'Please', 'fix', 'ping', ' JGAN ',' package ',' expensive ',' quality ',' signal ',' ugly ',' users', 'Telkom', 'disappointed', 'trmksh', "]</v>
      </c>
      <c r="D1249" s="3">
        <v>1.0</v>
      </c>
    </row>
    <row r="1250" ht="15.75" customHeight="1">
      <c r="A1250" s="1">
        <v>1248.0</v>
      </c>
      <c r="B1250" s="3" t="s">
        <v>1251</v>
      </c>
      <c r="C1250" s="3" t="str">
        <f>IFERROR(__xludf.DUMMYFUNCTION("GOOGLETRANSLATE(B1250,""id"",""en"")"),"['See', 'Negative', 'Negative', 'GMANA', 'Telkomsel', 'Rich', 'Gini', 'Card', 'Considered', 'Best', 'BURIK', 'Network']")</f>
        <v>['See', 'Negative', 'Negative', 'GMANA', 'Telkomsel', 'Rich', 'Gini', 'Card', 'Considered', 'Best', 'BURIK', 'Network']</v>
      </c>
      <c r="D1250" s="3">
        <v>1.0</v>
      </c>
    </row>
    <row r="1251" ht="15.75" customHeight="1">
      <c r="A1251" s="1">
        <v>1249.0</v>
      </c>
      <c r="B1251" s="3" t="s">
        <v>1252</v>
      </c>
      <c r="C1251" s="3" t="str">
        <f>IFERROR(__xludf.DUMMYFUNCTION("GOOGLETRANSLATE(B1251,""id"",""en"")"),"['Please', 'Signal', 'Internet', 'Telkomsel', 'Fix', 'Check', 'Data', 'Application', 'Telkomsel', 'Loading', 'Failed', 'Signal', ' use ',' speed ',' close ',' eyes', 'ear', 'hi', 'Telkomsel', 'Sudocations',' disappointed ',' service ', ""]")</f>
        <v>['Please', 'Signal', 'Internet', 'Telkomsel', 'Fix', 'Check', 'Data', 'Application', 'Telkomsel', 'Loading', 'Failed', 'Signal', ' use ',' speed ',' close ',' eyes', 'ear', 'hi', 'Telkomsel', 'Sudocations',' disappointed ',' service ', "]</v>
      </c>
      <c r="D1251" s="3">
        <v>1.0</v>
      </c>
    </row>
    <row r="1252" ht="15.75" customHeight="1">
      <c r="A1252" s="1">
        <v>1250.0</v>
      </c>
      <c r="B1252" s="3" t="s">
        <v>1253</v>
      </c>
      <c r="C1252" s="3" t="str">
        <f>IFERROR(__xludf.DUMMYFUNCTION("GOOGLETRANSLATE(B1252,""id"",""en"")"),"['Search', 'profit', 'gini', 'times',' price ',' package ',' network ',' rotten ',' better ',' roll ',' mat ',' price ',' Package ',' according to ',' Quality ',' Network ']")</f>
        <v>['Search', 'profit', 'gini', 'times',' price ',' package ',' network ',' rotten ',' better ',' roll ',' mat ',' price ',' Package ',' according to ',' Quality ',' Network ']</v>
      </c>
      <c r="D1252" s="3">
        <v>1.0</v>
      </c>
    </row>
    <row r="1253" ht="15.75" customHeight="1">
      <c r="A1253" s="1">
        <v>1251.0</v>
      </c>
      <c r="B1253" s="3" t="s">
        <v>1254</v>
      </c>
      <c r="C1253" s="3" t="str">
        <f>IFERROR(__xludf.DUMMYFUNCTION("GOOGLETRANSLATE(B1253,""id"",""en"")"),"['price', 'package', 'internet', 'monthly', 'expensive', 'expensive', 'choice', 'quality', 'network', 'stable', 'hope', 'operator', ' Fast ',' forward ',' Leave ',' Telkomsel ',' diverts', ""]")</f>
        <v>['price', 'package', 'internet', 'monthly', 'expensive', 'expensive', 'choice', 'quality', 'network', 'stable', 'hope', 'operator', ' Fast ',' forward ',' Leave ',' Telkomsel ',' diverts', "]</v>
      </c>
      <c r="D1253" s="3">
        <v>1.0</v>
      </c>
    </row>
    <row r="1254" ht="15.75" customHeight="1">
      <c r="A1254" s="1">
        <v>1252.0</v>
      </c>
      <c r="B1254" s="3" t="s">
        <v>1255</v>
      </c>
      <c r="C1254" s="3" t="str">
        <f>IFERROR(__xludf.DUMMYFUNCTION("GOOGLETRANSLATE(B1254,""id"",""en"")"),"['Network', 'Telkomsel', 'Rain', 'Severe', 'Bener', 'Signal', 'Full', 'Dipake', 'Play', 'Game', 'Severe', 'Bener', ' Rich ',' signal ',' break up ',' ']")</f>
        <v>['Network', 'Telkomsel', 'Rain', 'Severe', 'Bener', 'Signal', 'Full', 'Dipake', 'Play', 'Game', 'Severe', 'Bener', ' Rich ',' signal ',' break up ',' ']</v>
      </c>
      <c r="D1254" s="3">
        <v>1.0</v>
      </c>
    </row>
    <row r="1255" ht="15.75" customHeight="1">
      <c r="A1255" s="1">
        <v>1253.0</v>
      </c>
      <c r="B1255" s="3" t="s">
        <v>1256</v>
      </c>
      <c r="C1255" s="3" t="str">
        <f>IFERROR(__xludf.DUMMYFUNCTION("GOOGLETRANSLATE(B1255,""id"",""en"")"),"['Accident', 'Telkomsel', 'Activine', 'Data', 'Buy', 'Package', 'Internet', 'APK', 'Telkomsel', 'Cut', 'Active', 'Data', ' Message ',' Notification ',' Credit ',' Cutting ',' Direct ',' Enter ',' Data ',' Activate ',' second ',' and then ',' Login ',' APK"&amp;" ',' Please ' , 'make', 'safety', 'pulse', 'truncated', 'data', 'internet', 'active', '']")</f>
        <v>['Accident', 'Telkomsel', 'Activine', 'Data', 'Buy', 'Package', 'Internet', 'APK', 'Telkomsel', 'Cut', 'Active', 'Data', ' Message ',' Notification ',' Credit ',' Cutting ',' Direct ',' Enter ',' Data ',' Activate ',' second ',' and then ',' Login ',' APK ',' Please ' , 'make', 'safety', 'pulse', 'truncated', 'data', 'internet', 'active', '']</v>
      </c>
      <c r="D1255" s="3">
        <v>1.0</v>
      </c>
    </row>
    <row r="1256" ht="15.75" customHeight="1">
      <c r="A1256" s="1">
        <v>1254.0</v>
      </c>
      <c r="B1256" s="3" t="s">
        <v>1257</v>
      </c>
      <c r="C1256" s="3" t="str">
        <f>IFERROR(__xludf.DUMMYFUNCTION("GOOGLETRANSLATE(B1256,""id"",""en"")"),"['promo', 'users',' subscriptions', 'Telkomsel', 'friends',' friends', 'users',' rare ',' Telkomsel ',' promo ',' package ',' all-round ',' inexpensive']")</f>
        <v>['promo', 'users',' subscriptions', 'Telkomsel', 'friends',' friends', 'users',' rare ',' Telkomsel ',' promo ',' package ',' all-round ',' inexpensive']</v>
      </c>
      <c r="D1256" s="3">
        <v>1.0</v>
      </c>
    </row>
    <row r="1257" ht="15.75" customHeight="1">
      <c r="A1257" s="1">
        <v>1255.0</v>
      </c>
      <c r="B1257" s="3" t="s">
        <v>1258</v>
      </c>
      <c r="C1257" s="3" t="str">
        <f>IFERROR(__xludf.DUMMYFUNCTION("GOOGLETRANSLATE(B1257,""id"",""en"")"),"['Network', 'good', 'slow', 'browsing', 'play', 'game', 'Telkomsel', 'signal', 'weak', 'quota', 'drained', 'run out', ' According to ',' usage ',' ']")</f>
        <v>['Network', 'good', 'slow', 'browsing', 'play', 'game', 'Telkomsel', 'signal', 'weak', 'quota', 'drained', 'run out', ' According to ',' usage ',' ']</v>
      </c>
      <c r="D1257" s="3">
        <v>1.0</v>
      </c>
    </row>
    <row r="1258" ht="15.75" customHeight="1">
      <c r="A1258" s="1">
        <v>1256.0</v>
      </c>
      <c r="B1258" s="3" t="s">
        <v>1259</v>
      </c>
      <c r="C1258" s="3" t="str">
        <f>IFERROR(__xludf.DUMMYFUNCTION("GOOGLETRANSLATE(B1258,""id"",""en"")"),"['buy', 'Telkomsel', 'package', 'unlimited', 'quota', 'main', 'already', 'run out', 'network', 'good', 'open', 'sosmed', ' Tiktok ',' etc. ',' quota ',' mainly ',' already ',' run out ',' just ',' doang ',' already ',' ngk ', ""]")</f>
        <v>['buy', 'Telkomsel', 'package', 'unlimited', 'quota', 'main', 'already', 'run out', 'network', 'good', 'open', 'sosmed', ' Tiktok ',' etc. ',' quota ',' mainly ',' already ',' run out ',' just ',' doang ',' already ',' ngk ', "]</v>
      </c>
      <c r="D1258" s="3">
        <v>1.0</v>
      </c>
    </row>
    <row r="1259" ht="15.75" customHeight="1">
      <c r="A1259" s="1">
        <v>1257.0</v>
      </c>
      <c r="B1259" s="3" t="s">
        <v>1260</v>
      </c>
      <c r="C1259" s="3" t="str">
        <f>IFERROR(__xludf.DUMMYFUNCTION("GOOGLETRANSLATE(B1259,""id"",""en"")"),"['Gatau', 'here', 'Bad', 'The network', 'my place', 'near', 'Tower', 'streaming', 'in place', 'smooth', 'sometimes',' delay ',' Kayak ',' Price ',' Data ',' Nambah ',' No ',' Correction ',' Trouble ',' Price ',' yeah ',' Good ']")</f>
        <v>['Gatau', 'here', 'Bad', 'The network', 'my place', 'near', 'Tower', 'streaming', 'in place', 'smooth', 'sometimes',' delay ',' Kayak ',' Price ',' Data ',' Nambah ',' No ',' Correction ',' Trouble ',' Price ',' yeah ',' Good ']</v>
      </c>
      <c r="D1259" s="3">
        <v>1.0</v>
      </c>
    </row>
    <row r="1260" ht="15.75" customHeight="1">
      <c r="A1260" s="1">
        <v>1258.0</v>
      </c>
      <c r="B1260" s="3" t="s">
        <v>1261</v>
      </c>
      <c r="C1260" s="3" t="str">
        <f>IFERROR(__xludf.DUMMYFUNCTION("GOOGLETRANSLATE(B1260,""id"",""en"")"),"['ugly', 'really', 'enter', 'difficult', 'click', 'link', 'visits',' appears', 'sms',' right ',' gini ',' malesin ',' really ',' buy ',' package ',' rich ',' next door ',' easy ',' replace ',' card ',' Malesin ', ""]")</f>
        <v>['ugly', 'really', 'enter', 'difficult', 'click', 'link', 'visits',' appears', 'sms',' right ',' gini ',' malesin ',' really ',' buy ',' package ',' rich ',' next door ',' easy ',' replace ',' card ',' Malesin ', "]</v>
      </c>
      <c r="D1260" s="3">
        <v>1.0</v>
      </c>
    </row>
    <row r="1261" ht="15.75" customHeight="1">
      <c r="A1261" s="1">
        <v>1259.0</v>
      </c>
      <c r="B1261" s="3" t="s">
        <v>1262</v>
      </c>
      <c r="C1261" s="3" t="str">
        <f>IFERROR(__xludf.DUMMYFUNCTION("GOOGLETRANSLATE(B1261,""id"",""en"")"),"['Network', 'unlimited', 'game', 'slow', 'really', 'play', 'lose', 'gegara', 'signal', 'down', 'loss',' mending ',' Unlimited ',' Season ',' Please ',' Repaired ',' Network ',' Unlimited ',' Game ',' ']")</f>
        <v>['Network', 'unlimited', 'game', 'slow', 'really', 'play', 'lose', 'gegara', 'signal', 'down', 'loss',' mending ',' Unlimited ',' Season ',' Please ',' Repaired ',' Network ',' Unlimited ',' Game ',' ']</v>
      </c>
      <c r="D1261" s="3">
        <v>1.0</v>
      </c>
    </row>
    <row r="1262" ht="15.75" customHeight="1">
      <c r="A1262" s="1">
        <v>1260.0</v>
      </c>
      <c r="B1262" s="3" t="s">
        <v>1263</v>
      </c>
      <c r="C1262" s="3" t="str">
        <f>IFERROR(__xludf.DUMMYFUNCTION("GOOGLETRANSLATE(B1262,""id"",""en"")"),"['Wear', 'Telkomsel', 'Telkomsel', 'Where', 'Quality', 'Network', 'Satisfying', 'Love', 'Suggestions',' Customer ',' Combo ',' Sakti ',' unlimited ',' price ',' koq ',' beg "", 'facilitated', 'donk', 'min', '']")</f>
        <v>['Wear', 'Telkomsel', 'Telkomsel', 'Where', 'Quality', 'Network', 'Satisfying', 'Love', 'Suggestions',' Customer ',' Combo ',' Sakti ',' unlimited ',' price ',' koq ',' beg ", 'facilitated', 'donk', 'min', '']</v>
      </c>
      <c r="D1262" s="3">
        <v>5.0</v>
      </c>
    </row>
    <row r="1263" ht="15.75" customHeight="1">
      <c r="A1263" s="1">
        <v>1261.0</v>
      </c>
      <c r="B1263" s="3" t="s">
        <v>1264</v>
      </c>
      <c r="C1263" s="3" t="str">
        <f>IFERROR(__xludf.DUMMYFUNCTION("GOOGLETRANSLATE(B1263,""id"",""en"")"),"['Liking', 'best', 'Telkomsel', 'network', 'best', 'decreases',' quality ',' signal ',' network ',' expensive ',' package ',' data ',' network ',' Telkomsel ',' deteriorate ',' ']")</f>
        <v>['Liking', 'best', 'Telkomsel', 'network', 'best', 'decreases',' quality ',' signal ',' network ',' expensive ',' package ',' data ',' network ',' Telkomsel ',' deteriorate ',' ']</v>
      </c>
      <c r="D1263" s="3">
        <v>3.0</v>
      </c>
    </row>
    <row r="1264" ht="15.75" customHeight="1">
      <c r="A1264" s="1">
        <v>1262.0</v>
      </c>
      <c r="B1264" s="3" t="s">
        <v>1265</v>
      </c>
      <c r="C1264" s="3" t="str">
        <f>IFERROR(__xludf.DUMMYFUNCTION("GOOGLETRANSLATE(B1264,""id"",""en"")"),"['Lost', 'Connection', 'Please', 'Telkom', 'Ranked', 'AFK', 'Gara', 'Signal', 'Lost', 'Disappointing', '']")</f>
        <v>['Lost', 'Connection', 'Please', 'Telkom', 'Ranked', 'AFK', 'Gara', 'Signal', 'Lost', 'Disappointing', '']</v>
      </c>
      <c r="D1264" s="3">
        <v>1.0</v>
      </c>
    </row>
    <row r="1265" ht="15.75" customHeight="1">
      <c r="A1265" s="1">
        <v>1263.0</v>
      </c>
      <c r="B1265" s="3" t="s">
        <v>1266</v>
      </c>
      <c r="C1265" s="3" t="str">
        <f>IFERROR(__xludf.DUMMYFUNCTION("GOOGLETRANSLATE(B1265,""id"",""en"")"),"['Telkomsel', 'istighfar', 'good', 'network', 'ugly', 'me', 'recommendation', 'confused', 'looked', 'card', 'fixs',' Nikartu ',' replace ',' card ',' munkin ',' sail ',' replace ',' card ',' quality ',' just ',' think ',' abandoned ',' star ',' goverty ',"&amp;"' star ' , 'QUALITY', 'CARD', 'AXIS', 'Tri', 'Good']")</f>
        <v>['Telkomsel', 'istighfar', 'good', 'network', 'ugly', 'me', 'recommendation', 'confused', 'looked', 'card', 'fixs',' Nikartu ',' replace ',' card ',' munkin ',' sail ',' replace ',' card ',' quality ',' just ',' think ',' abandoned ',' star ',' goverty ',' star ' , 'QUALITY', 'CARD', 'AXIS', 'Tri', 'Good']</v>
      </c>
      <c r="D1265" s="3">
        <v>1.0</v>
      </c>
    </row>
    <row r="1266" ht="15.75" customHeight="1">
      <c r="A1266" s="1">
        <v>1264.0</v>
      </c>
      <c r="B1266" s="3" t="s">
        <v>1267</v>
      </c>
      <c r="C1266" s="3" t="str">
        <f>IFERROR(__xludf.DUMMYFUNCTION("GOOGLETRANSLATE(B1266,""id"",""en"")"),"['run out', 'Kuata', 'confused', 'Search', 'Where', 'Easy', 'Light', 'Network', 'Stable', 'Pool', 'Anyway', 'Max', ' very']")</f>
        <v>['run out', 'Kuata', 'confused', 'Search', 'Where', 'Easy', 'Light', 'Network', 'Stable', 'Pool', 'Anyway', 'Max', ' very']</v>
      </c>
      <c r="D1266" s="3">
        <v>5.0</v>
      </c>
    </row>
    <row r="1267" ht="15.75" customHeight="1">
      <c r="A1267" s="1">
        <v>1265.0</v>
      </c>
      <c r="B1267" s="3" t="s">
        <v>1268</v>
      </c>
      <c r="C1267" s="3" t="str">
        <f>IFERROR(__xludf.DUMMYFUNCTION("GOOGLETRANSLATE(B1267,""id"",""en"")"),"['Kwota', 'fast', 'run out', 'gave', 'sincere', 'plus',' so ',' times', 'contents',' pulse ',' Rb ',' given ',' Points', 'KLW', 'given', 'Sich', 'Fear', 'Fear', 'card', 'cheap', ""]")</f>
        <v>['Kwota', 'fast', 'run out', 'gave', 'sincere', 'plus',' so ',' times', 'contents',' pulse ',' Rb ',' given ',' Points', 'KLW', 'given', 'Sich', 'Fear', 'Fear', 'card', 'cheap', "]</v>
      </c>
      <c r="D1267" s="3">
        <v>1.0</v>
      </c>
    </row>
    <row r="1268" ht="15.75" customHeight="1">
      <c r="A1268" s="1">
        <v>1266.0</v>
      </c>
      <c r="B1268" s="3" t="s">
        <v>1269</v>
      </c>
      <c r="C1268" s="3" t="str">
        <f>IFERROR(__xludf.DUMMYFUNCTION("GOOGLETRANSLATE(B1268,""id"",""en"")"),"['Telkomsel', 'provider', 'Terrible', 'KSM', 'groups', 'price', 'package', 'economy', 'weakened', 'Telkomsel', 'torture', ""]")</f>
        <v>['Telkomsel', 'provider', 'Terrible', 'KSM', 'groups', 'price', 'package', 'economy', 'weakened', 'Telkomsel', 'torture', "]</v>
      </c>
      <c r="D1268" s="3">
        <v>1.0</v>
      </c>
    </row>
    <row r="1269" ht="15.75" customHeight="1">
      <c r="A1269" s="1">
        <v>1267.0</v>
      </c>
      <c r="B1269" s="3" t="s">
        <v>1270</v>
      </c>
      <c r="C1269" s="3" t="str">
        <f>IFERROR(__xludf.DUMMYFUNCTION("GOOGLETRANSLATE(B1269,""id"",""en"")"),"['The application', 'good', 'makes it easy', 'transaction', 'purchase', 'package', 'communication', 'need', 'request', 'personal', 'nelfon', 'operator', ' Diadain ',' Package ',' Data ',' Internet ',' Complete ',' Purchase ',' Success', 'Telkomsel', 'Team"&amp;"']")</f>
        <v>['The application', 'good', 'makes it easy', 'transaction', 'purchase', 'package', 'communication', 'need', 'request', 'personal', 'nelfon', 'operator', ' Diadain ',' Package ',' Data ',' Internet ',' Complete ',' Purchase ',' Success', 'Telkomsel', 'Team']</v>
      </c>
      <c r="D1269" s="3">
        <v>5.0</v>
      </c>
    </row>
    <row r="1270" ht="15.75" customHeight="1">
      <c r="A1270" s="1">
        <v>1268.0</v>
      </c>
      <c r="B1270" s="3" t="s">
        <v>1271</v>
      </c>
      <c r="C1270" s="3" t="str">
        <f>IFERROR(__xludf.DUMMYFUNCTION("GOOGLETRANSLATE(B1270,""id"",""en"")"),"['difficult', 'open', 'application', 'open', 'like', 'the application', 'gini', 'the application', 'gerangan', 'please', 'explanation', 'fix', ' system']")</f>
        <v>['difficult', 'open', 'application', 'open', 'like', 'the application', 'gini', 'the application', 'gerangan', 'please', 'explanation', 'fix', ' system']</v>
      </c>
      <c r="D1270" s="3">
        <v>1.0</v>
      </c>
    </row>
    <row r="1271" ht="15.75" customHeight="1">
      <c r="A1271" s="1">
        <v>1269.0</v>
      </c>
      <c r="B1271" s="3" t="s">
        <v>1272</v>
      </c>
      <c r="C1271" s="3" t="str">
        <f>IFERROR(__xludf.DUMMYFUNCTION("GOOGLETRANSLATE(B1271,""id"",""en"")"),"['garbage', 'network', 'use', 'ngelag', 'satisfying', 'customer', 'quota', 'expensive', 'no', 'enjoyed', 'move', 'stable', ' Cheap ',' quota ',' TelkomTod ',' asw ', ""]")</f>
        <v>['garbage', 'network', 'use', 'ngelag', 'satisfying', 'customer', 'quota', 'expensive', 'no', 'enjoyed', 'move', 'stable', ' Cheap ',' quota ',' TelkomTod ',' asw ', "]</v>
      </c>
      <c r="D1271" s="3">
        <v>1.0</v>
      </c>
    </row>
    <row r="1272" ht="15.75" customHeight="1">
      <c r="A1272" s="1">
        <v>1270.0</v>
      </c>
      <c r="B1272" s="3" t="s">
        <v>1273</v>
      </c>
      <c r="C1272" s="3" t="str">
        <f>IFERROR(__xludf.DUMMYFUNCTION("GOOGLETRANSLATE(B1272,""id"",""en"")"),"['person', 'gave', 'star', 'Review', 'knp', 'rating', 'fraud', 'gmn', 'the application', 'slow', 'please', 'repair', ' ']")</f>
        <v>['person', 'gave', 'star', 'Review', 'knp', 'rating', 'fraud', 'gmn', 'the application', 'slow', 'please', 'repair', ' ']</v>
      </c>
      <c r="D1272" s="3">
        <v>1.0</v>
      </c>
    </row>
    <row r="1273" ht="15.75" customHeight="1">
      <c r="A1273" s="1">
        <v>1271.0</v>
      </c>
      <c r="B1273" s="3" t="s">
        <v>1274</v>
      </c>
      <c r="C1273" s="3" t="str">
        <f>IFERROR(__xludf.DUMMYFUNCTION("GOOGLETRANSLATE(B1273,""id"",""en"")"),"['Bismilah', 'assalamu', 'alaikum', 'warahmatullah', 'wabarakatuh', 'user', 'member', 'Telkomsel', 'loyal', 'fulfilled', 'appreciation', 'gift', ' main ',' gift ',' like ',' hope ',' times', 'lucky', 'gift', 'tsb', 'happy', 'family', 'aamiin', 'robball', "&amp;"'naturalin' , '']")</f>
        <v>['Bismilah', 'assalamu', 'alaikum', 'warahmatullah', 'wabarakatuh', 'user', 'member', 'Telkomsel', 'loyal', 'fulfilled', 'appreciation', 'gift', ' main ',' gift ',' like ',' hope ',' times', 'lucky', 'gift', 'tsb', 'happy', 'family', 'aamiin', 'robball', 'naturalin' , '']</v>
      </c>
      <c r="D1273" s="3">
        <v>5.0</v>
      </c>
    </row>
    <row r="1274" ht="15.75" customHeight="1">
      <c r="A1274" s="1">
        <v>1272.0</v>
      </c>
      <c r="B1274" s="3" t="s">
        <v>1275</v>
      </c>
      <c r="C1274" s="3" t="str">
        <f>IFERROR(__xludf.DUMMYFUNCTION("GOOGLETRANSLATE(B1274,""id"",""en"")"),"['Kenap', 'Telkomsel', 'Buy', 'Package', 'Promo', 'GB', 'Heart', 'Direct', 'On', 'Try', 'Ber', 'times',' Tetep ',' turn ',' buy ',' package ',' emng ',' telkomsel ',' display ',' mending ',' apus', 'system', 'suck', 'pulse', 'turn on' , 'Data', 'right', '"&amp;"package', '']")</f>
        <v>['Kenap', 'Telkomsel', 'Buy', 'Package', 'Promo', 'GB', 'Heart', 'Direct', 'On', 'Try', 'Ber', 'times',' Tetep ',' turn ',' buy ',' package ',' emng ',' telkomsel ',' display ',' mending ',' apus', 'system', 'suck', 'pulse', 'turn on' , 'Data', 'right', 'package', '']</v>
      </c>
      <c r="D1274" s="3">
        <v>1.0</v>
      </c>
    </row>
    <row r="1275" ht="15.75" customHeight="1">
      <c r="A1275" s="1">
        <v>1273.0</v>
      </c>
      <c r="B1275" s="3" t="s">
        <v>1276</v>
      </c>
      <c r="C1275" s="3" t="str">
        <f>IFERROR(__xludf.DUMMYFUNCTION("GOOGLETRANSLATE(B1275,""id"",""en"")"),"['update', 'confused', 'chek', 'stamp', 'gift', 'MB', 'chek', 'Considered', 'quota', 'get', 'retreat', 'Telkomsel', ' ']")</f>
        <v>['update', 'confused', 'chek', 'stamp', 'gift', 'MB', 'chek', 'Considered', 'quota', 'get', 'retreat', 'Telkomsel', ' ']</v>
      </c>
      <c r="D1275" s="3">
        <v>1.0</v>
      </c>
    </row>
    <row r="1276" ht="15.75" customHeight="1">
      <c r="A1276" s="1">
        <v>1274.0</v>
      </c>
      <c r="B1276" s="3" t="s">
        <v>1277</v>
      </c>
      <c r="C1276" s="3" t="str">
        <f>IFERROR(__xludf.DUMMYFUNCTION("GOOGLETRANSLATE(B1276,""id"",""en"")"),"['hope', 'service', 'network', 'good', 'Telkomsel', 'network', 'Telkomsel', 'good', 'good', 'promotion', 'promotion', 'thank you', ' Telkomsel ']")</f>
        <v>['hope', 'service', 'network', 'good', 'Telkomsel', 'network', 'Telkomsel', 'good', 'good', 'promotion', 'promotion', 'thank you', ' Telkomsel ']</v>
      </c>
      <c r="D1276" s="3">
        <v>5.0</v>
      </c>
    </row>
    <row r="1277" ht="15.75" customHeight="1">
      <c r="A1277" s="1">
        <v>1275.0</v>
      </c>
      <c r="B1277" s="3" t="s">
        <v>1278</v>
      </c>
      <c r="C1277" s="3" t="str">
        <f>IFERROR(__xludf.DUMMYFUNCTION("GOOGLETRANSLATE(B1277,""id"",""en"")"),"['', 'PHP', 'Woii', 'Sukanya', 'Send', 'SMS', 'Package', 'Internet', 'Cheap', 'Try', 'No', 'Combo', 'Sakti ',' SMS ',' rates', 'ngactivein', 'package', 'sms',' package ',' data ',' special ',' GB ',' tried ',' sin ',' php ', '']")</f>
        <v>['', 'PHP', 'Woii', 'Sukanya', 'Send', 'SMS', 'Package', 'Internet', 'Cheap', 'Try', 'No', 'Combo', 'Sakti ',' SMS ',' rates', 'ngactivein', 'package', 'sms',' package ',' data ',' special ',' GB ',' tried ',' sin ',' php ', '']</v>
      </c>
      <c r="D1277" s="3">
        <v>1.0</v>
      </c>
    </row>
    <row r="1278" ht="15.75" customHeight="1">
      <c r="A1278" s="1">
        <v>1276.0</v>
      </c>
      <c r="B1278" s="3" t="s">
        <v>1279</v>
      </c>
      <c r="C1278" s="3" t="str">
        <f>IFERROR(__xludf.DUMMYFUNCTION("GOOGLETRANSLATE(B1278,""id"",""en"")"),"['Package', 'Multimedia', 'How', 'Nge', 'Game', 'Slow', 'Forgiveness',' Telkomsel ',' Customer ',' Restless', 'Gini', 'Mending', ' Buy ',' Package ',' Card ',' ']")</f>
        <v>['Package', 'Multimedia', 'How', 'Nge', 'Game', 'Slow', 'Forgiveness',' Telkomsel ',' Customer ',' Restless', 'Gini', 'Mending', ' Buy ',' Package ',' Card ',' ']</v>
      </c>
      <c r="D1278" s="3">
        <v>1.0</v>
      </c>
    </row>
    <row r="1279" ht="15.75" customHeight="1">
      <c r="A1279" s="1">
        <v>1277.0</v>
      </c>
      <c r="B1279" s="3" t="s">
        <v>1280</v>
      </c>
      <c r="C1279" s="3" t="str">
        <f>IFERROR(__xludf.DUMMYFUNCTION("GOOGLETRANSLATE(B1279,""id"",""en"")"),"['poor', 'package', 'internet', 'night', 'buy', 'omitted', 'application', 'Telkomsel', 'love', 'tomorrow', 'already', 'appears',' Repaired ',' Assessment ',' star ',' ']")</f>
        <v>['poor', 'package', 'internet', 'night', 'buy', 'omitted', 'application', 'Telkomsel', 'love', 'tomorrow', 'already', 'appears',' Repaired ',' Assessment ',' star ',' ']</v>
      </c>
      <c r="D1279" s="3">
        <v>1.0</v>
      </c>
    </row>
    <row r="1280" ht="15.75" customHeight="1">
      <c r="A1280" s="1">
        <v>1278.0</v>
      </c>
      <c r="B1280" s="3" t="s">
        <v>1281</v>
      </c>
      <c r="C1280" s="3" t="str">
        <f>IFERROR(__xludf.DUMMYFUNCTION("GOOGLETRANSLATE(B1280,""id"",""en"")"),"['Oeeeeee', 'Telkomsel', 'crazy', 'luuuuu', 'expensive', 'luuuuu', 'haaaa', 'please', 'expensive', 'expensive', 'kasian', 'people', ' poor ',' ride ',' thousand ',' ngisih ',' pulse ',' thousand ',' GB ',' money ',' thousand ',' return ',' thousand ',' th"&amp;"ousand ',' thousand ' , 'GB', 'No', 'contents',' thousand ',' money ',' thousand ',' thousand ',' expensive ',' Please ',' understanding ',' wahaii ',' people ',' TKSL ',' ']")</f>
        <v>['Oeeeeee', 'Telkomsel', 'crazy', 'luuuuu', 'expensive', 'luuuuu', 'haaaa', 'please', 'expensive', 'expensive', 'kasian', 'people', ' poor ',' ride ',' thousand ',' ngisih ',' pulse ',' thousand ',' GB ',' money ',' thousand ',' return ',' thousand ',' thousand ',' thousand ' , 'GB', 'No', 'contents',' thousand ',' money ',' thousand ',' thousand ',' expensive ',' Please ',' understanding ',' wahaii ',' people ',' TKSL ',' ']</v>
      </c>
      <c r="D1280" s="3">
        <v>1.0</v>
      </c>
    </row>
    <row r="1281" ht="15.75" customHeight="1">
      <c r="A1281" s="1">
        <v>1279.0</v>
      </c>
      <c r="B1281" s="3" t="s">
        <v>1282</v>
      </c>
      <c r="C1281" s="3" t="str">
        <f>IFERROR(__xludf.DUMMYFUNCTION("GOOGLETRANSLATE(B1281,""id"",""en"")"),"['already', 'contents',' pulse ',' gamukun ',' already ',' pay ',' gopay ',' balance ',' gopay ',' reduced ',' try ',' fill ',' Via ',' Gojek ',' enter ',' please ',' pulse ',' knya ',' put ',' back ',' deh ',' bald ',' gopay ']")</f>
        <v>['already', 'contents',' pulse ',' gamukun ',' already ',' pay ',' gopay ',' balance ',' gopay ',' reduced ',' try ',' fill ',' Via ',' Gojek ',' enter ',' please ',' pulse ',' knya ',' put ',' back ',' deh ',' bald ',' gopay ']</v>
      </c>
      <c r="D1281" s="3">
        <v>1.0</v>
      </c>
    </row>
    <row r="1282" ht="15.75" customHeight="1">
      <c r="A1282" s="1">
        <v>1280.0</v>
      </c>
      <c r="B1282" s="3" t="s">
        <v>1283</v>
      </c>
      <c r="C1282" s="3" t="str">
        <f>IFERROR(__xludf.DUMMYFUNCTION("GOOGLETRANSLATE(B1282,""id"",""en"")"),"['Suck', 'pulse', 'eat', 'money', 'business',' accountability ',' right ',' deed ',' ends', 'heart', 'heart', 'org', ' 'Kb,' Rp ',' screenshot ',' before ',' check ',' already ',' patch ',' Rp ',' quota ',' run out ',' Matiin ',' network ',' play ' , 'Com"&amp;"ot', 'pulse', 'Kmarin', 'enjoyed', 'money', 'business', 'Luuu', 'Thank', 'service', 'enthusiasm', 'continue', 'his business']")</f>
        <v>['Suck', 'pulse', 'eat', 'money', 'business',' accountability ',' right ',' deed ',' ends', 'heart', 'heart', 'org', ' 'Kb,' Rp ',' screenshot ',' before ',' check ',' already ',' patch ',' Rp ',' quota ',' run out ',' Matiin ',' network ',' play ' , 'Comot', 'pulse', 'Kmarin', 'enjoyed', 'money', 'business', 'Luuu', 'Thank', 'service', 'enthusiasm', 'continue', 'his business']</v>
      </c>
      <c r="D1282" s="3">
        <v>1.0</v>
      </c>
    </row>
    <row r="1283" ht="15.75" customHeight="1">
      <c r="A1283" s="1">
        <v>1281.0</v>
      </c>
      <c r="B1283" s="3" t="s">
        <v>1284</v>
      </c>
      <c r="C1283" s="3" t="str">
        <f>IFERROR(__xludf.DUMMYFUNCTION("GOOGLETRANSLATE(B1283,""id"",""en"")"),"['Telkomsel', 'network', 'like', 'lost', 'bad', 'weve', 'no', 'note', 'complaints',' user ',' already ',' price ',' expensive ',' good ',' destroyed ',' see ',' users', 'Telkomsel', 'moved', 'provider', 'care', 'complaints',' user ',' feel ', ""]")</f>
        <v>['Telkomsel', 'network', 'like', 'lost', 'bad', 'weve', 'no', 'note', 'complaints',' user ',' already ',' price ',' expensive ',' good ',' destroyed ',' see ',' users', 'Telkomsel', 'moved', 'provider', 'care', 'complaints',' user ',' feel ', "]</v>
      </c>
      <c r="D1283" s="3">
        <v>1.0</v>
      </c>
    </row>
    <row r="1284" ht="15.75" customHeight="1">
      <c r="A1284" s="1">
        <v>1282.0</v>
      </c>
      <c r="B1284" s="3" t="s">
        <v>1285</v>
      </c>
      <c r="C1284" s="3" t="str">
        <f>IFERROR(__xludf.DUMMYFUNCTION("GOOGLETRANSLATE(B1284,""id"",""en"")"),"['', 'Allah', 'Telkomsel', 'network', 'bad', 'network', 'disconnected', 'times', 'dead', 'data', 'turn on', 'bad']")</f>
        <v>['', 'Allah', 'Telkomsel', 'network', 'bad', 'network', 'disconnected', 'times', 'dead', 'data', 'turn on', 'bad']</v>
      </c>
      <c r="D1284" s="3">
        <v>1.0</v>
      </c>
    </row>
    <row r="1285" ht="15.75" customHeight="1">
      <c r="A1285" s="1">
        <v>1283.0</v>
      </c>
      <c r="B1285" s="3" t="s">
        <v>1286</v>
      </c>
      <c r="C1285" s="3" t="str">
        <f>IFERROR(__xludf.DUMMYFUNCTION("GOOGLETRANSLATE(B1285,""id"",""en"")"),"['Network', 'Telkom', 'Kntol', 'Reliable', 'Expensive', 'Package', 'Unlimited', 'Ngelag', 'Business',' Kayak ',' Kntol ',' Anjggg ',' SSCESESSS ',' ORG ',' MAKE ',' ELU ',' EASY ',' Meet ',' Fall ',' Rasain ',' What ',' User ',' Satisfied ']")</f>
        <v>['Network', 'Telkom', 'Kntol', 'Reliable', 'Expensive', 'Package', 'Unlimited', 'Ngelag', 'Business',' Kayak ',' Kntol ',' Anjggg ',' SSCESESSS ',' ORG ',' MAKE ',' ELU ',' EASY ',' Meet ',' Fall ',' Rasain ',' What ',' User ',' Satisfied ']</v>
      </c>
      <c r="D1285" s="3">
        <v>1.0</v>
      </c>
    </row>
    <row r="1286" ht="15.75" customHeight="1">
      <c r="A1286" s="1">
        <v>1284.0</v>
      </c>
      <c r="B1286" s="3" t="s">
        <v>1287</v>
      </c>
      <c r="C1286" s="3" t="str">
        <f>IFERROR(__xludf.DUMMYFUNCTION("GOOGLETRANSLATE(B1286,""id"",""en"")"),"['a month', 'Network', 'stable', 'Sometimes', 'Sometimes', 'Internet', 'Road', 'Package', 'Data', 'Support', 'Network', 'Severe']")</f>
        <v>['a month', 'Network', 'stable', 'Sometimes', 'Sometimes', 'Internet', 'Road', 'Package', 'Data', 'Support', 'Network', 'Severe']</v>
      </c>
      <c r="D1286" s="3">
        <v>1.0</v>
      </c>
    </row>
    <row r="1287" ht="15.75" customHeight="1">
      <c r="A1287" s="1">
        <v>1285.0</v>
      </c>
      <c r="B1287" s="3" t="s">
        <v>1288</v>
      </c>
      <c r="C1287" s="3" t="str">
        <f>IFERROR(__xludf.DUMMYFUNCTION("GOOGLETRANSLATE(B1287,""id"",""en"")"),"['customer', 'loyal', 'Telkomsel', 'package', 'expensive', 'tub', 'sultan', 'buy', 'org', 'great', 'Telkomsel', 'Rasain', ' The area ',' down ',' network ',' ber ',' expety ',' disappointed ',' game ',' disrupted ',' work ',' divergible ',' right ',' rela"&amp;"x ',' disturbing ' , 'Gara', 'Gara', 'network', 'slow', 'launcurin', 'BKN', 'good', 'slow', 'grateful', 'really', 'posts',' review ',' sigh']")</f>
        <v>['customer', 'loyal', 'Telkomsel', 'package', 'expensive', 'tub', 'sultan', 'buy', 'org', 'great', 'Telkomsel', 'Rasain', ' The area ',' down ',' network ',' ber ',' expety ',' disappointed ',' game ',' disrupted ',' work ',' divergible ',' right ',' relax ',' disturbing ' , 'Gara', 'Gara', 'network', 'slow', 'launcurin', 'BKN', 'good', 'slow', 'grateful', 'really', 'posts',' review ',' sigh']</v>
      </c>
      <c r="D1287" s="3">
        <v>1.0</v>
      </c>
    </row>
    <row r="1288" ht="15.75" customHeight="1">
      <c r="A1288" s="1">
        <v>1286.0</v>
      </c>
      <c r="B1288" s="3" t="s">
        <v>1289</v>
      </c>
      <c r="C1288" s="3" t="str">
        <f>IFERROR(__xludf.DUMMYFUNCTION("GOOGLETRANSLATE(B1288,""id"",""en"")"),"['Woy', 'Telkomsel', 'Please', 'Fix', 'Network', 'oath', 'cave', 'Season', 'really', 'signal', 'Telkomsel', 'era', ' already ',' forward ',' gini ',' signal ',' no ',' Nambah ',' good ',' ugly ',' already ',' price ',' quota ',' raised ',' strength ' , 'h"&amp;"is signal', 'Nambah', 'Bad', 'Basic', 'Telkomsel', 'Telkomsel', 'usually', 'Benefits',' UDH ',' Pandemic ',' Online ',' Sousy ',' ugly ',' disturbing ',' student ',' ']")</f>
        <v>['Woy', 'Telkomsel', 'Please', 'Fix', 'Network', 'oath', 'cave', 'Season', 'really', 'signal', 'Telkomsel', 'era', ' already ',' forward ',' gini ',' signal ',' no ',' Nambah ',' good ',' ugly ',' already ',' price ',' quota ',' raised ',' strength ' , 'his signal', 'Nambah', 'Bad', 'Basic', 'Telkomsel', 'Telkomsel', 'usually', 'Benefits',' UDH ',' Pandemic ',' Online ',' Sousy ',' ugly ',' disturbing ',' student ',' ']</v>
      </c>
      <c r="D1288" s="3">
        <v>1.0</v>
      </c>
    </row>
    <row r="1289" ht="15.75" customHeight="1">
      <c r="A1289" s="1">
        <v>1287.0</v>
      </c>
      <c r="B1289" s="3" t="s">
        <v>1290</v>
      </c>
      <c r="C1289" s="3" t="str">
        <f>IFERROR(__xludf.DUMMYFUNCTION("GOOGLETRANSLATE(B1289,""id"",""en"")"),"['Sometimes',' already ',' package ',' cook ',' pulse ',' main ',' package ',' call ',' already ',' active ',' bgtu ',' sometimes', ' Buy ',' Package ',' Internet ',' Quota ',' Masi ',' Pulse ',' Sumpot ',' Disappointed ',' Already ',' Tsel ',' Network ',"&amp;"' Sometimes', 'Stable' , 'skrg', 'like']")</f>
        <v>['Sometimes',' already ',' package ',' cook ',' pulse ',' main ',' package ',' call ',' already ',' active ',' bgtu ',' sometimes', ' Buy ',' Package ',' Internet ',' Quota ',' Masi ',' Pulse ',' Sumpot ',' Disappointed ',' Already ',' Tsel ',' Network ',' Sometimes', 'Stable' , 'skrg', 'like']</v>
      </c>
      <c r="D1289" s="3">
        <v>3.0</v>
      </c>
    </row>
    <row r="1290" ht="15.75" customHeight="1">
      <c r="A1290" s="1">
        <v>1288.0</v>
      </c>
      <c r="B1290" s="3" t="s">
        <v>1291</v>
      </c>
      <c r="C1290" s="3" t="str">
        <f>IFERROR(__xludf.DUMMYFUNCTION("GOOGLETRANSLATE(B1290,""id"",""en"")"),"['Gimanasih', 'Telkomsel', 'Many', 'Out', 'Figure', 'Credit', 'Package', 'Internet', 'Unlimited', 'Can', 'TLP', 'SMS', ' pulses', 'leftover', 'hose', 'clock', 'pulse', 'zero', 'use', 'phone', 'please', 'telkomsel', 'that's',' fix ',' service ' ]")</f>
        <v>['Gimanasih', 'Telkomsel', 'Many', 'Out', 'Figure', 'Credit', 'Package', 'Internet', 'Unlimited', 'Can', 'TLP', 'SMS', ' pulses', 'leftover', 'hose', 'clock', 'pulse', 'zero', 'use', 'phone', 'please', 'telkomsel', 'that's',' fix ',' service ' ]</v>
      </c>
      <c r="D1290" s="3">
        <v>1.0</v>
      </c>
    </row>
    <row r="1291" ht="15.75" customHeight="1">
      <c r="A1291" s="1">
        <v>1289.0</v>
      </c>
      <c r="B1291" s="3" t="s">
        <v>1292</v>
      </c>
      <c r="C1291" s="3" t="str">
        <f>IFERROR(__xludf.DUMMYFUNCTION("GOOGLETRANSLATE(B1291,""id"",""en"")"),"['Telkomsel', 'Region', 'Jabar', 'Network', 'Bad', 'Very', 'Quality', 'SPRTI', 'Bad', 'Normal', 'a month', 'Yesterday', ' signal ',' GPP ',' skarang ',' slow ',' really ',' severe ',' pkonya ',' disappointed ',' oath ']")</f>
        <v>['Telkomsel', 'Region', 'Jabar', 'Network', 'Bad', 'Very', 'Quality', 'SPRTI', 'Bad', 'Normal', 'a month', 'Yesterday', ' signal ',' GPP ',' skarang ',' slow ',' really ',' severe ',' pkonya ',' disappointed ',' oath ']</v>
      </c>
      <c r="D1291" s="3">
        <v>1.0</v>
      </c>
    </row>
    <row r="1292" ht="15.75" customHeight="1">
      <c r="A1292" s="1">
        <v>1290.0</v>
      </c>
      <c r="B1292" s="3" t="s">
        <v>1293</v>
      </c>
      <c r="C1292" s="3" t="str">
        <f>IFERROR(__xludf.DUMMYFUNCTION("GOOGLETRANSLATE(B1292,""id"",""en"")"),"['Matap', 'really', 'Telkomsel', 'Hopefully', 'going forward', 'good', 'service', 'salute', 'Telkomsel', 'Hopefully', 'Lottery', 'Telkomsel', ' Points', 'Amin', 'Amin', 'Amin', ""]")</f>
        <v>['Matap', 'really', 'Telkomsel', 'Hopefully', 'going forward', 'good', 'service', 'salute', 'Telkomsel', 'Hopefully', 'Lottery', 'Telkomsel', ' Points', 'Amin', 'Amin', 'Amin', "]</v>
      </c>
      <c r="D1292" s="3">
        <v>5.0</v>
      </c>
    </row>
    <row r="1293" ht="15.75" customHeight="1">
      <c r="A1293" s="1">
        <v>1291.0</v>
      </c>
      <c r="B1293" s="3" t="s">
        <v>1294</v>
      </c>
      <c r="C1293" s="3" t="str">
        <f>IFERROR(__xludf.DUMMYFUNCTION("GOOGLETRANSLATE(B1293,""id"",""en"")"),"['Bguss',' the application ',' just ',' network ',' Telkomsel ',' as good ',' cook ',' die ',' electricity ',' jgringan ',' missing ',' total ',' Special ',' City ',' Pekanbaru ',' Network ',' Belin ',' Customer ',' TDAK ',' Disappointed ',' Wear ',' Telk"&amp;"omsel ',' Thanks']")</f>
        <v>['Bguss',' the application ',' just ',' network ',' Telkomsel ',' as good ',' cook ',' die ',' electricity ',' jgringan ',' missing ',' total ',' Special ',' City ',' Pekanbaru ',' Network ',' Belin ',' Customer ',' TDAK ',' Disappointed ',' Wear ',' Telkomsel ',' Thanks']</v>
      </c>
      <c r="D1293" s="3">
        <v>5.0</v>
      </c>
    </row>
    <row r="1294" ht="15.75" customHeight="1">
      <c r="A1294" s="1">
        <v>1292.0</v>
      </c>
      <c r="B1294" s="3" t="s">
        <v>1295</v>
      </c>
      <c r="C1294" s="3" t="str">
        <f>IFERROR(__xludf.DUMMYFUNCTION("GOOGLETRANSLATE(B1294,""id"",""en"")"),"['Scroll', 'Tiktok', 'Open', 'You', 'Tube', 'Main', 'Game', 'Behhhhhhhhhhhhhh', 'Severe', 'Network', 'Please', 'How' nihhh ',' cave ',' bladi ',' gight ',' oon ',' stupid ',' pdhl ',' network ',' heduhhhhhhhh ',' how ',' yak ',' explained ',' knp ' , 'Lit"&amp;"u', '']")</f>
        <v>['Scroll', 'Tiktok', 'Open', 'You', 'Tube', 'Main', 'Game', 'Behhhhhhhhhhhhhh', 'Severe', 'Network', 'Please', 'How' nihhh ',' cave ',' bladi ',' gight ',' oon ',' stupid ',' pdhl ',' network ',' heduhhhhhhhh ',' how ',' yak ',' explained ',' knp ' , 'Litu', '']</v>
      </c>
      <c r="D1294" s="3">
        <v>1.0</v>
      </c>
    </row>
    <row r="1295" ht="15.75" customHeight="1">
      <c r="A1295" s="1">
        <v>1293.0</v>
      </c>
      <c r="B1295" s="3" t="s">
        <v>1296</v>
      </c>
      <c r="C1295" s="3" t="str">
        <f>IFERROR(__xludf.DUMMYFUNCTION("GOOGLETRANSLATE(B1295,""id"",""en"")"),"['Telkomsel', 'Dear', 'Network', 'Internet', 'Severe', 'After', 'Maghrib', 'Sampe', 'Clock', 'Night', 'Play', 'Game', ' streaming ',' YouTube ',' etc. ',' please ',' really ',' want ',' fortunately ',' doang ',' user ',' sympathy ',' already ',' price ','"&amp;" the package ' , 'expensive', 'quality', 'network', 'Bener', 'bad', 'bad', 'disappointing', 'location', 'Pandeglang', 'Banten', 'Indonesia', ""]")</f>
        <v>['Telkomsel', 'Dear', 'Network', 'Internet', 'Severe', 'After', 'Maghrib', 'Sampe', 'Clock', 'Night', 'Play', 'Game', ' streaming ',' YouTube ',' etc. ',' please ',' really ',' want ',' fortunately ',' doang ',' user ',' sympathy ',' already ',' price ',' the package ' , 'expensive', 'quality', 'network', 'Bener', 'bad', 'bad', 'disappointing', 'location', 'Pandeglang', 'Banten', 'Indonesia', "]</v>
      </c>
      <c r="D1295" s="3">
        <v>1.0</v>
      </c>
    </row>
    <row r="1296" ht="15.75" customHeight="1">
      <c r="A1296" s="1">
        <v>1294.0</v>
      </c>
      <c r="B1296" s="3" t="s">
        <v>1297</v>
      </c>
      <c r="C1296" s="3" t="str">
        <f>IFERROR(__xludf.DUMMYFUNCTION("GOOGLETRANSLATE(B1296,""id"",""en"")"),"['service', 'Telkomsel', 'decreases',' network ',' down ',' disappointed ',' buy ',' quota ',' have ',' pulse ',' activate ',' data ',' Credit ',' sucked ',' buy ',' quota ',' Telkomsel ',' please ',' bug ',' beg ',' fix ',' sgt ',' comfortable ', ""]")</f>
        <v>['service', 'Telkomsel', 'decreases',' network ',' down ',' disappointed ',' buy ',' quota ',' have ',' pulse ',' activate ',' data ',' Credit ',' sucked ',' buy ',' quota ',' Telkomsel ',' please ',' bug ',' beg ',' fix ',' sgt ',' comfortable ', "]</v>
      </c>
      <c r="D1296" s="3">
        <v>1.0</v>
      </c>
    </row>
    <row r="1297" ht="15.75" customHeight="1">
      <c r="A1297" s="1">
        <v>1295.0</v>
      </c>
      <c r="B1297" s="3" t="s">
        <v>1298</v>
      </c>
      <c r="C1297" s="3" t="str">
        <f>IFERROR(__xludf.DUMMYFUNCTION("GOOGLETRANSLATE(B1297,""id"",""en"")"),"['Exchange', 'Points',' Looks', 'Exchange', 'Points',' Coupon ',' Voucher ',' Gag ',' Sent ',' Exchange ',' Points', 'Voucher', ' Coupons', 'sent', 'zonk', '']")</f>
        <v>['Exchange', 'Points',' Looks', 'Exchange', 'Points',' Coupon ',' Voucher ',' Gag ',' Sent ',' Exchange ',' Points', 'Voucher', ' Coupons', 'sent', 'zonk', '']</v>
      </c>
      <c r="D1297" s="3">
        <v>1.0</v>
      </c>
    </row>
    <row r="1298" ht="15.75" customHeight="1">
      <c r="A1298" s="1">
        <v>1296.0</v>
      </c>
      <c r="B1298" s="3" t="s">
        <v>1299</v>
      </c>
      <c r="C1298" s="3" t="str">
        <f>IFERROR(__xludf.DUMMYFUNCTION("GOOGLETRANSLATE(B1298,""id"",""en"")"),"['extra', 'quota', 'daily', 'GB', 'RB', 'a day', 'reduced', 'gg', 'disappointed', 'love', 'star', ""]")</f>
        <v>['extra', 'quota', 'daily', 'GB', 'RB', 'a day', 'reduced', 'gg', 'disappointed', 'love', 'star', "]</v>
      </c>
      <c r="D1298" s="3">
        <v>1.0</v>
      </c>
    </row>
    <row r="1299" ht="15.75" customHeight="1">
      <c r="A1299" s="1">
        <v>1297.0</v>
      </c>
      <c r="B1299" s="3" t="s">
        <v>1300</v>
      </c>
      <c r="C1299" s="3" t="str">
        <f>IFERROR(__xludf.DUMMYFUNCTION("GOOGLETRANSLATE(B1299,""id"",""en"")"),"['Region', 'Pekon', 'Talagening', 'Kec', 'City', 'Great', 'West', 'Kab', 'Tanggamus',' Prov ',' Lampung ',' Please ',' The signal ',' fix ',' because 'signal', 'Telkomsel', 'error', 'adjacent', 'Tower', 'Telkomsel', 'TKS', ""]")</f>
        <v>['Region', 'Pekon', 'Talagening', 'Kec', 'City', 'Great', 'West', 'Kab', 'Tanggamus',' Prov ',' Lampung ',' Please ',' The signal ',' fix ',' because 'signal', 'Telkomsel', 'error', 'adjacent', 'Tower', 'Telkomsel', 'TKS', "]</v>
      </c>
      <c r="D1299" s="3">
        <v>3.0</v>
      </c>
    </row>
    <row r="1300" ht="15.75" customHeight="1">
      <c r="A1300" s="1">
        <v>1298.0</v>
      </c>
      <c r="B1300" s="3" t="s">
        <v>1301</v>
      </c>
      <c r="C1300" s="3" t="str">
        <f>IFERROR(__xludf.DUMMYFUNCTION("GOOGLETRANSLATE(B1300,""id"",""en"")"),"['Hello', 'Telkomsel', 'Disappointed', 'Telkomsel', 'Credit', 'Reduced', 'Package', 'Data', 'Network', 'Packagein', 'TLP', 'Free', ' Operators', 'Minutes',' Free ',' TLP ',' Credit ',' Use ',' BWT ',' TLP ',' SMS ',' ATW ',' Data ',' Where ',' Credit ' , "&amp;"'lost', 'then', 'thief', 'please', 'fix', 'Telkomsel', ""]")</f>
        <v>['Hello', 'Telkomsel', 'Disappointed', 'Telkomsel', 'Credit', 'Reduced', 'Package', 'Data', 'Network', 'Packagein', 'TLP', 'Free', ' Operators', 'Minutes',' Free ',' TLP ',' Credit ',' Use ',' BWT ',' TLP ',' SMS ',' ATW ',' Data ',' Where ',' Credit ' , 'lost', 'then', 'thief', 'please', 'fix', 'Telkomsel', "]</v>
      </c>
      <c r="D1300" s="3">
        <v>1.0</v>
      </c>
    </row>
    <row r="1301" ht="15.75" customHeight="1">
      <c r="A1301" s="1">
        <v>1299.0</v>
      </c>
      <c r="B1301" s="3" t="s">
        <v>1302</v>
      </c>
      <c r="C1301" s="3" t="str">
        <f>IFERROR(__xludf.DUMMYFUNCTION("GOOGLETRANSLATE(B1301,""id"",""en"")"),"['extend', 'active', 'card', 'Telkomsel', 'contents',' pulse ',' kasi ',' suggestion ',' already ',' buy ',' voucher ',' Telkomsel ',' good ',' udh ',' active ',' contents', 'pulse', 'sometimes',' money ',' thinning ',' counter ',' quota ',' buy ',' expen"&amp;"sive ',' price ' , 'please', 'already', 'contents',' quota ',' voucher ',' udh ',' active ',' kasi ',' star ',' deh ',' please ',' tangstin ',' Change ',' Regulation ',' ']")</f>
        <v>['extend', 'active', 'card', 'Telkomsel', 'contents',' pulse ',' kasi ',' suggestion ',' already ',' buy ',' voucher ',' Telkomsel ',' good ',' udh ',' active ',' contents', 'pulse', 'sometimes',' money ',' thinning ',' counter ',' quota ',' buy ',' expensive ',' price ' , 'please', 'already', 'contents',' quota ',' voucher ',' udh ',' active ',' kasi ',' star ',' deh ',' please ',' tangstin ',' Change ',' Regulation ',' ']</v>
      </c>
      <c r="D1301" s="3">
        <v>5.0</v>
      </c>
    </row>
    <row r="1302" ht="15.75" customHeight="1">
      <c r="A1302" s="1">
        <v>1300.0</v>
      </c>
      <c r="B1302" s="3" t="s">
        <v>1303</v>
      </c>
      <c r="C1302" s="3" t="str">
        <f>IFERROR(__xludf.DUMMYFUNCTION("GOOGLETRANSLATE(B1302,""id"",""en"")"),"['Disappointed', 'regret', 'Telkomsel', 'Telkomsel', 'bad', 'bad', 'buy', 'quota', 'expensive', 'expensive', 'tau', 'his network', ' Severe ',' Compare ',' Card ',' Menutur ',' Telkomsel ',' Bad ']")</f>
        <v>['Disappointed', 'regret', 'Telkomsel', 'Telkomsel', 'bad', 'bad', 'buy', 'quota', 'expensive', 'expensive', 'tau', 'his network', ' Severe ',' Compare ',' Card ',' Menutur ',' Telkomsel ',' Bad ']</v>
      </c>
      <c r="D1302" s="3">
        <v>1.0</v>
      </c>
    </row>
    <row r="1303" ht="15.75" customHeight="1">
      <c r="A1303" s="1">
        <v>1301.0</v>
      </c>
      <c r="B1303" s="3" t="s">
        <v>1304</v>
      </c>
      <c r="C1303" s="3" t="str">
        <f>IFERROR(__xludf.DUMMYFUNCTION("GOOGLETRANSLATE(B1303,""id"",""en"")"),"['Telkom', 'Baby', 'Dipelek', 'Indihome', 'Ngaco', 'Telkom', 'Telkom', 'Ngaco', 'Indihome', 'Fix', 'Office', 'Bakar', ' Disight ',' People ',' Syaa ',' Bayan ',' Rb ',' Credit ',' Game ',' Stuck ',' ugly ']")</f>
        <v>['Telkom', 'Baby', 'Dipelek', 'Indihome', 'Ngaco', 'Telkom', 'Telkom', 'Ngaco', 'Indihome', 'Fix', 'Office', 'Bakar', ' Disight ',' People ',' Syaa ',' Bayan ',' Rb ',' Credit ',' Game ',' Stuck ',' ugly ']</v>
      </c>
      <c r="D1303" s="3">
        <v>1.0</v>
      </c>
    </row>
    <row r="1304" ht="15.75" customHeight="1">
      <c r="A1304" s="1">
        <v>1302.0</v>
      </c>
      <c r="B1304" s="3" t="s">
        <v>1305</v>
      </c>
      <c r="C1304" s="3" t="str">
        <f>IFERROR(__xludf.DUMMYFUNCTION("GOOGLETRANSLATE(B1304,""id"",""en"")"),"['buy', 'package', 'promo', 'pulse', 'already', 'right', 'failed', 'pulse', 'prefer', 'a little', 'failed', 'until' Credit ',' Reduced ',' Please ',' Telkomsel ',' Intention ',' Give ',' Promo ',' Published ',' After ',' In ',' Credit ']")</f>
        <v>['buy', 'package', 'promo', 'pulse', 'already', 'right', 'failed', 'pulse', 'prefer', 'a little', 'failed', 'until' Credit ',' Reduced ',' Please ',' Telkomsel ',' Intention ',' Give ',' Promo ',' Published ',' After ',' In ',' Credit ']</v>
      </c>
      <c r="D1304" s="3">
        <v>1.0</v>
      </c>
    </row>
    <row r="1305" ht="15.75" customHeight="1">
      <c r="A1305" s="1">
        <v>1303.0</v>
      </c>
      <c r="B1305" s="3" t="s">
        <v>1306</v>
      </c>
      <c r="C1305" s="3" t="str">
        <f>IFERROR(__xludf.DUMMYFUNCTION("GOOGLETRANSLATE(B1305,""id"",""en"")"),"['Price', 'Package', 'GB', 'OMG', 'RB', 'RB', 'RB', 'After', 'Direct', 'Drastic', 'Price', 'Recommendation', ' ']")</f>
        <v>['Price', 'Package', 'GB', 'OMG', 'RB', 'RB', 'RB', 'After', 'Direct', 'Drastic', 'Price', 'Recommendation', ' ']</v>
      </c>
      <c r="D1305" s="3">
        <v>1.0</v>
      </c>
    </row>
    <row r="1306" ht="15.75" customHeight="1">
      <c r="A1306" s="1">
        <v>1304.0</v>
      </c>
      <c r="B1306" s="3" t="s">
        <v>1307</v>
      </c>
      <c r="C1306" s="3" t="str">
        <f>IFERROR(__xludf.DUMMYFUNCTION("GOOGLETRANSLATE(B1306,""id"",""en"")"),"['signal', 'slow', 'severe', 'udh', 'rich', 'sympathy', 'udh', 'comment', 'piled up', 'proof', 'response', 'cmn', ' fix ',' disturbance ',' natural ',' login ',' game ',' ngsequences', 'signal', 'udh', 'good', 'edit', 'reviews',' ']")</f>
        <v>['signal', 'slow', 'severe', 'udh', 'rich', 'sympathy', 'udh', 'comment', 'piled up', 'proof', 'response', 'cmn', ' fix ',' disturbance ',' natural ',' login ',' game ',' ngsequences', 'signal', 'udh', 'good', 'edit', 'reviews',' ']</v>
      </c>
      <c r="D1306" s="3">
        <v>1.0</v>
      </c>
    </row>
    <row r="1307" ht="15.75" customHeight="1">
      <c r="A1307" s="1">
        <v>1305.0</v>
      </c>
      <c r="B1307" s="3" t="s">
        <v>1308</v>
      </c>
      <c r="C1307" s="3" t="str">
        <f>IFERROR(__xludf.DUMMYFUNCTION("GOOGLETRANSLATE(B1307,""id"",""en"")"),"['card', 'sympathy', 'quota', 'internet', 'dab', 'active', 'internet', 'pulss', 'regular', 'truncated', '']")</f>
        <v>['card', 'sympathy', 'quota', 'internet', 'dab', 'active', 'internet', 'pulss', 'regular', 'truncated', '']</v>
      </c>
      <c r="D1307" s="3">
        <v>1.0</v>
      </c>
    </row>
    <row r="1308" ht="15.75" customHeight="1">
      <c r="A1308" s="1">
        <v>1306.0</v>
      </c>
      <c r="B1308" s="3" t="s">
        <v>1309</v>
      </c>
      <c r="C1308" s="3" t="str">
        <f>IFERROR(__xludf.DUMMYFUNCTION("GOOGLETRANSLATE(B1308,""id"",""en"")"),"['Hello', 'Telkomsel', 'Bgus',' Jripping ',' Disappointed ',' Telkomsel ',' Buy ',' Package ',' Expensive ',' JRINGAN ',' HARD ',' Unlimated ',' JRingan ',' stable ',' difficult ',' gerangan ',' Telkomsel ',' ']")</f>
        <v>['Hello', 'Telkomsel', 'Bgus',' Jripping ',' Disappointed ',' Telkomsel ',' Buy ',' Package ',' Expensive ',' JRINGAN ',' HARD ',' Unlimated ',' JRingan ',' stable ',' difficult ',' gerangan ',' Telkomsel ',' ']</v>
      </c>
      <c r="D1308" s="3">
        <v>1.0</v>
      </c>
    </row>
    <row r="1309" ht="15.75" customHeight="1">
      <c r="A1309" s="1">
        <v>1307.0</v>
      </c>
      <c r="B1309" s="3" t="s">
        <v>1310</v>
      </c>
      <c r="C1309" s="3" t="str">
        <f>IFERROR(__xludf.DUMMYFUNCTION("GOOGLETRANSLATE(B1309,""id"",""en"")"),"['Signal', 'Severe', 'really', 'forced', 'promo', 'right', 'click', 'promo', 'missing', 'php', '']")</f>
        <v>['Signal', 'Severe', 'really', 'forced', 'promo', 'right', 'click', 'promo', 'missing', 'php', '']</v>
      </c>
      <c r="D1309" s="3">
        <v>1.0</v>
      </c>
    </row>
    <row r="1310" ht="15.75" customHeight="1">
      <c r="A1310" s="1">
        <v>1308.0</v>
      </c>
      <c r="B1310" s="3" t="s">
        <v>1311</v>
      </c>
      <c r="C1310" s="3" t="str">
        <f>IFERROR(__xludf.DUMMYFUNCTION("GOOGLETRANSLATE(B1310,""id"",""en"")"),"['Severe', 'kli', 'already', 'skrng', 'telkomsel', 'already', 'expensive', 'unlimited', 'until', 'date', 'July', 'Abis',' Masi ',' TGL ',' GABIS ',' ABIS ',' Unlimited ',' Kek ',' That's', 'Loss',' Cheap ',' Price ',' GAGAU ',' LGI ',' LGO ',' GOING ' , '"&amp;"oath', 'easy', 'org', 'search', 'money', 'you', '']")</f>
        <v>['Severe', 'kli', 'already', 'skrng', 'telkomsel', 'already', 'expensive', 'unlimited', 'until', 'date', 'July', 'Abis',' Masi ',' TGL ',' GABIS ',' ABIS ',' Unlimited ',' Kek ',' That's', 'Loss',' Cheap ',' Price ',' GAGAU ',' LGI ',' LGO ',' GOING ' , 'oath', 'easy', 'org', 'search', 'money', 'you', '']</v>
      </c>
      <c r="D1310" s="3">
        <v>1.0</v>
      </c>
    </row>
    <row r="1311" ht="15.75" customHeight="1">
      <c r="A1311" s="1">
        <v>1309.0</v>
      </c>
      <c r="B1311" s="3" t="s">
        <v>1312</v>
      </c>
      <c r="C1311" s="3" t="str">
        <f>IFERROR(__xludf.DUMMYFUNCTION("GOOGLETRANSLATE(B1311,""id"",""en"")"),"['knp', 'package', 'data', 'no', 'digin', 'watch', 'buy', 'unlimited', 'multimedia', 'active', 'package', 'disorder', ' Telkomsel ',' No ',' Open ',' YouTube ']")</f>
        <v>['knp', 'package', 'data', 'no', 'digin', 'watch', 'buy', 'unlimited', 'multimedia', 'active', 'package', 'disorder', ' Telkomsel ',' No ',' Open ',' YouTube ']</v>
      </c>
      <c r="D1311" s="3">
        <v>1.0</v>
      </c>
    </row>
    <row r="1312" ht="15.75" customHeight="1">
      <c r="A1312" s="1">
        <v>1310.0</v>
      </c>
      <c r="B1312" s="3" t="s">
        <v>1313</v>
      </c>
      <c r="C1312" s="3" t="str">
        <f>IFERROR(__xludf.DUMMYFUNCTION("GOOGLETRANSLATE(B1312,""id"",""en"")"),"['Network', 'adequate', 'disappointed', 'Telkomsel', 'corruption', 'card', 'network', 'Corot', 'Bagusankartu', 'oath', 'disappointed', 'Telkomsel', ' bangsad ']")</f>
        <v>['Network', 'adequate', 'disappointed', 'Telkomsel', 'corruption', 'card', 'network', 'Corot', 'Bagusankartu', 'oath', 'disappointed', 'Telkomsel', ' bangsad ']</v>
      </c>
      <c r="D1312" s="3">
        <v>1.0</v>
      </c>
    </row>
    <row r="1313" ht="15.75" customHeight="1">
      <c r="A1313" s="1">
        <v>1311.0</v>
      </c>
      <c r="B1313" s="3" t="s">
        <v>1314</v>
      </c>
      <c r="C1313" s="3" t="str">
        <f>IFERROR(__xludf.DUMMYFUNCTION("GOOGLETRANSLATE(B1313,""id"",""en"")"),"['Telkomsel', 'pulse', 'take', 'ama', 'Telkomsel', 'I', 'owe', 'credit', 'Telkomsel', 'right', 'I', 'Sisain', ' Credit ',' right ',' I ',' see ',' leftover ',' halah ',' base ',' Telkomsel ', ""]")</f>
        <v>['Telkomsel', 'pulse', 'take', 'ama', 'Telkomsel', 'I', 'owe', 'credit', 'Telkomsel', 'right', 'I', 'Sisain', ' Credit ',' right ',' I ',' see ',' leftover ',' halah ',' base ',' Telkomsel ', "]</v>
      </c>
      <c r="D1313" s="3">
        <v>1.0</v>
      </c>
    </row>
    <row r="1314" ht="15.75" customHeight="1">
      <c r="A1314" s="1">
        <v>1312.0</v>
      </c>
      <c r="B1314" s="3" t="s">
        <v>1315</v>
      </c>
      <c r="C1314" s="3" t="str">
        <f>IFERROR(__xludf.DUMMYFUNCTION("GOOGLETRANSLATE(B1314,""id"",""en"")"),"['application', 'good', 'bought', 'package', 'according to', 'TPI', 'please', 'application', 'fix', 'because', 'package', 'buy', ' TPI ',' fulfilled ']")</f>
        <v>['application', 'good', 'bought', 'package', 'according to', 'TPI', 'please', 'application', 'fix', 'because', 'package', 'buy', ' TPI ',' fulfilled ']</v>
      </c>
      <c r="D1314" s="3">
        <v>4.0</v>
      </c>
    </row>
    <row r="1315" ht="15.75" customHeight="1">
      <c r="A1315" s="1">
        <v>1313.0</v>
      </c>
      <c r="B1315" s="3" t="s">
        <v>1316</v>
      </c>
      <c r="C1315" s="3" t="str">
        <f>IFERROR(__xludf.DUMMYFUNCTION("GOOGLETRANSLATE(B1315,""id"",""en"")"),"['Honest', 'disappointed', 'Telkomsel', 'times',' affected ',' cutting ',' pulse ',' just ',' thousand ',' until ',' thousand ',' money ',' Such, '' money ',' that way ',' difficult ',' look for ',' Padhal ',' Syaa ',' owe ',' pulse ',' buy ',' package ',"&amp;"' anything ',' pulses' , 'Automatic', 'Cut', 'Please', 'Developer', 'Telkomsel', 'Action', 'Continue', 'Karna', 'People', 'Difficult', 'Looking', 'Livah']")</f>
        <v>['Honest', 'disappointed', 'Telkomsel', 'times',' affected ',' cutting ',' pulse ',' just ',' thousand ',' until ',' thousand ',' money ',' Such, '' money ',' that way ',' difficult ',' look for ',' Padhal ',' Syaa ',' owe ',' pulse ',' buy ',' package ',' anything ',' pulses' , 'Automatic', 'Cut', 'Please', 'Developer', 'Telkomsel', 'Action', 'Continue', 'Karna', 'People', 'Difficult', 'Looking', 'Livah']</v>
      </c>
      <c r="D1315" s="3">
        <v>1.0</v>
      </c>
    </row>
    <row r="1316" ht="15.75" customHeight="1">
      <c r="A1316" s="1">
        <v>1314.0</v>
      </c>
      <c r="B1316" s="3" t="s">
        <v>1317</v>
      </c>
      <c r="C1316" s="3" t="str">
        <f>IFERROR(__xludf.DUMMYFUNCTION("GOOGLETRANSLATE(B1316,""id"",""en"")"),"['quota', 'learn', 'use', 'ask', 'service', 'Telkomsel', 'use', 'quota', 'main', 'contents',' out ',' quota ',' Learning ',' Kepakai ',' Nipu ',' Error ',' Call ',' Quota ',' Learning ',' Used ',' Quota ',' Main ',' Ludes']")</f>
        <v>['quota', 'learn', 'use', 'ask', 'service', 'Telkomsel', 'use', 'quota', 'main', 'contents',' out ',' quota ',' Learning ',' Kepakai ',' Nipu ',' Error ',' Call ',' Quota ',' Learning ',' Used ',' Quota ',' Main ',' Ludes']</v>
      </c>
      <c r="D1316" s="3">
        <v>1.0</v>
      </c>
    </row>
    <row r="1317" ht="15.75" customHeight="1">
      <c r="A1317" s="1">
        <v>1315.0</v>
      </c>
      <c r="B1317" s="3" t="s">
        <v>1318</v>
      </c>
      <c r="C1317" s="3" t="str">
        <f>IFERROR(__xludf.DUMMYFUNCTION("GOOGLETRANSLATE(B1317,""id"",""en"")"),"['Dbrapa', 'try', 'buy', 'package', 'internet', 'Telkomsel', 'disappointing', 'package', 'live', 'fast', 'times',' Comot ',' Credit ',' Please ',' Fix ',' Please ',' Notice ',' Complaints', 'Customer', ""]")</f>
        <v>['Dbrapa', 'try', 'buy', 'package', 'internet', 'Telkomsel', 'disappointing', 'package', 'live', 'fast', 'times',' Comot ',' Credit ',' Please ',' Fix ',' Please ',' Notice ',' Complaints', 'Customer', "]</v>
      </c>
      <c r="D1317" s="3">
        <v>1.0</v>
      </c>
    </row>
    <row r="1318" ht="15.75" customHeight="1">
      <c r="A1318" s="1">
        <v>1316.0</v>
      </c>
      <c r="B1318" s="3" t="s">
        <v>1319</v>
      </c>
      <c r="C1318" s="3" t="str">
        <f>IFERROR(__xludf.DUMMYFUNCTION("GOOGLETRANSLATE(B1318,""id"",""en"")"),"['Disappointed', 'Telkomsel', 'Drummary', 'Maen', 'Game', 'Delicious',' Skrg ',' Ping ',' Signal ',' Bad ',' Emotion ',' Makee ',' Telkomsel ',' at home ',' play ',' game ',' gamer ',' make ',' Telkomsel ',' area ',' auot ',' lossssssssssssss']")</f>
        <v>['Disappointed', 'Telkomsel', 'Drummary', 'Maen', 'Game', 'Delicious',' Skrg ',' Ping ',' Signal ',' Bad ',' Emotion ',' Makee ',' Telkomsel ',' at home ',' play ',' game ',' gamer ',' make ',' Telkomsel ',' area ',' auot ',' lossssssssssssss']</v>
      </c>
      <c r="D1318" s="3">
        <v>1.0</v>
      </c>
    </row>
    <row r="1319" ht="15.75" customHeight="1">
      <c r="A1319" s="1">
        <v>1317.0</v>
      </c>
      <c r="B1319" s="3" t="s">
        <v>1320</v>
      </c>
      <c r="C1319" s="3" t="str">
        <f>IFERROR(__xludf.DUMMYFUNCTION("GOOGLETRANSLATE(B1319,""id"",""en"")"),"['Star', 'signal', 'Sometimes', 'slow', 'watch', 'Live', 'streaming', 'application', 'Loading', 'keep', 'star', ""]")</f>
        <v>['Star', 'signal', 'Sometimes', 'slow', 'watch', 'Live', 'streaming', 'application', 'Loading', 'keep', 'star', "]</v>
      </c>
      <c r="D1319" s="3">
        <v>2.0</v>
      </c>
    </row>
    <row r="1320" ht="15.75" customHeight="1">
      <c r="A1320" s="1">
        <v>1318.0</v>
      </c>
      <c r="B1320" s="3" t="s">
        <v>1321</v>
      </c>
      <c r="C1320" s="3" t="str">
        <f>IFERROR(__xludf.DUMMYFUNCTION("GOOGLETRANSLATE(B1320,""id"",""en"")"),"['Kombo', 'Sakti', 'Anlimitit', 'Disappointed', 'Buy', 'Package', 'Will', 'Debt', 'Advertising', 'Tampa', 'Obstacles',' Mhon ',' Corrifying ',' Consumers', 'Wear', 'Telkomsel', 'Trimakasih', ""]")</f>
        <v>['Kombo', 'Sakti', 'Anlimitit', 'Disappointed', 'Buy', 'Package', 'Will', 'Debt', 'Advertising', 'Tampa', 'Obstacles',' Mhon ',' Corrifying ',' Consumers', 'Wear', 'Telkomsel', 'Trimakasih', "]</v>
      </c>
      <c r="D1320" s="3">
        <v>1.0</v>
      </c>
    </row>
    <row r="1321" ht="15.75" customHeight="1">
      <c r="A1321" s="1">
        <v>1319.0</v>
      </c>
      <c r="B1321" s="3" t="s">
        <v>1322</v>
      </c>
      <c r="C1321" s="3" t="str">
        <f>IFERROR(__xludf.DUMMYFUNCTION("GOOGLETRANSLATE(B1321,""id"",""en"")"),"['MasyaAllah', 'buy', 'pulse', 'key', 'buy', 'quota', 'cheerful', 'leftover', 'thousand', 'lost', 'gmna', 'already', ' "", 'Klau', 'thousand', 'game', 'thousand', 'crisis', 'gini', 'gmna', 'Fiks', 'Telkomsel',""]")</f>
        <v>['MasyaAllah', 'buy', 'pulse', 'key', 'buy', 'quota', 'cheerful', 'leftover', 'thousand', 'lost', 'gmna', 'already', ' ", 'Klau', 'thousand', 'game', 'thousand', 'crisis', 'gini', 'gmna', 'Fiks', 'Telkomsel',"]</v>
      </c>
      <c r="D1321" s="3">
        <v>1.0</v>
      </c>
    </row>
    <row r="1322" ht="15.75" customHeight="1">
      <c r="A1322" s="1">
        <v>1320.0</v>
      </c>
      <c r="B1322" s="3" t="s">
        <v>1323</v>
      </c>
      <c r="C1322" s="3" t="str">
        <f>IFERROR(__xludf.DUMMYFUNCTION("GOOGLETRANSLATE(B1322,""id"",""en"")"),"['network', 'Telkomsel', 'UDH', 'Severe', 'really', 'cool', 'play', 'game', 'sometimes',' missing ',' network ',' friend ',' Complain ',' network ',' Telkomsel ',' UDH ',' expensive ',' network ',' UDH ',' Good ']")</f>
        <v>['network', 'Telkomsel', 'UDH', 'Severe', 'really', 'cool', 'play', 'game', 'sometimes',' missing ',' network ',' friend ',' Complain ',' network ',' Telkomsel ',' UDH ',' expensive ',' network ',' UDH ',' Good ']</v>
      </c>
      <c r="D1322" s="3">
        <v>1.0</v>
      </c>
    </row>
    <row r="1323" ht="15.75" customHeight="1">
      <c r="A1323" s="1">
        <v>1321.0</v>
      </c>
      <c r="B1323" s="3" t="s">
        <v>1324</v>
      </c>
      <c r="C1323" s="3" t="str">
        <f>IFERROR(__xludf.DUMMYFUNCTION("GOOGLETRANSLATE(B1323,""id"",""en"")"),"['satisfying', 'package', 'offered', 'multimedia', 'kepai', 'package', 'internet', 'fast', 'out', 'forced', 'star', 'star', ' Uninstall ']")</f>
        <v>['satisfying', 'package', 'offered', 'multimedia', 'kepai', 'package', 'internet', 'fast', 'out', 'forced', 'star', 'star', ' Uninstall ']</v>
      </c>
      <c r="D1323" s="3">
        <v>1.0</v>
      </c>
    </row>
    <row r="1324" ht="15.75" customHeight="1">
      <c r="A1324" s="1">
        <v>1322.0</v>
      </c>
      <c r="B1324" s="3" t="s">
        <v>1325</v>
      </c>
      <c r="C1324" s="3" t="str">
        <f>IFERROR(__xludf.DUMMYFUNCTION("GOOGLETRANSLATE(B1324,""id"",""en"")"),"['Paketan', 'Byk', 'promo', 'lose', 'provider', 'next door', 'signal', 'good', 'signal', 'network', 'internet', 'duh', ' Must ',' enhanced ',' user ',' tsel ',' already ',' hope ',' front ',' get ',' promo ',' cheap ',' cheap ',' card ',' signal ' , 'Inet"&amp;"nya', 'progress', '']")</f>
        <v>['Paketan', 'Byk', 'promo', 'lose', 'provider', 'next door', 'signal', 'good', 'signal', 'network', 'internet', 'duh', ' Must ',' enhanced ',' user ',' tsel ',' already ',' hope ',' front ',' get ',' promo ',' cheap ',' cheap ',' card ',' signal ' , 'Inetnya', 'progress', '']</v>
      </c>
      <c r="D1324" s="3">
        <v>5.0</v>
      </c>
    </row>
    <row r="1325" ht="15.75" customHeight="1">
      <c r="A1325" s="1">
        <v>1323.0</v>
      </c>
      <c r="B1325" s="3" t="s">
        <v>1326</v>
      </c>
      <c r="C1325" s="3" t="str">
        <f>IFERROR(__xludf.DUMMYFUNCTION("GOOGLETRANSLATE(B1325,""id"",""en"")"),"['network', 'internet', 'parahhh', 'tasty', 'play', 'game', 'signal', 'missing', 'bnget', 'kyk', 'gini', 'throw', ' Money ',' Buy ',' Package ',' Detinent ',' Package ',' UDH ',' Trlnjur ',' Kantel ',' Shop ',' Hbis', 'Gnti', 'Operator', 'Cape' , 'Deehhh'"&amp;", '']")</f>
        <v>['network', 'internet', 'parahhh', 'tasty', 'play', 'game', 'signal', 'missing', 'bnget', 'kyk', 'gini', 'throw', ' Money ',' Buy ',' Package ',' Detinent ',' Package ',' UDH ',' Trlnjur ',' Kantel ',' Shop ',' Hbis', 'Gnti', 'Operator', 'Cape' , 'Deehhh', '']</v>
      </c>
      <c r="D1325" s="3">
        <v>1.0</v>
      </c>
    </row>
    <row r="1326" ht="15.75" customHeight="1">
      <c r="A1326" s="1">
        <v>1324.0</v>
      </c>
      <c r="B1326" s="3" t="s">
        <v>1327</v>
      </c>
      <c r="C1326" s="3" t="str">
        <f>IFERROR(__xludf.DUMMYFUNCTION("GOOGLETRANSLATE(B1326,""id"",""en"")"),"['unlimited', 'limited', 'online', 'shop', 'slow', 'really', 'want', 'moved', 'operator', 'Telkomsel', 'tower', 'sad', ' ']")</f>
        <v>['unlimited', 'limited', 'online', 'shop', 'slow', 'really', 'want', 'moved', 'operator', 'Telkomsel', 'tower', 'sad', ' ']</v>
      </c>
      <c r="D1326" s="3">
        <v>2.0</v>
      </c>
    </row>
    <row r="1327" ht="15.75" customHeight="1">
      <c r="A1327" s="1">
        <v>1325.0</v>
      </c>
      <c r="B1327" s="3" t="s">
        <v>1328</v>
      </c>
      <c r="C1327" s="3" t="str">
        <f>IFERROR(__xludf.DUMMYFUNCTION("GOOGLETRANSLATE(B1327,""id"",""en"")"),"['agree', 'friend', 'network', 'internet', 'annoying', 'card', 'msh', 'suggest', 'upgrade', 'big', 'strong', 'upgrade', ' in accordance', '']")</f>
        <v>['agree', 'friend', 'network', 'internet', 'annoying', 'card', 'msh', 'suggest', 'upgrade', 'big', 'strong', 'upgrade', ' in accordance', '']</v>
      </c>
      <c r="D1327" s="3">
        <v>1.0</v>
      </c>
    </row>
    <row r="1328" ht="15.75" customHeight="1">
      <c r="A1328" s="1">
        <v>1326.0</v>
      </c>
      <c r="B1328" s="3" t="s">
        <v>1329</v>
      </c>
      <c r="C1328" s="3" t="str">
        <f>IFERROR(__xludf.DUMMYFUNCTION("GOOGLETRANSLATE(B1328,""id"",""en"")"),"['Kenpa', 'use', 'credit', 'emergency', 'TPI', 'right', 'contents',' pulse ',' pulses', 'lgsung', 'take', 'get', ' SMS ',' Paying ',' Package ',' Emergency ',' TPI ',' Use ',' Credit ',' Emergency ',' Nya ',' Error ',' Gmna ', ""]")</f>
        <v>['Kenpa', 'use', 'credit', 'emergency', 'TPI', 'right', 'contents',' pulse ',' pulses', 'lgsung', 'take', 'get', ' SMS ',' Paying ',' Package ',' Emergency ',' TPI ',' Use ',' Credit ',' Emergency ',' Nya ',' Error ',' Gmna ', "]</v>
      </c>
      <c r="D1328" s="3">
        <v>1.0</v>
      </c>
    </row>
    <row r="1329" ht="15.75" customHeight="1">
      <c r="A1329" s="1">
        <v>1327.0</v>
      </c>
      <c r="B1329" s="3" t="s">
        <v>1330</v>
      </c>
      <c r="C1329" s="3" t="str">
        <f>IFERROR(__xludf.DUMMYFUNCTION("GOOGLETRANSLATE(B1329,""id"",""en"")"),"['package', 'GB', 'thousand', 'thousand', 'expensive', 'speed', 'increased', 'udh', 'really', 'buy', 'move', 'deh']")</f>
        <v>['package', 'GB', 'thousand', 'thousand', 'expensive', 'speed', 'increased', 'udh', 'really', 'buy', 'move', 'deh']</v>
      </c>
      <c r="D1329" s="3">
        <v>3.0</v>
      </c>
    </row>
    <row r="1330" ht="15.75" customHeight="1">
      <c r="A1330" s="1">
        <v>1328.0</v>
      </c>
      <c r="B1330" s="3" t="s">
        <v>1331</v>
      </c>
      <c r="C1330" s="3" t="str">
        <f>IFERROR(__xludf.DUMMYFUNCTION("GOOGLETRANSLATE(B1330,""id"",""en"")"),"['Your signal', 'JLEK', 'Msuk', 'MyTelkomsel', 'Strong', 'Nursing', 'Udh', 'doubt', 'love', 'star', 'Krena', 'Bnykny', ' Stars', 'Akn', 'Mreka', 'Ingredients',' Bls', 'comments',' CMA ',' Chatbot ',' ']")</f>
        <v>['Your signal', 'JLEK', 'Msuk', 'MyTelkomsel', 'Strong', 'Nursing', 'Udh', 'doubt', 'love', 'star', 'Krena', 'Bnykny', ' Stars', 'Akn', 'Mreka', 'Ingredients',' Bls', 'comments',' CMA ',' Chatbot ',' ']</v>
      </c>
      <c r="D1330" s="3">
        <v>1.0</v>
      </c>
    </row>
    <row r="1331" ht="15.75" customHeight="1">
      <c r="A1331" s="1">
        <v>1329.0</v>
      </c>
      <c r="B1331" s="3" t="s">
        <v>1332</v>
      </c>
      <c r="C1331" s="3" t="str">
        <f>IFERROR(__xludf.DUMMYFUNCTION("GOOGLETRANSLATE(B1331,""id"",""en"")"),"['Package', 'Combo', 'Sakti', 'Unlimeted', 'thousand', 'Multimedia', 'GB', 'The rest', 'quota', 'normal', 'unfortunately', 'quota', ' Multimedia ',' Kekeke ',' quota ',' main ',' as a result ',' a month ',' run out ',' quota ',' main ',' quota ',' multime"&amp;"dia ',' coakes', 'lucky' , 'bnyak', 'Telkomsel', 'emang', 'love', 'koota', 'multimedia', 'use', 'application', 'multimedia', 'automatic', 'quota', 'multimedia', ' quota ',' main ',' gini ',' customer ',' ngrasa ',' loss', 'no', 'wrong', 'ksih', 'rvie', 'j"&amp;"lek']")</f>
        <v>['Package', 'Combo', 'Sakti', 'Unlimeted', 'thousand', 'Multimedia', 'GB', 'The rest', 'quota', 'normal', 'unfortunately', 'quota', ' Multimedia ',' Kekeke ',' quota ',' main ',' as a result ',' a month ',' run out ',' quota ',' main ',' quota ',' multimedia ',' coakes', 'lucky' , 'bnyak', 'Telkomsel', 'emang', 'love', 'koota', 'multimedia', 'use', 'application', 'multimedia', 'automatic', 'quota', 'multimedia', ' quota ',' main ',' gini ',' customer ',' ngrasa ',' loss', 'no', 'wrong', 'ksih', 'rvie', 'jlek']</v>
      </c>
      <c r="D1331" s="3">
        <v>1.0</v>
      </c>
    </row>
    <row r="1332" ht="15.75" customHeight="1">
      <c r="A1332" s="1">
        <v>1330.0</v>
      </c>
      <c r="B1332" s="3" t="s">
        <v>1333</v>
      </c>
      <c r="C1332" s="3" t="str">
        <f>IFERROR(__xludf.DUMMYFUNCTION("GOOGLETRANSLATE(B1332,""id"",""en"")"),"['', 'error', 'failed', 'loading', 'skrg', 'safe', 'sya', 'pnya', 'package', 'phone', 'msh', 'pnjang', 'dftar ',' PKET ',' PNDEk ',' LMA ',' DFTAR ',' PKET ',' KNPA ',' Used ',' Msh ',' Bru ',' Pakaketin ',' PDHL ',' Package ', 'msh', '']")</f>
        <v>['', 'error', 'failed', 'loading', 'skrg', 'safe', 'sya', 'pnya', 'package', 'phone', 'msh', 'pnjang', 'dftar ',' PKET ',' PNDEk ',' LMA ',' DFTAR ',' PKET ',' KNPA ',' Used ',' Msh ',' Bru ',' Pakaketin ',' PDHL ',' Package ', 'msh', '']</v>
      </c>
      <c r="D1332" s="3">
        <v>1.0</v>
      </c>
    </row>
    <row r="1333" ht="15.75" customHeight="1">
      <c r="A1333" s="1">
        <v>1331.0</v>
      </c>
      <c r="B1333" s="3" t="s">
        <v>1334</v>
      </c>
      <c r="C1333" s="3" t="str">
        <f>IFERROR(__xludf.DUMMYFUNCTION("GOOGLETRANSLATE(B1333,""id"",""en"")"),"['combo', 'already', 'subscriber', 'he was' held ',' combo ',' replacement ',' package ',' call ',' half ',' minutes ',' disappoint ',' Price ',' Papa ',' Quoto ',' Reduce ',' Dooong ']")</f>
        <v>['combo', 'already', 'subscriber', 'he was' held ',' combo ',' replacement ',' package ',' call ',' half ',' minutes ',' disappoint ',' Price ',' Papa ',' Quoto ',' Reduce ',' Dooong ']</v>
      </c>
      <c r="D1333" s="3">
        <v>1.0</v>
      </c>
    </row>
    <row r="1334" ht="15.75" customHeight="1">
      <c r="A1334" s="1">
        <v>1332.0</v>
      </c>
      <c r="B1334" s="3" t="s">
        <v>1335</v>
      </c>
      <c r="C1334" s="3" t="str">
        <f>IFERROR(__xludf.DUMMYFUNCTION("GOOGLETRANSLATE(B1334,""id"",""en"")"),"['Error', 'Telkomsel', 'Cave', 'UDH', 'Register', 'Package', 'Data', 'Wait', 'Notification', 'Very', 'Package', 'Data', ' Enter ',' pulse ',' run out ',' Rupiah ',' please ',' Really ',' like ',' network ',' slow ',' jdi ',' kyak ',' card ',' cheap ' , 'n"&amp;"geta', 'ngeapain', 'pending', 'severe', 'network', 'disconnected', '']")</f>
        <v>['Error', 'Telkomsel', 'Cave', 'UDH', 'Register', 'Package', 'Data', 'Wait', 'Notification', 'Very', 'Package', 'Data', ' Enter ',' pulse ',' run out ',' Rupiah ',' please ',' Really ',' like ',' network ',' slow ',' jdi ',' kyak ',' card ',' cheap ' , 'ngeta', 'ngeapain', 'pending', 'severe', 'network', 'disconnected', '']</v>
      </c>
      <c r="D1334" s="3">
        <v>1.0</v>
      </c>
    </row>
    <row r="1335" ht="15.75" customHeight="1">
      <c r="A1335" s="1">
        <v>1333.0</v>
      </c>
      <c r="B1335" s="3" t="s">
        <v>1336</v>
      </c>
      <c r="C1335" s="3" t="str">
        <f>IFERROR(__xludf.DUMMYFUNCTION("GOOGLETRANSLATE(B1335,""id"",""en"")"),"['Please', 'repaired', 'related', 'vulnerable', 'payment', 'receipt', 'quota', 'notification', 'payment', 'taken', 'fast', 'notification', ' Grades', 'clock', 'application', 'quota', 'increases',' package ',' data ',' turned on ',' pulse ',' take ',' than"&amp;"k ',' love ', ""]")</f>
        <v>['Please', 'repaired', 'related', 'vulnerable', 'payment', 'receipt', 'quota', 'notification', 'payment', 'taken', 'fast', 'notification', ' Grades', 'clock', 'application', 'quota', 'increases',' package ',' data ',' turned on ',' pulse ',' take ',' thank ',' love ', "]</v>
      </c>
      <c r="D1335" s="3">
        <v>2.0</v>
      </c>
    </row>
    <row r="1336" ht="15.75" customHeight="1">
      <c r="A1336" s="1">
        <v>1334.0</v>
      </c>
      <c r="B1336" s="3" t="s">
        <v>1337</v>
      </c>
      <c r="C1336" s="3" t="str">
        <f>IFERROR(__xludf.DUMMYFUNCTION("GOOGLETRANSLATE(B1336,""id"",""en"")"),"['Yesterday', 'date', 'date', 'buy', 'package', 'application', 'maintenance', 'star']")</f>
        <v>['Yesterday', 'date', 'date', 'buy', 'package', 'application', 'maintenance', 'star']</v>
      </c>
      <c r="D1336" s="3">
        <v>1.0</v>
      </c>
    </row>
    <row r="1337" ht="15.75" customHeight="1">
      <c r="A1337" s="1">
        <v>1335.0</v>
      </c>
      <c r="B1337" s="3" t="s">
        <v>1338</v>
      </c>
      <c r="C1337" s="3" t="str">
        <f>IFERROR(__xludf.DUMMYFUNCTION("GOOGLETRANSLATE(B1337,""id"",""en"")"),"['Price', 'quota', 'GB', 'Rp', 'Rampok', 'Bank', 'Telkomsel', 'sympathy', 'how', 'buy', 'quota', 'learn', ' ']")</f>
        <v>['Price', 'quota', 'GB', 'Rp', 'Rampok', 'Bank', 'Telkomsel', 'sympathy', 'how', 'buy', 'quota', 'learn', ' ']</v>
      </c>
      <c r="D1337" s="3">
        <v>1.0</v>
      </c>
    </row>
    <row r="1338" ht="15.75" customHeight="1">
      <c r="A1338" s="1">
        <v>1336.0</v>
      </c>
      <c r="B1338" s="3" t="s">
        <v>1339</v>
      </c>
      <c r="C1338" s="3" t="str">
        <f>IFERROR(__xludf.DUMMYFUNCTION("GOOGLETRANSLATE(B1338,""id"",""en"")"),"['Compared', 'Provider', 'Telkomsel', 'Sinyal', 'Ancur', 'Called', 'City', 'Bandung', 'Enter', 'Room', 'lngsng', 'kdang', ' EDGE ',' KNPA ',' Abistive ',' Happy ',' Wait ',' Left Binggal ',' Customer ',' ']")</f>
        <v>['Compared', 'Provider', 'Telkomsel', 'Sinyal', 'Ancur', 'Called', 'City', 'Bandung', 'Enter', 'Room', 'lngsng', 'kdang', ' EDGE ',' KNPA ',' Abistive ',' Happy ',' Wait ',' Left Binggal ',' Customer ',' ']</v>
      </c>
      <c r="D1338" s="3">
        <v>1.0</v>
      </c>
    </row>
    <row r="1339" ht="15.75" customHeight="1">
      <c r="A1339" s="1">
        <v>1337.0</v>
      </c>
      <c r="B1339" s="3" t="s">
        <v>1340</v>
      </c>
      <c r="C1339" s="3" t="str">
        <f>IFERROR(__xludf.DUMMYFUNCTION("GOOGLETRANSLATE(B1339,""id"",""en"")"),"['', 'application', 'Telkomsel', 'buy', 'package', 'data', 'internet', 'package', 'conference', 'education', 'package', 'internet', 'night ',' ']")</f>
        <v>['', 'application', 'Telkomsel', 'buy', 'package', 'data', 'internet', 'package', 'conference', 'education', 'package', 'internet', 'night ',' ']</v>
      </c>
      <c r="D1339" s="3">
        <v>1.0</v>
      </c>
    </row>
    <row r="1340" ht="15.75" customHeight="1">
      <c r="A1340" s="1">
        <v>1338.0</v>
      </c>
      <c r="B1340" s="3" t="s">
        <v>1341</v>
      </c>
      <c r="C1340" s="3" t="str">
        <f>IFERROR(__xludf.DUMMYFUNCTION("GOOGLETRANSLATE(B1340,""id"",""en"")"),"['Ngak', 'Asik', 'Telkomsel', 'friend', 'combo', 'Sakti', 'cheap', 'cheap', 'already', 'subscription', 'disappointed', ""]")</f>
        <v>['Ngak', 'Asik', 'Telkomsel', 'friend', 'combo', 'Sakti', 'cheap', 'cheap', 'already', 'subscription', 'disappointed', "]</v>
      </c>
      <c r="D1340" s="3">
        <v>1.0</v>
      </c>
    </row>
    <row r="1341" ht="15.75" customHeight="1">
      <c r="A1341" s="1">
        <v>1339.0</v>
      </c>
      <c r="B1341" s="3" t="s">
        <v>1342</v>
      </c>
      <c r="C1341" s="3" t="str">
        <f>IFERROR(__xludf.DUMMYFUNCTION("GOOGLETRANSLATE(B1341,""id"",""en"")"),"['buy', 'package', 'internet', 'Telkomsel', 'pulse', 'connection', 'there', 'information', 'system', 'busy', 'many', 'times',' Try ',' Please ',' Fix ',' Karna ',' Cuman ',' Telkomsel ',' Package ',' GB ',' Wear ',' Credit ']")</f>
        <v>['buy', 'package', 'internet', 'Telkomsel', 'pulse', 'connection', 'there', 'information', 'system', 'busy', 'many', 'times',' Try ',' Please ',' Fix ',' Karna ',' Cuman ',' Telkomsel ',' Package ',' GB ',' Wear ',' Credit ']</v>
      </c>
      <c r="D1341" s="3">
        <v>3.0</v>
      </c>
    </row>
    <row r="1342" ht="15.75" customHeight="1">
      <c r="A1342" s="1">
        <v>1340.0</v>
      </c>
      <c r="B1342" s="3" t="s">
        <v>1343</v>
      </c>
      <c r="C1342" s="3" t="str">
        <f>IFERROR(__xludf.DUMMYFUNCTION("GOOGLETRANSLATE(B1342,""id"",""en"")"),"['Exchange', 'Points',' Balance ',' Link ',' Kog ',' The Application ',' Very ',' Point ',' Kaga ',' Petted ',' Birthday ',' Sister ',' org ',' point ',' good ',' exchanged ',' exchanged ',' error ',' reason ',' alibi ',' promo ',' handy ',' understand ',"&amp;" ""]")</f>
        <v>['Exchange', 'Points',' Balance ',' Link ',' Kog ',' The Application ',' Very ',' Point ',' Kaga ',' Petted ',' Birthday ',' Sister ',' org ',' point ',' good ',' exchanged ',' exchanged ',' error ',' reason ',' alibi ',' promo ',' handy ',' understand ', "]</v>
      </c>
      <c r="D1342" s="3">
        <v>1.0</v>
      </c>
    </row>
    <row r="1343" ht="15.75" customHeight="1">
      <c r="A1343" s="1">
        <v>1341.0</v>
      </c>
      <c r="B1343" s="3" t="s">
        <v>1344</v>
      </c>
      <c r="C1343" s="3" t="str">
        <f>IFERROR(__xludf.DUMMYFUNCTION("GOOGLETRANSLATE(B1343,""id"",""en"")"),"['woy', 'provider', 'child', 'nation', 'boong', 'cave', 'provider', 'person', 'elite', 'gtu', 'high school', 'strata' Elite ',' Napa ',' gave ',' Package ',' Bener ',' Cave ',' Buy ',' Gamemax ',' Special ',' Taunya ',' Down ',' Mode ',' Plane ' , 'dlu', "&amp;"'bru', 'smooth', 'game', 'fooling', 'community', 'say', 'cave', 'fortunate', 'salary', 'employees',' gini ',' Also ',' signal ',' Try ',' Dlu ',' Expand ',' Sinyal ',' Region ',' Remote ',' Raju ',' Cave ',' Loss', 'Buy', 'Package' , 'Benerin', 'Signal', "&amp;"'Elite', 'TPI', 'GNI']")</f>
        <v>['woy', 'provider', 'child', 'nation', 'boong', 'cave', 'provider', 'person', 'elite', 'gtu', 'high school', 'strata' Elite ',' Napa ',' gave ',' Package ',' Bener ',' Cave ',' Buy ',' Gamemax ',' Special ',' Taunya ',' Down ',' Mode ',' Plane ' , 'dlu', 'bru', 'smooth', 'game', 'fooling', 'community', 'say', 'cave', 'fortunate', 'salary', 'employees',' gini ',' Also ',' signal ',' Try ',' Dlu ',' Expand ',' Sinyal ',' Region ',' Remote ',' Raju ',' Cave ',' Loss', 'Buy', 'Package' , 'Benerin', 'Signal', 'Elite', 'TPI', 'GNI']</v>
      </c>
      <c r="D1343" s="3">
        <v>1.0</v>
      </c>
    </row>
    <row r="1344" ht="15.75" customHeight="1">
      <c r="A1344" s="1">
        <v>1342.0</v>
      </c>
      <c r="B1344" s="3" t="s">
        <v>1345</v>
      </c>
      <c r="C1344" s="3" t="str">
        <f>IFERROR(__xludf.DUMMYFUNCTION("GOOGLETRANSLATE(B1344,""id"",""en"")"),"['Network', 'week', 'ugly', 'play', 'game', 'pub', 'network', 'broke', 'lag', 'severe', 'Padah', 'Tingl', ' City ',' please ',' fix ']")</f>
        <v>['Network', 'week', 'ugly', 'play', 'game', 'pub', 'network', 'broke', 'lag', 'severe', 'Padah', 'Tingl', ' City ',' please ',' fix ']</v>
      </c>
      <c r="D1344" s="3">
        <v>2.0</v>
      </c>
    </row>
    <row r="1345" ht="15.75" customHeight="1">
      <c r="A1345" s="1">
        <v>1343.0</v>
      </c>
      <c r="B1345" s="3" t="s">
        <v>1346</v>
      </c>
      <c r="C1345" s="3" t="str">
        <f>IFERROR(__xludf.DUMMYFUNCTION("GOOGLETRANSLATE(B1345,""id"",""en"")"),"['Bru', 'contents',' balance ',' link ',' enter ',' Telkomsel ',' directly ',' enter ',' MNT ',' enter ',' error ',' app ',' Link ',' App ',' Telkomsel ',' ']")</f>
        <v>['Bru', 'contents',' balance ',' link ',' enter ',' Telkomsel ',' directly ',' enter ',' MNT ',' enter ',' error ',' app ',' Link ',' App ',' Telkomsel ',' ']</v>
      </c>
      <c r="D1345" s="3">
        <v>1.0</v>
      </c>
    </row>
    <row r="1346" ht="15.75" customHeight="1">
      <c r="A1346" s="1">
        <v>1344.0</v>
      </c>
      <c r="B1346" s="3" t="s">
        <v>1347</v>
      </c>
      <c r="C1346" s="3" t="str">
        <f>IFERROR(__xludf.DUMMYFUNCTION("GOOGLETRANSLATE(B1346,""id"",""en"")"),"['Benerin', 'signal', 'already', 'package', 'expensive', 'signal', 'BURIK', 'price', 'quality', 'prorient', 'signal', 'package', ' Doang ',' expensive ',' ']")</f>
        <v>['Benerin', 'signal', 'already', 'package', 'expensive', 'signal', 'BURIK', 'price', 'quality', 'prorient', 'signal', 'package', ' Doang ',' expensive ',' ']</v>
      </c>
      <c r="D1346" s="3">
        <v>1.0</v>
      </c>
    </row>
    <row r="1347" ht="15.75" customHeight="1">
      <c r="A1347" s="1">
        <v>1345.0</v>
      </c>
      <c r="B1347" s="3" t="s">
        <v>1348</v>
      </c>
      <c r="C1347" s="3" t="str">
        <f>IFERROR(__xludf.DUMMYFUNCTION("GOOGLETRANSLATE(B1347,""id"",""en"")"),"['Please', 'Sorry', 'Telkomsel', 'Experience', 'Disorders', 'Nyatana', 'Make', 'Telkomsel', 'Experience', 'Price', 'Paketan', 'Most expensive' Provaider ',' Right ',' Different ',' For example ',' buy ',' package ',' Dnnn ',' price ',' thousand ',' friend"&amp;" ', ""]")</f>
        <v>['Please', 'Sorry', 'Telkomsel', 'Experience', 'Disorders', 'Nyatana', 'Make', 'Telkomsel', 'Experience', 'Price', 'Paketan', 'Most expensive' Provaider ',' Right ',' Different ',' For example ',' buy ',' package ',' Dnnn ',' price ',' thousand ',' friend ', "]</v>
      </c>
      <c r="D1347" s="3">
        <v>1.0</v>
      </c>
    </row>
    <row r="1348" ht="15.75" customHeight="1">
      <c r="A1348" s="1">
        <v>1346.0</v>
      </c>
      <c r="B1348" s="3" t="s">
        <v>1349</v>
      </c>
      <c r="C1348" s="3" t="str">
        <f>IFERROR(__xludf.DUMMYFUNCTION("GOOGLETRANSLATE(B1348,""id"",""en"")"),"['Slow', 'The network', 'Human Resistance', 'Buy', 'Package', 'Gede', 'High School', 'Expensive', 'Subscriptions',' Manchester ',' Doang ',' YouTube ',' high school ',' gaming ',' slow ',' forgiveness', 'please', 'prbaiki', 'jngn', 'disappointed', 'plenta"&amp;"kan', ""]")</f>
        <v>['Slow', 'The network', 'Human Resistance', 'Buy', 'Package', 'Gede', 'High School', 'Expensive', 'Subscriptions',' Manchester ',' Doang ',' YouTube ',' high school ',' gaming ',' slow ',' forgiveness', 'please', 'prbaiki', 'jngn', 'disappointed', 'plentakan', "]</v>
      </c>
      <c r="D1348" s="3">
        <v>1.0</v>
      </c>
    </row>
    <row r="1349" ht="15.75" customHeight="1">
      <c r="A1349" s="1">
        <v>1347.0</v>
      </c>
      <c r="B1349" s="3" t="s">
        <v>1350</v>
      </c>
      <c r="C1349" s="3" t="str">
        <f>IFERROR(__xludf.DUMMYFUNCTION("GOOGLETRANSLATE(B1349,""id"",""en"")"),"['Actually', 'intention', 'application', 'plis',' kouta ',' expensive ',' yeah ',' ngnome ',' folk ',' replace ',' card ',' Telkomsel ',' signal ',' Problem ',' Kouta ',' ngnek ',' people ', ""]")</f>
        <v>['Actually', 'intention', 'application', 'plis',' kouta ',' expensive ',' yeah ',' ngnome ',' folk ',' replace ',' card ',' Telkomsel ',' signal ',' Problem ',' Kouta ',' ngnek ',' people ', "]</v>
      </c>
      <c r="D1349" s="3">
        <v>1.0</v>
      </c>
    </row>
    <row r="1350" ht="15.75" customHeight="1">
      <c r="A1350" s="1">
        <v>1348.0</v>
      </c>
      <c r="B1350" s="3" t="s">
        <v>1351</v>
      </c>
      <c r="C1350" s="3" t="str">
        <f>IFERROR(__xludf.DUMMYFUNCTION("GOOGLETRANSLATE(B1350,""id"",""en"")"),"['Please', 'Help', 'Region', 'Earth', 'Treasure', 'Way', 'Kandis',' Kecamatan ',' Tanjung ',' Glad ',' City ',' Bandarlampung ',' HARD ',' Signal ',' Telkomsel ',' Region ',' City ',' Madya ',' Bandar ',' Lampung ',' Bad ',' Signal ',' Service ',' Telkoms"&amp;"el ']")</f>
        <v>['Please', 'Help', 'Region', 'Earth', 'Treasure', 'Way', 'Kandis',' Kecamatan ',' Tanjung ',' Glad ',' City ',' Bandarlampung ',' HARD ',' Signal ',' Telkomsel ',' Region ',' City ',' Madya ',' Bandar ',' Lampung ',' Bad ',' Signal ',' Service ',' Telkomsel ']</v>
      </c>
      <c r="D1350" s="3">
        <v>1.0</v>
      </c>
    </row>
    <row r="1351" ht="15.75" customHeight="1">
      <c r="A1351" s="1">
        <v>1349.0</v>
      </c>
      <c r="B1351" s="3" t="s">
        <v>1352</v>
      </c>
      <c r="C1351" s="3" t="str">
        <f>IFERROR(__xludf.DUMMYFUNCTION("GOOGLETRANSLATE(B1351,""id"",""en"")"),"['quota', 'unlimited', 'restricted', 'buy', 'unlimited', 'as long as',' limit ',' unlimited ',' no ',' as long as', 'please', 'return', ' kek ',' customers', 'satisfied', 'gegara', 'package', 'unlimited', 'thank', 'love', 'min']")</f>
        <v>['quota', 'unlimited', 'restricted', 'buy', 'unlimited', 'as long as',' limit ',' unlimited ',' no ',' as long as', 'please', 'return', ' kek ',' customers', 'satisfied', 'gegara', 'package', 'unlimited', 'thank', 'love', 'min']</v>
      </c>
      <c r="D1351" s="3">
        <v>1.0</v>
      </c>
    </row>
    <row r="1352" ht="15.75" customHeight="1">
      <c r="A1352" s="1">
        <v>1350.0</v>
      </c>
      <c r="B1352" s="3" t="s">
        <v>1353</v>
      </c>
      <c r="C1352" s="3" t="str">
        <f>IFERROR(__xludf.DUMMYFUNCTION("GOOGLETRANSLATE(B1352,""id"",""en"")"),"['ask', 'number', 'missing', 'number', 'number', 'registered', 'use', 'nik', 'please', 'confirmed', 'Gabara', 'gabisa', ' numbers', 'produced', 'hilarious',' uses', 'list', 'use', 'nik', 'steal', 'data', '']")</f>
        <v>['ask', 'number', 'missing', 'number', 'number', 'registered', 'use', 'nik', 'please', 'confirmed', 'Gabara', 'gabisa', ' numbers', 'produced', 'hilarious',' uses', 'list', 'use', 'nik', 'steal', 'data', '']</v>
      </c>
      <c r="D1352" s="3">
        <v>1.0</v>
      </c>
    </row>
    <row r="1353" ht="15.75" customHeight="1">
      <c r="A1353" s="1">
        <v>1351.0</v>
      </c>
      <c r="B1353" s="3" t="s">
        <v>1354</v>
      </c>
      <c r="C1353" s="3" t="str">
        <f>IFERROR(__xludf.DUMMYFUNCTION("GOOGLETRANSLATE(B1353,""id"",""en"")"),"['buy', 'quota', 'expensive', 'right', 'quota', 'lag', 'just', 'striming', 'trs',' quality ',' video ',' just ',' It's a 'download', 'APK', 'signal', 'Nyampe', 'MPB', 'Kae', 'Gini', 'Mending', 'Move', 'Smartfren', '']")</f>
        <v>['buy', 'quota', 'expensive', 'right', 'quota', 'lag', 'just', 'striming', 'trs',' quality ',' video ',' just ',' It's a 'download', 'APK', 'signal', 'Nyampe', 'MPB', 'Kae', 'Gini', 'Mending', 'Move', 'Smartfren', '']</v>
      </c>
      <c r="D1353" s="3">
        <v>1.0</v>
      </c>
    </row>
    <row r="1354" ht="15.75" customHeight="1">
      <c r="A1354" s="1">
        <v>1352.0</v>
      </c>
      <c r="B1354" s="3" t="s">
        <v>1355</v>
      </c>
      <c r="C1354" s="3" t="str">
        <f>IFERROR(__xludf.DUMMYFUNCTION("GOOGLETRANSLATE(B1354,""id"",""en"")"),"['Telkomsel', 'karuan', 'quality', 'right', 'slow', 'signal', 'like', 'ilang', 'best', 'dannn', 'price', 'package', ' quota ',' please ',' noticed ',' cook ',' user ',' card ',' given ',' price ',' expensive ',' rather ',' bizarre ',' really ',' deh ' , '"&amp;"Telkomsel', 'loyal', 'Telkomsel', 'user', 'given', 'price', 'expensive', '']")</f>
        <v>['Telkomsel', 'karuan', 'quality', 'right', 'slow', 'signal', 'like', 'ilang', 'best', 'dannn', 'price', 'package', ' quota ',' please ',' noticed ',' cook ',' user ',' card ',' given ',' price ',' expensive ',' rather ',' bizarre ',' really ',' deh ' , 'Telkomsel', 'loyal', 'Telkomsel', 'user', 'given', 'price', 'expensive', '']</v>
      </c>
      <c r="D1354" s="3">
        <v>1.0</v>
      </c>
    </row>
    <row r="1355" ht="15.75" customHeight="1">
      <c r="A1355" s="1">
        <v>1353.0</v>
      </c>
      <c r="B1355" s="3" t="s">
        <v>1356</v>
      </c>
      <c r="C1355" s="3" t="str">
        <f>IFERROR(__xludf.DUMMYFUNCTION("GOOGLETRANSLATE(B1355,""id"",""en"")"),"['price', 'quota', 'troublesome', 'consumer', 'rb', 'rb', 'rb', 'available', 'banking', 'fraction', 'that way', 'must "",' buy ',' rb ',' rb ',' rb ',' marketing ',' that's']")</f>
        <v>['price', 'quota', 'troublesome', 'consumer', 'rb', 'rb', 'rb', 'available', 'banking', 'fraction', 'that way', 'must ",' buy ',' rb ',' rb ',' rb ',' marketing ',' that's']</v>
      </c>
      <c r="D1355" s="3">
        <v>1.0</v>
      </c>
    </row>
    <row r="1356" ht="15.75" customHeight="1">
      <c r="A1356" s="1">
        <v>1354.0</v>
      </c>
      <c r="B1356" s="3" t="s">
        <v>1357</v>
      </c>
      <c r="C1356" s="3" t="str">
        <f>IFERROR(__xludf.DUMMYFUNCTION("GOOGLETRANSLATE(B1356,""id"",""en"")"),"['habit', 'signal', 'ugly', 'maen', 'suck', 'pulse', 'no', 'like', 'contents',' pulse ',' maketin ',' internet ',' must']")</f>
        <v>['habit', 'signal', 'ugly', 'maen', 'suck', 'pulse', 'no', 'like', 'contents',' pulse ',' maketin ',' internet ',' must']</v>
      </c>
      <c r="D1356" s="3">
        <v>2.0</v>
      </c>
    </row>
    <row r="1357" ht="15.75" customHeight="1">
      <c r="A1357" s="1">
        <v>1355.0</v>
      </c>
      <c r="B1357" s="3" t="s">
        <v>1358</v>
      </c>
      <c r="C1357" s="3" t="str">
        <f>IFERROR(__xludf.DUMMYFUNCTION("GOOGLETRANSLATE(B1357,""id"",""en"")"),"['Times',' Change ',' Package ',' Please ',' Notice ',' Yaa ',' Mass', 'Pakek', 'Combo', 'Unlimited', 'GB', 'right', ' list ',' already ']")</f>
        <v>['Times',' Change ',' Package ',' Please ',' Notice ',' Yaa ',' Mass', 'Pakek', 'Combo', 'Unlimited', 'GB', 'right', ' list ',' already ']</v>
      </c>
      <c r="D1357" s="3">
        <v>4.0</v>
      </c>
    </row>
    <row r="1358" ht="15.75" customHeight="1">
      <c r="A1358" s="1">
        <v>1356.0</v>
      </c>
      <c r="B1358" s="3" t="s">
        <v>1359</v>
      </c>
      <c r="C1358" s="3" t="str">
        <f>IFERROR(__xludf.DUMMYFUNCTION("GOOGLETRANSLATE(B1358,""id"",""en"")"),"['network', 'Telkomsel', 'Not bad', 'bad', 'promo', 'package', 'cheap', 'buy', 'package', 'a month', 'unlimited', 'YTBE', ' Tiktokdll ',' skrg ',' see ',' youtube ',' package ',' data ',' reduced ',' pdhl ',' written ',' unlimited ',' disappointing ',' tl"&amp;"g ',' explorer ' ]")</f>
        <v>['network', 'Telkomsel', 'Not bad', 'bad', 'promo', 'package', 'cheap', 'buy', 'package', 'a month', 'unlimited', 'YTBE', ' Tiktokdll ',' skrg ',' see ',' youtube ',' package ',' data ',' reduced ',' pdhl ',' written ',' unlimited ',' disappointing ',' tlg ',' explorer ' ]</v>
      </c>
      <c r="D1358" s="3">
        <v>4.0</v>
      </c>
    </row>
    <row r="1359" ht="15.75" customHeight="1">
      <c r="A1359" s="1">
        <v>1357.0</v>
      </c>
      <c r="B1359" s="3" t="s">
        <v>1360</v>
      </c>
      <c r="C1359" s="3" t="str">
        <f>IFERROR(__xludf.DUMMYFUNCTION("GOOGLETRANSLATE(B1359,""id"",""en"")"),"['good', 'exchange', 'point', 'signs',' point ',' donate ',' fast ',' easy ',' exchanger ',' point ',' donation ',' lottery ',' That is all and thank you']")</f>
        <v>['good', 'exchange', 'point', 'signs',' point ',' donate ',' fast ',' easy ',' exchanger ',' point ',' donation ',' lottery ',' That is all and thank you']</v>
      </c>
      <c r="D1359" s="3">
        <v>5.0</v>
      </c>
    </row>
    <row r="1360" ht="15.75" customHeight="1">
      <c r="A1360" s="1">
        <v>1358.0</v>
      </c>
      <c r="B1360" s="3" t="s">
        <v>1361</v>
      </c>
      <c r="C1360" s="3" t="str">
        <f>IFERROR(__xludf.DUMMYFUNCTION("GOOGLETRANSLATE(B1360,""id"",""en"")"),"['Buy', 'Package', 'Disney', 'Hotstar', 'Failed', 'Network', 'Good', 'Credit', 'Buy', 'Package', 'Hotstar', 'Posts',' system ',' busy ',' please ',' fix ',' kayak ',' gini ',' quality ']")</f>
        <v>['Buy', 'Package', 'Disney', 'Hotstar', 'Failed', 'Network', 'Good', 'Credit', 'Buy', 'Package', 'Hotstar', 'Posts',' system ',' busy ',' please ',' fix ',' kayak ',' gini ',' quality ']</v>
      </c>
      <c r="D1360" s="3">
        <v>3.0</v>
      </c>
    </row>
    <row r="1361" ht="15.75" customHeight="1">
      <c r="A1361" s="1">
        <v>1359.0</v>
      </c>
      <c r="B1361" s="3" t="s">
        <v>1362</v>
      </c>
      <c r="C1361" s="3" t="str">
        <f>IFERROR(__xludf.DUMMYFUNCTION("GOOGLETRANSLATE(B1361,""id"",""en"")"),"['Please', 'Min', 'Addin', 'Feature', 'Application', 'APK', 'Next to', 'Feature', 'Where', 'Look', 'Pulse', 'Package', ' data ',' already ',' run out ',' pulses', 'sumps',' ttp ',' safe ',' loss', 'pulse', 'package', 'data', 'abis',' hope ' , 'Plusin', 'r"&amp;"eally', 'pulse', 'missing', 'TTS', '']")</f>
        <v>['Please', 'Min', 'Addin', 'Feature', 'Application', 'APK', 'Next to', 'Feature', 'Where', 'Look', 'Pulse', 'Package', ' data ',' already ',' run out ',' pulses', 'sumps',' ttp ',' safe ',' loss', 'pulse', 'package', 'data', 'abis',' hope ' , 'Plusin', 'really', 'pulse', 'missing', 'TTS', '']</v>
      </c>
      <c r="D1361" s="3">
        <v>2.0</v>
      </c>
    </row>
    <row r="1362" ht="15.75" customHeight="1">
      <c r="A1362" s="1">
        <v>1360.0</v>
      </c>
      <c r="B1362" s="3" t="s">
        <v>1363</v>
      </c>
      <c r="C1362" s="3" t="str">
        <f>IFERROR(__xludf.DUMMYFUNCTION("GOOGLETRANSLATE(B1362,""id"",""en"")"),"['Love', 'product', 'in', 'country', 'expensive', 'forgiveness',' forgiveness', 'deh', 'move', 'next door', 'byr', 'ovo', ' Link ',' Yesterday ',' Lhoo ', ""]")</f>
        <v>['Love', 'product', 'in', 'country', 'expensive', 'forgiveness',' forgiveness', 'deh', 'move', 'next door', 'byr', 'ovo', ' Link ',' Yesterday ',' Lhoo ', "]</v>
      </c>
      <c r="D1362" s="3">
        <v>1.0</v>
      </c>
    </row>
    <row r="1363" ht="15.75" customHeight="1">
      <c r="A1363" s="1">
        <v>1361.0</v>
      </c>
      <c r="B1363" s="3" t="s">
        <v>1364</v>
      </c>
      <c r="C1363" s="3" t="str">
        <f>IFERROR(__xludf.DUMMYFUNCTION("GOOGLETRANSLATE(B1363,""id"",""en"")"),"['Gosh', 'Open', 'The application', 'right', 'open', 'screen', 'white', 'signal', 'anything', 'wifi', 'package', 'internet', ' Los', 'DRIALIN', 'Application', 'Kenup', 'Force', 'Close', 'That's',' Try ',' Improve ',' Love ',' Update ',' What ',' System ' "&amp;", 'Android', 'gini', 'cook', 'yes',' update ',' system ',' Android ',' updated ',' kah ',' experience ',' event ',' Kek ',' Gini ',' Disturbs', 'really', 'oath', 'Woyy', ""]")</f>
        <v>['Gosh', 'Open', 'The application', 'right', 'open', 'screen', 'white', 'signal', 'anything', 'wifi', 'package', 'internet', ' Los', 'DRIALIN', 'Application', 'Kenup', 'Force', 'Close', 'That's',' Try ',' Improve ',' Love ',' Update ',' What ',' System ' , 'Android', 'gini', 'cook', 'yes',' update ',' system ',' Android ',' updated ',' kah ',' experience ',' event ',' Kek ',' Gini ',' Disturbs', 'really', 'oath', 'Woyy', "]</v>
      </c>
      <c r="D1363" s="3">
        <v>1.0</v>
      </c>
    </row>
    <row r="1364" ht="15.75" customHeight="1">
      <c r="A1364" s="1">
        <v>1362.0</v>
      </c>
      <c r="B1364" s="3" t="s">
        <v>1365</v>
      </c>
      <c r="C1364" s="3" t="str">
        <f>IFERROR(__xludf.DUMMYFUNCTION("GOOGLETRANSLATE(B1364,""id"",""en"")"),"['like', 'really', 'MyTelkomsel', 'offer', 'package', 'sympathy', 'offer', 'package', 'different', 'bedain', 'package', 'combo', ' Sakti ',' cheap ',' combo ',' omg ',' expensive ',' fast ',' abis', 'buy', 'according to', 'zoning', 'get', 'signal', 'good'"&amp;" , 'good', '']")</f>
        <v>['like', 'really', 'MyTelkomsel', 'offer', 'package', 'sympathy', 'offer', 'package', 'different', 'bedain', 'package', 'combo', ' Sakti ',' cheap ',' combo ',' omg ',' expensive ',' fast ',' abis', 'buy', 'according to', 'zoning', 'get', 'signal', 'good' , 'good', '']</v>
      </c>
      <c r="D1364" s="3">
        <v>1.0</v>
      </c>
    </row>
    <row r="1365" ht="15.75" customHeight="1">
      <c r="A1365" s="1">
        <v>1363.0</v>
      </c>
      <c r="B1365" s="3" t="s">
        <v>1366</v>
      </c>
      <c r="C1365" s="3" t="str">
        <f>IFERROR(__xludf.DUMMYFUNCTION("GOOGLETRANSLATE(B1365,""id"",""en"")"),"['Telkomsel', 'Your Signal', 'My Heart', 'PILU', 'MUTER', 'SERVING', 'JLS', 'SAD', 'My Heart', 'Telkomsel', 'Your Signal', ' DLU ',' You ',' Changed ',' ']")</f>
        <v>['Telkomsel', 'Your Signal', 'My Heart', 'PILU', 'MUTER', 'SERVING', 'JLS', 'SAD', 'My Heart', 'Telkomsel', 'Your Signal', ' DLU ',' You ',' Changed ',' ']</v>
      </c>
      <c r="D1365" s="3">
        <v>5.0</v>
      </c>
    </row>
    <row r="1366" ht="15.75" customHeight="1">
      <c r="A1366" s="1">
        <v>1364.0</v>
      </c>
      <c r="B1366" s="3" t="s">
        <v>1367</v>
      </c>
      <c r="C1366" s="3" t="str">
        <f>IFERROR(__xludf.DUMMYFUNCTION("GOOGLETRANSLATE(B1366,""id"",""en"")"),"['Move', 'Network', 'Telkomsel', 'Network', 'Taik', 'already', 'Bang 1.', 'Kah', 'Overcoming', 'Network', 'already', 'expensive', ' Taik ',' Network ']")</f>
        <v>['Move', 'Network', 'Telkomsel', 'Network', 'Taik', 'already', 'Bang 1.', 'Kah', 'Overcoming', 'Network', 'already', 'expensive', ' Taik ',' Network ']</v>
      </c>
      <c r="D1366" s="3">
        <v>1.0</v>
      </c>
    </row>
    <row r="1367" ht="15.75" customHeight="1">
      <c r="A1367" s="1">
        <v>1365.0</v>
      </c>
      <c r="B1367" s="3" t="s">
        <v>1368</v>
      </c>
      <c r="C1367" s="3" t="str">
        <f>IFERROR(__xludf.DUMMYFUNCTION("GOOGLETRANSLATE(B1367,""id"",""en"")"),"['Please', 'Make', 'Mode', 'Key', 'Credit', 'Pulses', 'Should', 'Package', 'Data', 'Out', 'Look', 'Next Next,' Promo ',' Discount ',' Gede ',' Gedean ',' Interest ',' Hopefully ',' Responded ']")</f>
        <v>['Please', 'Make', 'Mode', 'Key', 'Credit', 'Pulses', 'Should', 'Package', 'Data', 'Out', 'Look', 'Next Next,' Promo ',' Discount ',' Gede ',' Gedean ',' Interest ',' Hopefully ',' Responded ']</v>
      </c>
      <c r="D1367" s="3">
        <v>3.0</v>
      </c>
    </row>
    <row r="1368" ht="15.75" customHeight="1">
      <c r="A1368" s="1">
        <v>1366.0</v>
      </c>
      <c r="B1368" s="3" t="s">
        <v>1369</v>
      </c>
      <c r="C1368" s="3" t="str">
        <f>IFERROR(__xludf.DUMMYFUNCTION("GOOGLETRANSLATE(B1368,""id"",""en"")"),"['network', 'good', 'love', 'price', 'expensive', 'play', 'game', 'already', 'kagak', 'support', 'network', 'Telkomsel', ' Sarai ',' Closed ',' already ',' Telkomsel ',' Network ',' Good ',' What's', '']")</f>
        <v>['network', 'good', 'love', 'price', 'expensive', 'play', 'game', 'already', 'kagak', 'support', 'network', 'Telkomsel', ' Sarai ',' Closed ',' already ',' Telkomsel ',' Network ',' Good ',' What's', '']</v>
      </c>
      <c r="D1368" s="3">
        <v>1.0</v>
      </c>
    </row>
    <row r="1369" ht="15.75" customHeight="1">
      <c r="A1369" s="1">
        <v>1367.0</v>
      </c>
      <c r="B1369" s="3" t="s">
        <v>1370</v>
      </c>
      <c r="C1369" s="3" t="str">
        <f>IFERROR(__xludf.DUMMYFUNCTION("GOOGLETRANSLATE(B1369,""id"",""en"")"),"['right', 'purchase', 'kouta', 'kouta', 'right', 'internet', 'smooth', 'my computer', 'buy', 'buy', 'pulse', 'please', ' improve ',' promo ',' ']")</f>
        <v>['right', 'purchase', 'kouta', 'kouta', 'right', 'internet', 'smooth', 'my computer', 'buy', 'buy', 'pulse', 'please', ' improve ',' promo ',' ']</v>
      </c>
      <c r="D1369" s="3">
        <v>1.0</v>
      </c>
    </row>
    <row r="1370" ht="15.75" customHeight="1">
      <c r="A1370" s="1">
        <v>1368.0</v>
      </c>
      <c r="B1370" s="3" t="s">
        <v>1371</v>
      </c>
      <c r="C1370" s="3" t="str">
        <f>IFERROR(__xludf.DUMMYFUNCTION("GOOGLETRANSLATE(B1370,""id"",""en"")"),"['Package', 'Internet', 'Class',' Telkomsel ',' loop ',' cheap ',' network ',' internet ',' sad ',' bad ',' comparable ',' dng ',' the price ',' application ',' Telkomsel ',' slow ',' times', 'opened', 'already', 'annual', 'subscription', 'expensive', 'qu"&amp;"ality', 'internet', 'bad' , 'Next', 'Change', 'Provider', '']")</f>
        <v>['Package', 'Internet', 'Class',' Telkomsel ',' loop ',' cheap ',' network ',' internet ',' sad ',' bad ',' comparable ',' dng ',' the price ',' application ',' Telkomsel ',' slow ',' times', 'opened', 'already', 'annual', 'subscription', 'expensive', 'quality', 'internet', 'bad' , 'Next', 'Change', 'Provider', '']</v>
      </c>
      <c r="D1370" s="3">
        <v>1.0</v>
      </c>
    </row>
    <row r="1371" ht="15.75" customHeight="1">
      <c r="A1371" s="1">
        <v>1369.0</v>
      </c>
      <c r="B1371" s="3" t="s">
        <v>1372</v>
      </c>
      <c r="C1371" s="3" t="str">
        <f>IFERROR(__xludf.DUMMYFUNCTION("GOOGLETRANSLATE(B1371,""id"",""en"")"),"['signal', 'village', 'Buaran', 'distance', 'village', 'bonisari', 'ugly', 'really', 'sympathy', 'please', 'fix', 'shy', ' shame ',' company ',' yng ',' famous', 'signal', 'the widest', 'internet', 'slow', 'bar', 'shy', 'advertising', 'thank you', 'hope' "&amp;", 'In the future']")</f>
        <v>['signal', 'village', 'Buaran', 'distance', 'village', 'bonisari', 'ugly', 'really', 'sympathy', 'please', 'fix', 'shy', ' shame ',' company ',' yng ',' famous', 'signal', 'the widest', 'internet', 'slow', 'bar', 'shy', 'advertising', 'thank you', 'hope' , 'In the future']</v>
      </c>
      <c r="D1371" s="3">
        <v>1.0</v>
      </c>
    </row>
    <row r="1372" ht="15.75" customHeight="1">
      <c r="A1372" s="1">
        <v>1370.0</v>
      </c>
      <c r="B1372" s="3" t="s">
        <v>1373</v>
      </c>
      <c r="C1372" s="3" t="str">
        <f>IFERROR(__xludf.DUMMYFUNCTION("GOOGLETRANSLATE(B1372,""id"",""en"")"),"['buy', 'package', 'contents',' reset ',' unlimited ',' kyk ',' limit ',' reasonable ',' limit ',' reasonable ',' sosmed ',' game ',' Etc. ',' open ',' mah ',' smooth ',' ']")</f>
        <v>['buy', 'package', 'contents',' reset ',' unlimited ',' kyk ',' limit ',' reasonable ',' limit ',' reasonable ',' sosmed ',' game ',' Etc. ',' open ',' mah ',' smooth ',' ']</v>
      </c>
      <c r="D1372" s="3">
        <v>1.0</v>
      </c>
    </row>
    <row r="1373" ht="15.75" customHeight="1">
      <c r="A1373" s="1">
        <v>1371.0</v>
      </c>
      <c r="B1373" s="3" t="s">
        <v>1374</v>
      </c>
      <c r="C1373" s="3" t="str">
        <f>IFERROR(__xludf.DUMMYFUNCTION("GOOGLETRANSLATE(B1373,""id"",""en"")"),"['Network', 'ugly', 'moved', 'package', 'Hallo', 'Kick', 'unlimited', 'good', 'network', 'ugly', 'increase', 'Quality', ' The network is', 'evenly', 'direction', 'area', 'Quality', 'Network', 'ugly', ""]")</f>
        <v>['Network', 'ugly', 'moved', 'package', 'Hallo', 'Kick', 'unlimited', 'good', 'network', 'ugly', 'increase', 'Quality', ' The network is', 'evenly', 'direction', 'area', 'Quality', 'Network', 'ugly', "]</v>
      </c>
      <c r="D1373" s="3">
        <v>5.0</v>
      </c>
    </row>
    <row r="1374" ht="15.75" customHeight="1">
      <c r="A1374" s="1">
        <v>1372.0</v>
      </c>
      <c r="B1374" s="3" t="s">
        <v>1375</v>
      </c>
      <c r="C1374" s="3" t="str">
        <f>IFERROR(__xludf.DUMMYFUNCTION("GOOGLETRANSLATE(B1374,""id"",""en"")"),"['Please', 'Fix', 'Region', 'Surakarta', 'Signal', 'ugly', 'according to', 'fold', 'folding', 'purchase', 'quota', 'GB', ' a month ',' quota ',' bg ',' according to ',' service ',' disorder ',' error ',' price ',' quality ',' guard ']")</f>
        <v>['Please', 'Fix', 'Region', 'Surakarta', 'Signal', 'ugly', 'according to', 'fold', 'folding', 'purchase', 'quota', 'GB', ' a month ',' quota ',' bg ',' according to ',' service ',' disorder ',' error ',' price ',' quality ',' guard ']</v>
      </c>
      <c r="D1374" s="3">
        <v>3.0</v>
      </c>
    </row>
    <row r="1375" ht="15.75" customHeight="1">
      <c r="A1375" s="1">
        <v>1373.0</v>
      </c>
      <c r="B1375" s="3" t="s">
        <v>1376</v>
      </c>
      <c r="C1375" s="3" t="str">
        <f>IFERROR(__xludf.DUMMYFUNCTION("GOOGLETRANSLATE(B1375,""id"",""en"")"),"['Please', 'Sorry', 'Please', 'Login', 'Application', 'Wait', 'Sent', 'Link', 'SMS', 'In the area', 'signal', 'Difficult', ' Login ',' SMS ',' Link ',' Sampe ']")</f>
        <v>['Please', 'Sorry', 'Please', 'Login', 'Application', 'Wait', 'Sent', 'Link', 'SMS', 'In the area', 'signal', 'Difficult', ' Login ',' SMS ',' Link ',' Sampe ']</v>
      </c>
      <c r="D1375" s="3">
        <v>1.0</v>
      </c>
    </row>
    <row r="1376" ht="15.75" customHeight="1">
      <c r="A1376" s="1">
        <v>1374.0</v>
      </c>
      <c r="B1376" s="3" t="s">
        <v>1377</v>
      </c>
      <c r="C1376" s="3" t="str">
        <f>IFERROR(__xludf.DUMMYFUNCTION("GOOGLETRANSLATE(B1376,""id"",""en"")"),"['Telkomsel', 'Cook', 'activates',' package ',' emergency ',' active ',' fill in ',' credit ',' automatic ',' pulse ',' direct ',' sumps', ' rb ',' getting ',' ginian ',' poor ',' poor ',' payaaaaah ',' detrimental ',' customer ',' canal ',' kayak ',' gin"&amp;"i ',' customer ',' blur ' , 'Lho', 'moved', 'Heart', 'Customer', 'Telkomsel', 'Kayak', 'Gini', 'Males', ""]")</f>
        <v>['Telkomsel', 'Cook', 'activates',' package ',' emergency ',' active ',' fill in ',' credit ',' automatic ',' pulse ',' direct ',' sumps', ' rb ',' getting ',' ginian ',' poor ',' poor ',' payaaaaah ',' detrimental ',' customer ',' canal ',' kayak ',' gini ',' customer ',' blur ' , 'Lho', 'moved', 'Heart', 'Customer', 'Telkomsel', 'Kayak', 'Gini', 'Males', "]</v>
      </c>
      <c r="D1376" s="3">
        <v>1.0</v>
      </c>
    </row>
    <row r="1377" ht="15.75" customHeight="1">
      <c r="A1377" s="1">
        <v>1375.0</v>
      </c>
      <c r="B1377" s="3" t="s">
        <v>1378</v>
      </c>
      <c r="C1377" s="3" t="str">
        <f>IFERROR(__xludf.DUMMYFUNCTION("GOOGLETRANSLATE(B1377,""id"",""en"")"),"['Activate', 'package', 'cheap', 'rather than', 'Telkomsel', 'price', 'package', 'daily', 'Telkomsel', 'printed', 'promo', 'promo', ' Cheap ',' expensive ',' MyTelkomsel ',' Exchange ',' Points', 'Difficult', 'Exchange', 'Please', 'Fix', 'Acquired', 'User"&amp;"', 'Subscription', 'Disappointed' , 'thank you', '']")</f>
        <v>['Activate', 'package', 'cheap', 'rather than', 'Telkomsel', 'price', 'package', 'daily', 'Telkomsel', 'printed', 'promo', 'promo', ' Cheap ',' expensive ',' MyTelkomsel ',' Exchange ',' Points', 'Difficult', 'Exchange', 'Please', 'Fix', 'Acquired', 'User', 'Subscription', 'Disappointed' , 'thank you', '']</v>
      </c>
      <c r="D1377" s="3">
        <v>1.0</v>
      </c>
    </row>
    <row r="1378" ht="15.75" customHeight="1">
      <c r="A1378" s="1">
        <v>1376.0</v>
      </c>
      <c r="B1378" s="3" t="s">
        <v>1379</v>
      </c>
      <c r="C1378" s="3" t="str">
        <f>IFERROR(__xludf.DUMMYFUNCTION("GOOGLETRANSLATE(B1378,""id"",""en"")"),"['Disappointed', 'Application', 'Sya', 'Fraud', 'Yesterday', 'Sya', 'DPT', 'SMS', 'BGINI', 'Congratulations',' Package ',' Credit ',' Rp. ',' active ',' apply ',' date ',' pkl ',' WIB ',' check ',' status', 'stop', 'subscribe', 'Telkomsel', 'apps',' hub '"&amp;" , 'Info', 'right', 'Sya', 'list', 'plsa', 'basically', 'lgi', 'run out', '']")</f>
        <v>['Disappointed', 'Application', 'Sya', 'Fraud', 'Yesterday', 'Sya', 'DPT', 'SMS', 'BGINI', 'Congratulations',' Package ',' Credit ',' Rp. ',' active ',' apply ',' date ',' pkl ',' WIB ',' check ',' status', 'stop', 'subscribe', 'Telkomsel', 'apps',' hub ' , 'Info', 'right', 'Sya', 'list', 'plsa', 'basically', 'lgi', 'run out', '']</v>
      </c>
      <c r="D1378" s="3">
        <v>1.0</v>
      </c>
    </row>
    <row r="1379" ht="15.75" customHeight="1">
      <c r="A1379" s="1">
        <v>1377.0</v>
      </c>
      <c r="B1379" s="3" t="s">
        <v>1380</v>
      </c>
      <c r="C1379" s="3" t="str">
        <f>IFERROR(__xludf.DUMMYFUNCTION("GOOGLETRANSLATE(B1379,""id"",""en"")"),"['please', 'Telkomsel', 'Sya', 'already', 'sekli', 'card', 'telkomsel', 'area', 'sya', 'sngt', 'bgus',' signal ',' Sometimes', 'right', 'rain', 'good', 'TPI', 'now', 'mah', 'gini', 'wind', 'rain', 'right', 'play', 'game' , 'Ngelagg', 'Ngelag', 'Gini', 'th"&amp;"en', 'user', 'Telkomsel', 'Miss', 'comfortable', 'termuk', 'please', 'fix']")</f>
        <v>['please', 'Telkomsel', 'Sya', 'already', 'sekli', 'card', 'telkomsel', 'area', 'sya', 'sngt', 'bgus',' signal ',' Sometimes', 'right', 'rain', 'good', 'TPI', 'now', 'mah', 'gini', 'wind', 'rain', 'right', 'play', 'game' , 'Ngelagg', 'Ngelag', 'Gini', 'then', 'user', 'Telkomsel', 'Miss', 'comfortable', 'termuk', 'please', 'fix']</v>
      </c>
      <c r="D1379" s="3">
        <v>1.0</v>
      </c>
    </row>
    <row r="1380" ht="15.75" customHeight="1">
      <c r="A1380" s="1">
        <v>1378.0</v>
      </c>
      <c r="B1380" s="3" t="s">
        <v>1381</v>
      </c>
      <c r="C1380" s="3" t="str">
        <f>IFERROR(__xludf.DUMMYFUNCTION("GOOGLETRANSLATE(B1380,""id"",""en"")"),"['Telkomsel', 'use', 'Nokia', 'black', 'white', 'first', 'skarang', 'replace', 'number', 'lucky', 'lottery', 'gift', ' Telkomsel ',' Serasa ',' ']")</f>
        <v>['Telkomsel', 'use', 'Nokia', 'black', 'white', 'first', 'skarang', 'replace', 'number', 'lucky', 'lottery', 'gift', ' Telkomsel ',' Serasa ',' ']</v>
      </c>
      <c r="D1380" s="3">
        <v>5.0</v>
      </c>
    </row>
    <row r="1381" ht="15.75" customHeight="1">
      <c r="A1381" s="1">
        <v>1379.0</v>
      </c>
      <c r="B1381" s="3" t="s">
        <v>1382</v>
      </c>
      <c r="C1381" s="3" t="str">
        <f>IFERROR(__xludf.DUMMYFUNCTION("GOOGLETRANSLATE(B1381,""id"",""en"")"),"['Telkomsel', 'ngeselinn', 'auto', 'replace', 'card', 'buy', 'quota', 'education', 'quota', 'open', 'space', 'teacher', ' open ',' capable ',' open ',' zoom ',' open ',' widia ',' edu ',' expensive ',' buy ',' quota ',' waste ',' money ',' the application"&amp;" ' , 'slow', 'really', ""]")</f>
        <v>['Telkomsel', 'ngeselinn', 'auto', 'replace', 'card', 'buy', 'quota', 'education', 'quota', 'open', 'space', 'teacher', ' open ',' capable ',' open ',' zoom ',' open ',' widia ',' edu ',' expensive ',' buy ',' quota ',' waste ',' money ',' the application ' , 'slow', 'really', "]</v>
      </c>
      <c r="D1381" s="3">
        <v>1.0</v>
      </c>
    </row>
    <row r="1382" ht="15.75" customHeight="1">
      <c r="A1382" s="1">
        <v>1380.0</v>
      </c>
      <c r="B1382" s="3" t="s">
        <v>1383</v>
      </c>
      <c r="C1382" s="3" t="str">
        <f>IFERROR(__xludf.DUMMYFUNCTION("GOOGLETRANSLATE(B1382,""id"",""en"")"),"['network', 'kacauu', 'service', 'card', 'hello', 'network', 'priority', 'network', 'like', 'nge', 'lag', 'tibatiba', ' Gabisa ',' Open ',' Open ',' Application ',' Zoom ',' Enter ',' Karna ',' Network ',' Main ',' Game ',' Lag ',' Severe ',' Network ' , "&amp;"'Tariff', 'Doang', 'expensive', 'according to', 'network', 'network', 'priority', 'Embed', 'Embed', 'Taunya', 'rich', 'card', ' Prepaid ',' Telkomsel ',' ']")</f>
        <v>['network', 'kacauu', 'service', 'card', 'hello', 'network', 'priority', 'network', 'like', 'nge', 'lag', 'tibatiba', ' Gabisa ',' Open ',' Open ',' Application ',' Zoom ',' Enter ',' Karna ',' Network ',' Main ',' Game ',' Lag ',' Severe ',' Network ' , 'Tariff', 'Doang', 'expensive', 'according to', 'network', 'network', 'priority', 'Embed', 'Embed', 'Taunya', 'rich', 'card', ' Prepaid ',' Telkomsel ',' ']</v>
      </c>
      <c r="D1382" s="3">
        <v>1.0</v>
      </c>
    </row>
    <row r="1383" ht="15.75" customHeight="1">
      <c r="A1383" s="1">
        <v>1381.0</v>
      </c>
      <c r="B1383" s="3" t="s">
        <v>1384</v>
      </c>
      <c r="C1383" s="3" t="str">
        <f>IFERROR(__xludf.DUMMYFUNCTION("GOOGLETRANSLATE(B1383,""id"",""en"")"),"['application', 'Telkomsel', 'save', 'card', 'unlimited', 'max', 'quota', 'bln', 'price', 'rb', 'even', 'quota', ' HBS ',' SBLM ',' date ',' msh ',' access', 'YouTube', 'Tiktok', '']")</f>
        <v>['application', 'Telkomsel', 'save', 'card', 'unlimited', 'max', 'quota', 'bln', 'price', 'rb', 'even', 'quota', ' HBS ',' SBLM ',' date ',' msh ',' access', 'YouTube', 'Tiktok', '']</v>
      </c>
      <c r="D1383" s="3">
        <v>5.0</v>
      </c>
    </row>
    <row r="1384" ht="15.75" customHeight="1">
      <c r="A1384" s="1">
        <v>1382.0</v>
      </c>
      <c r="B1384" s="3" t="s">
        <v>1385</v>
      </c>
      <c r="C1384" s="3" t="str">
        <f>IFERROR(__xludf.DUMMYFUNCTION("GOOGLETRANSLATE(B1384,""id"",""en"")"),"['Upgrade', 'Sympathy', 'Hello', 'Network', 'Priority', 'Lost', 'Signal', 'Sometimes',' Network ',' Lemot ',' Prepaid ',' Ehh ',' Didin ',' via ',' TLP ',' Marketing ',' ']")</f>
        <v>['Upgrade', 'Sympathy', 'Hello', 'Network', 'Priority', 'Lost', 'Signal', 'Sometimes',' Network ',' Lemot ',' Prepaid ',' Ehh ',' Didin ',' via ',' TLP ',' Marketing ',' ']</v>
      </c>
      <c r="D1384" s="3">
        <v>1.0</v>
      </c>
    </row>
    <row r="1385" ht="15.75" customHeight="1">
      <c r="A1385" s="1">
        <v>1383.0</v>
      </c>
      <c r="B1385" s="3" t="s">
        <v>1386</v>
      </c>
      <c r="C1385" s="3" t="str">
        <f>IFERROR(__xludf.DUMMYFUNCTION("GOOGLETRANSLATE(B1385,""id"",""en"")"),"['Network', 'please', 'repaired', 'night', 'play', 'game', 'lag', 'slow', 'lag', 'network', 'lost', 'embossed', ' Open ',' browsing ',' slow ',' stable ',' Telkomsel ',' kouta ']")</f>
        <v>['Network', 'please', 'repaired', 'night', 'play', 'game', 'lag', 'slow', 'lag', 'network', 'lost', 'embossed', ' Open ',' browsing ',' slow ',' stable ',' Telkomsel ',' kouta ']</v>
      </c>
      <c r="D1385" s="3">
        <v>1.0</v>
      </c>
    </row>
    <row r="1386" ht="15.75" customHeight="1">
      <c r="A1386" s="1">
        <v>1384.0</v>
      </c>
      <c r="B1386" s="3" t="s">
        <v>1387</v>
      </c>
      <c r="C1386" s="3" t="str">
        <f>IFERROR(__xludf.DUMMYFUNCTION("GOOGLETRANSLATE(B1386,""id"",""en"")"),"['Telkomsel', 'card', 'Sultan', 'Quality', 'Service', 'Bad', 'Read', 'Review', 'Column', 'Komen', 'Feel', ""]")</f>
        <v>['Telkomsel', 'card', 'Sultan', 'Quality', 'Service', 'Bad', 'Read', 'Review', 'Column', 'Komen', 'Feel', "]</v>
      </c>
      <c r="D1386" s="3">
        <v>1.0</v>
      </c>
    </row>
    <row r="1387" ht="15.75" customHeight="1">
      <c r="A1387" s="1">
        <v>1385.0</v>
      </c>
      <c r="B1387" s="3" t="s">
        <v>1388</v>
      </c>
      <c r="C1387" s="3" t="str">
        <f>IFERROR(__xludf.DUMMYFUNCTION("GOOGLETRANSLATE(B1387,""id"",""en"")"),"['The application', 'ugly', 'classmate', 'Telkomsel', 'application', 'slow', 'kayak', 'gini', 'signal', 'good', 'slow', 'potato', ' Potatoes', 'signal', 'ugly', 'hadehhhhhh', 'price', 'quality', 'backward']")</f>
        <v>['The application', 'ugly', 'classmate', 'Telkomsel', 'application', 'slow', 'kayak', 'gini', 'signal', 'good', 'slow', 'potato', ' Potatoes', 'signal', 'ugly', 'hadehhhhhh', 'price', 'quality', 'backward']</v>
      </c>
      <c r="D1387" s="3">
        <v>1.0</v>
      </c>
    </row>
    <row r="1388" ht="15.75" customHeight="1">
      <c r="A1388" s="1">
        <v>1386.0</v>
      </c>
      <c r="B1388" s="3" t="s">
        <v>1389</v>
      </c>
      <c r="C1388" s="3" t="str">
        <f>IFERROR(__xludf.DUMMYFUNCTION("GOOGLETRANSLATE(B1388,""id"",""en"")"),"['Severe', 'Telkomsel', 'Points',' Gwe ',' menu ',' exchange ',' Points', 'quota', 'GB', 'right', 'exchange', 'sorry', ' The system ',' busy ',' lei ',' show ',' menu ',' exchange ',' point ',' php ']")</f>
        <v>['Severe', 'Telkomsel', 'Points',' Gwe ',' menu ',' exchange ',' Points', 'quota', 'GB', 'right', 'exchange', 'sorry', ' The system ',' busy ',' lei ',' show ',' menu ',' exchange ',' point ',' php ']</v>
      </c>
      <c r="D1388" s="3">
        <v>1.0</v>
      </c>
    </row>
    <row r="1389" ht="15.75" customHeight="1">
      <c r="A1389" s="1">
        <v>1387.0</v>
      </c>
      <c r="B1389" s="3" t="s">
        <v>1390</v>
      </c>
      <c r="C1389" s="3" t="str">
        <f>IFERROR(__xludf.DUMMYFUNCTION("GOOGLETRANSLATE(B1389,""id"",""en"")"),"['Network', 'rotten', 'missing', 'package', 'expensive', 'price', 'package', 'according to', 'quality', 'network', 'otw', 'move', ' cards', 'respond', 'bots',' network ',' until ',' change ',' tetep ',' rotten ', ""]")</f>
        <v>['Network', 'rotten', 'missing', 'package', 'expensive', 'price', 'package', 'according to', 'quality', 'network', 'otw', 'move', ' cards', 'respond', 'bots',' network ',' until ',' change ',' tetep ',' rotten ', "]</v>
      </c>
      <c r="D1389" s="3">
        <v>1.0</v>
      </c>
    </row>
    <row r="1390" ht="15.75" customHeight="1">
      <c r="A1390" s="1">
        <v>1388.0</v>
      </c>
      <c r="B1390" s="3" t="s">
        <v>1391</v>
      </c>
      <c r="C1390" s="3" t="str">
        <f>IFERROR(__xludf.DUMMYFUNCTION("GOOGLETRANSLATE(B1390,""id"",""en"")"),"['buy', 'card', 'unlimited', 'a month', 'GB', 'forget', 'price', 'week', 'whsap', 'cht', 'disappointed', 'really', ' Until ',' Gini ',' Gini ',' Buy ',' Hedeh ']")</f>
        <v>['buy', 'card', 'unlimited', 'a month', 'GB', 'forget', 'price', 'week', 'whsap', 'cht', 'disappointed', 'really', ' Until ',' Gini ',' Gini ',' Buy ',' Hedeh ']</v>
      </c>
      <c r="D1390" s="3">
        <v>1.0</v>
      </c>
    </row>
    <row r="1391" ht="15.75" customHeight="1">
      <c r="A1391" s="1">
        <v>1389.0</v>
      </c>
      <c r="B1391" s="3" t="s">
        <v>1392</v>
      </c>
      <c r="C1391" s="3" t="str">
        <f>IFERROR(__xludf.DUMMYFUNCTION("GOOGLETRANSLATE(B1391,""id"",""en"")"),"['Terimaksih', 'Telkomsel', 'Network', 'Fix', 'Strong', 'Shop', 'Quota', 'Miss',' Permakan ',' Thank you ',' Bast ',' Lahh ',' Increase ',' Developer ',' ']")</f>
        <v>['Terimaksih', 'Telkomsel', 'Network', 'Fix', 'Strong', 'Shop', 'Quota', 'Miss',' Permakan ',' Thank you ',' Bast ',' Lahh ',' Increase ',' Developer ',' ']</v>
      </c>
      <c r="D1391" s="3">
        <v>5.0</v>
      </c>
    </row>
    <row r="1392" ht="15.75" customHeight="1">
      <c r="A1392" s="1">
        <v>1390.0</v>
      </c>
      <c r="B1392" s="3" t="s">
        <v>1393</v>
      </c>
      <c r="C1392" s="3" t="str">
        <f>IFERROR(__xludf.DUMMYFUNCTION("GOOGLETRANSLATE(B1392,""id"",""en"")"),"['buy', 'package', 'expensive', 'network', 'ugly', 'morning', 'noon', 'malem', 'different', 'tetep', 'ugly', 'card', ' Current ',' area ',' please ',' fix ',' gini ',' customer ',' move ']")</f>
        <v>['buy', 'package', 'expensive', 'network', 'ugly', 'morning', 'noon', 'malem', 'different', 'tetep', 'ugly', 'card', ' Current ',' area ',' please ',' fix ',' gini ',' customer ',' move ']</v>
      </c>
      <c r="D1392" s="3">
        <v>2.0</v>
      </c>
    </row>
    <row r="1393" ht="15.75" customHeight="1">
      <c r="A1393" s="1">
        <v>1391.0</v>
      </c>
      <c r="B1393" s="3" t="s">
        <v>1394</v>
      </c>
      <c r="C1393" s="3" t="str">
        <f>IFERROR(__xludf.DUMMYFUNCTION("GOOGLETRANSLATE(B1393,""id"",""en"")"),"['', 'Sudh', 'GraPARI', 'Telkomsel', 'Sya', 'stop', 'subscribe', 'postpaid', 'TPI', 'nmor', 'pkai', 'hrus',' subscribe ',' and then ',' sruh ',' take ',' pket ',' cheapest ',' emang ',' that's', '']")</f>
        <v>['', 'Sudh', 'GraPARI', 'Telkomsel', 'Sya', 'stop', 'subscribe', 'postpaid', 'TPI', 'nmor', 'pkai', 'hrus',' subscribe ',' and then ',' sruh ',' take ',' pket ',' cheapest ',' emang ',' that's', '']</v>
      </c>
      <c r="D1393" s="3">
        <v>2.0</v>
      </c>
    </row>
    <row r="1394" ht="15.75" customHeight="1">
      <c r="A1394" s="1">
        <v>1392.0</v>
      </c>
      <c r="B1394" s="3" t="s">
        <v>1395</v>
      </c>
      <c r="C1394" s="3" t="str">
        <f>IFERROR(__xludf.DUMMYFUNCTION("GOOGLETRANSLATE(B1394,""id"",""en"")"),"['list', 'package', 'talk', 'quota', 'extra', 'GB', 'the list', 'clock', 'clock', 'already', 'ilang', 'mah', ' just ',' clock ',' boss', 'gatau', 'rules',' move ',' quota ',' additional ',' ilang ', ""]")</f>
        <v>['list', 'package', 'talk', 'quota', 'extra', 'GB', 'the list', 'clock', 'clock', 'already', 'ilang', 'mah', ' just ',' clock ',' boss', 'gatau', 'rules',' move ',' quota ',' additional ',' ilang ', "]</v>
      </c>
      <c r="D1394" s="3">
        <v>2.0</v>
      </c>
    </row>
    <row r="1395" ht="15.75" customHeight="1">
      <c r="A1395" s="1">
        <v>1393.0</v>
      </c>
      <c r="B1395" s="3" t="s">
        <v>1396</v>
      </c>
      <c r="C1395" s="3" t="str">
        <f>IFERROR(__xludf.DUMMYFUNCTION("GOOGLETRANSLATE(B1395,""id"",""en"")"),"['sympathy', 'signal', 'slow', 'rich', 'conch', 'beg', 'repaired', 'quality', 'the network', 'expensive', 'use', 'Hello', ' The network is', 'ugly', 'really', 'loss',' consumer ',' network ',' used ',' pay ', ""]")</f>
        <v>['sympathy', 'signal', 'slow', 'rich', 'conch', 'beg', 'repaired', 'quality', 'the network', 'expensive', 'use', 'Hello', ' The network is', 'ugly', 'really', 'loss',' consumer ',' network ',' used ',' pay ', "]</v>
      </c>
      <c r="D1395" s="3">
        <v>1.0</v>
      </c>
    </row>
    <row r="1396" ht="15.75" customHeight="1">
      <c r="A1396" s="1">
        <v>1394.0</v>
      </c>
      <c r="B1396" s="3" t="s">
        <v>1397</v>
      </c>
      <c r="C1396" s="3" t="str">
        <f>IFERROR(__xludf.DUMMYFUNCTION("GOOGLETRANSLATE(B1396,""id"",""en"")"),"['buy', 'card', 'fill in', 'pulse', 'enter', 'sms',' package ',' active ',' right ',' see ',' pulses', 'run out', ' Total ',' Sorry ',' Loss', 'Please', 'Fix', 'Fix', 'Eat', 'Salary']")</f>
        <v>['buy', 'card', 'fill in', 'pulse', 'enter', 'sms',' package ',' active ',' right ',' see ',' pulses', 'run out', ' Total ',' Sorry ',' Loss', 'Please', 'Fix', 'Fix', 'Eat', 'Salary']</v>
      </c>
      <c r="D1396" s="3">
        <v>1.0</v>
      </c>
    </row>
    <row r="1397" ht="15.75" customHeight="1">
      <c r="A1397" s="1">
        <v>1395.0</v>
      </c>
      <c r="B1397" s="3" t="s">
        <v>1398</v>
      </c>
      <c r="C1397" s="3" t="str">
        <f>IFERROR(__xludf.DUMMYFUNCTION("GOOGLETRANSLATE(B1397,""id"",""en"")"),"['What', 'fill in', 'leftover', 'enter', 'sense', 'really', 'quota', 'abisnya', 'call', 'strange', 'please', 'explain']")</f>
        <v>['What', 'fill in', 'leftover', 'enter', 'sense', 'really', 'quota', 'abisnya', 'call', 'strange', 'please', 'explain']</v>
      </c>
      <c r="D1397" s="3">
        <v>1.0</v>
      </c>
    </row>
    <row r="1398" ht="15.75" customHeight="1">
      <c r="A1398" s="1">
        <v>1396.0</v>
      </c>
      <c r="B1398" s="3" t="s">
        <v>1399</v>
      </c>
      <c r="C1398" s="3" t="str">
        <f>IFERROR(__xludf.DUMMYFUNCTION("GOOGLETRANSLATE(B1398,""id"",""en"")"),"['Send', 'pulse', 'getting', 'fees',' admin ',' plus', 'Sisain', 'balance', 'crazy', 'Benerra', 'org', 'right', ' money ',' right ',' help ',' Bangett ',' plus', 'Sisain', 'balance', 'Cut', 'little', 'hill', 'pulse', 'expensive', 'package' , 'expensive', "&amp;"'country', 'love', 'free', 'internet', 'msh', 'pay', 'expensive', 'play', 'cut', 'pulse', 'org', ' signal ',' angot ',' corruption ',' money ',' pulse ',' nyesekkk ',' bangett ',' ']")</f>
        <v>['Send', 'pulse', 'getting', 'fees',' admin ',' plus', 'Sisain', 'balance', 'crazy', 'Benerra', 'org', 'right', ' money ',' right ',' help ',' Bangett ',' plus', 'Sisain', 'balance', 'Cut', 'little', 'hill', 'pulse', 'expensive', 'package' , 'expensive', 'country', 'love', 'free', 'internet', 'msh', 'pay', 'expensive', 'play', 'cut', 'pulse', 'org', ' signal ',' angot ',' corruption ',' money ',' pulse ',' nyesekkk ',' bangett ',' ']</v>
      </c>
      <c r="D1398" s="3">
        <v>1.0</v>
      </c>
    </row>
    <row r="1399" ht="15.75" customHeight="1">
      <c r="A1399" s="1">
        <v>1397.0</v>
      </c>
      <c r="B1399" s="3" t="s">
        <v>1400</v>
      </c>
      <c r="C1399" s="3" t="str">
        <f>IFERROR(__xludf.DUMMYFUNCTION("GOOGLETRANSLATE(B1399,""id"",""en"")"),"['love', 'star', 'Not bad', 'good', 'network', 'Telkomsel', 'fair', 'telephone', 'telephone', 'internet', 'difference', ' Java ',' Indonesia ',' East ',' Papua ',' rates', 'Different', 'compared to', 'Java', 'Telkomsel', 'apply', 'fair', 'Pertamina', 'equ"&amp;"alize' , 'Price', 'BBM', 'Java', 'Papua', ""]")</f>
        <v>['love', 'star', 'Not bad', 'good', 'network', 'Telkomsel', 'fair', 'telephone', 'telephone', 'internet', 'difference', ' Java ',' Indonesia ',' East ',' Papua ',' rates', 'Different', 'compared to', 'Java', 'Telkomsel', 'apply', 'fair', 'Pertamina', 'equalize' , 'Price', 'BBM', 'Java', 'Papua', "]</v>
      </c>
      <c r="D1399" s="3">
        <v>3.0</v>
      </c>
    </row>
    <row r="1400" ht="15.75" customHeight="1">
      <c r="A1400" s="1">
        <v>1398.0</v>
      </c>
      <c r="B1400" s="3" t="s">
        <v>1401</v>
      </c>
      <c r="C1400" s="3" t="str">
        <f>IFERROR(__xludf.DUMMYFUNCTION("GOOGLETRANSLATE(B1400,""id"",""en"")"),"['pulse', 'sucked', 'package', 'subscribe', 'anything', 'sucked', 'activate', 'package', 'run out', 'pulse', 'used', 'package']")</f>
        <v>['pulse', 'sucked', 'package', 'subscribe', 'anything', 'sucked', 'activate', 'package', 'run out', 'pulse', 'used', 'package']</v>
      </c>
      <c r="D1400" s="3">
        <v>1.0</v>
      </c>
    </row>
    <row r="1401" ht="15.75" customHeight="1">
      <c r="A1401" s="1">
        <v>1399.0</v>
      </c>
      <c r="B1401" s="3" t="s">
        <v>1402</v>
      </c>
      <c r="C1401" s="3" t="str">
        <f>IFERROR(__xludf.DUMMYFUNCTION("GOOGLETRANSLATE(B1401,""id"",""en"")"),"['udh', 'voucher', 'expensive', 'signal', 'kek', 'pig', 'voucher', 'expensive', 'signal', 'kek', 'pig', 'oath', ' Disappointed ',' friend ',' disappointed ',' all ',' believe ',' Telkom ', ""]")</f>
        <v>['udh', 'voucher', 'expensive', 'signal', 'kek', 'pig', 'voucher', 'expensive', 'signal', 'kek', 'pig', 'oath', ' Disappointed ',' friend ',' disappointed ',' all ',' believe ',' Telkom ', "]</v>
      </c>
      <c r="D1401" s="3">
        <v>1.0</v>
      </c>
    </row>
    <row r="1402" ht="15.75" customHeight="1">
      <c r="A1402" s="1">
        <v>1400.0</v>
      </c>
      <c r="B1402" s="3" t="s">
        <v>1403</v>
      </c>
      <c r="C1402" s="3" t="str">
        <f>IFERROR(__xludf.DUMMYFUNCTION("GOOGLETRANSLATE(B1402,""id"",""en"")"),"['Telkomsel', 'emang', 'already', 'good', 'good', 'network', 'price', 'Ancurr', 'paraahhhh', 'okay', 'price', 'problem', ' network ',' oath ',' slow ',' forgiveness', 'era', 'era', 'internet', 'wait', 'edan', 'emang', 'telkomsel', 'payaahhhh']")</f>
        <v>['Telkomsel', 'emang', 'already', 'good', 'good', 'network', 'price', 'Ancurr', 'paraahhhh', 'okay', 'price', 'problem', ' network ',' oath ',' slow ',' forgiveness', 'era', 'era', 'internet', 'wait', 'edan', 'emang', 'telkomsel', 'payaahhhh']</v>
      </c>
      <c r="D1402" s="3">
        <v>1.0</v>
      </c>
    </row>
    <row r="1403" ht="15.75" customHeight="1">
      <c r="A1403" s="1">
        <v>1401.0</v>
      </c>
      <c r="B1403" s="3" t="s">
        <v>1404</v>
      </c>
      <c r="C1403" s="3" t="str">
        <f>IFERROR(__xludf.DUMMYFUNCTION("GOOGLETRANSLATE(B1403,""id"",""en"")"),"['network', 'disruption', 'expensive', 'doang', 'signal', 'problematic', 'just', 'replace', 'provider', 'already', 'a year', 'the reasons',' ganguan ',' system ',' repairs', 'finished', 'strangehhh']")</f>
        <v>['network', 'disruption', 'expensive', 'doang', 'signal', 'problematic', 'just', 'replace', 'provider', 'already', 'a year', 'the reasons',' ganguan ',' system ',' repairs', 'finished', 'strangehhh']</v>
      </c>
      <c r="D1403" s="3">
        <v>1.0</v>
      </c>
    </row>
    <row r="1404" ht="15.75" customHeight="1">
      <c r="A1404" s="1">
        <v>1402.0</v>
      </c>
      <c r="B1404" s="3" t="s">
        <v>1405</v>
      </c>
      <c r="C1404" s="3" t="str">
        <f>IFERROR(__xludf.DUMMYFUNCTION("GOOGLETRANSLATE(B1404,""id"",""en"")"),"['Disappointed', 'Package', 'Telkomsel', 'Network', 'Good', 'Used', 'Open', 'Sosmed', 'Muter', 'Muter', 'Used', 'Nge', ' Game ',' Threat ',' Network ',' Open ',' YouTube ',' Severe ',' Muter ',' Please ',' Repaired ',' Quality ',' Network ',' Price ',' Pa"&amp;"ckage ' , 'expensive', 'comparable', 'quality', 'network', '']")</f>
        <v>['Disappointed', 'Package', 'Telkomsel', 'Network', 'Good', 'Used', 'Open', 'Sosmed', 'Muter', 'Muter', 'Used', 'Nge', ' Game ',' Threat ',' Network ',' Open ',' YouTube ',' Severe ',' Muter ',' Please ',' Repaired ',' Quality ',' Network ',' Price ',' Package ' , 'expensive', 'comparable', 'quality', 'network', '']</v>
      </c>
      <c r="D1404" s="3">
        <v>1.0</v>
      </c>
    </row>
    <row r="1405" ht="15.75" customHeight="1">
      <c r="A1405" s="1">
        <v>1403.0</v>
      </c>
      <c r="B1405" s="3" t="s">
        <v>1406</v>
      </c>
      <c r="C1405" s="3" t="str">
        <f>IFERROR(__xludf.DUMMYFUNCTION("GOOGLETRANSLATE(B1405,""id"",""en"")"),"['package', 'data', 'expensive', 'network', 'ugly', 'Papua', 'Java', 'good', 'network', 'Java', 'pretentious',' Benerin ',' Gnya ', ""]")</f>
        <v>['package', 'data', 'expensive', 'network', 'ugly', 'Papua', 'Java', 'good', 'network', 'Java', 'pretentious',' Benerin ',' Gnya ', "]</v>
      </c>
      <c r="D1405" s="3">
        <v>1.0</v>
      </c>
    </row>
    <row r="1406" ht="15.75" customHeight="1">
      <c r="A1406" s="1">
        <v>1404.0</v>
      </c>
      <c r="B1406" s="3" t="s">
        <v>1407</v>
      </c>
      <c r="C1406" s="3" t="str">
        <f>IFERROR(__xludf.DUMMYFUNCTION("GOOGLETRANSLATE(B1406,""id"",""en"")"),"['package', 'printed', 'written', 'success',' package ',' use ',' call ',' package ',' offer ',' available ',' call ',' cs', ' The point ',' application ',' ']")</f>
        <v>['package', 'printed', 'written', 'success',' package ',' use ',' call ',' package ',' offer ',' available ',' call ',' cs', ' The point ',' application ',' ']</v>
      </c>
      <c r="D1406" s="3">
        <v>1.0</v>
      </c>
    </row>
    <row r="1407" ht="15.75" customHeight="1">
      <c r="A1407" s="1">
        <v>1405.0</v>
      </c>
      <c r="B1407" s="3" t="s">
        <v>1408</v>
      </c>
      <c r="C1407" s="3" t="str">
        <f>IFERROR(__xludf.DUMMYFUNCTION("GOOGLETRANSLATE(B1407,""id"",""en"")"),"['Please', 'repaired', 'false', 'Tempet', 'near', 'tower', 'knp', 'slow', 'customer', 'loyal', 'kasi', 'star', ' ']")</f>
        <v>['Please', 'repaired', 'false', 'Tempet', 'near', 'tower', 'knp', 'slow', 'customer', 'loyal', 'kasi', 'star', ' ']</v>
      </c>
      <c r="D1407" s="3">
        <v>2.0</v>
      </c>
    </row>
    <row r="1408" ht="15.75" customHeight="1">
      <c r="A1408" s="1">
        <v>1406.0</v>
      </c>
      <c r="B1408" s="3" t="s">
        <v>1409</v>
      </c>
      <c r="C1408" s="3" t="str">
        <f>IFERROR(__xludf.DUMMYFUNCTION("GOOGLETRANSLATE(B1408,""id"",""en"")"),"['Provider', 'famous',' price ',' package ',' expensive ',' package ',' sultan ',' gtu ',' doang ',' signal ',' beehhhhhhh ',' ngenes', ' fast ',' ants', 'run', 'input', 'Telkomsel', 'Search', 'luck', 'doang', 'quality', 'signal', 'fix', 'shy', 'provider'"&amp;" , '']")</f>
        <v>['Provider', 'famous',' price ',' package ',' expensive ',' package ',' sultan ',' gtu ',' doang ',' signal ',' beehhhhhhh ',' ngenes', ' fast ',' ants', 'run', 'input', 'Telkomsel', 'Search', 'luck', 'doang', 'quality', 'signal', 'fix', 'shy', 'provider' , '']</v>
      </c>
      <c r="D1408" s="3">
        <v>1.0</v>
      </c>
    </row>
    <row r="1409" ht="15.75" customHeight="1">
      <c r="A1409" s="1">
        <v>1407.0</v>
      </c>
      <c r="B1409" s="3" t="s">
        <v>1410</v>
      </c>
      <c r="C1409" s="3" t="str">
        <f>IFERROR(__xludf.DUMMYFUNCTION("GOOGLETRANSLATE(B1409,""id"",""en"")"),"['Buy', 'quota', 'pay', 'for', 'paid', 'contents',' pulse ',' morning ',' already ',' contents', 'pulse', 'chick', ' Cut ',' truncated ',' entry ',' notification ',' pay off ',' debt ',' pulses', 'how', 'method', 'payment', 'harmed', ""]")</f>
        <v>['Buy', 'quota', 'pay', 'for', 'paid', 'contents',' pulse ',' morning ',' already ',' contents', 'pulse', 'chick', ' Cut ',' truncated ',' entry ',' notification ',' pay off ',' debt ',' pulses', 'how', 'method', 'payment', 'harmed', "]</v>
      </c>
      <c r="D1409" s="3">
        <v>1.0</v>
      </c>
    </row>
    <row r="1410" ht="15.75" customHeight="1">
      <c r="A1410" s="1">
        <v>1408.0</v>
      </c>
      <c r="B1410" s="3" t="s">
        <v>1411</v>
      </c>
      <c r="C1410" s="3" t="str">
        <f>IFERROR(__xludf.DUMMYFUNCTION("GOOGLETRANSLATE(B1410,""id"",""en"")"),"['Sorry', 'Choosing', 'Card', 'Telkomsel', 'Network', 'Bad', 'Telkomsel', 'Network', 'Bad', ""]")</f>
        <v>['Sorry', 'Choosing', 'Card', 'Telkomsel', 'Network', 'Bad', 'Telkomsel', 'Network', 'Bad', "]</v>
      </c>
      <c r="D1410" s="3">
        <v>1.0</v>
      </c>
    </row>
    <row r="1411" ht="15.75" customHeight="1">
      <c r="A1411" s="1">
        <v>1409.0</v>
      </c>
      <c r="B1411" s="3" t="s">
        <v>1412</v>
      </c>
      <c r="C1411" s="3" t="str">
        <f>IFERROR(__xludf.DUMMYFUNCTION("GOOGLETRANSLATE(B1411,""id"",""en"")"),"['Package', 'Data', 'expensive', 'signal', 'bad', 'BURIK', 'Data', 'Internet', 'TLP', 'SMS', 'Slow', 'enter', ' Mending ',' moved ',' card ',' Bey ',' Telkomsel ']")</f>
        <v>['Package', 'Data', 'expensive', 'signal', 'bad', 'BURIK', 'Data', 'Internet', 'TLP', 'SMS', 'Slow', 'enter', ' Mending ',' moved ',' card ',' Bey ',' Telkomsel ']</v>
      </c>
      <c r="D1411" s="3">
        <v>1.0</v>
      </c>
    </row>
    <row r="1412" ht="15.75" customHeight="1">
      <c r="A1412" s="1">
        <v>1410.0</v>
      </c>
      <c r="B1412" s="3" t="s">
        <v>1413</v>
      </c>
      <c r="C1412" s="3" t="str">
        <f>IFERROR(__xludf.DUMMYFUNCTION("GOOGLETRANSLATE(B1412,""id"",""en"")"),"['Agree', 'open', 'Telkomsel', 'quota', 'customer', 'open it', 'buy', 'quota', 'thank', 'love', 'Telkomsel', 'policy']")</f>
        <v>['Agree', 'open', 'Telkomsel', 'quota', 'customer', 'open it', 'buy', 'quota', 'thank', 'love', 'Telkomsel', 'policy']</v>
      </c>
      <c r="D1412" s="3">
        <v>5.0</v>
      </c>
    </row>
    <row r="1413" ht="15.75" customHeight="1">
      <c r="A1413" s="1">
        <v>1411.0</v>
      </c>
      <c r="B1413" s="3" t="s">
        <v>1414</v>
      </c>
      <c r="C1413" s="3" t="str">
        <f>IFERROR(__xludf.DUMMYFUNCTION("GOOGLETRANSLATE(B1413,""id"",""en"")"),"['user', 'bad', 'quality', 'its network', 'then', 'Songong', 'respect', 'complaints',' customer ',' regret ',' customers', 'Telkomsel', ' already ',' road ',' network ',' lemoy ',' moy ', ""]")</f>
        <v>['user', 'bad', 'quality', 'its network', 'then', 'Songong', 'respect', 'complaints',' customer ',' regret ',' customers', 'Telkomsel', ' already ',' road ',' network ',' lemoy ',' moy ', "]</v>
      </c>
      <c r="D1413" s="3">
        <v>1.0</v>
      </c>
    </row>
    <row r="1414" ht="15.75" customHeight="1">
      <c r="A1414" s="1">
        <v>1412.0</v>
      </c>
      <c r="B1414" s="3" t="s">
        <v>1415</v>
      </c>
      <c r="C1414" s="3" t="str">
        <f>IFERROR(__xludf.DUMMYFUNCTION("GOOGLETRANSLATE(B1414,""id"",""en"")"),"['Restore', 'quota', 'unlimited', 'kek', 'already', 'buy', 'expensive', 'already', 'above', 'watch', 'YouTube', 'etc.', ' slow ',' except ',' Geme ',' comfortable ',' disappointed ',' heavy ',' Mending ',' Semartfen ',' smooth ',' open ',' YouTube ',' etc"&amp;". ']")</f>
        <v>['Restore', 'quota', 'unlimited', 'kek', 'already', 'buy', 'expensive', 'already', 'above', 'watch', 'YouTube', 'etc.', ' slow ',' except ',' Geme ',' comfortable ',' disappointed ',' heavy ',' Mending ',' Semartfen ',' smooth ',' open ',' YouTube ',' etc. ']</v>
      </c>
      <c r="D1414" s="3">
        <v>1.0</v>
      </c>
    </row>
    <row r="1415" ht="15.75" customHeight="1">
      <c r="A1415" s="1">
        <v>1413.0</v>
      </c>
      <c r="B1415" s="3" t="s">
        <v>1416</v>
      </c>
      <c r="C1415" s="3" t="str">
        <f>IFERROR(__xludf.DUMMYFUNCTION("GOOGLETRANSLATE(B1415,""id"",""en"")"),"['tariff', 'package', 'Different', 'Different', 'card', 'Telkomsel', 'fair', 'really', 'card', 'promo', 'jga', 'ttep', ' price ',' that way ',' lazy ',' card ',' Telkomsel ',' no ',' card ',' Telkomsel ',' Ogah ',' card ',' poor ']")</f>
        <v>['tariff', 'package', 'Different', 'Different', 'card', 'Telkomsel', 'fair', 'really', 'card', 'promo', 'jga', 'ttep', ' price ',' that way ',' lazy ',' card ',' Telkomsel ',' no ',' card ',' Telkomsel ',' Ogah ',' card ',' poor ']</v>
      </c>
      <c r="D1415" s="3">
        <v>1.0</v>
      </c>
    </row>
    <row r="1416" ht="15.75" customHeight="1">
      <c r="A1416" s="1">
        <v>1414.0</v>
      </c>
      <c r="B1416" s="3" t="s">
        <v>1417</v>
      </c>
      <c r="C1416" s="3" t="str">
        <f>IFERROR(__xludf.DUMMYFUNCTION("GOOGLETRANSLATE(B1416,""id"",""en"")"),"['Network', 'Telkomsel', 'ugly', 'right', 'Overcast', 'Rain', 'Review', 'Write', 'Removed', 'Please', 'Removed', 'Review']")</f>
        <v>['Network', 'Telkomsel', 'ugly', 'right', 'Overcast', 'Rain', 'Review', 'Write', 'Removed', 'Please', 'Removed', 'Review']</v>
      </c>
      <c r="D1416" s="3">
        <v>1.0</v>
      </c>
    </row>
    <row r="1417" ht="15.75" customHeight="1">
      <c r="A1417" s="1">
        <v>1415.0</v>
      </c>
      <c r="B1417" s="3" t="s">
        <v>1418</v>
      </c>
      <c r="C1417" s="3" t="str">
        <f>IFERROR(__xludf.DUMMYFUNCTION("GOOGLETRANSLATE(B1417,""id"",""en"")"),"['Come', 'ugly', 'service', 'number', 'credit', 'emergency', 'list', 'package', 'rb', 'contents',' reset ',' cook ',' consumers', 'list', 'card', 'given', 'lgi', 'try', '']")</f>
        <v>['Come', 'ugly', 'service', 'number', 'credit', 'emergency', 'list', 'package', 'rb', 'contents',' reset ',' cook ',' consumers', 'list', 'card', 'given', 'lgi', 'try', '']</v>
      </c>
      <c r="D1417" s="3">
        <v>1.0</v>
      </c>
    </row>
    <row r="1418" ht="15.75" customHeight="1">
      <c r="A1418" s="1">
        <v>1416.0</v>
      </c>
      <c r="B1418" s="3" t="s">
        <v>1419</v>
      </c>
      <c r="C1418" s="3" t="str">
        <f>IFERROR(__xludf.DUMMYFUNCTION("GOOGLETRANSLATE(B1418,""id"",""en"")"),"['package', 'GB', 'expensive', 'price', 'subscribe', 'hbis', 'thu', 'hbis', 'thu', 'since' network ',' lost ',' appear', '']")</f>
        <v>['package', 'GB', 'expensive', 'price', 'subscribe', 'hbis', 'thu', 'hbis', 'thu', 'since' network ',' lost ',' appear', '']</v>
      </c>
      <c r="D1418" s="3">
        <v>1.0</v>
      </c>
    </row>
    <row r="1419" ht="15.75" customHeight="1">
      <c r="A1419" s="1">
        <v>1417.0</v>
      </c>
      <c r="B1419" s="3" t="s">
        <v>1420</v>
      </c>
      <c r="C1419" s="3" t="str">
        <f>IFERROR(__xludf.DUMMYFUNCTION("GOOGLETRANSLATE(B1419,""id"",""en"")"),"['Disappointed', 'Telkomsel', 'Network', 'Place', 'Bad', 'Urban', 'Intention', 'Change', 'Provider', 'Account', 'Mobile', 'Banking', ' Google ',' already ',' Ditainin ',' number ',' Ryesel ',' really ', ""]")</f>
        <v>['Disappointed', 'Telkomsel', 'Network', 'Place', 'Bad', 'Urban', 'Intention', 'Change', 'Provider', 'Account', 'Mobile', 'Banking', ' Google ',' already ',' Ditainin ',' number ',' Ryesel ',' really ', "]</v>
      </c>
      <c r="D1419" s="3">
        <v>1.0</v>
      </c>
    </row>
    <row r="1420" ht="15.75" customHeight="1">
      <c r="A1420" s="1">
        <v>1418.0</v>
      </c>
      <c r="B1420" s="3" t="s">
        <v>1421</v>
      </c>
      <c r="C1420" s="3" t="str">
        <f>IFERROR(__xludf.DUMMYFUNCTION("GOOGLETRANSLATE(B1420,""id"",""en"")"),"['Telkomsel', 'Provider', 'National', 'Network', 'Internet', 'Quality', 'Best', 'Quality', 'Network', 'Decline', 'Quality', 'The Network', ' Pointed ',' Network ',' Good ',' Just ',' Suggestion ',' Please ',' Notice ',' Complaints', 'Customer', 'Moving', "&amp;"'Provider', 'Telkomsel', 'Please' , 'replied', 'use', 'robot', 'times', 'developer', 'check', 'review', 'customer', 'complaints', 'complaint', 'loyal']")</f>
        <v>['Telkomsel', 'Provider', 'National', 'Network', 'Internet', 'Quality', 'Best', 'Quality', 'Network', 'Decline', 'Quality', 'The Network', ' Pointed ',' Network ',' Good ',' Just ',' Suggestion ',' Please ',' Notice ',' Complaints', 'Customer', 'Moving', 'Provider', 'Telkomsel', 'Please' , 'replied', 'use', 'robot', 'times', 'developer', 'check', 'review', 'customer', 'complaints', 'complaint', 'loyal']</v>
      </c>
      <c r="D1420" s="3">
        <v>1.0</v>
      </c>
    </row>
    <row r="1421" ht="15.75" customHeight="1">
      <c r="A1421" s="1">
        <v>1419.0</v>
      </c>
      <c r="B1421" s="3" t="s">
        <v>1422</v>
      </c>
      <c r="C1421" s="3" t="str">
        <f>IFERROR(__xludf.DUMMYFUNCTION("GOOGLETRANSLATE(B1421,""id"",""en"")"),"['Acreditation', 'Greetings',' School ',' Medium ',' Signal ',' System ',' Telecommunications', 'Supply', 'Bay', 'Irian', 'Jaya', 'Hopefully', ' Telkomsel ',' Jaya ']")</f>
        <v>['Acreditation', 'Greetings',' School ',' Medium ',' Signal ',' System ',' Telecommunications', 'Supply', 'Bay', 'Irian', 'Jaya', 'Hopefully', ' Telkomsel ',' Jaya ']</v>
      </c>
      <c r="D1421" s="3">
        <v>5.0</v>
      </c>
    </row>
    <row r="1422" ht="15.75" customHeight="1">
      <c r="A1422" s="1">
        <v>1420.0</v>
      </c>
      <c r="B1422" s="3" t="s">
        <v>1423</v>
      </c>
      <c r="C1422" s="3" t="str">
        <f>IFERROR(__xludf.DUMMYFUNCTION("GOOGLETRANSLATE(B1422,""id"",""en"")"),"['UDH', 'Bener', 'The info', 'Package', 'Yutub', 'Free', 'Unlimited', 'Stiap', 'Open', 'Yutub', 'Quota', 'Main', ' Reduced ',' mah ',' culuci ',' name ',' info ',' free ',' quality ',' service ',' indepted ']")</f>
        <v>['UDH', 'Bener', 'The info', 'Package', 'Yutub', 'Free', 'Unlimited', 'Stiap', 'Open', 'Yutub', 'Quota', 'Main', ' Reduced ',' mah ',' culuci ',' name ',' info ',' free ',' quality ',' service ',' indepted ']</v>
      </c>
      <c r="D1422" s="3">
        <v>3.0</v>
      </c>
    </row>
    <row r="1423" ht="15.75" customHeight="1">
      <c r="A1423" s="1">
        <v>1421.0</v>
      </c>
      <c r="B1423" s="3" t="s">
        <v>1424</v>
      </c>
      <c r="C1423" s="3" t="str">
        <f>IFERROR(__xludf.DUMMYFUNCTION("GOOGLETRANSLATE(B1423,""id"",""en"")"),"['signal', 'bad', 'signal', 'in a number', 'quota', 'used', 'disappointing', 'contacted', 'veronica', 'help', 'Telkomsel', 'told', ' Entering ',' Salah ',' Entering ',' Contact ',' Have ',' Waiting ',' Minutes', 'Chat', 'Please', 'Persensified', 'System',"&amp;" 'Help', 'Automatic' , 'user', 'signal', 'use', 'sympathy', 'switch', '']")</f>
        <v>['signal', 'bad', 'signal', 'in a number', 'quota', 'used', 'disappointing', 'contacted', 'veronica', 'help', 'Telkomsel', 'told', ' Entering ',' Salah ',' Entering ',' Contact ',' Have ',' Waiting ',' Minutes', 'Chat', 'Please', 'Persensified', 'System', 'Help', 'Automatic' , 'user', 'signal', 'use', 'sympathy', 'switch', '']</v>
      </c>
      <c r="D1423" s="3">
        <v>1.0</v>
      </c>
    </row>
    <row r="1424" ht="15.75" customHeight="1">
      <c r="A1424" s="1">
        <v>1422.0</v>
      </c>
      <c r="B1424" s="3" t="s">
        <v>1425</v>
      </c>
      <c r="C1424" s="3" t="str">
        <f>IFERROR(__xludf.DUMMYFUNCTION("GOOGLETRANSLATE(B1424,""id"",""en"")"),"['Telkomsel', 'like', 'take', 'pulse', 'person', 'soft', 'contents',' pulse ',' activated ',' number ',' dipake ',' Abiiss', ' Sya ',' rare ',' package ',' internet ',' Telkomsel ',' Lola ',' Sya ',' buy ',' pulse ',' activated ',' number ',' TPI ',' BEBA"&amp;"TE ' , 'TNPA', 'Presidential', 'How', '']")</f>
        <v>['Telkomsel', 'like', 'take', 'pulse', 'person', 'soft', 'contents',' pulse ',' activated ',' number ',' dipake ',' Abiiss', ' Sya ',' rare ',' package ',' internet ',' Telkomsel ',' Lola ',' Sya ',' buy ',' pulse ',' activated ',' number ',' TPI ',' BEBATE ' , 'TNPA', 'Presidential', 'How', '']</v>
      </c>
      <c r="D1424" s="3">
        <v>1.0</v>
      </c>
    </row>
    <row r="1425" ht="15.75" customHeight="1">
      <c r="A1425" s="1">
        <v>1423.0</v>
      </c>
      <c r="B1425" s="3" t="s">
        <v>1426</v>
      </c>
      <c r="C1425" s="3" t="str">
        <f>IFERROR(__xludf.DUMMYFUNCTION("GOOGLETRANSLATE(B1425,""id"",""en"")"),"['buy', 'package', 'unlimited', 'youtube', 'see', 'youtube', 'use', 'week', 'buy', 'right', 'notif', 'package', ' The main ',' run out ',' right ',' Notif ',' Kek ',' Litu ',' unlimited ',' direct ',' active ',' open ',' youtube ',' rich ',' sosmed ' , 'O"&amp;"thers',' hope ',' Fund ',' Direct ',' Return ',' Package ',' Data ',' Doly ""]")</f>
        <v>['buy', 'package', 'unlimited', 'youtube', 'see', 'youtube', 'use', 'week', 'buy', 'right', 'notif', 'package', ' The main ',' run out ',' right ',' Notif ',' Kek ',' Litu ',' unlimited ',' direct ',' active ',' open ',' youtube ',' rich ',' sosmed ' , 'Others',' hope ',' Fund ',' Direct ',' Return ',' Package ',' Data ',' Doly "]</v>
      </c>
      <c r="D1425" s="3">
        <v>1.0</v>
      </c>
    </row>
    <row r="1426" ht="15.75" customHeight="1">
      <c r="A1426" s="1">
        <v>1424.0</v>
      </c>
      <c r="B1426" s="3" t="s">
        <v>1427</v>
      </c>
      <c r="C1426" s="3" t="str">
        <f>IFERROR(__xludf.DUMMYFUNCTION("GOOGLETRANSLATE(B1426,""id"",""en"")"),"['bro', 'tulung', 'Benerin', 'APK', 'good', 'like', 'error', 'like', 'verification', 'number', 'trs',' error ',' Internet ',' stable ',' open ',' APK ',' safe ',' bro ',' cave ',' user ',' telkomsel ',' pls', 'biarin', 'trs',' right ' , 'morning', 'until'"&amp;", 'clock', 'indihome', 'network', 'stable', 'right', 'online', 'read']")</f>
        <v>['bro', 'tulung', 'Benerin', 'APK', 'good', 'like', 'error', 'like', 'verification', 'number', 'trs',' error ',' Internet ',' stable ',' open ',' APK ',' safe ',' bro ',' cave ',' user ',' telkomsel ',' pls', 'biarin', 'trs',' right ' , 'morning', 'until', 'clock', 'indihome', 'network', 'stable', 'right', 'online', 'read']</v>
      </c>
      <c r="D1426" s="3">
        <v>3.0</v>
      </c>
    </row>
    <row r="1427" ht="15.75" customHeight="1">
      <c r="A1427" s="1">
        <v>1425.0</v>
      </c>
      <c r="B1427" s="3" t="s">
        <v>1428</v>
      </c>
      <c r="C1427" s="3" t="str">
        <f>IFERROR(__xludf.DUMMYFUNCTION("GOOGLETRANSLATE(B1427,""id"",""en"")"),"['buy', 'package', 'cheerful', 'please', 'fix', 'system', 'package', 'buy', 'pulse', 'reduced', 'abiss',' service ',' troubling ',' min ']")</f>
        <v>['buy', 'package', 'cheerful', 'please', 'fix', 'system', 'package', 'buy', 'pulse', 'reduced', 'abiss',' service ',' troubling ',' min ']</v>
      </c>
      <c r="D1427" s="3">
        <v>1.0</v>
      </c>
    </row>
    <row r="1428" ht="15.75" customHeight="1">
      <c r="A1428" s="1">
        <v>1426.0</v>
      </c>
      <c r="B1428" s="3" t="s">
        <v>1429</v>
      </c>
      <c r="C1428" s="3" t="str">
        <f>IFERROR(__xludf.DUMMYFUNCTION("GOOGLETRANSLATE(B1428,""id"",""en"")"),"['APK', 'interesting', 'expensive', 'internet', 'buy', 'package', 'dng', 'pulse', 'price', 'balance', 'lower']")</f>
        <v>['APK', 'interesting', 'expensive', 'internet', 'buy', 'package', 'dng', 'pulse', 'price', 'balance', 'lower']</v>
      </c>
      <c r="D1428" s="3">
        <v>4.0</v>
      </c>
    </row>
    <row r="1429" ht="15.75" customHeight="1">
      <c r="A1429" s="1">
        <v>1427.0</v>
      </c>
      <c r="B1429" s="3" t="s">
        <v>1430</v>
      </c>
      <c r="C1429" s="3" t="str">
        <f>IFERROR(__xludf.DUMMYFUNCTION("GOOGLETRANSLATE(B1429,""id"",""en"")"),"['Top', 'really', 'Network', 'Severe', 'Good', 'Gamau', 'Stay', 'Customer', 'Star', 'already', 'luck', 'Kasi', ' Ahhhhhhhhh ',' rich ',' buy ',' mantapppp ']")</f>
        <v>['Top', 'really', 'Network', 'Severe', 'Good', 'Gamau', 'Stay', 'Customer', 'Star', 'already', 'luck', 'Kasi', ' Ahhhhhhhhh ',' rich ',' buy ',' mantapppp ']</v>
      </c>
      <c r="D1429" s="3">
        <v>1.0</v>
      </c>
    </row>
    <row r="1430" ht="15.75" customHeight="1">
      <c r="A1430" s="1">
        <v>1428.0</v>
      </c>
      <c r="B1430" s="3" t="s">
        <v>1431</v>
      </c>
      <c r="C1430" s="3" t="str">
        <f>IFERROR(__xludf.DUMMYFUNCTION("GOOGLETRANSLATE(B1430,""id"",""en"")"),"['cave', 'sympathy', 'already', 'many years',' right ',' network ',' ngeecept ',' crazy ',' crazy ',' package ',' expensive ',' quality ',' Cheap ',' Original ',' Emotion ',' Gara ',' Gara ',' Signal ',' Danta ',' sympathy ',' job ',' Abandoned ']")</f>
        <v>['cave', 'sympathy', 'already', 'many years',' right ',' network ',' ngeecept ',' crazy ',' crazy ',' package ',' expensive ',' quality ',' Cheap ',' Original ',' Emotion ',' Gara ',' Gara ',' Signal ',' Danta ',' sympathy ',' job ',' Abandoned ']</v>
      </c>
      <c r="D1430" s="3">
        <v>1.0</v>
      </c>
    </row>
    <row r="1431" ht="15.75" customHeight="1">
      <c r="A1431" s="1">
        <v>1429.0</v>
      </c>
      <c r="B1431" s="3" t="s">
        <v>1432</v>
      </c>
      <c r="C1431" s="3" t="str">
        <f>IFERROR(__xludf.DUMMYFUNCTION("GOOGLETRANSLATE(B1431,""id"",""en"")"),"['crazy', 'Telkomsel', 'quota', 'internet', 'pulse', 'sucked', 'access',' network ',' internet ',' disappointed ',' subscription ',' Telkomsel ',' Get ',' member ',' Platinum ',' Take advantage ',' suck ',' pulse ',' package ',' cheap ',' Different ',' Ci"&amp;"ty ',' Different ',' price ',' Paketan ' , '']")</f>
        <v>['crazy', 'Telkomsel', 'quota', 'internet', 'pulse', 'sucked', 'access',' network ',' internet ',' disappointed ',' subscription ',' Telkomsel ',' Get ',' member ',' Platinum ',' Take advantage ',' suck ',' pulse ',' package ',' cheap ',' Different ',' City ',' Different ',' price ',' Paketan ' , '']</v>
      </c>
      <c r="D1431" s="3">
        <v>1.0</v>
      </c>
    </row>
    <row r="1432" ht="15.75" customHeight="1">
      <c r="A1432" s="1">
        <v>1430.0</v>
      </c>
      <c r="B1432" s="3" t="s">
        <v>1433</v>
      </c>
      <c r="C1432" s="3" t="str">
        <f>IFERROR(__xludf.DUMMYFUNCTION("GOOGLETRANSLATE(B1432,""id"",""en"")"),"['list', 'internet', 'no', 'used', 'taken', 'pulses',' until ',' run out ',' my house ',' near ',' city ',' disappointed ',' Kyk ',' That's', 'Fill', 'Credit', 'Register', 'Internet', 'No', 'Extended', 'Credit', 'Direct', 'Out']")</f>
        <v>['list', 'internet', 'no', 'used', 'taken', 'pulses',' until ',' run out ',' my house ',' near ',' city ',' disappointed ',' Kyk ',' That's', 'Fill', 'Credit', 'Register', 'Internet', 'No', 'Extended', 'Credit', 'Direct', 'Out']</v>
      </c>
      <c r="D1432" s="3">
        <v>1.0</v>
      </c>
    </row>
    <row r="1433" ht="15.75" customHeight="1">
      <c r="A1433" s="1">
        <v>1431.0</v>
      </c>
      <c r="B1433" s="3" t="s">
        <v>1434</v>
      </c>
      <c r="C1433" s="3" t="str">
        <f>IFERROR(__xludf.DUMMYFUNCTION("GOOGLETRANSLATE(B1433,""id"",""en"")"),"['Super', 'bad', 'bad', 'star', 'application', 'bad', 'minus', 'star', 'love', 'TELKOMSEL', '']")</f>
        <v>['Super', 'bad', 'bad', 'star', 'application', 'bad', 'minus', 'star', 'love', 'TELKOMSEL', '']</v>
      </c>
      <c r="D1433" s="3">
        <v>1.0</v>
      </c>
    </row>
    <row r="1434" ht="15.75" customHeight="1">
      <c r="A1434" s="1">
        <v>1432.0</v>
      </c>
      <c r="B1434" s="3" t="s">
        <v>1435</v>
      </c>
      <c r="C1434" s="3" t="str">
        <f>IFERROR(__xludf.DUMMYFUNCTION("GOOGLETRANSLATE(B1434,""id"",""en"")"),"['buy', 'package', 'internet', 'description', 'already', 'succeed', 'use', 'internet', 'pulse', 'run out', 'package', ' Please 'repair']")</f>
        <v>['buy', 'package', 'internet', 'description', 'already', 'succeed', 'use', 'internet', 'pulse', 'run out', 'package', ' Please 'repair']</v>
      </c>
      <c r="D1434" s="3">
        <v>1.0</v>
      </c>
    </row>
    <row r="1435" ht="15.75" customHeight="1">
      <c r="A1435" s="1">
        <v>1433.0</v>
      </c>
      <c r="B1435" s="3" t="s">
        <v>1436</v>
      </c>
      <c r="C1435" s="3" t="str">
        <f>IFERROR(__xludf.DUMMYFUNCTION("GOOGLETRANSLATE(B1435,""id"",""en"")"),"['repay', 'as fast', 'signal', 'drop', 'ilang', 'hose', 'clock', 'appears',' appears', 'propaider', 'expensive', 'service', ' like this', '']")</f>
        <v>['repay', 'as fast', 'signal', 'drop', 'ilang', 'hose', 'clock', 'appears',' appears', 'propaider', 'expensive', 'service', ' like this', '']</v>
      </c>
      <c r="D1435" s="3">
        <v>1.0</v>
      </c>
    </row>
    <row r="1436" ht="15.75" customHeight="1">
      <c r="A1436" s="1">
        <v>1434.0</v>
      </c>
      <c r="B1436" s="3" t="s">
        <v>1437</v>
      </c>
      <c r="C1436" s="3" t="str">
        <f>IFERROR(__xludf.DUMMYFUNCTION("GOOGLETRANSLATE(B1436,""id"",""en"")"),"['signal', 'drop', 'clock', 'yes', 'internet', 'hospot', 'friend', 'indosat', 'signal', 'karuan', 'internet', '']")</f>
        <v>['signal', 'drop', 'clock', 'yes', 'internet', 'hospot', 'friend', 'indosat', 'signal', 'karuan', 'internet', '']</v>
      </c>
      <c r="D1436" s="3">
        <v>1.0</v>
      </c>
    </row>
    <row r="1437" ht="15.75" customHeight="1">
      <c r="A1437" s="1">
        <v>1435.0</v>
      </c>
      <c r="B1437" s="3" t="s">
        <v>1438</v>
      </c>
      <c r="C1437" s="3" t="str">
        <f>IFERROR(__xludf.DUMMYFUNCTION("GOOGLETRANSLATE(B1437,""id"",""en"")"),"['respect', 'provider', 'best', 'Indonesia', 'please', 'fix', 'trouble', 'jngan', 'annoying', 'repaired', 'signal', 'rais',' Rates']")</f>
        <v>['respect', 'provider', 'best', 'Indonesia', 'please', 'fix', 'trouble', 'jngan', 'annoying', 'repaired', 'signal', 'rais',' Rates']</v>
      </c>
      <c r="D1437" s="3">
        <v>1.0</v>
      </c>
    </row>
    <row r="1438" ht="15.75" customHeight="1">
      <c r="A1438" s="1">
        <v>1436.0</v>
      </c>
      <c r="B1438" s="3" t="s">
        <v>1439</v>
      </c>
      <c r="C1438" s="3" t="str">
        <f>IFERROR(__xludf.DUMMYFUNCTION("GOOGLETRANSLATE(B1438,""id"",""en"")"),"['Network', 'missing', 'sons,' announcement ',' graduation ',' forced ',' hitch ',' wifi ',' friend ',' steady ',' telkom ',' threat ',' already']")</f>
        <v>['Network', 'missing', 'sons,' announcement ',' graduation ',' forced ',' hitch ',' wifi ',' friend ',' steady ',' telkom ',' threat ',' already']</v>
      </c>
      <c r="D1438" s="3">
        <v>1.0</v>
      </c>
    </row>
    <row r="1439" ht="15.75" customHeight="1">
      <c r="A1439" s="1">
        <v>1437.0</v>
      </c>
      <c r="B1439" s="3" t="s">
        <v>1440</v>
      </c>
      <c r="C1439" s="3" t="str">
        <f>IFERROR(__xludf.DUMMYFUNCTION("GOOGLETRANSLATE(B1439,""id"",""en"")"),"['Duh', 'Service', 'Bad', 'Telfon', 'Worn', 'Costs',' Busy ',' Tetep ',' Cut ',' Awaited ',' Connect ',' Call ',' Disconnect ',' as a result ',' Telfon ',' cost ',' lifted ',' Cut ',' That's', 'Trumple', 'Sky', 'Rounts',' Ngeluarin ',' Complaints', 'Credi"&amp;"t' , 'already', 'run out', 'first', 'network', 'disruption', 'plus',' package ',' data ',' expensive ',' package ',' telephone ',' expensive ',' Telkomsel ',' recommended ']")</f>
        <v>['Duh', 'Service', 'Bad', 'Telfon', 'Worn', 'Costs',' Busy ',' Tetep ',' Cut ',' Awaited ',' Connect ',' Call ',' Disconnect ',' as a result ',' Telfon ',' cost ',' lifted ',' Cut ',' That's', 'Trumple', 'Sky', 'Rounts',' Ngeluarin ',' Complaints', 'Credit' , 'already', 'run out', 'first', 'network', 'disruption', 'plus',' package ',' data ',' expensive ',' package ',' telephone ',' expensive ',' Telkomsel ',' recommended ']</v>
      </c>
      <c r="D1439" s="3">
        <v>1.0</v>
      </c>
    </row>
    <row r="1440" ht="15.75" customHeight="1">
      <c r="A1440" s="1">
        <v>1438.0</v>
      </c>
      <c r="B1440" s="3" t="s">
        <v>1441</v>
      </c>
      <c r="C1440" s="3" t="str">
        <f>IFERROR(__xludf.DUMMYFUNCTION("GOOGLETRANSLATE(B1440,""id"",""en"")"),"['Network', 'Please', 'Lost', 'Embossed', 'Equity', 'Gymnaa', 'Dead', 'Electricity', 'Signal', 'Nice', ""]")</f>
        <v>['Network', 'Please', 'Lost', 'Embossed', 'Equity', 'Gymnaa', 'Dead', 'Electricity', 'Signal', 'Nice', "]</v>
      </c>
      <c r="D1440" s="3">
        <v>1.0</v>
      </c>
    </row>
    <row r="1441" ht="15.75" customHeight="1">
      <c r="A1441" s="1">
        <v>1439.0</v>
      </c>
      <c r="B1441" s="3" t="s">
        <v>1442</v>
      </c>
      <c r="C1441" s="3" t="str">
        <f>IFERROR(__xludf.DUMMYFUNCTION("GOOGLETRANSLATE(B1441,""id"",""en"")"),"['Eyes',' You ',' Increases', 'Network', 'Super', 'Leet', 'As soon as',' Increase ',' Network ',' Improved ',' Fix ',' Quality ',' network ',' card ',' moved ',' provider ']")</f>
        <v>['Eyes',' You ',' Increases', 'Network', 'Super', 'Leet', 'As soon as',' Increase ',' Network ',' Improved ',' Fix ',' Quality ',' network ',' card ',' moved ',' provider ']</v>
      </c>
      <c r="D1441" s="3">
        <v>1.0</v>
      </c>
    </row>
    <row r="1442" ht="15.75" customHeight="1">
      <c r="A1442" s="1">
        <v>1440.0</v>
      </c>
      <c r="B1442" s="3" t="s">
        <v>1443</v>
      </c>
      <c r="C1442" s="3" t="str">
        <f>IFERROR(__xludf.DUMMYFUNCTION("GOOGLETRANSLATE(B1442,""id"",""en"")"),"['Haii', 'MyTelkomsel', 'Murah', 'complaints',' Customers', 'users',' Telkomsel ',' Feel ',' Telkomsel ',' bad ',' signal ',' Karuan ',' package ',' expensive ',' please ',' conducted ',' bright ',' disappointed ',' package ',' doang ',' expensive ',' sig"&amp;"nal ',' dilapidated ']")</f>
        <v>['Haii', 'MyTelkomsel', 'Murah', 'complaints',' Customers', 'users',' Telkomsel ',' Feel ',' Telkomsel ',' bad ',' signal ',' Karuan ',' package ',' expensive ',' please ',' conducted ',' bright ',' disappointed ',' package ',' doang ',' expensive ',' signal ',' dilapidated ']</v>
      </c>
      <c r="D1442" s="3">
        <v>1.0</v>
      </c>
    </row>
    <row r="1443" ht="15.75" customHeight="1">
      <c r="A1443" s="1">
        <v>1441.0</v>
      </c>
      <c r="B1443" s="3" t="s">
        <v>1444</v>
      </c>
      <c r="C1443" s="3" t="str">
        <f>IFERROR(__xludf.DUMMYFUNCTION("GOOGLETRANSLATE(B1443,""id"",""en"")"),"['No.', 'lei', 'analytes',' application ',' quota ',' multimedia ',' still ',' remaining ',' no ',' enter ',' game ',' provision ',' Loading ',' Chet ',' Game ',' Medsos ',' then ',' Enter ',' Game ',' No "", 'Loaded', 'Masi', 'Error', 'Quota', 'above' , "&amp;"'please', 'application']")</f>
        <v>['No.', 'lei', 'analytes',' application ',' quota ',' multimedia ',' still ',' remaining ',' no ',' enter ',' game ',' provision ',' Loading ',' Chet ',' Game ',' Medsos ',' then ',' Enter ',' Game ',' No ", 'Loaded', 'Masi', 'Error', 'Quota', 'above' , 'please', 'application']</v>
      </c>
      <c r="D1443" s="3">
        <v>1.0</v>
      </c>
    </row>
    <row r="1444" ht="15.75" customHeight="1">
      <c r="A1444" s="1">
        <v>1442.0</v>
      </c>
      <c r="B1444" s="3" t="s">
        <v>1445</v>
      </c>
      <c r="C1444" s="3" t="str">
        <f>IFERROR(__xludf.DUMMYFUNCTION("GOOGLETRANSLATE(B1444,""id"",""en"")"),"['Download', 'apk', 'because', 'get', 'credit', 'Telkomsel', 'Lesa', 'Ntah', 'use', 'tlkomsel', 'good', 'strategy', ' Marketing ',' Baguus', 'right', 'night', 'Tawarin', 'Package', 'Data', 'GB', 'Anjim', 'night', 'told', 'go', 'buy' , 'pulses', 'steady', "&amp;"'marketing', 'anjim', 'yes', 'comment', 'sad', 'because' pulses ',' kepotonng ',' potooooong ',' pretentious ',' Follow out ',' Sad ',' just ',' type ',' Jembohhong ',' Good ',' Jobb ',' ']")</f>
        <v>['Download', 'apk', 'because', 'get', 'credit', 'Telkomsel', 'Lesa', 'Ntah', 'use', 'tlkomsel', 'good', 'strategy', ' Marketing ',' Baguus', 'right', 'night', 'Tawarin', 'Package', 'Data', 'GB', 'Anjim', 'night', 'told', 'go', 'buy' , 'pulses', 'steady', 'marketing', 'anjim', 'yes', 'comment', 'sad', 'because' pulses ',' kepotonng ',' potooooong ',' pretentious ',' Follow out ',' Sad ',' just ',' type ',' Jembohhong ',' Good ',' Jobb ',' ']</v>
      </c>
      <c r="D1444" s="3">
        <v>5.0</v>
      </c>
    </row>
    <row r="1445" ht="15.75" customHeight="1">
      <c r="A1445" s="1">
        <v>1443.0</v>
      </c>
      <c r="B1445" s="3" t="s">
        <v>1446</v>
      </c>
      <c r="C1445" s="3" t="str">
        <f>IFERROR(__xludf.DUMMYFUNCTION("GOOGLETRANSLATE(B1445,""id"",""en"")"),"['service', 'slow', 'plus',' package ',' interesting ',' cheerful ',' replaced ',' please ',' buy ',' already ',' good ',' GB ',' replaced ',' service ',' noh ',' fix ',' gausah ',' ride ',' price ',' mulu ', ""]")</f>
        <v>['service', 'slow', 'plus',' package ',' interesting ',' cheerful ',' replaced ',' please ',' buy ',' already ',' good ',' GB ',' replaced ',' service ',' noh ',' fix ',' gausah ',' ride ',' price ',' mulu ', "]</v>
      </c>
      <c r="D1445" s="3">
        <v>1.0</v>
      </c>
    </row>
    <row r="1446" ht="15.75" customHeight="1">
      <c r="A1446" s="1">
        <v>1444.0</v>
      </c>
      <c r="B1446" s="3" t="s">
        <v>1447</v>
      </c>
      <c r="C1446" s="3" t="str">
        <f>IFERROR(__xludf.DUMMYFUNCTION("GOOGLETRANSLATE(B1446,""id"",""en"")"),"['Credit', 'Out', 'Sucked', 'Internet', 'Package', 'Please', 'Telkomsel', 'Fix', 'User', 'Telkomsel', 'Loss']")</f>
        <v>['Credit', 'Out', 'Sucked', 'Internet', 'Package', 'Please', 'Telkomsel', 'Fix', 'User', 'Telkomsel', 'Loss']</v>
      </c>
      <c r="D1446" s="3">
        <v>2.0</v>
      </c>
    </row>
    <row r="1447" ht="15.75" customHeight="1">
      <c r="A1447" s="1">
        <v>1445.0</v>
      </c>
      <c r="B1447" s="3" t="s">
        <v>1448</v>
      </c>
      <c r="C1447" s="3" t="str">
        <f>IFERROR(__xludf.DUMMYFUNCTION("GOOGLETRANSLATE(B1447,""id"",""en"")"),"['quota', 'local', 'quota', 'unlimited', 'request', 'policy', 'fix', 'chat', 'costumer', 'care', 'Telkomsel', 'times',' still']")</f>
        <v>['quota', 'local', 'quota', 'unlimited', 'request', 'policy', 'fix', 'chat', 'costumer', 'care', 'Telkomsel', 'times',' still']</v>
      </c>
      <c r="D1447" s="3">
        <v>1.0</v>
      </c>
    </row>
    <row r="1448" ht="15.75" customHeight="1">
      <c r="A1448" s="1">
        <v>1446.0</v>
      </c>
      <c r="B1448" s="3" t="s">
        <v>1449</v>
      </c>
      <c r="C1448" s="3" t="str">
        <f>IFERROR(__xludf.DUMMYFUNCTION("GOOGLETRANSLATE(B1448,""id"",""en"")"),"['Disappointed', 'really', 'card', 'Telkom', 'slow', 'really', 'already', 'kayak', 'download', 'APK', 'Play', 'Store', ' Muter ',' muter ',' already ',' expensive ',' price ',' according to ',' high school ',' quality ']")</f>
        <v>['Disappointed', 'really', 'card', 'Telkom', 'slow', 'really', 'already', 'kayak', 'download', 'APK', 'Play', 'Store', ' Muter ',' muter ',' already ',' expensive ',' price ',' according to ',' high school ',' quality ']</v>
      </c>
      <c r="D1448" s="3">
        <v>1.0</v>
      </c>
    </row>
    <row r="1449" ht="15.75" customHeight="1">
      <c r="A1449" s="1">
        <v>1447.0</v>
      </c>
      <c r="B1449" s="3" t="s">
        <v>1450</v>
      </c>
      <c r="C1449" s="3" t="str">
        <f>IFERROR(__xludf.DUMMYFUNCTION("GOOGLETRANSLATE(B1449,""id"",""en"")"),"['promo', 'Telkomsel', 'ugly', 'kouta', 'combo', 'unlimited', 'use', 'limit', 'price', ""]")</f>
        <v>['promo', 'Telkomsel', 'ugly', 'kouta', 'combo', 'unlimited', 'use', 'limit', 'price', "]</v>
      </c>
      <c r="D1449" s="3">
        <v>1.0</v>
      </c>
    </row>
    <row r="1450" ht="15.75" customHeight="1">
      <c r="A1450" s="1">
        <v>1448.0</v>
      </c>
      <c r="B1450" s="3" t="s">
        <v>1451</v>
      </c>
      <c r="C1450" s="3" t="str">
        <f>IFERROR(__xludf.DUMMYFUNCTION("GOOGLETRANSLATE(B1450,""id"",""en"")"),"['Disappointed', 'buy', 'package', 'price', 'thousand', 'rupiah', 'limit', 'normal', 'giga', 'until', 'giga', 'signal', ' Ngurang ',' internet ',' situ ',' mention ',' unlimited ',' chat ',' social ',' media ',' you ',' tube ',' sgala ',' macem ',' truth "&amp;"' , 'Discard', 'waste', 'money', 'buy', 'package', 'Telkomsel', 'disappointed']")</f>
        <v>['Disappointed', 'buy', 'package', 'price', 'thousand', 'rupiah', 'limit', 'normal', 'giga', 'until', 'giga', 'signal', ' Ngurang ',' internet ',' situ ',' mention ',' unlimited ',' chat ',' social ',' media ',' you ',' tube ',' sgala ',' macem ',' truth ' , 'Discard', 'waste', 'money', 'buy', 'package', 'Telkomsel', 'disappointed']</v>
      </c>
      <c r="D1450" s="3">
        <v>2.0</v>
      </c>
    </row>
    <row r="1451" ht="15.75" customHeight="1">
      <c r="A1451" s="1">
        <v>1449.0</v>
      </c>
      <c r="B1451" s="3" t="s">
        <v>1452</v>
      </c>
      <c r="C1451" s="3" t="str">
        <f>IFERROR(__xludf.DUMMYFUNCTION("GOOGLETRANSLATE(B1451,""id"",""en"")"),"['Disappointed', 'really', 'oath', 'tasty', 'push', 'rank', 'already', 'mah', 'apk', 'relog', 'games',' so ',' Gerangan ',' friend ',' Telkomsel ',' Performance ',' plump ',' ']")</f>
        <v>['Disappointed', 'really', 'oath', 'tasty', 'push', 'rank', 'already', 'mah', 'apk', 'relog', 'games',' so ',' Gerangan ',' friend ',' Telkomsel ',' Performance ',' plump ',' ']</v>
      </c>
      <c r="D1451" s="3">
        <v>1.0</v>
      </c>
    </row>
    <row r="1452" ht="15.75" customHeight="1">
      <c r="A1452" s="1">
        <v>1450.0</v>
      </c>
      <c r="B1452" s="3" t="s">
        <v>1453</v>
      </c>
      <c r="C1452" s="3" t="str">
        <f>IFERROR(__xludf.DUMMYFUNCTION("GOOGLETRANSLATE(B1452,""id"",""en"")"),"['Oalah', 'Telkomsel', 'Buy', 'Package', 'Unlimited', 'Kecaran', 'Ehh', 'Real', 'Week', 'Use', 'Open', 'Anya', ' Yesterday ',' yesterday ',' haze ',' problem ',' kekovi ',' kekovi ',' already ',' card ',' package ',' expensive ',' lazy ',' really ',' plea"&amp;"se ' , 'Kalok', 'weve', 'unlimited', 'a month', 'Reduced', 'Deep', 'Padalan', 'already', 'comfortable', 'Merkkuk', 'Telkomsel', 'just', ' Gara ',' Gara ',' begging ']")</f>
        <v>['Oalah', 'Telkomsel', 'Buy', 'Package', 'Unlimited', 'Kecaran', 'Ehh', 'Real', 'Week', 'Use', 'Open', 'Anya', ' Yesterday ',' yesterday ',' haze ',' problem ',' kekovi ',' kekovi ',' already ',' card ',' package ',' expensive ',' lazy ',' really ',' please ' , 'Kalok', 'weve', 'unlimited', 'a month', 'Reduced', 'Deep', 'Padalan', 'already', 'comfortable', 'Merkkuk', 'Telkomsel', 'just', ' Gara ',' Gara ',' begging ']</v>
      </c>
      <c r="D1452" s="3">
        <v>1.0</v>
      </c>
    </row>
    <row r="1453" ht="15.75" customHeight="1">
      <c r="A1453" s="1">
        <v>1451.0</v>
      </c>
      <c r="B1453" s="3" t="s">
        <v>1454</v>
      </c>
      <c r="C1453" s="3" t="str">
        <f>IFERROR(__xludf.DUMMYFUNCTION("GOOGLETRANSLATE(B1453,""id"",""en"")"),"['times',' disappointed ',' card ',' hello ',' package ',' expensive ',' satisfying ',' bufering ',' use ',' jatat ',' tempo ',' Payment ',' Telkomsel ',' Pinjol ']")</f>
        <v>['times',' disappointed ',' card ',' hello ',' package ',' expensive ',' satisfying ',' bufering ',' use ',' jatat ',' tempo ',' Payment ',' Telkomsel ',' Pinjol ']</v>
      </c>
      <c r="D1453" s="3">
        <v>1.0</v>
      </c>
    </row>
    <row r="1454" ht="15.75" customHeight="1">
      <c r="A1454" s="1">
        <v>1452.0</v>
      </c>
      <c r="B1454" s="3" t="s">
        <v>1455</v>
      </c>
      <c r="C1454" s="3" t="str">
        <f>IFERROR(__xludf.DUMMYFUNCTION("GOOGLETRANSLATE(B1454,""id"",""en"")"),"['Card', 'Teranjang', 'terbang', 'contained', 'BUMN', 'bother', 'people', 'fill in', 'pulse', 'rb', 'right', 'Maketin', ' Application ',' MyTelkomsel ',' data ',' on ',' sucked ',' pulses', 'run out', 'use', 'anything', 'buy', 'package', 'losing', 'compan"&amp;"y' , 'Hong Kong', 'Rich', 'Tri', 'Malaysia', 'Axiata', 'ugly', 'Rich', 'Indihome', 'Moga', 'PLN', 'Iconect', 'Kaga', ' Accounted ',' Telkomnyet ',' kagak ',' ugly ', ""]")</f>
        <v>['Card', 'Teranjang', 'terbang', 'contained', 'BUMN', 'bother', 'people', 'fill in', 'pulse', 'rb', 'right', 'Maketin', ' Application ',' MyTelkomsel ',' data ',' on ',' sucked ',' pulses', 'run out', 'use', 'anything', 'buy', 'package', 'losing', 'company' , 'Hong Kong', 'Rich', 'Tri', 'Malaysia', 'Axiata', 'ugly', 'Rich', 'Indihome', 'Moga', 'PLN', 'Iconect', 'Kaga', ' Accounted ',' Telkomnyet ',' kagak ',' ugly ', "]</v>
      </c>
      <c r="D1454" s="3">
        <v>1.0</v>
      </c>
    </row>
    <row r="1455" ht="15.75" customHeight="1">
      <c r="A1455" s="1">
        <v>1453.0</v>
      </c>
      <c r="B1455" s="3" t="s">
        <v>1456</v>
      </c>
      <c r="C1455" s="3" t="str">
        <f>IFERROR(__xludf.DUMMYFUNCTION("GOOGLETRANSLATE(B1455,""id"",""en"")"),"['Telkomsel', 'connection', 'Whatsup', 'Facebook', 'buy', 'data', 'need', 'connection', 'Whatsup', 'needs', 'office', ""]")</f>
        <v>['Telkomsel', 'connection', 'Whatsup', 'Facebook', 'buy', 'data', 'need', 'connection', 'Whatsup', 'needs', 'office', "]</v>
      </c>
      <c r="D1455" s="3">
        <v>1.0</v>
      </c>
    </row>
    <row r="1456" ht="15.75" customHeight="1">
      <c r="A1456" s="1">
        <v>1454.0</v>
      </c>
      <c r="B1456" s="3" t="s">
        <v>1457</v>
      </c>
      <c r="C1456" s="3" t="str">
        <f>IFERROR(__xludf.DUMMYFUNCTION("GOOGLETRANSLATE(B1456,""id"",""en"")"),"['Please', 'Sorry', 'Please', 'Restore', 'Package', 'Unlimited', 'Where', 'Package', 'Main', 'Out', 'Automatic', 'Package', ' road ',' boundary ',' date ',' purchase ',' package ',' limit ',' quota ',' quota ',' usage ',' reasonable ',' run out ',' speed "&amp;"',' slow ' , 'slow', 'ngeta', 'in', 'signal', 'please', 'return', 'package', 'full', 'limit', 'speed', '']")</f>
        <v>['Please', 'Sorry', 'Please', 'Restore', 'Package', 'Unlimited', 'Where', 'Package', 'Main', 'Out', 'Automatic', 'Package', ' road ',' boundary ',' date ',' purchase ',' package ',' limit ',' quota ',' quota ',' usage ',' reasonable ',' run out ',' speed ',' slow ' , 'slow', 'ngeta', 'in', 'signal', 'please', 'return', 'package', 'full', 'limit', 'speed', '']</v>
      </c>
      <c r="D1456" s="3">
        <v>1.0</v>
      </c>
    </row>
    <row r="1457" ht="15.75" customHeight="1">
      <c r="A1457" s="1">
        <v>1455.0</v>
      </c>
      <c r="B1457" s="3" t="s">
        <v>1458</v>
      </c>
      <c r="C1457" s="3" t="str">
        <f>IFERROR(__xludf.DUMMYFUNCTION("GOOGLETRANSLATE(B1457,""id"",""en"")"),"['', 'area', 'network', 'Telkomsel', 'kayak', 'ox', 'keysangn', 'slow', 'fix', 'jaringn', 'Telkomsel', 'area', 'diet ',' Yemen ',' thank ',' love ', ""]")</f>
        <v>['', 'area', 'network', 'Telkomsel', 'kayak', 'ox', 'keysangn', 'slow', 'fix', 'jaringn', 'Telkomsel', 'area', 'diet ',' Yemen ',' thank ',' love ', "]</v>
      </c>
      <c r="D1457" s="3">
        <v>1.0</v>
      </c>
    </row>
    <row r="1458" ht="15.75" customHeight="1">
      <c r="A1458" s="1">
        <v>1456.0</v>
      </c>
      <c r="B1458" s="3" t="s">
        <v>1459</v>
      </c>
      <c r="C1458" s="3" t="str">
        <f>IFERROR(__xludf.DUMMYFUNCTION("GOOGLETRANSLATE(B1458,""id"",""en"")"),"['Activate', 'Combo', 'Sakti', 'printed', 'Package', 'Data', 'Starts',' Slow ',' Thank ',' Message ',' Disappointed ',' Sia ',' "", 'buy', 'package', 'need', 'outside', 'home', 'beg', 'repair', 'smooth']")</f>
        <v>['Activate', 'Combo', 'Sakti', 'printed', 'Package', 'Data', 'Starts',' Slow ',' Thank ',' Message ',' Disappointed ',' Sia ',' ", 'buy', 'package', 'need', 'outside', 'home', 'beg', 'repair', 'smooth']</v>
      </c>
      <c r="D1458" s="3">
        <v>3.0</v>
      </c>
    </row>
    <row r="1459" ht="15.75" customHeight="1">
      <c r="A1459" s="1">
        <v>1457.0</v>
      </c>
      <c r="B1459" s="3" t="s">
        <v>1460</v>
      </c>
      <c r="C1459" s="3" t="str">
        <f>IFERROR(__xludf.DUMMYFUNCTION("GOOGLETRANSLATE(B1459,""id"",""en"")"),"['plimhh', 'features',' already ',' abis', 'data', 'no', 'maximum', 'suck', 'pulse', 'no', 'cool', 'buy', ' Data ',' pulses', 'already', 'Cut', '']")</f>
        <v>['plimhh', 'features',' already ',' abis', 'data', 'no', 'maximum', 'suck', 'pulse', 'no', 'cool', 'buy', ' Data ',' pulses', 'already', 'Cut', '']</v>
      </c>
      <c r="D1459" s="3">
        <v>1.0</v>
      </c>
    </row>
    <row r="1460" ht="15.75" customHeight="1">
      <c r="A1460" s="1">
        <v>1458.0</v>
      </c>
      <c r="B1460" s="3" t="s">
        <v>1461</v>
      </c>
      <c r="C1460" s="3" t="str">
        <f>IFERROR(__xludf.DUMMYFUNCTION("GOOGLETRANSLATE(B1460,""id"",""en"")"),"['funny', 'Telkomsel', 'card', 'the most expensive', 'network', 'weakest', 'gymna', 'woyy', 'attention', 'try', 'fix', 'customer', ' blurry', '']")</f>
        <v>['funny', 'Telkomsel', 'card', 'the most expensive', 'network', 'weakest', 'gymna', 'woyy', 'attention', 'try', 'fix', 'customer', ' blurry', '']</v>
      </c>
      <c r="D1460" s="3">
        <v>1.0</v>
      </c>
    </row>
    <row r="1461" ht="15.75" customHeight="1">
      <c r="A1461" s="1">
        <v>1459.0</v>
      </c>
      <c r="B1461" s="3" t="s">
        <v>1462</v>
      </c>
      <c r="C1461" s="3" t="str">
        <f>IFERROR(__xludf.DUMMYFUNCTION("GOOGLETRANSLATE(B1461,""id"",""en"")"),"['Disappointed', 'Tissue', 'Telkomsel', 'SERBA', 'SELET', 'SERJA', 'Price', 'Package', 'Expensive', 'Network', 'Leet', 'Move', ' card ',' provider ']")</f>
        <v>['Disappointed', 'Tissue', 'Telkomsel', 'SERBA', 'SELET', 'SERJA', 'Price', 'Package', 'Expensive', 'Network', 'Leet', 'Move', ' card ',' provider ']</v>
      </c>
      <c r="D1461" s="3">
        <v>1.0</v>
      </c>
    </row>
    <row r="1462" ht="15.75" customHeight="1">
      <c r="A1462" s="1">
        <v>1460.0</v>
      </c>
      <c r="B1462" s="3" t="s">
        <v>1463</v>
      </c>
      <c r="C1462" s="3" t="str">
        <f>IFERROR(__xludf.DUMMYFUNCTION("GOOGLETRANSLATE(B1462,""id"",""en"")"),"['The application', 'help', 'makes it easy', 'checks', 'quota', 'pulse', 'purchase', 'package', 'complicated', 'thank', 'love', 'Telkomsel']")</f>
        <v>['The application', 'help', 'makes it easy', 'checks', 'quota', 'pulse', 'purchase', 'package', 'complicated', 'thank', 'love', 'Telkomsel']</v>
      </c>
      <c r="D1462" s="3">
        <v>5.0</v>
      </c>
    </row>
    <row r="1463" ht="15.75" customHeight="1">
      <c r="A1463" s="1">
        <v>1461.0</v>
      </c>
      <c r="B1463" s="3" t="s">
        <v>1464</v>
      </c>
      <c r="C1463" s="3" t="str">
        <f>IFERROR(__xludf.DUMMYFUNCTION("GOOGLETRANSLATE(B1463,""id"",""en"")"),"['Star', 'I', 'Kasi', 'star', 'WiFi', 'Open', 'Application', 'Telkomsel', 'buy', 'quota', 'difficult', 'Seenakny', ' Nyedot ',' pulse ', ""]")</f>
        <v>['Star', 'I', 'Kasi', 'star', 'WiFi', 'Open', 'Application', 'Telkomsel', 'buy', 'quota', 'difficult', 'Seenakny', ' Nyedot ',' pulse ', "]</v>
      </c>
      <c r="D1463" s="3">
        <v>1.0</v>
      </c>
    </row>
    <row r="1464" ht="15.75" customHeight="1">
      <c r="A1464" s="1">
        <v>1462.0</v>
      </c>
      <c r="B1464" s="3" t="s">
        <v>1465</v>
      </c>
      <c r="C1464" s="3" t="str">
        <f>IFERROR(__xludf.DUMMYFUNCTION("GOOGLETRANSLATE(B1464,""id"",""en"")"),"['bad', 'price', 'expensive', 'signal', 'ugly', 'knapa', 'missing', 'signal', 'Telkomsel', 'play', 'game', 'provider', ' Recommend ',' Provider ',' Telkomsel ',' Price ',' Signal ',' Simpang ',' Siur ']")</f>
        <v>['bad', 'price', 'expensive', 'signal', 'ugly', 'knapa', 'missing', 'signal', 'Telkomsel', 'play', 'game', 'provider', ' Recommend ',' Provider ',' Telkomsel ',' Price ',' Signal ',' Simpang ',' Siur ']</v>
      </c>
      <c r="D1464" s="3">
        <v>1.0</v>
      </c>
    </row>
    <row r="1465" ht="15.75" customHeight="1">
      <c r="A1465" s="1">
        <v>1463.0</v>
      </c>
      <c r="B1465" s="3" t="s">
        <v>1466</v>
      </c>
      <c r="C1465" s="3" t="str">
        <f>IFERROR(__xludf.DUMMYFUNCTION("GOOGLETRANSLATE(B1465,""id"",""en"")"),"['Kuotaku', 'super', 'slow', 'buy', 'unlimited', 'GB', 'my brother', 'smooth', 'person', 'slow', 'network', 'speed', ' KB ',' anjeng ',' rich ',' card ',' run out ',' quota ',' bangse ',' buy ']")</f>
        <v>['Kuotaku', 'super', 'slow', 'buy', 'unlimited', 'GB', 'my brother', 'smooth', 'person', 'slow', 'network', 'speed', ' KB ',' anjeng ',' rich ',' card ',' run out ',' quota ',' bangse ',' buy ']</v>
      </c>
      <c r="D1465" s="3">
        <v>1.0</v>
      </c>
    </row>
    <row r="1466" ht="15.75" customHeight="1">
      <c r="A1466" s="1">
        <v>1464.0</v>
      </c>
      <c r="B1466" s="3" t="s">
        <v>1467</v>
      </c>
      <c r="C1466" s="3" t="str">
        <f>IFERROR(__xludf.DUMMYFUNCTION("GOOGLETRANSLATE(B1466,""id"",""en"")"),"['Please', 'Sorry', 'Region', 'Nagreg', 'Bandung', 'Network', 'ugly', 'Maen', 'Yutub', 'Buffering', 'Maen', 'Sosmed', ' Loading ',' Maen ',' Game ',' Please ',' Repaired ',' Network ',' Region ',' Subscribe ',' Find ',' Satisfaction ',' The Network ',' Me"&amp;"nding ',' Quotes' , 'Cheap', 'how', '']")</f>
        <v>['Please', 'Sorry', 'Region', 'Nagreg', 'Bandung', 'Network', 'ugly', 'Maen', 'Yutub', 'Buffering', 'Maen', 'Sosmed', ' Loading ',' Maen ',' Game ',' Please ',' Repaired ',' Network ',' Region ',' Subscribe ',' Find ',' Satisfaction ',' The Network ',' Mending ',' Quotes' , 'Cheap', 'how', '']</v>
      </c>
      <c r="D1466" s="3">
        <v>1.0</v>
      </c>
    </row>
    <row r="1467" ht="15.75" customHeight="1">
      <c r="A1467" s="1">
        <v>1465.0</v>
      </c>
      <c r="B1467" s="3" t="s">
        <v>1468</v>
      </c>
      <c r="C1467" s="3" t="str">
        <f>IFERROR(__xludf.DUMMYFUNCTION("GOOGLETRANSLATE(B1467,""id"",""en"")"),"['buy', 'package', 'Euro', 'via', 'Telkomsel', 'Maxtrem', 'Mola', 'watch', 'reason', 'error', 'system', 'match', ' finished ',' Normal ',' Service ',' Live ',' Customer ',' Move ',' Operator ',' Terms', 'Disappointing', 'Customer']")</f>
        <v>['buy', 'package', 'Euro', 'via', 'Telkomsel', 'Maxtrem', 'Mola', 'watch', 'reason', 'error', 'system', 'match', ' finished ',' Normal ',' Service ',' Live ',' Customer ',' Move ',' Operator ',' Terms', 'Disappointing', 'Customer']</v>
      </c>
      <c r="D1467" s="3">
        <v>1.0</v>
      </c>
    </row>
    <row r="1468" ht="15.75" customHeight="1">
      <c r="A1468" s="1">
        <v>1466.0</v>
      </c>
      <c r="B1468" s="3" t="s">
        <v>1469</v>
      </c>
      <c r="C1468" s="3" t="str">
        <f>IFERROR(__xludf.DUMMYFUNCTION("GOOGLETRANSLATE(B1468,""id"",""en"")"),"['hi', 'brother', 'hello', 'brother', 'wkwkwk', 'reviews',' customer ',' blg ',' doang ',' benerin ',' network ',' smp ',' Prefends ',' Severe ',' Telkomsel ',' Lose ',' Child ',' kmrn ',' Afternoon ',' Hadeuh ',' Sue ',' Severe ',' oath ',' btw ',' what "&amp;"'do' , 'comment', 'DSNI', 'Discard', 'Energy', 'Doang', 'wkwkwk', 'Sueee', ""]")</f>
        <v>['hi', 'brother', 'hello', 'brother', 'wkwkwk', 'reviews',' customer ',' blg ',' doang ',' benerin ',' network ',' smp ',' Prefends ',' Severe ',' Telkomsel ',' Lose ',' Child ',' kmrn ',' Afternoon ',' Hadeuh ',' Sue ',' Severe ',' oath ',' btw ',' what 'do' , 'comment', 'DSNI', 'Discard', 'Energy', 'Doang', 'wkwkwk', 'Sueee', "]</v>
      </c>
      <c r="D1468" s="3">
        <v>1.0</v>
      </c>
    </row>
    <row r="1469" ht="15.75" customHeight="1">
      <c r="A1469" s="1">
        <v>1467.0</v>
      </c>
      <c r="B1469" s="3" t="s">
        <v>1470</v>
      </c>
      <c r="C1469" s="3" t="str">
        <f>IFERROR(__xludf.DUMMYFUNCTION("GOOGLETRANSLATE(B1469,""id"",""en"")"),"['no', 'online', 'package', 'Telkomsel', 'quota', 'filled', 'expensive', 'network', 'ugly', 'address',' kelurahan ',' manembo ',' Nembo ',' City ',' Bitung ',' Sulawesi ',' North ', ""]")</f>
        <v>['no', 'online', 'package', 'Telkomsel', 'quota', 'filled', 'expensive', 'network', 'ugly', 'address',' kelurahan ',' manembo ',' Nembo ',' City ',' Bitung ',' Sulawesi ',' North ', "]</v>
      </c>
      <c r="D1469" s="3">
        <v>1.0</v>
      </c>
    </row>
    <row r="1470" ht="15.75" customHeight="1">
      <c r="A1470" s="1">
        <v>1468.0</v>
      </c>
      <c r="B1470" s="3" t="s">
        <v>1471</v>
      </c>
      <c r="C1470" s="3" t="str">
        <f>IFERROR(__xludf.DUMMYFUNCTION("GOOGLETRANSLATE(B1470,""id"",""en"")"),"['Kirain', 'Telkomsel', 'Good', 'ehhh', 'tratyata', 'Severe', 'Indosat', 'open', 'YouTube', 'application', 'slow', 'disappointing', ' ']")</f>
        <v>['Kirain', 'Telkomsel', 'Good', 'ehhh', 'tratyata', 'Severe', 'Indosat', 'open', 'YouTube', 'application', 'slow', 'disappointing', ' ']</v>
      </c>
      <c r="D1470" s="3">
        <v>1.0</v>
      </c>
    </row>
    <row r="1471" ht="15.75" customHeight="1">
      <c r="A1471" s="1">
        <v>1469.0</v>
      </c>
      <c r="B1471" s="3" t="s">
        <v>1472</v>
      </c>
      <c r="C1471" s="3" t="str">
        <f>IFERROR(__xludf.DUMMYFUNCTION("GOOGLETRANSLATE(B1471,""id"",""en"")"),"['disappointed', 'number', 'dozens',' use ',' block ',' Gara ',' forget ',' contents', 'pulse', 'activate', 'grapari', 'please', ' Cells', 'Adin', 'Features',' Activates', 'Buy', 'Number', '']")</f>
        <v>['disappointed', 'number', 'dozens',' use ',' block ',' Gara ',' forget ',' contents', 'pulse', 'activate', 'grapari', 'please', ' Cells', 'Adin', 'Features',' Activates', 'Buy', 'Number', '']</v>
      </c>
      <c r="D1471" s="3">
        <v>1.0</v>
      </c>
    </row>
    <row r="1472" ht="15.75" customHeight="1">
      <c r="A1472" s="1">
        <v>1470.0</v>
      </c>
      <c r="B1472" s="3" t="s">
        <v>1473</v>
      </c>
      <c r="C1472" s="3" t="str">
        <f>IFERROR(__xludf.DUMMYFUNCTION("GOOGLETRANSLATE(B1472,""id"",""en"")"),"['center', 'Telkomsel', 'fire', 'network', 'slow', 'really', 'watch', 'youtube', 'muter', 'play', 'game', 'cage', ' connection ',' ilang ',' please ',' Telkomsel ',' fix ',' strength ',' signal ', ""]")</f>
        <v>['center', 'Telkomsel', 'fire', 'network', 'slow', 'really', 'watch', 'youtube', 'muter', 'play', 'game', 'cage', ' connection ',' ilang ',' please ',' Telkomsel ',' fix ',' strength ',' signal ', "]</v>
      </c>
      <c r="D1472" s="3">
        <v>1.0</v>
      </c>
    </row>
    <row r="1473" ht="15.75" customHeight="1">
      <c r="A1473" s="1">
        <v>1471.0</v>
      </c>
      <c r="B1473" s="3" t="s">
        <v>1474</v>
      </c>
      <c r="C1473" s="3" t="str">
        <f>IFERROR(__xludf.DUMMYFUNCTION("GOOGLETRANSLATE(B1473,""id"",""en"")"),"['Sorry', 'difficult', 'Open', 'Telkomsel', 'Mimin', 'Delete', 'Download', 'Forgiveness', 'Please', 'Enlightenment', 'Mimin', ""]")</f>
        <v>['Sorry', 'difficult', 'Open', 'Telkomsel', 'Mimin', 'Delete', 'Download', 'Forgiveness', 'Please', 'Enlightenment', 'Mimin', "]</v>
      </c>
      <c r="D1473" s="3">
        <v>1.0</v>
      </c>
    </row>
    <row r="1474" ht="15.75" customHeight="1">
      <c r="A1474" s="1">
        <v>1472.0</v>
      </c>
      <c r="B1474" s="3" t="s">
        <v>1475</v>
      </c>
      <c r="C1474" s="3" t="str">
        <f>IFERROR(__xludf.DUMMYFUNCTION("GOOGLETRANSLATE(B1474,""id"",""en"")"),"['yaaa', 'priority', 'signal', 'Telkomsel', 'itukan', 'user', 'passpaid', 'most', 'jdi', 'user', 'prepaid', 'love', ' Stars', 'Fair', 'little', 'ama', 'customers',' Telkomsel ',' prepaid ',' lose ',' speed ',' ama ',' user ',' passport ',' speed ' , 'sign"&amp;"al', 'internet']")</f>
        <v>['yaaa', 'priority', 'signal', 'Telkomsel', 'itukan', 'user', 'passpaid', 'most', 'jdi', 'user', 'prepaid', 'love', ' Stars', 'Fair', 'little', 'ama', 'customers',' Telkomsel ',' prepaid ',' lose ',' speed ',' ama ',' user ',' passport ',' speed ' , 'signal', 'internet']</v>
      </c>
      <c r="D1474" s="3">
        <v>1.0</v>
      </c>
    </row>
    <row r="1475" ht="15.75" customHeight="1">
      <c r="A1475" s="1">
        <v>1473.0</v>
      </c>
      <c r="B1475" s="3" t="s">
        <v>1476</v>
      </c>
      <c r="C1475" s="3" t="str">
        <f>IFERROR(__xludf.DUMMYFUNCTION("GOOGLETRANSLATE(B1475,""id"",""en"")"),"['Main', 'game', 'online', 'like', 'break up', 'break up', 'leg', 'really', 'udh', 'package', 'expensive', 'slow', ' LGI ',' Please ',' Improvement ',' Sis', 'Address',' Village ',' Koto ',' Kaciak ',' Pauh ',' Timur ',' Kota ',' Pariaman ',' Province ' ,"&amp;" 'Sumatra', 'West', 'code', 'POS', '']")</f>
        <v>['Main', 'game', 'online', 'like', 'break up', 'break up', 'leg', 'really', 'udh', 'package', 'expensive', 'slow', ' LGI ',' Please ',' Improvement ',' Sis', 'Address',' Village ',' Koto ',' Kaciak ',' Pauh ',' Timur ',' Kota ',' Pariaman ',' Province ' , 'Sumatra', 'West', 'code', 'POS', '']</v>
      </c>
      <c r="D1475" s="3">
        <v>1.0</v>
      </c>
    </row>
    <row r="1476" ht="15.75" customHeight="1">
      <c r="A1476" s="1">
        <v>1474.0</v>
      </c>
      <c r="B1476" s="3" t="s">
        <v>1477</v>
      </c>
      <c r="C1476" s="3" t="str">
        <f>IFERROR(__xludf.DUMMYFUNCTION("GOOGLETRANSLATE(B1476,""id"",""en"")"),"['Network', 'paliiiiiiiiiiii,' worst ',' network ',' kaaaaalian ',' telkomsel ',' wait ',' search ',' card ',' good ',' tomorrow ',' card ',' leave', '']")</f>
        <v>['Network', 'paliiiiiiiiiiii,' worst ',' network ',' kaaaaalian ',' telkomsel ',' wait ',' search ',' card ',' good ',' tomorrow ',' card ',' leave', '']</v>
      </c>
      <c r="D1476" s="3">
        <v>1.0</v>
      </c>
    </row>
    <row r="1477" ht="15.75" customHeight="1">
      <c r="A1477" s="1">
        <v>1475.0</v>
      </c>
      <c r="B1477" s="3" t="s">
        <v>1478</v>
      </c>
      <c r="C1477" s="3" t="str">
        <f>IFERROR(__xludf.DUMMYFUNCTION("GOOGLETRANSLATE(B1477,""id"",""en"")"),"['strange', 'fill in', 'pulse', 'buy', 'kouta', 'balance', 'pulse', 'sufficient', 'pulse', 'sumps',' tampa ',' ugly ',' really ',' service ']")</f>
        <v>['strange', 'fill in', 'pulse', 'buy', 'kouta', 'balance', 'pulse', 'sufficient', 'pulse', 'sumps',' tampa ',' ugly ',' really ',' service ']</v>
      </c>
      <c r="D1477" s="3">
        <v>1.0</v>
      </c>
    </row>
    <row r="1478" ht="15.75" customHeight="1">
      <c r="A1478" s="1">
        <v>1476.0</v>
      </c>
      <c r="B1478" s="3" t="s">
        <v>1479</v>
      </c>
      <c r="C1478" s="3" t="str">
        <f>IFERROR(__xludf.DUMMYFUNCTION("GOOGLETRANSLATE(B1478,""id"",""en"")"),"['right', 'Telkomsel', 'Nge', 'Down', 'BBR', 'WEEK', 'CIKARANG', 'West', 'Wear', 'Kouta', 'Unlimitid', 'Masi', ' Current ',' Jaya ',' Corruption ',' Network ',' Unlimitid ',' ugly ',' really ',' Try ',' buy ',' a month ',' LGI ',' Masi ',' entrust ' , 'Te"&amp;"lkomsel', 'decided', 'moved', 'Thank you', 'Telkomsel', ""]")</f>
        <v>['right', 'Telkomsel', 'Nge', 'Down', 'BBR', 'WEEK', 'CIKARANG', 'West', 'Wear', 'Kouta', 'Unlimitid', 'Masi', ' Current ',' Jaya ',' Corruption ',' Network ',' Unlimitid ',' ugly ',' really ',' Try ',' buy ',' a month ',' LGI ',' Masi ',' entrust ' , 'Telkomsel', 'decided', 'moved', 'Thank you', 'Telkomsel', "]</v>
      </c>
      <c r="D1478" s="3">
        <v>1.0</v>
      </c>
    </row>
    <row r="1479" ht="15.75" customHeight="1">
      <c r="A1479" s="1">
        <v>1477.0</v>
      </c>
      <c r="B1479" s="3" t="s">
        <v>1480</v>
      </c>
      <c r="C1479" s="3" t="str">
        <f>IFERROR(__xludf.DUMMYFUNCTION("GOOGLETRANSLATE(B1479,""id"",""en"")"),"['SMS', 'info', 'Package', 'Combo', 'Sakti', 'thousands',' service ',' application ',' Telkomsel ',' price ',' mean ',' Different ',' SMS ',' Check ',' Direct ',' ']")</f>
        <v>['SMS', 'info', 'Package', 'Combo', 'Sakti', 'thousands',' service ',' application ',' Telkomsel ',' price ',' mean ',' Different ',' SMS ',' Check ',' Direct ',' ']</v>
      </c>
      <c r="D1479" s="3">
        <v>1.0</v>
      </c>
    </row>
    <row r="1480" ht="15.75" customHeight="1">
      <c r="A1480" s="1">
        <v>1478.0</v>
      </c>
      <c r="B1480" s="3" t="s">
        <v>1481</v>
      </c>
      <c r="C1480" s="3" t="str">
        <f>IFERROR(__xludf.DUMMYFUNCTION("GOOGLETRANSLATE(B1480,""id"",""en"")"),"['network', 'evenly', 'slow', 'lol', 'stable', 'speed', 'internet', 'good', 'lol']")</f>
        <v>['network', 'evenly', 'slow', 'lol', 'stable', 'speed', 'internet', 'good', 'lol']</v>
      </c>
      <c r="D1480" s="3">
        <v>1.0</v>
      </c>
    </row>
    <row r="1481" ht="15.75" customHeight="1">
      <c r="A1481" s="1">
        <v>1479.0</v>
      </c>
      <c r="B1481" s="3" t="s">
        <v>1482</v>
      </c>
      <c r="C1481" s="3" t="str">
        <f>IFERROR(__xludf.DUMMYFUNCTION("GOOGLETRANSLATE(B1481,""id"",""en"")"),"['Telkomsel', 'package', 'unlimited', 'restricted', 'quota', 'unlimited', 'poured', 'restricted', 'emg', 'unlimited', 'name', 'unlimited', ' quota ',' Telkomsel ',' GB ',' plusin ',' unlimited ',' disappointed ',' Telkomsel ',' buy ',' unlimited ',' hold "&amp;"',' until ',' just ',' until ' , 'You liar', '']")</f>
        <v>['Telkomsel', 'package', 'unlimited', 'restricted', 'quota', 'unlimited', 'poured', 'restricted', 'emg', 'unlimited', 'name', 'unlimited', ' quota ',' Telkomsel ',' GB ',' plusin ',' unlimited ',' disappointed ',' Telkomsel ',' buy ',' unlimited ',' hold ',' until ',' just ',' until ' , 'You liar', '']</v>
      </c>
      <c r="D1481" s="3">
        <v>1.0</v>
      </c>
    </row>
    <row r="1482" ht="15.75" customHeight="1">
      <c r="A1482" s="1">
        <v>1480.0</v>
      </c>
      <c r="B1482" s="3" t="s">
        <v>1483</v>
      </c>
      <c r="C1482" s="3" t="str">
        <f>IFERROR(__xludf.DUMMYFUNCTION("GOOGLETRANSLATE(B1482,""id"",""en"")"),"['function', 'Increase', 'convenience', 'run', 'Feature', 'Loading', 'open', 'application', '']")</f>
        <v>['function', 'Increase', 'convenience', 'run', 'Feature', 'Loading', 'open', 'application', '']</v>
      </c>
      <c r="D1482" s="3">
        <v>4.0</v>
      </c>
    </row>
    <row r="1483" ht="15.75" customHeight="1">
      <c r="A1483" s="1">
        <v>1481.0</v>
      </c>
      <c r="B1483" s="3" t="s">
        <v>1484</v>
      </c>
      <c r="C1483" s="3" t="str">
        <f>IFERROR(__xludf.DUMMYFUNCTION("GOOGLETRANSLATE(B1483,""id"",""en"")"),"['Notif', 'promo', 'quota', 'combo', 'Sakti', 'unlimited', 'rb', 'click', 'promo', 'not', 'found', 'really' already ',' package ',' data ',' bought ',' bought ',' in month ',' times ',' moved ',' provider ',' ntar ',' manufacturer ',' because 'consumers' "&amp;", 'time', '']")</f>
        <v>['Notif', 'promo', 'quota', 'combo', 'Sakti', 'unlimited', 'rb', 'click', 'promo', 'not', 'found', 'really' already ',' package ',' data ',' bought ',' bought ',' in month ',' times ',' moved ',' provider ',' ntar ',' manufacturer ',' because 'consumers' , 'time', '']</v>
      </c>
      <c r="D1483" s="3">
        <v>1.0</v>
      </c>
    </row>
    <row r="1484" ht="15.75" customHeight="1">
      <c r="A1484" s="1">
        <v>1482.0</v>
      </c>
      <c r="B1484" s="3" t="s">
        <v>1485</v>
      </c>
      <c r="C1484" s="3" t="str">
        <f>IFERROR(__xludf.DUMMYFUNCTION("GOOGLETRANSLATE(B1484,""id"",""en"")"),"['Telkomsel', 'please', 'signal', 'Buriq', 'signal', 'tetep', 'smooth', 'ngellag', 'please', 'repair', 'signal', 'Please', ' Play ',' Game ',' Online ',' Watch ',' YouTube ',' Download ',' APK ',' Sometimes ',' For 'Selsai', 'Solsai', 'Sometimes', 'Have',"&amp;" 'Help' , 'repaired', 'signal', 'begging', 'Telkomsel', 'quota', 'run out', 'ngelag', 'please', 'repaired', ""]")</f>
        <v>['Telkomsel', 'please', 'signal', 'Buriq', 'signal', 'tetep', 'smooth', 'ngellag', 'please', 'repair', 'signal', 'Please', ' Play ',' Game ',' Online ',' Watch ',' YouTube ',' Download ',' APK ',' Sometimes ',' For 'Selsai', 'Solsai', 'Sometimes', 'Have', 'Help' , 'repaired', 'signal', 'begging', 'Telkomsel', 'quota', 'run out', 'ngelag', 'please', 'repaired', "]</v>
      </c>
      <c r="D1484" s="3">
        <v>1.0</v>
      </c>
    </row>
    <row r="1485" ht="15.75" customHeight="1">
      <c r="A1485" s="1">
        <v>1483.0</v>
      </c>
      <c r="B1485" s="3" t="s">
        <v>1486</v>
      </c>
      <c r="C1485" s="3" t="str">
        <f>IFERROR(__xludf.DUMMYFUNCTION("GOOGLETRANSLATE(B1485,""id"",""en"")"),"['Please', 'fix', 'network', 'min', 'buy', 'kouta', 'internet', 'already', 'fail', 'writing', 'disruption', 'system', ' Until ',' Ngecewain ',' Customer ',' Plus', 'Harm', 'Consumers',' Please ',' Cepet ',' Fix ',' ']")</f>
        <v>['Please', 'fix', 'network', 'min', 'buy', 'kouta', 'internet', 'already', 'fail', 'writing', 'disruption', 'system', ' Until ',' Ngecewain ',' Customer ',' Plus', 'Harm', 'Consumers',' Please ',' Cepet ',' Fix ',' ']</v>
      </c>
      <c r="D1485" s="3">
        <v>4.0</v>
      </c>
    </row>
    <row r="1486" ht="15.75" customHeight="1">
      <c r="A1486" s="1">
        <v>1484.0</v>
      </c>
      <c r="B1486" s="3" t="s">
        <v>1487</v>
      </c>
      <c r="C1486" s="3" t="str">
        <f>IFERROR(__xludf.DUMMYFUNCTION("GOOGLETRANSLATE(B1486,""id"",""en"")"),"['Please', 'yaa', 'buy', 'package', 'pulse', 'nya', 'reduced', 'truss',' pulse ',' masi ',' buy ',' package ',' Reduced ',' pulse ',' ']")</f>
        <v>['Please', 'yaa', 'buy', 'package', 'pulse', 'nya', 'reduced', 'truss',' pulse ',' masi ',' buy ',' package ',' Reduced ',' pulse ',' ']</v>
      </c>
      <c r="D1486" s="3">
        <v>1.0</v>
      </c>
    </row>
    <row r="1487" ht="15.75" customHeight="1">
      <c r="A1487" s="1">
        <v>1485.0</v>
      </c>
      <c r="B1487" s="3" t="s">
        <v>1488</v>
      </c>
      <c r="C1487" s="3" t="str">
        <f>IFERROR(__xludf.DUMMYFUNCTION("GOOGLETRANSLATE(B1487,""id"",""en"")"),"['Please', 'Sorry', 'Talking', 'Tekkekin', 'Public', 'Trying', 'Contact', 'Resolved', 'Network', 'Internet', 'Good', 'Signal', ' Decreases', 'pray for', 'hope', 'customers',' left ',' Telkomsel ',' thank you ']")</f>
        <v>['Please', 'Sorry', 'Talking', 'Tekkekin', 'Public', 'Trying', 'Contact', 'Resolved', 'Network', 'Internet', 'Good', 'Signal', ' Decreases', 'pray for', 'hope', 'customers',' left ',' Telkomsel ',' thank you ']</v>
      </c>
      <c r="D1487" s="3">
        <v>2.0</v>
      </c>
    </row>
    <row r="1488" ht="15.75" customHeight="1">
      <c r="A1488" s="1">
        <v>1486.0</v>
      </c>
      <c r="B1488" s="3" t="s">
        <v>1489</v>
      </c>
      <c r="C1488" s="3" t="str">
        <f>IFERROR(__xludf.DUMMYFUNCTION("GOOGLETRANSLATE(B1488,""id"",""en"")"),"['Please', 'fix', 'network', 'bad', 'network', 'net', 'like', 'missing', 'lost', 'package', 'expensive', 'card', ' TPI ',' KNPA ',' net ',' Good ']")</f>
        <v>['Please', 'fix', 'network', 'bad', 'network', 'net', 'like', 'missing', 'lost', 'package', 'expensive', 'card', ' TPI ',' KNPA ',' net ',' Good ']</v>
      </c>
      <c r="D1488" s="3">
        <v>1.0</v>
      </c>
    </row>
    <row r="1489" ht="15.75" customHeight="1">
      <c r="A1489" s="1">
        <v>1487.0</v>
      </c>
      <c r="B1489" s="3" t="s">
        <v>1490</v>
      </c>
      <c r="C1489" s="3" t="str">
        <f>IFERROR(__xludf.DUMMYFUNCTION("GOOGLETRANSLATE(B1489,""id"",""en"")"),"['Application', 'Good', 'Good']")</f>
        <v>['Application', 'Good', 'Good']</v>
      </c>
      <c r="D1489" s="3">
        <v>4.0</v>
      </c>
    </row>
    <row r="1490" ht="15.75" customHeight="1">
      <c r="A1490" s="1">
        <v>1488.0</v>
      </c>
      <c r="B1490" s="3" t="s">
        <v>1491</v>
      </c>
      <c r="C1490" s="3" t="str">
        <f>IFERROR(__xludf.DUMMYFUNCTION("GOOGLETRANSLATE(B1490,""id"",""en"")"),"['Sis',' number ',' friend ',' buy ',' package ',' kouta ',' cheap ',' number ',' stuck ',' financial ',' bet ',' number ',' Nominal ',' purchase ',' ']")</f>
        <v>['Sis',' number ',' friend ',' buy ',' package ',' kouta ',' cheap ',' number ',' stuck ',' financial ',' bet ',' number ',' Nominal ',' purchase ',' ']</v>
      </c>
      <c r="D1490" s="3">
        <v>1.0</v>
      </c>
    </row>
    <row r="1491" ht="15.75" customHeight="1">
      <c r="A1491" s="1">
        <v>1489.0</v>
      </c>
      <c r="B1491" s="3" t="s">
        <v>1492</v>
      </c>
      <c r="C1491" s="3" t="str">
        <f>IFERROR(__xludf.DUMMYFUNCTION("GOOGLETRANSLATE(B1491,""id"",""en"")"),"['pretent', 'ngeluarin', 'package', 'unlimited', 'tip', 'fupnya', 'speed', 'mentok', 'speed', 'that way', 'internet', 'Anjim', ' pending ',' situ ',' healthy ',' emang ',' can ',' pretentious', 'ngluarin', 'gituan', 'bother', 'doank']")</f>
        <v>['pretent', 'ngeluarin', 'package', 'unlimited', 'tip', 'fupnya', 'speed', 'mentok', 'speed', 'that way', 'internet', 'Anjim', ' pending ',' situ ',' healthy ',' emang ',' can ',' pretentious', 'ngluarin', 'gituan', 'bother', 'doank']</v>
      </c>
      <c r="D1491" s="3">
        <v>1.0</v>
      </c>
    </row>
    <row r="1492" ht="15.75" customHeight="1">
      <c r="A1492" s="1">
        <v>1490.0</v>
      </c>
      <c r="B1492" s="3" t="s">
        <v>1493</v>
      </c>
      <c r="C1492" s="3" t="str">
        <f>IFERROR(__xludf.DUMMYFUNCTION("GOOGLETRANSLATE(B1492,""id"",""en"")"),"['right', 'buy', 'quota', 'slow', 'speed', 'turn', 'quota', 'run out', 'fast', 'network', 'Please', 'fix', ' Reply ',' told ',' Write ',' Review ',' ']")</f>
        <v>['right', 'buy', 'quota', 'slow', 'speed', 'turn', 'quota', 'run out', 'fast', 'network', 'Please', 'fix', ' Reply ',' told ',' Write ',' Review ',' ']</v>
      </c>
      <c r="D1492" s="3">
        <v>1.0</v>
      </c>
    </row>
    <row r="1493" ht="15.75" customHeight="1">
      <c r="A1493" s="1">
        <v>1491.0</v>
      </c>
      <c r="B1493" s="3" t="s">
        <v>1494</v>
      </c>
      <c r="C1493" s="3" t="str">
        <f>IFERROR(__xludf.DUMMYFUNCTION("GOOGLETRANSLATE(B1493,""id"",""en"")"),"['buy', 'package', 'buy', 'write', 'payment', 'processed', 'for days',' package ',' data ',' kantel ',' buy ',' pulses', ' already ',' according to ',' price ',' package ',' ']")</f>
        <v>['buy', 'package', 'buy', 'write', 'payment', 'processed', 'for days',' package ',' data ',' kantel ',' buy ',' pulses', ' already ',' according to ',' price ',' package ',' ']</v>
      </c>
      <c r="D1493" s="3">
        <v>1.0</v>
      </c>
    </row>
    <row r="1494" ht="15.75" customHeight="1">
      <c r="A1494" s="1">
        <v>1492.0</v>
      </c>
      <c r="B1494" s="3" t="s">
        <v>1495</v>
      </c>
      <c r="C1494" s="3" t="str">
        <f>IFERROR(__xludf.DUMMYFUNCTION("GOOGLETRANSLATE(B1494,""id"",""en"")"),"['apk', 'error', 'cook', 'already', 'buy', 'Show', 'quota', 'agate', 'fraud', 'kalok', 'already', 'expiration', ' Mending ',' Delete ',' Quota ',' Belik ',' Cheated ']")</f>
        <v>['apk', 'error', 'cook', 'already', 'buy', 'Show', 'quota', 'agate', 'fraud', 'kalok', 'already', 'expiration', ' Mending ',' Delete ',' Quota ',' Belik ',' Cheated ']</v>
      </c>
      <c r="D1494" s="3">
        <v>2.0</v>
      </c>
    </row>
    <row r="1495" ht="15.75" customHeight="1">
      <c r="A1495" s="1">
        <v>1493.0</v>
      </c>
      <c r="B1495" s="3" t="s">
        <v>1496</v>
      </c>
      <c r="C1495" s="3" t="str">
        <f>IFERROR(__xludf.DUMMYFUNCTION("GOOGLETRANSLATE(B1495,""id"",""en"")"),"['buy', 'package', 'unlimited', 'unlimited', 'just', 'quota', 'main', 'unlimited', 'ngellag', 'really', 'please', 'repaired', ' ']")</f>
        <v>['buy', 'package', 'unlimited', 'unlimited', 'just', 'quota', 'main', 'unlimited', 'ngellag', 'really', 'please', 'repaired', ' ']</v>
      </c>
      <c r="D1495" s="3">
        <v>1.0</v>
      </c>
    </row>
    <row r="1496" ht="15.75" customHeight="1">
      <c r="A1496" s="1">
        <v>1494.0</v>
      </c>
      <c r="B1496" s="3" t="s">
        <v>1497</v>
      </c>
      <c r="C1496" s="3" t="str">
        <f>IFERROR(__xludf.DUMMYFUNCTION("GOOGLETRANSLATE(B1496,""id"",""en"")"),"['Connection', 'Internet', 'Network', 'Disconnect', 'Connect', 'Sometimes',' Disconnect ',' Comfortable ',' Anyway ',' Please ',' Fix ',' Customer ',' Satisfied ',' Network ',' Quality ',' Greetings', 'Warm', 'Customer']")</f>
        <v>['Connection', 'Internet', 'Network', 'Disconnect', 'Connect', 'Sometimes',' Disconnect ',' Comfortable ',' Anyway ',' Please ',' Fix ',' Customer ',' Satisfied ',' Network ',' Quality ',' Greetings', 'Warm', 'Customer']</v>
      </c>
      <c r="D1496" s="3">
        <v>5.0</v>
      </c>
    </row>
    <row r="1497" ht="15.75" customHeight="1">
      <c r="A1497" s="1">
        <v>1495.0</v>
      </c>
      <c r="B1497" s="3" t="s">
        <v>1498</v>
      </c>
      <c r="C1497" s="3" t="str">
        <f>IFERROR(__xludf.DUMMYFUNCTION("GOOGLETRANSLATE(B1497,""id"",""en"")"),"['Please', 'Package', 'Game', 'Max', 'Open', 'Game', 'Package', 'Game', 'Gakbisa', 'Play', 'Game', 'Asked', ' Ngeteleg ',' Discard ',' Discard ',' Money ',' Belik ',' Package ',' Turns ',' Credit ',' I'M, 'Discard', 'Discard', 'Pulse', 'Mubazirrr' , '']")</f>
        <v>['Please', 'Package', 'Game', 'Max', 'Open', 'Game', 'Package', 'Game', 'Gakbisa', 'Play', 'Game', 'Asked', ' Ngeteleg ',' Discard ',' Discard ',' Money ',' Belik ',' Package ',' Turns ',' Credit ',' I'M, 'Discard', 'Discard', 'Pulse', 'Mubazirrr' , '']</v>
      </c>
      <c r="D1497" s="3">
        <v>1.0</v>
      </c>
    </row>
    <row r="1498" ht="15.75" customHeight="1">
      <c r="A1498" s="1">
        <v>1496.0</v>
      </c>
      <c r="B1498" s="3" t="s">
        <v>1499</v>
      </c>
      <c r="C1498" s="3" t="str">
        <f>IFERROR(__xludf.DUMMYFUNCTION("GOOGLETRANSLATE(B1498,""id"",""en"")"),"['Disappointed', 'Telkomsel', 'Cook', 'Purchase', 'Kouta', 'PDHL', 'Credit', 'Melebosii', 'Price', 'Paketan', 'Plus',' PDA ',' Confirm ',' processed ',' really ',' clock ',' ']")</f>
        <v>['Disappointed', 'Telkomsel', 'Cook', 'Purchase', 'Kouta', 'PDHL', 'Credit', 'Melebosii', 'Price', 'Paketan', 'Plus',' PDA ',' Confirm ',' processed ',' really ',' clock ',' ']</v>
      </c>
      <c r="D1498" s="3">
        <v>1.0</v>
      </c>
    </row>
    <row r="1499" ht="15.75" customHeight="1">
      <c r="A1499" s="1">
        <v>1497.0</v>
      </c>
      <c r="B1499" s="3" t="s">
        <v>1500</v>
      </c>
      <c r="C1499" s="3" t="str">
        <f>IFERROR(__xludf.DUMMYFUNCTION("GOOGLETRANSLATE(B1499,""id"",""en"")"),"['star', 'price', 'package', 'expensive', 'according to', 'quality', 'network', 'full', 'connection', 'fail', 'Nnton', 'YouTube', ' difficult ',' play ',' game ',' pub ',' already ',' times', 'complement', 'balesan', 'check', 'network', 'constrained', 'co"&amp;"nnection', 'fail' , 'deliberate', 'comment', 'aware', 'level', 'service', 'jngn', 'price', 'package', 'doang', 'expensive', 'kanda', 'expensive', ' ']")</f>
        <v>['star', 'price', 'package', 'expensive', 'according to', 'quality', 'network', 'full', 'connection', 'fail', 'Nnton', 'YouTube', ' difficult ',' play ',' game ',' pub ',' already ',' times', 'complement', 'balesan', 'check', 'network', 'constrained', 'connection', 'fail' , 'deliberate', 'comment', 'aware', 'level', 'service', 'jngn', 'price', 'package', 'doang', 'expensive', 'kanda', 'expensive', ' ']</v>
      </c>
      <c r="D1499" s="3">
        <v>1.0</v>
      </c>
    </row>
    <row r="1500" ht="15.75" customHeight="1">
      <c r="A1500" s="1">
        <v>1498.0</v>
      </c>
      <c r="B1500" s="3" t="s">
        <v>1501</v>
      </c>
      <c r="C1500" s="3" t="str">
        <f>IFERROR(__xludf.DUMMYFUNCTION("GOOGLETRANSLATE(B1500,""id"",""en"")"),"['BNR', 'application', 'Telkom', 'buy', 'quota', 'application', 'pay', 'purchase', 'quota', 'notification', 'error', 'automatic', ' Click ',' purchase ',' Pay ',' ']")</f>
        <v>['BNR', 'application', 'Telkom', 'buy', 'quota', 'application', 'pay', 'purchase', 'quota', 'notification', 'error', 'automatic', ' Click ',' purchase ',' Pay ',' ']</v>
      </c>
      <c r="D1500" s="3">
        <v>4.0</v>
      </c>
    </row>
    <row r="1501" ht="15.75" customHeight="1">
      <c r="A1501" s="1">
        <v>1499.0</v>
      </c>
      <c r="B1501" s="3" t="s">
        <v>1502</v>
      </c>
      <c r="C1501" s="3" t="str">
        <f>IFERROR(__xludf.DUMMYFUNCTION("GOOGLETRANSLATE(B1501,""id"",""en"")"),"['Difficult', 'Data', 'Paketan', 'MyTelkomsel', 'Slalu', 'Offer', 'Attractive', 'KPD', 'MyTelkomsel', 'Shogus',' Capable ',' dirty ',' for you ',' MyTelkomsel ',' contents', 'credit', 'Rp', 'check', 'Telkomsel', 'inedible', 'Rp', 'really', 'disappointing'"&amp;", 'employee', 'MyTelkomsel' , 'Please', 'wethed out', 'work', 'PAPPOUNT', '']")</f>
        <v>['Difficult', 'Data', 'Paketan', 'MyTelkomsel', 'Slalu', 'Offer', 'Attractive', 'KPD', 'MyTelkomsel', 'Shogus',' Capable ',' dirty ',' for you ',' MyTelkomsel ',' contents', 'credit', 'Rp', 'check', 'Telkomsel', 'inedible', 'Rp', 'really', 'disappointing', 'employee', 'MyTelkomsel' , 'Please', 'wethed out', 'work', 'PAPPOUNT', '']</v>
      </c>
      <c r="D1501" s="3">
        <v>1.0</v>
      </c>
    </row>
    <row r="1502" ht="15.75" customHeight="1">
      <c r="A1502" s="1">
        <v>1500.0</v>
      </c>
      <c r="B1502" s="3" t="s">
        <v>1503</v>
      </c>
      <c r="C1502" s="3" t="str">
        <f>IFERROR(__xludf.DUMMYFUNCTION("GOOGLETRANSLATE(B1502,""id"",""en"")"),"['Severe', 'Telkomsel', 'Cook', 'Sya', 'Fill', 'Credit', 'Date', 'June', 'BLM', 'Enter', 'Date', 'June', ' Sya ',' Try ',' Drop ',' Sya ',' Inbox ',' Telkomsel ',' Mah ',' Dsruh ',' Wait ',' then ',' Sya ',' Report ',' Tlong ' , 'Fix', 'complaints', 'Cust"&amp;"omer', 'Dperakan', 'service', '']")</f>
        <v>['Severe', 'Telkomsel', 'Cook', 'Sya', 'Fill', 'Credit', 'Date', 'June', 'BLM', 'Enter', 'Date', 'June', ' Sya ',' Try ',' Drop ',' Sya ',' Inbox ',' Telkomsel ',' Mah ',' Dsruh ',' Wait ',' then ',' Sya ',' Report ',' Tlong ' , 'Fix', 'complaints', 'Customer', 'Dperakan', 'service', '']</v>
      </c>
      <c r="D1502" s="3">
        <v>1.0</v>
      </c>
    </row>
    <row r="1503" ht="15.75" customHeight="1">
      <c r="A1503" s="1">
        <v>1501.0</v>
      </c>
      <c r="B1503" s="3" t="s">
        <v>1504</v>
      </c>
      <c r="C1503" s="3" t="str">
        <f>IFERROR(__xludf.DUMMYFUNCTION("GOOGLETRANSLATE(B1503,""id"",""en"")"),"['Wai', 'Telkomsel', 'Turns',' Credit ',' Play ',' Take ',' My Quotes', 'Giga', 'Credit', 'Out', 'Enter', 'Credit', ' ']")</f>
        <v>['Wai', 'Telkomsel', 'Turns',' Credit ',' Play ',' Take ',' My Quotes', 'Giga', 'Credit', 'Out', 'Enter', 'Credit', ' ']</v>
      </c>
      <c r="D1503" s="3">
        <v>1.0</v>
      </c>
    </row>
    <row r="1504" ht="15.75" customHeight="1">
      <c r="A1504" s="1">
        <v>1502.0</v>
      </c>
      <c r="B1504" s="3" t="s">
        <v>1505</v>
      </c>
      <c r="C1504" s="3" t="str">
        <f>IFERROR(__xludf.DUMMYFUNCTION("GOOGLETRANSLATE(B1504,""id"",""en"")"),"['Network', 'ugly', 'data', 'take-taken', 'fast', 'times',' run out ',' gaje ',' the network ',' fast ',' gakpapa ',' fast ',' run out ',' slow ',' auto ',' function ',' data ',' run out ',' already ',' price ',' expensive ',' slow ',' quality ',' accordi"&amp;"ng to ',' price ' , 'Bener', 'disappointed', 'right', 'enter', 'fasting', 'network', 'moral', '']")</f>
        <v>['Network', 'ugly', 'data', 'take-taken', 'fast', 'times',' run out ',' gaje ',' the network ',' fast ',' gakpapa ',' fast ',' run out ',' slow ',' auto ',' function ',' data ',' run out ',' already ',' price ',' expensive ',' slow ',' quality ',' according to ',' price ' , 'Bener', 'disappointed', 'right', 'enter', 'fasting', 'network', 'moral', '']</v>
      </c>
      <c r="D1504" s="3">
        <v>1.0</v>
      </c>
    </row>
    <row r="1505" ht="15.75" customHeight="1">
      <c r="A1505" s="1">
        <v>1503.0</v>
      </c>
      <c r="B1505" s="3" t="s">
        <v>1506</v>
      </c>
      <c r="C1505" s="3" t="str">
        <f>IFERROR(__xludf.DUMMYFUNCTION("GOOGLETRANSLATE(B1505,""id"",""en"")"),"['Application', 'Telkomsel', 'Loding', 'right', 'Open', 'Buy', 'Package', 'Data', 'Telkomsel', 'Please', 'Info', 'Thank', ' love', '']")</f>
        <v>['Application', 'Telkomsel', 'Loding', 'right', 'Open', 'Buy', 'Package', 'Data', 'Telkomsel', 'Please', 'Info', 'Thank', ' love', '']</v>
      </c>
      <c r="D1505" s="3">
        <v>1.0</v>
      </c>
    </row>
    <row r="1506" ht="15.75" customHeight="1">
      <c r="A1506" s="1">
        <v>1504.0</v>
      </c>
      <c r="B1506" s="3" t="s">
        <v>1507</v>
      </c>
      <c r="C1506" s="3" t="str">
        <f>IFERROR(__xludf.DUMMYFUNCTION("GOOGLETRANSLATE(B1506,""id"",""en"")"),"['Hi', 'Hello', 'Guys',' Dieses', 'Cave', 'Network', 'Good', 'Cave', 'Download', 'Application', 'Switcher', 'Cave', ' TUTAK ',' Atik ',' Data ',' Server ',' Mode ',' Kemode ',' Plane ',' Times', 'Sometimes',' Repeated ',' Times', 'already', 'Telkomsel' , "&amp;"'good', 'network', 'already', 'network', 'good', 'step', 'open', 'application', 'switcher', 'change', 'LTE', 'only' Run ',' Test ',' Pink ',' Deh ',' Quality ',' Network ',' Strong ',' Bags', '']")</f>
        <v>['Hi', 'Hello', 'Guys',' Dieses', 'Cave', 'Network', 'Good', 'Cave', 'Download', 'Application', 'Switcher', 'Cave', ' TUTAK ',' Atik ',' Data ',' Server ',' Mode ',' Kemode ',' Plane ',' Times', 'Sometimes',' Repeated ',' Times', 'already', 'Telkomsel' , 'good', 'network', 'already', 'network', 'good', 'step', 'open', 'application', 'switcher', 'change', 'LTE', 'only' Run ',' Test ',' Pink ',' Deh ',' Quality ',' Network ',' Strong ',' Bags', '']</v>
      </c>
      <c r="D1506" s="3">
        <v>5.0</v>
      </c>
    </row>
    <row r="1507" ht="15.75" customHeight="1">
      <c r="A1507" s="1">
        <v>1505.0</v>
      </c>
      <c r="B1507" s="3" t="s">
        <v>1508</v>
      </c>
      <c r="C1507" s="3" t="str">
        <f>IFERROR(__xludf.DUMMYFUNCTION("GOOGLETRANSLATE(B1507,""id"",""en"")"),"['info', 'use', 'pulse', 'reach', 'darling', 'here', 'expensive', 'buy', 'package', 'here', 'gikik', 'card', ' SIM ',' age ',' Come ',' friend ',' already ',' card ',' SIMYA ',' already ',' protest ']")</f>
        <v>['info', 'use', 'pulse', 'reach', 'darling', 'here', 'expensive', 'buy', 'package', 'here', 'gikik', 'card', ' SIM ',' age ',' Come ',' friend ',' already ',' card ',' SIMYA ',' already ',' protest ']</v>
      </c>
      <c r="D1507" s="3">
        <v>1.0</v>
      </c>
    </row>
    <row r="1508" ht="15.75" customHeight="1">
      <c r="A1508" s="1">
        <v>1506.0</v>
      </c>
      <c r="B1508" s="3" t="s">
        <v>1509</v>
      </c>
      <c r="C1508" s="3" t="str">
        <f>IFERROR(__xludf.DUMMYFUNCTION("GOOGLETRANSLATE(B1508,""id"",""en"")"),"['please', 'Telkomsel', 'cave', 'already', 'pakek', 'card', 'telkomsel', 'bangeeeet', 'times',' me ',' buy ',' packetan ',' slow ',' really ',' loading ',' network ',' application ',' go ',' weve ',' gatau ',' slow ',' ampuuuun ', ""]")</f>
        <v>['please', 'Telkomsel', 'cave', 'already', 'pakek', 'card', 'telkomsel', 'bangeeeet', 'times',' me ',' buy ',' packetan ',' slow ',' really ',' loading ',' network ',' application ',' go ',' weve ',' gatau ',' slow ',' ampuuuun ', "]</v>
      </c>
      <c r="D1508" s="3">
        <v>1.0</v>
      </c>
    </row>
    <row r="1509" ht="15.75" customHeight="1">
      <c r="A1509" s="1">
        <v>1507.0</v>
      </c>
      <c r="B1509" s="3" t="s">
        <v>1510</v>
      </c>
      <c r="C1509" s="3" t="str">
        <f>IFERROR(__xludf.DUMMYFUNCTION("GOOGLETRANSLATE(B1509,""id"",""en"")"),"['Telkomsel', 'obstacle', 'Sampe', 'as bad as',' signal ',' fix ',' customer ',' loyal ',' moved ',' provider ',' expensive ',' signal ',' ugly ',' DRI ',' provider ',' area ',' signal ',' good ',' slow ',' please ',' Telkomsel ',' fix ',' promo ',' quali"&amp;"ty ',' declining ' ]")</f>
        <v>['Telkomsel', 'obstacle', 'Sampe', 'as bad as',' signal ',' fix ',' customer ',' loyal ',' moved ',' provider ',' expensive ',' signal ',' ugly ',' DRI ',' provider ',' area ',' signal ',' good ',' slow ',' please ',' Telkomsel ',' fix ',' promo ',' quality ',' declining ' ]</v>
      </c>
      <c r="D1509" s="3">
        <v>3.0</v>
      </c>
    </row>
    <row r="1510" ht="15.75" customHeight="1">
      <c r="A1510" s="1">
        <v>1508.0</v>
      </c>
      <c r="B1510" s="3" t="s">
        <v>1511</v>
      </c>
      <c r="C1510" s="3" t="str">
        <f>IFERROR(__xludf.DUMMYFUNCTION("GOOGLETRANSLATE(B1510,""id"",""en"")"),"['Open', 'Application', 'Telkomsel', 'LemoOoot', 'Network', 'Disconnect', 'Papua', 'Compensation', 'Card', 'Special', 'cheat']")</f>
        <v>['Open', 'Application', 'Telkomsel', 'LemoOoot', 'Network', 'Disconnect', 'Papua', 'Compensation', 'Card', 'Special', 'cheat']</v>
      </c>
      <c r="D1510" s="3">
        <v>1.0</v>
      </c>
    </row>
    <row r="1511" ht="15.75" customHeight="1">
      <c r="A1511" s="1">
        <v>1509.0</v>
      </c>
      <c r="B1511" s="3" t="s">
        <v>1512</v>
      </c>
      <c r="C1511" s="3" t="str">
        <f>IFERROR(__xludf.DUMMYFUNCTION("GOOGLETRANSLATE(B1511,""id"",""en"")"),"['Open', 'buy', 'package', 'strange', 'Telkomsel', 'Yesterday', 'right', 'type', 'package', 'failed', 'pulses',' Cut ',' Telkomsel ',' Please ',' Mkan ',' Halal ',' Eat ',' Riba ', ""]")</f>
        <v>['Open', 'buy', 'package', 'strange', 'Telkomsel', 'Yesterday', 'right', 'type', 'package', 'failed', 'pulses',' Cut ',' Telkomsel ',' Please ',' Mkan ',' Halal ',' Eat ',' Riba ', "]</v>
      </c>
      <c r="D1511" s="3">
        <v>1.0</v>
      </c>
    </row>
    <row r="1512" ht="15.75" customHeight="1">
      <c r="A1512" s="1">
        <v>1510.0</v>
      </c>
      <c r="B1512" s="3" t="s">
        <v>1513</v>
      </c>
      <c r="C1512" s="3" t="str">
        <f>IFERROR(__xludf.DUMMYFUNCTION("GOOGLETRANSLATE(B1512,""id"",""en"")"),"['Tissue', 'Telkomsel', 'Village', 'Tateli', 'Kec', 'Mandolang', 'Keep', 'Super', 'Severe', 'Signal', 'internet', 'Lost', ' right ',' Telkom ',' said ',' repaired ',' already ',' change ',' package ',' card ',' hello ', ""]")</f>
        <v>['Tissue', 'Telkomsel', 'Village', 'Tateli', 'Kec', 'Mandolang', 'Keep', 'Super', 'Severe', 'Signal', 'internet', 'Lost', ' right ',' Telkom ',' said ',' repaired ',' already ',' change ',' package ',' card ',' hello ', "]</v>
      </c>
      <c r="D1512" s="3">
        <v>1.0</v>
      </c>
    </row>
    <row r="1513" ht="15.75" customHeight="1">
      <c r="A1513" s="1">
        <v>1511.0</v>
      </c>
      <c r="B1513" s="3" t="s">
        <v>1514</v>
      </c>
      <c r="C1513" s="3" t="str">
        <f>IFERROR(__xludf.DUMMYFUNCTION("GOOGLETRANSLATE(B1513,""id"",""en"")"),"['Severe', 'Nyet', 'Sinyallu', 'Nyet', 'Good', 'Ehh', 'BURIK', 'EMM', 'Actually', 'Intention', 'Signal', 'Nyett', ' Severe ',' Severe ',' Stress', 'Telkomsel', 'Actually', 'Want', 'Change', 'Knapa', 'Take', 'Change', 'Karna', 'Burik', 'Faithful' , 'Blum',"&amp;" 'replace', 'just', 'upgraded', 'Sinyallu', 'BURIK', 'Litu', 'so', 'user', 'nekopoi', 'thank you', 'astagfirullah', ' Aladin ',' yeah ',' love ',' star ',' cool ']")</f>
        <v>['Severe', 'Nyet', 'Sinyallu', 'Nyet', 'Good', 'Ehh', 'BURIK', 'EMM', 'Actually', 'Intention', 'Signal', 'Nyett', ' Severe ',' Severe ',' Stress', 'Telkomsel', 'Actually', 'Want', 'Change', 'Knapa', 'Take', 'Change', 'Karna', 'Burik', 'Faithful' , 'Blum', 'replace', 'just', 'upgraded', 'Sinyallu', 'BURIK', 'Litu', 'so', 'user', 'nekopoi', 'thank you', 'astagfirullah', ' Aladin ',' yeah ',' love ',' star ',' cool ']</v>
      </c>
      <c r="D1513" s="3">
        <v>5.0</v>
      </c>
    </row>
    <row r="1514" ht="15.75" customHeight="1">
      <c r="A1514" s="1">
        <v>1512.0</v>
      </c>
      <c r="B1514" s="3" t="s">
        <v>1515</v>
      </c>
      <c r="C1514" s="3" t="str">
        <f>IFERROR(__xludf.DUMMYFUNCTION("GOOGLETRANSLATE(B1514,""id"",""en"")"),"['Suggest', 'Try', 'Feature', 'MyTelkomsel', 'Add', 'Lock', 'Credit', 'Used', 'Provider', 'Next to', 'Apply', 'Feature', ' pulses', 'sucked', 'where']")</f>
        <v>['Suggest', 'Try', 'Feature', 'MyTelkomsel', 'Add', 'Lock', 'Credit', 'Used', 'Provider', 'Next to', 'Apply', 'Feature', ' pulses', 'sucked', 'where']</v>
      </c>
      <c r="D1514" s="3">
        <v>1.0</v>
      </c>
    </row>
    <row r="1515" ht="15.75" customHeight="1">
      <c r="A1515" s="1">
        <v>1513.0</v>
      </c>
      <c r="B1515" s="3" t="s">
        <v>1516</v>
      </c>
      <c r="C1515" s="3" t="str">
        <f>IFERROR(__xludf.DUMMYFUNCTION("GOOGLETRANSLATE(B1515,""id"",""en"")"),"['January', 'KSNI', 'Network', 'Severe', 'Before', 'Tsel', 'Tmpatku', 'Appeal', 'Provider', 'Tangerang', 'Skrng', 'Appeal', ' Axis', 'Lose', 'Network', 'Call', 'LBH', 'SLAMA', 'January', 'SKRNG', 'result', 'TTP', 'network', 'changed' , '']")</f>
        <v>['January', 'KSNI', 'Network', 'Severe', 'Before', 'Tsel', 'Tmpatku', 'Appeal', 'Provider', 'Tangerang', 'Skrng', 'Appeal', ' Axis', 'Lose', 'Network', 'Call', 'LBH', 'SLAMA', 'January', 'SKRNG', 'result', 'TTP', 'network', 'changed' , '']</v>
      </c>
      <c r="D1515" s="3">
        <v>1.0</v>
      </c>
    </row>
    <row r="1516" ht="15.75" customHeight="1">
      <c r="A1516" s="1">
        <v>1514.0</v>
      </c>
      <c r="B1516" s="3" t="s">
        <v>1517</v>
      </c>
      <c r="C1516" s="3" t="str">
        <f>IFERROR(__xludf.DUMMYFUNCTION("GOOGLETRANSLATE(B1516,""id"",""en"")"),"['Please', 'Note', 'Signal', 'Region', 'Village', 'Mushus',' Subdistrict ',' Paliyan ',' Mountain ',' Kidul ',' DIY ',' Haei ',' deteriorating ',' blame ',' consumer ',' move ',' operator ',' please ',' fix ',' try ',' realize ', ""]")</f>
        <v>['Please', 'Note', 'Signal', 'Region', 'Village', 'Mushus',' Subdistrict ',' Paliyan ',' Mountain ',' Kidul ',' DIY ',' Haei ',' deteriorating ',' blame ',' consumer ',' move ',' operator ',' please ',' fix ',' try ',' realize ', "]</v>
      </c>
      <c r="D1516" s="3">
        <v>3.0</v>
      </c>
    </row>
    <row r="1517" ht="15.75" customHeight="1">
      <c r="A1517" s="1">
        <v>1515.0</v>
      </c>
      <c r="B1517" s="3" t="s">
        <v>1518</v>
      </c>
      <c r="C1517" s="3" t="str">
        <f>IFERROR(__xludf.DUMMYFUNCTION("GOOGLETRANSLATE(B1517,""id"",""en"")"),"['Please', 'clock', 'night', 'noon', 'afternoon', 'signal', 'how', 'buy', 'package', 'data', 'expensive', 'ilang', ' Then ',' Signal ',' ']")</f>
        <v>['Please', 'clock', 'night', 'noon', 'afternoon', 'signal', 'how', 'buy', 'package', 'data', 'expensive', 'ilang', ' Then ',' Signal ',' ']</v>
      </c>
      <c r="D1517" s="3">
        <v>1.0</v>
      </c>
    </row>
    <row r="1518" ht="15.75" customHeight="1">
      <c r="A1518" s="1">
        <v>1516.0</v>
      </c>
      <c r="B1518" s="3" t="s">
        <v>1519</v>
      </c>
      <c r="C1518" s="3" t="str">
        <f>IFERROR(__xludf.DUMMYFUNCTION("GOOGLETRANSLATE(B1518,""id"",""en"")"),"['', 'Telkomsel', 'ugly', 'The network', 'Sya', 'City', 'Palangkaraya', 'network', 'data', 'network', 'data', 'network', 'the strongest ', 'bad', '']")</f>
        <v>['', 'Telkomsel', 'ugly', 'The network', 'Sya', 'City', 'Palangkaraya', 'network', 'data', 'network', 'data', 'network', 'the strongest ', 'bad', '']</v>
      </c>
      <c r="D1518" s="3">
        <v>1.0</v>
      </c>
    </row>
    <row r="1519" ht="15.75" customHeight="1">
      <c r="A1519" s="1">
        <v>1517.0</v>
      </c>
      <c r="B1519" s="3" t="s">
        <v>1520</v>
      </c>
      <c r="C1519" s="3" t="str">
        <f>IFERROR(__xludf.DUMMYFUNCTION("GOOGLETRANSLATE(B1519,""id"",""en"")"),"['Benerin', 'Network', 'HRS', 'LBH', 'GMPG', 'DRPD', 'Nurry', 'Network', 'TRS', 'KNP', 'Linerin', 'Oii', ' package ',' expensive ',' network ',' mentok ',' doang ',' aplg ',' area ',' laen ',' try ',' can ',' according to ',' sold ',' operator ' , 'Masi',"&amp;" 'mending', 'buy', 'package', 'cheap', 'can', 'network', 'according to', 'tsel', 'what' do ',' coffee ',' bang ',' Ngopi ',' Kek ',' Gini ',' TRS ',' Tasty ',' Operator ',' DRPD ',' Tsel ',' Ada ',' Network ',' Internet ',' Fastest ',' Udh ' , 'BYR', 'MHL"&amp;"', 'DPT', 'service', 'according to', 'Signal', 'BURIK', 'CONSUMER', 'MAKE', 'PLH', 'DRIVE', 'BKN'S,' Search ',' Solution ']")</f>
        <v>['Benerin', 'Network', 'HRS', 'LBH', 'GMPG', 'DRPD', 'Nurry', 'Network', 'TRS', 'KNP', 'Linerin', 'Oii', ' package ',' expensive ',' network ',' mentok ',' doang ',' aplg ',' area ',' laen ',' try ',' can ',' according to ',' sold ',' operator ' , 'Masi', 'mending', 'buy', 'package', 'cheap', 'can', 'network', 'according to', 'tsel', 'what' do ',' coffee ',' bang ',' Ngopi ',' Kek ',' Gini ',' TRS ',' Tasty ',' Operator ',' DRPD ',' Tsel ',' Ada ',' Network ',' Internet ',' Fastest ',' Udh ' , 'BYR', 'MHL', 'DPT', 'service', 'according to', 'Signal', 'BURIK', 'CONSUMER', 'MAKE', 'PLH', 'DRIVE', 'BKN'S,' Search ',' Solution ']</v>
      </c>
      <c r="D1519" s="3">
        <v>1.0</v>
      </c>
    </row>
    <row r="1520" ht="15.75" customHeight="1">
      <c r="A1520" s="1">
        <v>1518.0</v>
      </c>
      <c r="B1520" s="3" t="s">
        <v>1521</v>
      </c>
      <c r="C1520" s="3" t="str">
        <f>IFERROR(__xludf.DUMMYFUNCTION("GOOGLETRANSLATE(B1520,""id"",""en"")"),"['Sorry', 'Reduce', 'star', 'feeling', 'old', 'fast', 'network', 'slow', 'quota', 'buy', 'speed', 'network', ' add ',' slow ',' surprised ',' me ',' please ',' disappointing ',' customer ',' customer ',' moved ',' network ']")</f>
        <v>['Sorry', 'Reduce', 'star', 'feeling', 'old', 'fast', 'network', 'slow', 'quota', 'buy', 'speed', 'network', ' add ',' slow ',' surprised ',' me ',' please ',' disappointing ',' customer ',' customer ',' moved ',' network ']</v>
      </c>
      <c r="D1520" s="3">
        <v>2.0</v>
      </c>
    </row>
    <row r="1521" ht="15.75" customHeight="1">
      <c r="A1521" s="1">
        <v>1519.0</v>
      </c>
      <c r="B1521" s="3" t="s">
        <v>1522</v>
      </c>
      <c r="C1521" s="3" t="str">
        <f>IFERROR(__xludf.DUMMYFUNCTION("GOOGLETRANSLATE(B1521,""id"",""en"")"),"['Brief', 'Telkomsel', 'bankrupt', 'Mampus',' Telkomsel ',' good ',' ugly ',' slow ',' slow ',' signal ',' ugly ',' area ',' City ',' Tasikmalaya ',' internet ',' games', 'difficult', 'really', '']")</f>
        <v>['Brief', 'Telkomsel', 'bankrupt', 'Mampus',' Telkomsel ',' good ',' ugly ',' slow ',' slow ',' signal ',' ugly ',' area ',' City ',' Tasikmalaya ',' internet ',' games', 'difficult', 'really', '']</v>
      </c>
      <c r="D1521" s="3">
        <v>1.0</v>
      </c>
    </row>
    <row r="1522" ht="15.75" customHeight="1">
      <c r="A1522" s="1">
        <v>1520.0</v>
      </c>
      <c r="B1522" s="3" t="s">
        <v>1523</v>
      </c>
      <c r="C1522" s="3" t="str">
        <f>IFERROR(__xludf.DUMMYFUNCTION("GOOGLETRANSLATE(B1522,""id"",""en"")"),"['Card', 'Hello', 'You', 'Disappointing', 'Application', 'Telkomsel', 'Love', 'Value', 'Informative', 'Kuata', 'Data', 'Lost', ' ']")</f>
        <v>['Card', 'Hello', 'You', 'Disappointing', 'Application', 'Telkomsel', 'Love', 'Value', 'Informative', 'Kuata', 'Data', 'Lost', ' ']</v>
      </c>
      <c r="D1522" s="3">
        <v>1.0</v>
      </c>
    </row>
    <row r="1523" ht="15.75" customHeight="1">
      <c r="A1523" s="1">
        <v>1521.0</v>
      </c>
      <c r="B1523" s="3" t="s">
        <v>1524</v>
      </c>
      <c r="C1523" s="3" t="str">
        <f>IFERROR(__xludf.DUMMYFUNCTION("GOOGLETRANSLATE(B1523,""id"",""en"")"),"['times',' Stop ',' subscribe ',' package ',' failed ',' sometimes', 'choice', 'stop', 'signal', 'here', 'bad', 'sometimes',' network ',' application ',' slow ']")</f>
        <v>['times',' Stop ',' subscribe ',' package ',' failed ',' sometimes', 'choice', 'stop', 'signal', 'here', 'bad', 'sometimes',' network ',' application ',' slow ']</v>
      </c>
      <c r="D1523" s="3">
        <v>1.0</v>
      </c>
    </row>
    <row r="1524" ht="15.75" customHeight="1">
      <c r="A1524" s="1">
        <v>1522.0</v>
      </c>
      <c r="B1524" s="3" t="s">
        <v>1525</v>
      </c>
      <c r="C1524" s="3" t="str">
        <f>IFERROR(__xludf.DUMMYFUNCTION("GOOGLETRANSLATE(B1524,""id"",""en"")"),"['Honest', 'disappointed', 'really', 'Telkomsel', 'dlu', 'smooth', 'cheap', 'price', 'really', 'missing', 'network', 'school', ' Online ',' Disappointed ',' Very ',' Telkom ',' Package ',' Unlimited ',' Restricted ',' GB ',' Honest ',' Want ',' Move ',' T"&amp;"elkomsel ']")</f>
        <v>['Honest', 'disappointed', 'really', 'Telkomsel', 'dlu', 'smooth', 'cheap', 'price', 'really', 'missing', 'network', 'school', ' Online ',' Disappointed ',' Very ',' Telkom ',' Package ',' Unlimited ',' Restricted ',' GB ',' Honest ',' Want ',' Move ',' Telkomsel ']</v>
      </c>
      <c r="D1524" s="3">
        <v>1.0</v>
      </c>
    </row>
    <row r="1525" ht="15.75" customHeight="1">
      <c r="A1525" s="1">
        <v>1523.0</v>
      </c>
      <c r="B1525" s="3" t="s">
        <v>1526</v>
      </c>
      <c r="C1525" s="3" t="str">
        <f>IFERROR(__xludf.DUMMYFUNCTION("GOOGLETRANSLATE(B1525,""id"",""en"")"),"['Telkomsel', 'ugly', 'really', 'signal', 'beg', 'handy', 'buy', 'package', 'internet', 'purchase', 'data', 'internet', ' Walking ',' Hour ',' Thank you ', ""]")</f>
        <v>['Telkomsel', 'ugly', 'really', 'signal', 'beg', 'handy', 'buy', 'package', 'internet', 'purchase', 'data', 'internet', ' Walking ',' Hour ',' Thank you ', "]</v>
      </c>
      <c r="D1525" s="3">
        <v>3.0</v>
      </c>
    </row>
    <row r="1526" ht="15.75" customHeight="1">
      <c r="A1526" s="1">
        <v>1524.0</v>
      </c>
      <c r="B1526" s="3" t="s">
        <v>1527</v>
      </c>
      <c r="C1526" s="3" t="str">
        <f>IFERROR(__xludf.DUMMYFUNCTION("GOOGLETRANSLATE(B1526,""id"",""en"")"),"['Disabling', 'Package', 'Maxtream', 'What', 'Admin', 'Comfortable', 'Play', 'Game', 'Online', 'Package', 'Maxtream', 'Active', ' already ',' buy ',' weekly ',' unlimated ']")</f>
        <v>['Disabling', 'Package', 'Maxtream', 'What', 'Admin', 'Comfortable', 'Play', 'Game', 'Online', 'Package', 'Maxtream', 'Active', ' already ',' buy ',' weekly ',' unlimated ']</v>
      </c>
      <c r="D1526" s="3">
        <v>3.0</v>
      </c>
    </row>
    <row r="1527" ht="15.75" customHeight="1">
      <c r="A1527" s="1">
        <v>1525.0</v>
      </c>
      <c r="B1527" s="3" t="s">
        <v>1528</v>
      </c>
      <c r="C1527" s="3" t="str">
        <f>IFERROR(__xludf.DUMMYFUNCTION("GOOGLETRANSLATE(B1527,""id"",""en"")"),"['Network', 'bad', 'price', 'expensive', 'network', 'poor', 'live', 'center', 'city', 'Makassar', 'main', 'network', ' dotted']")</f>
        <v>['Network', 'bad', 'price', 'expensive', 'network', 'poor', 'live', 'center', 'city', 'Makassar', 'main', 'network', ' dotted']</v>
      </c>
      <c r="D1527" s="3">
        <v>1.0</v>
      </c>
    </row>
    <row r="1528" ht="15.75" customHeight="1">
      <c r="A1528" s="1">
        <v>1526.0</v>
      </c>
      <c r="B1528" s="3" t="s">
        <v>1529</v>
      </c>
      <c r="C1528" s="3" t="str">
        <f>IFERROR(__xludf.DUMMYFUNCTION("GOOGLETRANSLATE(B1528,""id"",""en"")"),"['signal', 'ilang', 'area', 'Jabodetabek', 'Dead', 'electricity', 'signal', 'lngsung', 'lost', 'use', 'signal', 'stable', ' disappointing ',' user ',' subscribe ',' Telkomsel ',' please ',' fix ',' lgi ',' convenience ',' user ',' thank ',' love ']")</f>
        <v>['signal', 'ilang', 'area', 'Jabodetabek', 'Dead', 'electricity', 'signal', 'lngsung', 'lost', 'use', 'signal', 'stable', ' disappointing ',' user ',' subscribe ',' Telkomsel ',' please ',' fix ',' lgi ',' convenience ',' user ',' thank ',' love ']</v>
      </c>
      <c r="D1528" s="3">
        <v>1.0</v>
      </c>
    </row>
    <row r="1529" ht="15.75" customHeight="1">
      <c r="A1529" s="1">
        <v>1527.0</v>
      </c>
      <c r="B1529" s="3" t="s">
        <v>1530</v>
      </c>
      <c r="C1529" s="3" t="str">
        <f>IFERROR(__xludf.DUMMYFUNCTION("GOOGLETRANSLATE(B1529,""id"",""en"")"),"['expensive', 'doang', 'signal', 'BERIK', 'postpaid', 'waste', 'money', 'aje', 'oath', 'card', 'hello', 'price', ' millions', 'sinynyal', 'price', 'rebel', 'mending', 'yellow', 'dipake', 'city', 'sby', 'signal', 'ilang', 'business',' urgent ' , 'Where', '"&amp;"Sometimes',' WiFi ',' Buy ',' Paketan ',' Millions', 'Prioritize', 'Disbanded', 'Name', 'Doang', 'Gede', 'Mentang', ' BUMN ',' Quality ',' Service ',' zero ',' ']")</f>
        <v>['expensive', 'doang', 'signal', 'BERIK', 'postpaid', 'waste', 'money', 'aje', 'oath', 'card', 'hello', 'price', ' millions', 'sinynyal', 'price', 'rebel', 'mending', 'yellow', 'dipake', 'city', 'sby', 'signal', 'ilang', 'business',' urgent ' , 'Where', 'Sometimes',' WiFi ',' Buy ',' Paketan ',' Millions', 'Prioritize', 'Disbanded', 'Name', 'Doang', 'Gede', 'Mentang', ' BUMN ',' Quality ',' Service ',' zero ',' ']</v>
      </c>
      <c r="D1529" s="3">
        <v>1.0</v>
      </c>
    </row>
    <row r="1530" ht="15.75" customHeight="1">
      <c r="A1530" s="1">
        <v>1528.0</v>
      </c>
      <c r="B1530" s="3" t="s">
        <v>1531</v>
      </c>
      <c r="C1530" s="3" t="str">
        <f>IFERROR(__xludf.DUMMYFUNCTION("GOOGLETRANSLATE(B1530,""id"",""en"")"),"['Knpa', 'buy', 'Package', 'Telkomsel', 'The network', 'Bags',' Credit ',' get ',' Cut ',' please ',' Help ',' the network ',' repair', '']")</f>
        <v>['Knpa', 'buy', 'Package', 'Telkomsel', 'The network', 'Bags',' Credit ',' get ',' Cut ',' please ',' Help ',' the network ',' repair', '']</v>
      </c>
      <c r="D1530" s="3">
        <v>1.0</v>
      </c>
    </row>
    <row r="1531" ht="15.75" customHeight="1">
      <c r="A1531" s="1">
        <v>1529.0</v>
      </c>
      <c r="B1531" s="3" t="s">
        <v>1532</v>
      </c>
      <c r="C1531" s="3" t="str">
        <f>IFERROR(__xludf.DUMMYFUNCTION("GOOGLETRANSLATE(B1531,""id"",""en"")"),"['ugly', 'signal', 'Telkomsel', 'trutama', 'tuk', 'maen', 'game', 'bad', 'really', 'please', 'enlightenment', 'signal', ' Telkomsel ']")</f>
        <v>['ugly', 'signal', 'Telkomsel', 'trutama', 'tuk', 'maen', 'game', 'bad', 'really', 'please', 'enlightenment', 'signal', ' Telkomsel ']</v>
      </c>
      <c r="D1531" s="3">
        <v>1.0</v>
      </c>
    </row>
    <row r="1532" ht="15.75" customHeight="1">
      <c r="A1532" s="1">
        <v>1530.0</v>
      </c>
      <c r="B1532" s="3" t="s">
        <v>1533</v>
      </c>
      <c r="C1532" s="3" t="str">
        <f>IFERROR(__xludf.DUMMYFUNCTION("GOOGLETRANSLATE(B1532,""id"",""en"")"),"['star', 'TPI', 'Rating', 'slah', 'Telkomsel', 'disappointing', 'take', 'package', 'internet', 'package', 'internet', 'night', ' usage ',' data ',' package ',' night ',' leftover ',' where ',' go ',' package ',' take ',' package ',' conference ',' apk ','"&amp;" cloud ' , 'used', 'package', 'internet', 'main', 'package', 'special', 'cloud', 'drained', 'at all', 'loss', 'buy']")</f>
        <v>['star', 'TPI', 'Rating', 'slah', 'Telkomsel', 'disappointing', 'take', 'package', 'internet', 'package', 'internet', 'night', ' usage ',' data ',' package ',' night ',' leftover ',' where ',' go ',' package ',' take ',' package ',' conference ',' apk ',' cloud ' , 'used', 'package', 'internet', 'main', 'package', 'special', 'cloud', 'drained', 'at all', 'loss', 'buy']</v>
      </c>
      <c r="D1532" s="3">
        <v>1.0</v>
      </c>
    </row>
    <row r="1533" ht="15.75" customHeight="1">
      <c r="A1533" s="1">
        <v>1531.0</v>
      </c>
      <c r="B1533" s="3" t="s">
        <v>1534</v>
      </c>
      <c r="C1533" s="3" t="str">
        <f>IFERROR(__xludf.DUMMYFUNCTION("GOOGLETRANSLATE(B1533,""id"",""en"")"),"['Siyal', 'Siyal', 'Region', 'Lawang', 'Crazy', 'Lemot', 'Anpun', 'Advertising', 'Doang', 'Current', 'Village', 'Disabled', ' Watch ',' YouTube ',' Disabled ',' Loading ',' Mulu ',' Repaired ',' Untung ',' ']")</f>
        <v>['Siyal', 'Siyal', 'Region', 'Lawang', 'Crazy', 'Lemot', 'Anpun', 'Advertising', 'Doang', 'Current', 'Village', 'Disabled', ' Watch ',' YouTube ',' Disabled ',' Loading ',' Mulu ',' Repaired ',' Untung ',' ']</v>
      </c>
      <c r="D1533" s="3">
        <v>1.0</v>
      </c>
    </row>
    <row r="1534" ht="15.75" customHeight="1">
      <c r="A1534" s="1">
        <v>1532.0</v>
      </c>
      <c r="B1534" s="3" t="s">
        <v>1535</v>
      </c>
      <c r="C1534" s="3" t="str">
        <f>IFERROR(__xludf.DUMMYFUNCTION("GOOGLETRANSLATE(B1534,""id"",""en"")"),"['signal', 'Telkomsel', 'ugly', 'rich', 'make', 'comfortable', 'hope', 'improvement', 'as soon as possible,' hope ',' replace ',' card ',' ']")</f>
        <v>['signal', 'Telkomsel', 'ugly', 'rich', 'make', 'comfortable', 'hope', 'improvement', 'as soon as possible,' hope ',' replace ',' card ',' ']</v>
      </c>
      <c r="D1534" s="3">
        <v>3.0</v>
      </c>
    </row>
    <row r="1535" ht="15.75" customHeight="1">
      <c r="A1535" s="1">
        <v>1533.0</v>
      </c>
      <c r="B1535" s="3" t="s">
        <v>1536</v>
      </c>
      <c r="C1535" s="3" t="str">
        <f>IFERROR(__xludf.DUMMYFUNCTION("GOOGLETRANSLATE(B1535,""id"",""en"")"),"['app', 'broken', 'buy', 'package', 'data', 'method', 'payment', 'entered', 'use', 'pulse', 'strange', 'bin', ' Magical ',' Update ',' Purchase ',' Package ',' Data ',' Update ',' Discard ',' Discard ',' Quota ',' APP ',' LIAT ',' Fill ',' quota ' , 'Doan"&amp;"g']")</f>
        <v>['app', 'broken', 'buy', 'package', 'data', 'method', 'payment', 'entered', 'use', 'pulse', 'strange', 'bin', ' Magical ',' Update ',' Purchase ',' Package ',' Data ',' Update ',' Discard ',' Discard ',' Quota ',' APP ',' LIAT ',' Fill ',' quota ' , 'Doang']</v>
      </c>
      <c r="D1535" s="3">
        <v>1.0</v>
      </c>
    </row>
    <row r="1536" ht="15.75" customHeight="1">
      <c r="A1536" s="1">
        <v>1534.0</v>
      </c>
      <c r="B1536" s="3" t="s">
        <v>1537</v>
      </c>
      <c r="C1536" s="3" t="str">
        <f>IFERROR(__xludf.DUMMYFUNCTION("GOOGLETRANSLATE(B1536,""id"",""en"")"),"['Sis',' number ',' contents', 'reset', 'rb', 'no', 'tlfn', 'smsan', 'enter', 'grace', 'date', 'contents',' reset ',' transfer ',' pulse ',' date ',' already ',' contents', 'reset']")</f>
        <v>['Sis',' number ',' contents', 'reset', 'rb', 'no', 'tlfn', 'smsan', 'enter', 'grace', 'date', 'contents',' reset ',' transfer ',' pulse ',' date ',' already ',' contents', 'reset']</v>
      </c>
      <c r="D1536" s="3">
        <v>1.0</v>
      </c>
    </row>
    <row r="1537" ht="15.75" customHeight="1">
      <c r="A1537" s="1">
        <v>1535.0</v>
      </c>
      <c r="B1537" s="3" t="s">
        <v>1538</v>
      </c>
      <c r="C1537" s="3" t="str">
        <f>IFERROR(__xludf.DUMMYFUNCTION("GOOGLETRANSLATE(B1537,""id"",""en"")"),"['buy', 'Package', 'Application', 'Direct', 'confirm', 'really', 'already', 'expensive', 'signal', 'slow', 'pliss',' buy ',' Package ',' Direct ',' App ',' confirm ',' hurried ',' sumps', 'ntar', 'pulses',' ']")</f>
        <v>['buy', 'Package', 'Application', 'Direct', 'confirm', 'really', 'already', 'expensive', 'signal', 'slow', 'pliss',' buy ',' Package ',' Direct ',' App ',' confirm ',' hurried ',' sumps', 'ntar', 'pulses',' ']</v>
      </c>
      <c r="D1537" s="3">
        <v>1.0</v>
      </c>
    </row>
    <row r="1538" ht="15.75" customHeight="1">
      <c r="A1538" s="1">
        <v>1536.0</v>
      </c>
      <c r="B1538" s="3" t="s">
        <v>1539</v>
      </c>
      <c r="C1538" s="3" t="str">
        <f>IFERROR(__xludf.DUMMYFUNCTION("GOOGLETRANSLATE(B1538,""id"",""en"")"),"['Kayak', 'love', 'star', 'network', 'ugly', 'please', 'fix', 'network', 'Telkomsel', 'ilang', 'gajelas']")</f>
        <v>['Kayak', 'love', 'star', 'network', 'ugly', 'please', 'fix', 'network', 'Telkomsel', 'ilang', 'gajelas']</v>
      </c>
      <c r="D1538" s="3">
        <v>1.0</v>
      </c>
    </row>
    <row r="1539" ht="15.75" customHeight="1">
      <c r="A1539" s="1">
        <v>1537.0</v>
      </c>
      <c r="B1539" s="3" t="s">
        <v>1540</v>
      </c>
      <c r="C1539" s="3" t="str">
        <f>IFERROR(__xludf.DUMMYFUNCTION("GOOGLETRANSLATE(B1539,""id"",""en"")"),"['Gajelas',' oath ',' Dri ',' TDI ',' want ',' buy ',' package ',' data ',' TPI ',' Tetep ',' pdhl ',' Udh ',' try ',' brp ',' times', 'TTP', 'failed', 'until', 'restart', 'friend', 'direct', 'buy', 'package', 'data', 'bizarre' , '']")</f>
        <v>['Gajelas',' oath ',' Dri ',' TDI ',' want ',' buy ',' package ',' data ',' TPI ',' Tetep ',' pdhl ',' Udh ',' try ',' brp ',' times', 'TTP', 'failed', 'until', 'restart', 'friend', 'direct', 'buy', 'package', 'data', 'bizarre' , '']</v>
      </c>
      <c r="D1539" s="3">
        <v>1.0</v>
      </c>
    </row>
    <row r="1540" ht="15.75" customHeight="1">
      <c r="A1540" s="1">
        <v>1538.0</v>
      </c>
      <c r="B1540" s="3" t="s">
        <v>1541</v>
      </c>
      <c r="C1540" s="3" t="str">
        <f>IFERROR(__xludf.DUMMYFUNCTION("GOOGLETRANSLATE(B1540,""id"",""en"")"),"['people', 'thought', 'good', 'right', 'run out', 'quota', 'open', 'Telkomsel', 'quota', 'package', 'quota', 'suer', ' lie', '']")</f>
        <v>['people', 'thought', 'good', 'right', 'run out', 'quota', 'open', 'Telkomsel', 'quota', 'package', 'quota', 'suer', ' lie', '']</v>
      </c>
      <c r="D1540" s="3">
        <v>5.0</v>
      </c>
    </row>
    <row r="1541" ht="15.75" customHeight="1">
      <c r="A1541" s="1">
        <v>1539.0</v>
      </c>
      <c r="B1541" s="3" t="s">
        <v>1542</v>
      </c>
      <c r="C1541" s="3" t="str">
        <f>IFERROR(__xludf.DUMMYFUNCTION("GOOGLETRANSLATE(B1541,""id"",""en"")"),"['easy', 'try', 'love', 'promo', 'udh', 'subscription', 'telkomsel', 'laen', 'promo', 'card', 'can', 'promo']")</f>
        <v>['easy', 'try', 'love', 'promo', 'udh', 'subscription', 'telkomsel', 'laen', 'promo', 'card', 'can', 'promo']</v>
      </c>
      <c r="D1541" s="3">
        <v>4.0</v>
      </c>
    </row>
    <row r="1542" ht="15.75" customHeight="1">
      <c r="A1542" s="1">
        <v>1540.0</v>
      </c>
      <c r="B1542" s="3" t="s">
        <v>1543</v>
      </c>
      <c r="C1542" s="3" t="str">
        <f>IFERROR(__xludf.DUMMYFUNCTION("GOOGLETRANSLATE(B1542,""id"",""en"")"),"['Price', 'Package', 'Sousal', 'Down', 'You', 'Think', 'Telkomsel', 'Knp', 'GNI', 'Network', 'Telkomsel', 'STBIL', ' Sometimes', 'lgi', 'disorder', 'week', 'blm', 'finished', 'his disturbance']")</f>
        <v>['Price', 'Package', 'Sousal', 'Down', 'You', 'Think', 'Telkomsel', 'Knp', 'GNI', 'Network', 'Telkomsel', 'STBIL', ' Sometimes', 'lgi', 'disorder', 'week', 'blm', 'finished', 'his disturbance']</v>
      </c>
      <c r="D1542" s="3">
        <v>1.0</v>
      </c>
    </row>
    <row r="1543" ht="15.75" customHeight="1">
      <c r="A1543" s="1">
        <v>1541.0</v>
      </c>
      <c r="B1543" s="3" t="s">
        <v>1544</v>
      </c>
      <c r="C1543" s="3" t="str">
        <f>IFERROR(__xludf.DUMMYFUNCTION("GOOGLETRANSLATE(B1543,""id"",""en"")"),"['Telkomsel', 'Telkomsel', 'please', 'fix', 'signal', 'life', 'Tangerng', 'buy', 'package', 'expensive', 'signal', 'difficult', ' Bener ',' haduhhhh ',' good ',' loading ',' fast ',' ']")</f>
        <v>['Telkomsel', 'Telkomsel', 'please', 'fix', 'signal', 'life', 'Tangerng', 'buy', 'package', 'expensive', 'signal', 'difficult', ' Bener ',' haduhhhh ',' good ',' loading ',' fast ',' ']</v>
      </c>
      <c r="D1543" s="3">
        <v>1.0</v>
      </c>
    </row>
    <row r="1544" ht="15.75" customHeight="1">
      <c r="A1544" s="1">
        <v>1542.0</v>
      </c>
      <c r="B1544" s="3" t="s">
        <v>1545</v>
      </c>
      <c r="C1544" s="3" t="str">
        <f>IFERROR(__xludf.DUMMYFUNCTION("GOOGLETRANSLATE(B1544,""id"",""en"")"),"['Tissue', 'Telkomsel', 'Region', 'Sidoarjo', 'Kecamatan', 'Krian', 'Really', 'Disappointing', 'Network', 'Difficult', 'Prove', 'Telkomsel', ' signal ',' strong ',' ']")</f>
        <v>['Tissue', 'Telkomsel', 'Region', 'Sidoarjo', 'Kecamatan', 'Krian', 'Really', 'Disappointing', 'Network', 'Difficult', 'Prove', 'Telkomsel', ' signal ',' strong ',' ']</v>
      </c>
      <c r="D1544" s="3">
        <v>1.0</v>
      </c>
    </row>
    <row r="1545" ht="15.75" customHeight="1">
      <c r="A1545" s="1">
        <v>1543.0</v>
      </c>
      <c r="B1545" s="3" t="s">
        <v>1546</v>
      </c>
      <c r="C1545" s="3" t="str">
        <f>IFERROR(__xludf.DUMMYFUNCTION("GOOGLETRANSLATE(B1545,""id"",""en"")"),"['Credit', 'Telkomsel', 'Rb', 'waiting for you', 'Download', 'Login', 'MyTelkomsel', 'Tsel', 'Download', 'Jun', 'Can', 'Credit', ' Rp. ',' RB ',' apply ',' HR ',' SMS ',' Tel ',' Tsel ',' Really ',' Get ',' Credit ',' right ',' Diliated ',' Credit ' , 'Mo"&amp;"netery', 'really', 'disappointed', 'aing', 'times',' NGasi ',' Free ',' Nipu ',' People ',' Mending ',' Change ',' card ',' ']")</f>
        <v>['Credit', 'Telkomsel', 'Rb', 'waiting for you', 'Download', 'Login', 'MyTelkomsel', 'Tsel', 'Download', 'Jun', 'Can', 'Credit', ' Rp. ',' RB ',' apply ',' HR ',' SMS ',' Tel ',' Tsel ',' Really ',' Get ',' Credit ',' right ',' Diliated ',' Credit ' , 'Monetery', 'really', 'disappointed', 'aing', 'times',' NGasi ',' Free ',' Nipu ',' People ',' Mending ',' Change ',' card ',' ']</v>
      </c>
      <c r="D1545" s="3">
        <v>1.0</v>
      </c>
    </row>
    <row r="1546" ht="15.75" customHeight="1">
      <c r="A1546" s="1">
        <v>1544.0</v>
      </c>
      <c r="B1546" s="3" t="s">
        <v>1547</v>
      </c>
      <c r="C1546" s="3" t="str">
        <f>IFERROR(__xludf.DUMMYFUNCTION("GOOGLETRANSLATE(B1546,""id"",""en"")"),"['love', 'input', 'users',' Telkomsel ',' buy ',' card ',' Telkomsel ',' unlimited ',' quota ',' main ',' already ',' Abis', ' quota ',' unlimited ',' open ',' open ',' facebook ',' buy ',' card ',' telkomsel ',' buy ',' unlimited ',' replace ',' card ','"&amp;" smartfren ' , 'Good', 'Telkomsel', 'Element', 'mocking', 'Telkomsel', 'Severe', 'Severe', 'Unlimited', ""]")</f>
        <v>['love', 'input', 'users',' Telkomsel ',' buy ',' card ',' Telkomsel ',' unlimited ',' quota ',' main ',' already ',' Abis', ' quota ',' unlimited ',' open ',' open ',' facebook ',' buy ',' card ',' telkomsel ',' buy ',' unlimited ',' replace ',' card ',' smartfren ' , 'Good', 'Telkomsel', 'Element', 'mocking', 'Telkomsel', 'Severe', 'Severe', 'Unlimited', "]</v>
      </c>
      <c r="D1546" s="3">
        <v>3.0</v>
      </c>
    </row>
    <row r="1547" ht="15.75" customHeight="1">
      <c r="A1547" s="1">
        <v>1545.0</v>
      </c>
      <c r="B1547" s="3" t="s">
        <v>1548</v>
      </c>
      <c r="C1547" s="3" t="str">
        <f>IFERROR(__xludf.DUMMYFUNCTION("GOOGLETRANSLATE(B1547,""id"",""en"")"),"['Telkomsel', 'ugly', 'really', 'package', 'data', 'expensive', 'ugly', 'signal', 'already', 'ping', 'game', 'ugly', ' very', '']")</f>
        <v>['Telkomsel', 'ugly', 'really', 'package', 'data', 'expensive', 'ugly', 'signal', 'already', 'ping', 'game', 'ugly', ' very', '']</v>
      </c>
      <c r="D1547" s="3">
        <v>1.0</v>
      </c>
    </row>
    <row r="1548" ht="15.75" customHeight="1">
      <c r="A1548" s="1">
        <v>1546.0</v>
      </c>
      <c r="B1548" s="3" t="s">
        <v>1549</v>
      </c>
      <c r="C1548" s="3" t="str">
        <f>IFERROR(__xludf.DUMMYFUNCTION("GOOGLETRANSLATE(B1548,""id"",""en"")"),"['Telkomsel', 'deh', 'quota', 'quota', 'cheap', 'as cheap as',' sim ',' card ',' full ',' forward ',' Telkomsel ',' improve ',' Quality ',' Show ',' red you ',' multiply ',' quota ',' cheap ',' ']")</f>
        <v>['Telkomsel', 'deh', 'quota', 'quota', 'cheap', 'as cheap as',' sim ',' card ',' full ',' forward ',' Telkomsel ',' improve ',' Quality ',' Show ',' red you ',' multiply ',' quota ',' cheap ',' ']</v>
      </c>
      <c r="D1548" s="3">
        <v>5.0</v>
      </c>
    </row>
    <row r="1549" ht="15.75" customHeight="1">
      <c r="A1549" s="1">
        <v>1547.0</v>
      </c>
      <c r="B1549" s="3" t="s">
        <v>1550</v>
      </c>
      <c r="C1549" s="3" t="str">
        <f>IFERROR(__xludf.DUMMYFUNCTION("GOOGLETRANSLATE(B1549,""id"",""en"")"),"[ 'Good', 'very', 'prey', 'downloaddddddddddddddddddddddddddddddddddddddddddddddddddddddddddddddddddddddddddddddddddddddddddddddddddddddddddddddddddddddddddddddddddddddddddddddddddddddddddddddddddddddddddddddddddddddddddddddddddddddddddddddddddddddddddddd"&amp;"dddddddddddddddddddddddddddddddddddddddddddddddddddddddddddddddddddddddddddddddddddddddddddddddddddddddddddddddddddddddddddddddddddddddddddddddddddddddddddddddddddddddddddddddddddddddddddddddddddddddddddddddddddddddddddddddddddddddddddddddddddddddddddd']")</f>
        <v>[ 'Good', 'very', 'prey', 'downloa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v>
      </c>
      <c r="D1549" s="3">
        <v>5.0</v>
      </c>
    </row>
    <row r="1550" ht="15.75" customHeight="1">
      <c r="A1550" s="1">
        <v>1548.0</v>
      </c>
      <c r="B1550" s="3" t="s">
        <v>1551</v>
      </c>
      <c r="C1550" s="3" t="str">
        <f>IFERROR(__xludf.DUMMYFUNCTION("GOOGLETRANSLATE(B1550,""id"",""en"")"),"['Tellkomsell', 'Telkomsell', 'signal', 'slow', 'network', 'network', 'mnjadi', 'lbh', 'network', 'telkomsell', 'mnjadi', ' lbh ',' bad ',' congratulations ',' single ',' for ',' Telkomsell ',' thank ',' love ',' for ',' kapok ',' congratulations ',']")</f>
        <v>['Tellkomsell', 'Telkomsell', 'signal', 'slow', 'network', 'network', 'mnjadi', 'lbh', 'network', 'telkomsell', 'mnjadi', ' lbh ',' bad ',' congratulations ',' single ',' for ',' Telkomsell ',' thank ',' love ',' for ',' kapok ',' congratulations ',']</v>
      </c>
      <c r="D1550" s="3">
        <v>1.0</v>
      </c>
    </row>
    <row r="1551" ht="15.75" customHeight="1">
      <c r="A1551" s="1">
        <v>1549.0</v>
      </c>
      <c r="B1551" s="3" t="s">
        <v>1552</v>
      </c>
      <c r="C1551" s="3" t="str">
        <f>IFERROR(__xludf.DUMMYFUNCTION("GOOGLETRANSLATE(B1551,""id"",""en"")"),"['Log', 'Woyy', 'Link', 'Sent', 'already', 'expiration', 'YGBener', 'intention', 'selling', 'ngezawain', 'member', 'Kojadi', ' Ribet ',' Gini ', ""]")</f>
        <v>['Log', 'Woyy', 'Link', 'Sent', 'already', 'expiration', 'YGBener', 'intention', 'selling', 'ngezawain', 'member', 'Kojadi', ' Ribet ',' Gini ', "]</v>
      </c>
      <c r="D1551" s="3">
        <v>2.0</v>
      </c>
    </row>
    <row r="1552" ht="15.75" customHeight="1">
      <c r="A1552" s="1">
        <v>1550.0</v>
      </c>
      <c r="B1552" s="3" t="s">
        <v>1553</v>
      </c>
      <c r="C1552" s="3" t="str">
        <f>IFERROR(__xludf.DUMMYFUNCTION("GOOGLETRANSLATE(B1552,""id"",""en"")"),"['min', 'pulse', 'reduced', 'missing', 'padah', 'sya', 'kouta', 'intrnet', 'bnyak', 'sya', 'jga', 'ngk', ' Access', 'Notif', 'Credit', 'ilang', 'Loss',' Sya ',' Klau ',' Bgini ',' Jjur ',' Disappointed ',' Taste ',' Kayak ',' stolen ' , 'Klau', 'Gini', 'K"&amp;"lau', 'ILM', 'NGK', 'Papa', 'Sya', 'Bgini', 'Please', 'repaired', 'Njing', '']")</f>
        <v>['min', 'pulse', 'reduced', 'missing', 'padah', 'sya', 'kouta', 'intrnet', 'bnyak', 'sya', 'jga', 'ngk', ' Access', 'Notif', 'Credit', 'ilang', 'Loss',' Sya ',' Klau ',' Bgini ',' Jjur ',' Disappointed ',' Taste ',' Kayak ',' stolen ' , 'Klau', 'Gini', 'Klau', 'ILM', 'NGK', 'Papa', 'Sya', 'Bgini', 'Please', 'repaired', 'Njing', '']</v>
      </c>
      <c r="D1552" s="3">
        <v>1.0</v>
      </c>
    </row>
    <row r="1553" ht="15.75" customHeight="1">
      <c r="A1553" s="1">
        <v>1551.0</v>
      </c>
      <c r="B1553" s="3" t="s">
        <v>1554</v>
      </c>
      <c r="C1553" s="3" t="str">
        <f>IFERROR(__xludf.DUMMYFUNCTION("GOOGLETRANSLATE(B1553,""id"",""en"")"),"['comment', 'bad', 'so "",' time ',' response ',' next to ',' Kelen ',' work ',' Telkomsel ',' network ',' Jakarta ',' Bogor ',' bad ',' writing ',' doang ',' taste ',' buseh ',' boongin ',' customer ',' profit ',' doang ',' bre ',' collect ',' sin ',' ja"&amp;"riyah ' , 'abai', 'message', 'ntar', 'yaumil', 'regret', 'karna', 'already', 'abai']")</f>
        <v>['comment', 'bad', 'so ",' time ',' response ',' next to ',' Kelen ',' work ',' Telkomsel ',' network ',' Jakarta ',' Bogor ',' bad ',' writing ',' doang ',' taste ',' buseh ',' boongin ',' customer ',' profit ',' doang ',' bre ',' collect ',' sin ',' jariyah ' , 'abai', 'message', 'ntar', 'yaumil', 'regret', 'karna', 'already', 'abai']</v>
      </c>
      <c r="D1553" s="3">
        <v>1.0</v>
      </c>
    </row>
    <row r="1554" ht="15.75" customHeight="1">
      <c r="A1554" s="1">
        <v>1552.0</v>
      </c>
      <c r="B1554" s="3" t="s">
        <v>1555</v>
      </c>
      <c r="C1554" s="3" t="str">
        <f>IFERROR(__xludf.DUMMYFUNCTION("GOOGLETRANSLATE(B1554,""id"",""en"")"),"['Please', 'repaired', 'mode', 'dark', 'background', 'colored', 'white', 'letter', 'white', 'looks', 'writing', ""]")</f>
        <v>['Please', 'repaired', 'mode', 'dark', 'background', 'colored', 'white', 'letter', 'white', 'looks', 'writing', "]</v>
      </c>
      <c r="D1554" s="3">
        <v>5.0</v>
      </c>
    </row>
    <row r="1555" ht="15.75" customHeight="1">
      <c r="A1555" s="1">
        <v>1553.0</v>
      </c>
      <c r="B1555" s="3" t="s">
        <v>1556</v>
      </c>
      <c r="C1555" s="3" t="str">
        <f>IFERROR(__xludf.DUMMYFUNCTION("GOOGLETRANSLATE(B1555,""id"",""en"")"),"['Please', 'network', 'fix', 'network', 'according to', 'price', 'regret', 'wear', 'card', 'Telkomsel', 'replace', 'Noh', ' Cards', 'Mass',' Network ',' Good ',' Network ',' Telkomsel ',' ']")</f>
        <v>['Please', 'network', 'fix', 'network', 'according to', 'price', 'regret', 'wear', 'card', 'Telkomsel', 'replace', 'Noh', ' Cards', 'Mass',' Network ',' Good ',' Network ',' Telkomsel ',' ']</v>
      </c>
      <c r="D1555" s="3">
        <v>1.0</v>
      </c>
    </row>
    <row r="1556" ht="15.75" customHeight="1">
      <c r="A1556" s="1">
        <v>1554.0</v>
      </c>
      <c r="B1556" s="3" t="s">
        <v>1557</v>
      </c>
      <c r="C1556" s="3" t="str">
        <f>IFERROR(__xludf.DUMMYFUNCTION("GOOGLETRANSLATE(B1556,""id"",""en"")"),"['change', 'commissioner', 'ugly', 'signal', 'Telkomsel', 'already', 'fees',' package ',' expensive ',' provider ',' slow ',' broken ',' Disconnect ',' signal ',' Telkomsel ',' rank ',' Directors', 'Faham', 'Network', 'Stay', 'City', 'Jogja', ""]")</f>
        <v>['change', 'commissioner', 'ugly', 'signal', 'Telkomsel', 'already', 'fees',' package ',' expensive ',' provider ',' slow ',' broken ',' Disconnect ',' signal ',' Telkomsel ',' rank ',' Directors', 'Faham', 'Network', 'Stay', 'City', 'Jogja', "]</v>
      </c>
      <c r="D1556" s="3">
        <v>1.0</v>
      </c>
    </row>
    <row r="1557" ht="15.75" customHeight="1">
      <c r="A1557" s="1">
        <v>1555.0</v>
      </c>
      <c r="B1557" s="3" t="s">
        <v>1558</v>
      </c>
      <c r="C1557" s="3" t="str">
        <f>IFERROR(__xludf.DUMMYFUNCTION("GOOGLETRANSLATE(B1557,""id"",""en"")"),"['Open', 'Application', 'Lalet', 'Skali', 'Live', 'Wamena', 'Strength', 'Network', 'KB', 'DTK', 'Difficult', 'Skali', ' Open ',' the application ',' buy ',' data ',' already ',' expensive ',' data ',' buy ',' kiosk ',' network ',' lalet ',' waste ', ""]")</f>
        <v>['Open', 'Application', 'Lalet', 'Skali', 'Live', 'Wamena', 'Strength', 'Network', 'KB', 'DTK', 'Difficult', 'Skali', ' Open ',' the application ',' buy ',' data ',' already ',' expensive ',' data ',' buy ',' kiosk ',' network ',' lalet ',' waste ', "]</v>
      </c>
      <c r="D1557" s="3">
        <v>3.0</v>
      </c>
    </row>
    <row r="1558" ht="15.75" customHeight="1">
      <c r="A1558" s="1">
        <v>1556.0</v>
      </c>
      <c r="B1558" s="3" t="s">
        <v>1559</v>
      </c>
      <c r="C1558" s="3" t="str">
        <f>IFERROR(__xludf.DUMMYFUNCTION("GOOGLETRANSLATE(B1558,""id"",""en"")"),"['Package', 'Internet', 'Multimedia', 'Multimedia', 'Sipake', 'Credit', 'Lost', 'I mean', 'Yaa', 'Package', 'Akit', 'Sampe', ' Date ',' Open ',' APK ',' Difficult ',' Very ',' Until ',' Minutes']")</f>
        <v>['Package', 'Internet', 'Multimedia', 'Multimedia', 'Sipake', 'Credit', 'Lost', 'I mean', 'Yaa', 'Package', 'Akit', 'Sampe', ' Date ',' Open ',' APK ',' Difficult ',' Very ',' Until ',' Minutes']</v>
      </c>
      <c r="D1558" s="3">
        <v>1.0</v>
      </c>
    </row>
    <row r="1559" ht="15.75" customHeight="1">
      <c r="A1559" s="1">
        <v>1557.0</v>
      </c>
      <c r="B1559" s="3" t="s">
        <v>1560</v>
      </c>
      <c r="C1559" s="3" t="str">
        <f>IFERROR(__xludf.DUMMYFUNCTION("GOOGLETRANSLATE(B1559,""id"",""en"")"),"['Already', 'Disappointed', 'Telkomsel', 'Package', 'Unlimited', 'GB', 'Abis',' Kouta ',' Main ',' Unlimited ',' right ',' Abis', ' Koutaa ',' main ',' unlimited ',' abis', 'limit', 'ya't', 'gini', 'mah', 'unlimited', 'limited', 'already', 'buy', 'expensi"&amp;"ve' , 'Disappointed', 'Mending', 'Switch', 'Ajalah', 'Card', 'Already', 'Telkomsel', 'Gini', 'Rich', 'Already', 'Raying', 'Come', ' ']")</f>
        <v>['Already', 'Disappointed', 'Telkomsel', 'Package', 'Unlimited', 'GB', 'Abis',' Kouta ',' Main ',' Unlimited ',' right ',' Abis', ' Koutaa ',' main ',' unlimited ',' abis', 'limit', 'ya't', 'gini', 'mah', 'unlimited', 'limited', 'already', 'buy', 'expensive' , 'Disappointed', 'Mending', 'Switch', 'Ajalah', 'Card', 'Already', 'Telkomsel', 'Gini', 'Rich', 'Already', 'Raying', 'Come', ' ']</v>
      </c>
      <c r="D1559" s="3">
        <v>1.0</v>
      </c>
    </row>
    <row r="1560" ht="15.75" customHeight="1">
      <c r="A1560" s="1">
        <v>1558.0</v>
      </c>
      <c r="B1560" s="3" t="s">
        <v>1561</v>
      </c>
      <c r="C1560" s="3" t="str">
        <f>IFERROR(__xludf.DUMMYFUNCTION("GOOGLETRANSLATE(B1560,""id"",""en"")"),"['Internet', 'expensive', 'signal', 'ngak', 'good', 'brand', 'tangerang', 'south', 'feel', 'get', 'kouta', 'move', ' Deh ']")</f>
        <v>['Internet', 'expensive', 'signal', 'ngak', 'good', 'brand', 'tangerang', 'south', 'feel', 'get', 'kouta', 'move', ' Deh ']</v>
      </c>
      <c r="D1560" s="3">
        <v>2.0</v>
      </c>
    </row>
    <row r="1561" ht="15.75" customHeight="1">
      <c r="A1561" s="1">
        <v>1559.0</v>
      </c>
      <c r="B1561" s="3" t="s">
        <v>1562</v>
      </c>
      <c r="C1561" s="3" t="str">
        <f>IFERROR(__xludf.DUMMYFUNCTION("GOOGLETRANSLATE(B1561,""id"",""en"")"),"['What', 'buy', 'quota', 'because "",' ugly ',' Badahal ',' quota ',' stay ',' a little ',' please ',' Telkomsel ',' The network is', 'repaired', '']")</f>
        <v>['What', 'buy', 'quota', 'because ",' ugly ',' Badahal ',' quota ',' stay ',' a little ',' please ',' Telkomsel ',' The network is', 'repaired', '']</v>
      </c>
      <c r="D1561" s="3">
        <v>1.0</v>
      </c>
    </row>
    <row r="1562" ht="15.75" customHeight="1">
      <c r="A1562" s="1">
        <v>1560.0</v>
      </c>
      <c r="B1562" s="3" t="s">
        <v>1563</v>
      </c>
      <c r="C1562" s="3" t="str">
        <f>IFERROR(__xludf.DUMMYFUNCTION("GOOGLETRANSLATE(B1562,""id"",""en"")"),"['application', 'Telkomsel', 'good', 'Linkaja', 'in it', 'separate', 'please', 'return', 'version', 'linkajan']")</f>
        <v>['application', 'Telkomsel', 'good', 'Linkaja', 'in it', 'separate', 'please', 'return', 'version', 'linkajan']</v>
      </c>
      <c r="D1562" s="3">
        <v>1.0</v>
      </c>
    </row>
    <row r="1563" ht="15.75" customHeight="1">
      <c r="A1563" s="1">
        <v>1561.0</v>
      </c>
      <c r="B1563" s="3" t="s">
        <v>1564</v>
      </c>
      <c r="C1563" s="3" t="str">
        <f>IFERROR(__xludf.DUMMYFUNCTION("GOOGLETRANSLATE(B1563,""id"",""en"")"),"['update', 'date', 'update', 'date', 'use', 'Telkomsel', 'reliable', 'network', 'error', 'beg', 'fix', 'wil', ' Lebak ',' Banten ',' JWB ',' Boot ',' Veronica ',' JWB ', ""]")</f>
        <v>['update', 'date', 'update', 'date', 'use', 'Telkomsel', 'reliable', 'network', 'error', 'beg', 'fix', 'wil', ' Lebak ',' Banten ',' JWB ',' Boot ',' Veronica ',' JWB ', "]</v>
      </c>
      <c r="D1563" s="3">
        <v>1.0</v>
      </c>
    </row>
    <row r="1564" ht="15.75" customHeight="1">
      <c r="A1564" s="1">
        <v>1562.0</v>
      </c>
      <c r="B1564" s="3" t="s">
        <v>1565</v>
      </c>
      <c r="C1564" s="3" t="str">
        <f>IFERROR(__xludf.DUMMYFUNCTION("GOOGLETRANSLATE(B1564,""id"",""en"")"),"['price', 'expensive', 'guarantees',' quality ',' network ',' Telkomsel ',' network ',' try ',' fix ',' upgrade ',' network ',' ugly ',' Costs', 'out', 'network', '']")</f>
        <v>['price', 'expensive', 'guarantees',' quality ',' network ',' Telkomsel ',' network ',' try ',' fix ',' upgrade ',' network ',' ugly ',' Costs', 'out', 'network', '']</v>
      </c>
      <c r="D1564" s="3">
        <v>1.0</v>
      </c>
    </row>
    <row r="1565" ht="15.75" customHeight="1">
      <c r="A1565" s="1">
        <v>1563.0</v>
      </c>
      <c r="B1565" s="3" t="s">
        <v>1566</v>
      </c>
      <c r="C1565" s="3" t="str">
        <f>IFERROR(__xludf.DUMMYFUNCTION("GOOGLETRANSLATE(B1565,""id"",""en"")"),"['Buy', 'Package', 'Call', 'Difficult', 'Credit', 'Buy', 'Package', 'Persulit', '']")</f>
        <v>['Buy', 'Package', 'Call', 'Difficult', 'Credit', 'Buy', 'Package', 'Persulit', '']</v>
      </c>
      <c r="D1565" s="3">
        <v>1.0</v>
      </c>
    </row>
    <row r="1566" ht="15.75" customHeight="1">
      <c r="A1566" s="1">
        <v>1564.0</v>
      </c>
      <c r="B1566" s="3" t="s">
        <v>1567</v>
      </c>
      <c r="C1566" s="3" t="str">
        <f>IFERROR(__xludf.DUMMYFUNCTION("GOOGLETRANSLATE(B1566,""id"",""en"")"),"['Deliberate', 'Kasi', 'Bintang', 'Read', 'Please', 'Sorry', 'Report', 'Buy', 'Package', 'Cheerful', 'Credit', 'Already', ' Reduced ',' TPI ',' Quota ',' Nggk ',' Enter ',' Terms', 'Telkomsel', 'Buy', 'Credit', 'Money', 'Leaves',' Already ',' Buy ' , 'Tim"&amp;"e', 'TTP', 'entered', 'TPI', 'pulses', 'reduced', 'Hadehhhhhhh', ""]")</f>
        <v>['Deliberate', 'Kasi', 'Bintang', 'Read', 'Please', 'Sorry', 'Report', 'Buy', 'Package', 'Cheerful', 'Credit', 'Already', ' Reduced ',' TPI ',' Quota ',' Nggk ',' Enter ',' Terms', 'Telkomsel', 'Buy', 'Credit', 'Money', 'Leaves',' Already ',' Buy ' , 'Time', 'TTP', 'entered', 'TPI', 'pulses', 'reduced', 'Hadehhhhhhh', "]</v>
      </c>
      <c r="D1566" s="3">
        <v>5.0</v>
      </c>
    </row>
    <row r="1567" ht="15.75" customHeight="1">
      <c r="A1567" s="1">
        <v>1565.0</v>
      </c>
      <c r="B1567" s="3" t="s">
        <v>1568</v>
      </c>
      <c r="C1567" s="3" t="str">
        <f>IFERROR(__xludf.DUMMYFUNCTION("GOOGLETRANSLATE(B1567,""id"",""en"")"),"['Telkomsel', 'bngsat', 'buy', 'package', 'expensive', 'network', 'kek', 'pulp', 'please', 'adjust', 'condition', ' Price ',' Package ',' Package ',' UDH ',' Jaringn ',' Pulp ',' Loss', 'Buy', 'Package', 'Expensive', 'Klau', 'Quality', 'Network' , 'pulp',"&amp;" 'network', 'missing', 'please', 'network', 'plobal', 'pay attention', 'just', 'city', 'city', '']")</f>
        <v>['Telkomsel', 'bngsat', 'buy', 'package', 'expensive', 'network', 'kek', 'pulp', 'please', 'adjust', 'condition', ' Price ',' Package ',' Package ',' UDH ',' Jaringn ',' Pulp ',' Loss', 'Buy', 'Package', 'Expensive', 'Klau', 'Quality', 'Network' , 'pulp', 'network', 'missing', 'please', 'network', 'plobal', 'pay attention', 'just', 'city', 'city', '']</v>
      </c>
      <c r="D1567" s="3">
        <v>1.0</v>
      </c>
    </row>
    <row r="1568" ht="15.75" customHeight="1">
      <c r="A1568" s="1">
        <v>1566.0</v>
      </c>
      <c r="B1568" s="3" t="s">
        <v>1569</v>
      </c>
      <c r="C1568" s="3" t="str">
        <f>IFERROR(__xludf.DUMMYFUNCTION("GOOGLETRANSLATE(B1568,""id"",""en"")"),"['Help', 'Like', 'Lots',' Bonus', 'Exchange', 'Points',' Credit ',' Quota ',' Urgent ',' Emergency ',' Requires', 'Customer', ' Faithful ',' Telkomsel ',' card ',' get ',' gift ',' direct ',' Telkomsel ',' get ',' reward ',' Telkomsel ',' believe ',' enth"&amp;"usiasm ',' comfortable ' , 'Telkomsel', '']")</f>
        <v>['Help', 'Like', 'Lots',' Bonus', 'Exchange', 'Points',' Credit ',' Quota ',' Urgent ',' Emergency ',' Requires', 'Customer', ' Faithful ',' Telkomsel ',' card ',' get ',' gift ',' direct ',' Telkomsel ',' get ',' reward ',' Telkomsel ',' believe ',' enthusiasm ',' comfortable ' , 'Telkomsel', '']</v>
      </c>
      <c r="D1568" s="3">
        <v>5.0</v>
      </c>
    </row>
    <row r="1569" ht="15.75" customHeight="1">
      <c r="A1569" s="1">
        <v>1567.0</v>
      </c>
      <c r="B1569" s="3" t="s">
        <v>1570</v>
      </c>
      <c r="C1569" s="3" t="str">
        <f>IFERROR(__xludf.DUMMYFUNCTION("GOOGLETRANSLATE(B1569,""id"",""en"")"),"['hard', 'open', 'apk', 'difficult', 'must', 'wait', 'minute', 'dasboard', 'appear', 'network', 'good', 'enter', ' minutes', 'Mutar', 'Load', 'reset', 'appears',' easy ',' fix ',' uninstall ',' sja ']")</f>
        <v>['hard', 'open', 'apk', 'difficult', 'must', 'wait', 'minute', 'dasboard', 'appear', 'network', 'good', 'enter', ' minutes', 'Mutar', 'Load', 'reset', 'appears',' easy ',' fix ',' uninstall ',' sja ']</v>
      </c>
      <c r="D1569" s="3">
        <v>1.0</v>
      </c>
    </row>
    <row r="1570" ht="15.75" customHeight="1">
      <c r="A1570" s="1">
        <v>1568.0</v>
      </c>
      <c r="B1570" s="3" t="s">
        <v>1571</v>
      </c>
      <c r="C1570" s="3" t="str">
        <f>IFERROR(__xludf.DUMMYFUNCTION("GOOGLETRANSLATE(B1570,""id"",""en"")"),"['Signal', 'Internet', 'Telkomsel', 'Bad', 'Segarang', 'See', 'Video', 'Streaming', 'Current', 'Jaya', 'Buffer', ""]")</f>
        <v>['Signal', 'Internet', 'Telkomsel', 'Bad', 'Segarang', 'See', 'Video', 'Streaming', 'Current', 'Jaya', 'Buffer', "]</v>
      </c>
      <c r="D1570" s="3">
        <v>4.0</v>
      </c>
    </row>
    <row r="1571" ht="15.75" customHeight="1">
      <c r="A1571" s="1">
        <v>1569.0</v>
      </c>
      <c r="B1571" s="3" t="s">
        <v>1572</v>
      </c>
      <c r="C1571" s="3" t="str">
        <f>IFERROR(__xludf.DUMMYFUNCTION("GOOGLETRANSLATE(B1571,""id"",""en"")"),"['Star', 'Network', 'stable', 'price', 'kouta', 'expensive', 'suits',' speed ',' internet ',' kouta ',' unlimited ',' restrictions', ' rich ',' yesterday ',' unlimited ',' free ',' limit ',' reasonable ',' network ',' stable ',' already ',' sreg ']")</f>
        <v>['Star', 'Network', 'stable', 'price', 'kouta', 'expensive', 'suits',' speed ',' internet ',' kouta ',' unlimited ',' restrictions', ' rich ',' yesterday ',' unlimited ',' free ',' limit ',' reasonable ',' network ',' stable ',' already ',' sreg ']</v>
      </c>
      <c r="D1571" s="3">
        <v>1.0</v>
      </c>
    </row>
    <row r="1572" ht="15.75" customHeight="1">
      <c r="A1572" s="1">
        <v>1570.0</v>
      </c>
      <c r="B1572" s="3" t="s">
        <v>1573</v>
      </c>
      <c r="C1572" s="3" t="str">
        <f>IFERROR(__xludf.DUMMYFUNCTION("GOOGLETRANSLATE(B1572,""id"",""en"")"),"['Love', 'Bintang', 'Buy', 'Package', 'Internet', 'Process', 'Kepepet', 'nolongin', 'right', 'Buru', ""]")</f>
        <v>['Love', 'Bintang', 'Buy', 'Package', 'Internet', 'Process', 'Kepepet', 'nolongin', 'right', 'Buru', "]</v>
      </c>
      <c r="D1572" s="3">
        <v>2.0</v>
      </c>
    </row>
    <row r="1573" ht="15.75" customHeight="1">
      <c r="A1573" s="1">
        <v>1571.0</v>
      </c>
      <c r="B1573" s="3" t="s">
        <v>1574</v>
      </c>
      <c r="C1573" s="3" t="str">
        <f>IFERROR(__xludf.DUMMYFUNCTION("GOOGLETRANSLATE(B1573,""id"",""en"")"),"['stable', 'really', 'apps',' walaopun ',' already ',' update ',' just ',' buy ',' package ',' data ',' crash ',' try ',' Smartphone ',' Different ',' Crash ',' Android ',' Home ',' Stop ',' Stop ',' Working ',' etc ',' ']")</f>
        <v>['stable', 'really', 'apps',' walaopun ',' already ',' update ',' just ',' buy ',' package ',' data ',' crash ',' try ',' Smartphone ',' Different ',' Crash ',' Android ',' Home ',' Stop ',' Stop ',' Working ',' etc ',' ']</v>
      </c>
      <c r="D1573" s="3">
        <v>1.0</v>
      </c>
    </row>
    <row r="1574" ht="15.75" customHeight="1">
      <c r="A1574" s="1">
        <v>1572.0</v>
      </c>
      <c r="B1574" s="3" t="s">
        <v>1575</v>
      </c>
      <c r="C1574" s="3" t="str">
        <f>IFERROR(__xludf.DUMMYFUNCTION("GOOGLETRANSLATE(B1574,""id"",""en"")"),"['Kirain', 'Doi', 'Doang', 'Disappointed', 'Telkomsel', 'Follow', 'Expensive', 'Quotes',' Dahlah ',' Disappointed ',' Feature ',' Tubi ',' Gini ',' mah ']")</f>
        <v>['Kirain', 'Doi', 'Doang', 'Disappointed', 'Telkomsel', 'Follow', 'Expensive', 'Quotes',' Dahlah ',' Disappointed ',' Feature ',' Tubi ',' Gini ',' mah ']</v>
      </c>
      <c r="D1574" s="3">
        <v>1.0</v>
      </c>
    </row>
    <row r="1575" ht="15.75" customHeight="1">
      <c r="A1575" s="1">
        <v>1573.0</v>
      </c>
      <c r="B1575" s="3" t="s">
        <v>1576</v>
      </c>
      <c r="C1575" s="3" t="str">
        <f>IFERROR(__xludf.DUMMYFUNCTION("GOOGLETRANSLATE(B1575,""id"",""en"")"),"['Contents',' Credit ',' Telkomsel ',' Via ',' Ovo ',' Enter ',' balance ',' Ovo ',' truncated ',' SUCCESS ',' trsonsaxic ',' pulses', ' accepted', '']")</f>
        <v>['Contents',' Credit ',' Telkomsel ',' Via ',' Ovo ',' Enter ',' balance ',' Ovo ',' truncated ',' SUCCESS ',' trsonsaxic ',' pulses', ' accepted', '']</v>
      </c>
      <c r="D1575" s="3">
        <v>1.0</v>
      </c>
    </row>
    <row r="1576" ht="15.75" customHeight="1">
      <c r="A1576" s="1">
        <v>1574.0</v>
      </c>
      <c r="B1576" s="3" t="s">
        <v>1577</v>
      </c>
      <c r="C1576" s="3" t="str">
        <f>IFERROR(__xludf.DUMMYFUNCTION("GOOGLETRANSLATE(B1576,""id"",""en"")"),"['Credit', 'Cut', 'Clarity', 'Check', 'Usage', 'get', 'Costs',' Data ',' Hee ',' Buy ',' Package ',' Combo ',' Wear ',' Costs', 'Data', 'Pakek', 'Credit', 'Thinking', 'Males',' Contents', 'Credit', 'Tekomsel', 'Contents',' Credit ',' Extend ' , 'active']")</f>
        <v>['Credit', 'Cut', 'Clarity', 'Check', 'Usage', 'get', 'Costs',' Data ',' Hee ',' Buy ',' Package ',' Combo ',' Wear ',' Costs', 'Data', 'Pakek', 'Credit', 'Thinking', 'Males',' Contents', 'Credit', 'Tekomsel', 'Contents',' Credit ',' Extend ' , 'active']</v>
      </c>
      <c r="D1576" s="3">
        <v>1.0</v>
      </c>
    </row>
    <row r="1577" ht="15.75" customHeight="1">
      <c r="A1577" s="1">
        <v>1575.0</v>
      </c>
      <c r="B1577" s="3" t="s">
        <v>1578</v>
      </c>
      <c r="C1577" s="3" t="str">
        <f>IFERROR(__xludf.DUMMYFUNCTION("GOOGLETRANSLATE(B1577,""id"",""en"")"),"['Telkomsel', 'embarrassed', 'open', 'application', 'difficult', 'forgiveness',' right ',' replace ',' network ',' fast ',' shy ',' apah ',' City ',' expensive ',' network ',' weak ',' comparison ',' correction ',' ']")</f>
        <v>['Telkomsel', 'embarrassed', 'open', 'application', 'difficult', 'forgiveness',' right ',' replace ',' network ',' fast ',' shy ',' apah ',' City ',' expensive ',' network ',' weak ',' comparison ',' correction ',' ']</v>
      </c>
      <c r="D1577" s="3">
        <v>1.0</v>
      </c>
    </row>
    <row r="1578" ht="15.75" customHeight="1">
      <c r="A1578" s="1">
        <v>1576.0</v>
      </c>
      <c r="B1578" s="3" t="s">
        <v>1579</v>
      </c>
      <c r="C1578" s="3" t="str">
        <f>IFERROR(__xludf.DUMMYFUNCTION("GOOGLETRANSLATE(B1578,""id"",""en"")"),"['application', 'good', 'like', 'get', 'info', 'promo', 'purchase', 'quota', 'useful', 'hope', 'the application', 'biss',' Anyway ',' top ',' top ',' top ',' deh ',' quota ',' open ',' application ',' pulss', 'main', 'cut', 'apikation', 'help' , 'Ribet', "&amp;"'choose', 'purchase', 'package', 'data', 'donlowad', 'activation', 'application', 'nyesel', 'deh', 'pokon']")</f>
        <v>['application', 'good', 'like', 'get', 'info', 'promo', 'purchase', 'quota', 'useful', 'hope', 'the application', 'biss',' Anyway ',' top ',' top ',' top ',' deh ',' quota ',' open ',' application ',' pulss', 'main', 'cut', 'apikation', 'help' , 'Ribet', 'choose', 'purchase', 'package', 'data', 'donlowad', 'activation', 'application', 'nyesel', 'deh', 'pokon']</v>
      </c>
      <c r="D1578" s="3">
        <v>5.0</v>
      </c>
    </row>
    <row r="1579" ht="15.75" customHeight="1">
      <c r="A1579" s="1">
        <v>1577.0</v>
      </c>
      <c r="B1579" s="3" t="s">
        <v>1580</v>
      </c>
      <c r="C1579" s="3" t="str">
        <f>IFERROR(__xludf.DUMMYFUNCTION("GOOGLETRANSLATE(B1579,""id"",""en"")"),"['Please', 'use', 'internet', 'pulse', 'yesterday', 'quota', 'run out', 'buy', 'credit', 'forget', 'package', 'pulses',' Direct ',' Out ',' ']")</f>
        <v>['Please', 'use', 'internet', 'pulse', 'yesterday', 'quota', 'run out', 'buy', 'credit', 'forget', 'package', 'pulses',' Direct ',' Out ',' ']</v>
      </c>
      <c r="D1579" s="3">
        <v>1.0</v>
      </c>
    </row>
    <row r="1580" ht="15.75" customHeight="1">
      <c r="A1580" s="1">
        <v>1578.0</v>
      </c>
      <c r="B1580" s="3" t="s">
        <v>1581</v>
      </c>
      <c r="C1580" s="3" t="str">
        <f>IFERROR(__xludf.DUMMYFUNCTION("GOOGLETRANSLATE(B1580,""id"",""en"")"),"['users',' Telkomsel ',' Mending ',' stop ',' users', 'Telkomsel', 'price', 'package', 'expensive', 'network', 'ugly', 'area', ' network ',' ugly ',' waste ',' river ',' card ',' Telkomsel ',' disgust ',' ']")</f>
        <v>['users',' Telkomsel ',' Mending ',' stop ',' users', 'Telkomsel', 'price', 'package', 'expensive', 'network', 'ugly', 'area', ' network ',' ugly ',' waste ',' river ',' card ',' Telkomsel ',' disgust ',' ']</v>
      </c>
      <c r="D1580" s="3">
        <v>1.0</v>
      </c>
    </row>
    <row r="1581" ht="15.75" customHeight="1">
      <c r="A1581" s="1">
        <v>1579.0</v>
      </c>
      <c r="B1581" s="3" t="s">
        <v>1582</v>
      </c>
      <c r="C1581" s="3" t="str">
        <f>IFERROR(__xludf.DUMMYFUNCTION("GOOGLETRANSLATE(B1581,""id"",""en"")"),"['likes',' application ',' Telkomsel ',' app ',' please ',' coin ',' exchange ',' package ',' data ',' internet ',' coin ',' useful ',' ']")</f>
        <v>['likes',' application ',' Telkomsel ',' app ',' please ',' coin ',' exchange ',' package ',' data ',' internet ',' coin ',' useful ',' ']</v>
      </c>
      <c r="D1581" s="3">
        <v>5.0</v>
      </c>
    </row>
    <row r="1582" ht="15.75" customHeight="1">
      <c r="A1582" s="1">
        <v>1580.0</v>
      </c>
      <c r="B1582" s="3" t="s">
        <v>1583</v>
      </c>
      <c r="C1582" s="3" t="str">
        <f>IFERROR(__xludf.DUMMYFUNCTION("GOOGLETRANSLATE(B1582,""id"",""en"")"),"['Yemen', 'Skali', 'Card', 'Telkomsel', 'Karna', 'Quality', 'Comparable', 'Price', 'Maen', 'Game', 'Jewan', 'Mulu', ' Setip ',' month ',' price ',' package ',' network ',' bad ', ""]")</f>
        <v>['Yemen', 'Skali', 'Card', 'Telkomsel', 'Karna', 'Quality', 'Comparable', 'Price', 'Maen', 'Game', 'Jewan', 'Mulu', ' Setip ',' month ',' price ',' package ',' network ',' bad ', "]</v>
      </c>
      <c r="D1582" s="3">
        <v>1.0</v>
      </c>
    </row>
    <row r="1583" ht="15.75" customHeight="1">
      <c r="A1583" s="1">
        <v>1581.0</v>
      </c>
      <c r="B1583" s="3" t="s">
        <v>1584</v>
      </c>
      <c r="C1583" s="3" t="str">
        <f>IFERROR(__xludf.DUMMYFUNCTION("GOOGLETRANSLATE(B1583,""id"",""en"")"),"['aseli', 'signal', 'slow', 'area', 'knpa', 'slow', 'smooth', 'week', 'ugly', 'signal', 'love', 'star', ' Stars', 'zero', 'love']")</f>
        <v>['aseli', 'signal', 'slow', 'area', 'knpa', 'slow', 'smooth', 'week', 'ugly', 'signal', 'love', 'star', ' Stars', 'zero', 'love']</v>
      </c>
      <c r="D1583" s="3">
        <v>1.0</v>
      </c>
    </row>
    <row r="1584" ht="15.75" customHeight="1">
      <c r="A1584" s="1">
        <v>1582.0</v>
      </c>
      <c r="B1584" s="3" t="s">
        <v>1585</v>
      </c>
      <c r="C1584" s="3" t="str">
        <f>IFERROR(__xludf.DUMMYFUNCTION("GOOGLETRANSLATE(B1584,""id"",""en"")"),"['', 'Uma', 'gave', 'Telkomsel', 'Sekrng', 'Kaga', 'Bener', 'Paketan', 'Doang', 'Mahalin', 'invites', 'Mending', 'Install' ',' application ',' card ']")</f>
        <v>['', 'Uma', 'gave', 'Telkomsel', 'Sekrng', 'Kaga', 'Bener', 'Paketan', 'Doang', 'Mahalin', 'invites', 'Mending', 'Install' ',' application ',' card ']</v>
      </c>
      <c r="D1584" s="3">
        <v>1.0</v>
      </c>
    </row>
    <row r="1585" ht="15.75" customHeight="1">
      <c r="A1585" s="1">
        <v>1583.0</v>
      </c>
      <c r="B1585" s="3" t="s">
        <v>1586</v>
      </c>
      <c r="C1585" s="3" t="str">
        <f>IFERROR(__xludf.DUMMYFUNCTION("GOOGLETRANSLATE(B1585,""id"",""en"")"),"['Slow', 'Severe', 'Sometimes',' Jga ',' ilang ',' Masi ',' Mending ',' Lost ',' Signal ',' Network ',' Etc. ',' Guganan ',' JGA ',' Stable ',' Severe ',' Severe ',' Severe ',' Raying ',' Temko ',' Cell ',' ']")</f>
        <v>['Slow', 'Severe', 'Sometimes',' Jga ',' ilang ',' Masi ',' Mending ',' Lost ',' Signal ',' Network ',' Etc. ',' Guganan ',' JGA ',' Stable ',' Severe ',' Severe ',' Severe ',' Raying ',' Temko ',' Cell ',' ']</v>
      </c>
      <c r="D1585" s="3">
        <v>1.0</v>
      </c>
    </row>
    <row r="1586" ht="15.75" customHeight="1">
      <c r="A1586" s="1">
        <v>1584.0</v>
      </c>
      <c r="B1586" s="3" t="s">
        <v>1587</v>
      </c>
      <c r="C1586" s="3" t="str">
        <f>IFERROR(__xludf.DUMMYFUNCTION("GOOGLETRANSLATE(B1586,""id"",""en"")"),"['already', 'buy', 'package', 'application', 'mytelkomel', 'entry', 'already', 'waiting', 'afternoon', 'until', 'malem', 'entered', ' Enter ',' Package ',' Actually ',' Telkomsel ',' ']")</f>
        <v>['already', 'buy', 'package', 'application', 'mytelkomel', 'entry', 'already', 'waiting', 'afternoon', 'until', 'malem', 'entered', ' Enter ',' Package ',' Actually ',' Telkomsel ',' ']</v>
      </c>
      <c r="D1586" s="3">
        <v>1.0</v>
      </c>
    </row>
    <row r="1587" ht="15.75" customHeight="1">
      <c r="A1587" s="1">
        <v>1585.0</v>
      </c>
      <c r="B1587" s="3" t="s">
        <v>1588</v>
      </c>
      <c r="C1587" s="3" t="str">
        <f>IFERROR(__xludf.DUMMYFUNCTION("GOOGLETRANSLATE(B1587,""id"",""en"")"),"['price', 'cheap', 'quality', 'decent', 'luxury', 'price', 'quality', 'bad', 'unlimited', 'limit', 'use', 'natural', ' Sunday ',' Gara ',' limit ',' usage ',' reasonable ',' expensive ',' bad ',' sorry ',' me ',' moved ',' operator ']")</f>
        <v>['price', 'cheap', 'quality', 'decent', 'luxury', 'price', 'quality', 'bad', 'unlimited', 'limit', 'use', 'natural', ' Sunday ',' Gara ',' limit ',' usage ',' reasonable ',' expensive ',' bad ',' sorry ',' me ',' moved ',' operator ']</v>
      </c>
      <c r="D1587" s="3">
        <v>1.0</v>
      </c>
    </row>
    <row r="1588" ht="15.75" customHeight="1">
      <c r="A1588" s="1">
        <v>1586.0</v>
      </c>
      <c r="B1588" s="3" t="s">
        <v>1589</v>
      </c>
      <c r="C1588" s="3" t="str">
        <f>IFERROR(__xludf.DUMMYFUNCTION("GOOGLETRANSLATE(B1588,""id"",""en"")"),"['Network', 'slow', 'Alu', 'buy', 'GB', 'price', 'watch', 'Live', 'String', 'YouTube', 'please', 'fix', ' Connection ',' ']")</f>
        <v>['Network', 'slow', 'Alu', 'buy', 'GB', 'price', 'watch', 'Live', 'String', 'YouTube', 'please', 'fix', ' Connection ',' ']</v>
      </c>
      <c r="D1588" s="3">
        <v>1.0</v>
      </c>
    </row>
    <row r="1589" ht="15.75" customHeight="1">
      <c r="A1589" s="1">
        <v>1587.0</v>
      </c>
      <c r="B1589" s="3" t="s">
        <v>1590</v>
      </c>
      <c r="C1589" s="3" t="str">
        <f>IFERROR(__xludf.DUMMYFUNCTION("GOOGLETRANSLATE(B1589,""id"",""en"")"),"['Bad', 'bad', 'service', 'community', 'quota', 'bln', 'rb', 'kayak', 'package', 'lemooot', 'moved', 'many years',' Trusted ',' MAKARK ',' INDONESIA ',' Disappointed ']")</f>
        <v>['Bad', 'bad', 'service', 'community', 'quota', 'bln', 'rb', 'kayak', 'package', 'lemooot', 'moved', 'many years',' Trusted ',' MAKARK ',' INDONESIA ',' Disappointed ']</v>
      </c>
      <c r="D1589" s="3">
        <v>5.0</v>
      </c>
    </row>
    <row r="1590" ht="15.75" customHeight="1">
      <c r="A1590" s="1">
        <v>1588.0</v>
      </c>
      <c r="B1590" s="3" t="s">
        <v>1591</v>
      </c>
      <c r="C1590" s="3" t="str">
        <f>IFERROR(__xludf.DUMMYFUNCTION("GOOGLETRANSLATE(B1590,""id"",""en"")"),"['Wonder', 'Telkomsel', 'The network', 'ugly', 'really', 'work', 'smooth', 'delayed', 'delay', 'Gara', 'network', 'slow' Please, 'Fix', 'Move', 'Service', 'Kayak', 'Gini', ""]")</f>
        <v>['Wonder', 'Telkomsel', 'The network', 'ugly', 'really', 'work', 'smooth', 'delayed', 'delay', 'Gara', 'network', 'slow' Please, 'Fix', 'Move', 'Service', 'Kayak', 'Gini', "]</v>
      </c>
      <c r="D1590" s="3">
        <v>1.0</v>
      </c>
    </row>
    <row r="1591" ht="15.75" customHeight="1">
      <c r="A1591" s="1">
        <v>1589.0</v>
      </c>
      <c r="B1591" s="3" t="s">
        <v>1592</v>
      </c>
      <c r="C1591" s="3" t="str">
        <f>IFERROR(__xludf.DUMMYFUNCTION("GOOGLETRANSLATE(B1591,""id"",""en"")"),"['operator', 'best', 'Indonesia', 'signal', 'slow', 'already', 'space', 'open', 'signal', 'mentok', 'price']")</f>
        <v>['operator', 'best', 'Indonesia', 'signal', 'slow', 'already', 'space', 'open', 'signal', 'mentok', 'price']</v>
      </c>
      <c r="D1591" s="3">
        <v>2.0</v>
      </c>
    </row>
    <row r="1592" ht="15.75" customHeight="1">
      <c r="A1592" s="1">
        <v>1590.0</v>
      </c>
      <c r="B1592" s="3" t="s">
        <v>1593</v>
      </c>
      <c r="C1592" s="3" t="str">
        <f>IFERROR(__xludf.DUMMYFUNCTION("GOOGLETRANSLATE(B1592,""id"",""en"")"),"['It's', 'bad', 'in the area', 'Tangerang', 'strong', 'Telkomsel', 'Murah', '']")</f>
        <v>['It's', 'bad', 'in the area', 'Tangerang', 'strong', 'Telkomsel', 'Murah', '']</v>
      </c>
      <c r="D1592" s="3">
        <v>2.0</v>
      </c>
    </row>
    <row r="1593" ht="15.75" customHeight="1">
      <c r="A1593" s="1">
        <v>1591.0</v>
      </c>
      <c r="B1593" s="3" t="s">
        <v>1594</v>
      </c>
      <c r="C1593" s="3" t="str">
        <f>IFERROR(__xludf.DUMMYFUNCTION("GOOGLETRANSLATE(B1593,""id"",""en"")"),"['love', 'products',' country ',' pampering ',' community ',' his country ',' turn ',' product ',' told ',' love ',' product ',' country ',' Products', 'satisfying', 'rather than', 'country', 'for example', 'complaining']")</f>
        <v>['love', 'products',' country ',' pampering ',' community ',' his country ',' turn ',' product ',' told ',' love ',' product ',' country ',' Products', 'satisfying', 'rather than', 'country', 'for example', 'complaining']</v>
      </c>
      <c r="D1593" s="3">
        <v>1.0</v>
      </c>
    </row>
    <row r="1594" ht="15.75" customHeight="1">
      <c r="A1594" s="1">
        <v>1592.0</v>
      </c>
      <c r="B1594" s="3" t="s">
        <v>1595</v>
      </c>
      <c r="C1594" s="3" t="str">
        <f>IFERROR(__xludf.DUMMYFUNCTION("GOOGLETRANSLATE(B1594,""id"",""en"")"),"['Card', 'Hello', 'The network', 'ugly', 'good', 'Season', 'Main', 'Game', 'Network', 'Error']")</f>
        <v>['Card', 'Hello', 'The network', 'ugly', 'good', 'Season', 'Main', 'Game', 'Network', 'Error']</v>
      </c>
      <c r="D1594" s="3">
        <v>3.0</v>
      </c>
    </row>
    <row r="1595" ht="15.75" customHeight="1">
      <c r="A1595" s="1">
        <v>1593.0</v>
      </c>
      <c r="B1595" s="3" t="s">
        <v>1596</v>
      </c>
      <c r="C1595" s="3" t="str">
        <f>IFERROR(__xludf.DUMMYFUNCTION("GOOGLETRANSLATE(B1595,""id"",""en"")"),"['Signal', 'Internet', 'Telkomsel', 'Region', 'Medan', 'Current', 'Internet', 'Slow', 'Telephones',' Disconnect ',' Signal ',' Lost ',' Lost ',' signal ',' internet ',' Severe ',' May ',' June ',' ']")</f>
        <v>['Signal', 'Internet', 'Telkomsel', 'Region', 'Medan', 'Current', 'Internet', 'Slow', 'Telephones',' Disconnect ',' Signal ',' Lost ',' Lost ',' signal ',' internet ',' Severe ',' May ',' June ',' ']</v>
      </c>
      <c r="D1595" s="3">
        <v>1.0</v>
      </c>
    </row>
    <row r="1596" ht="15.75" customHeight="1">
      <c r="A1596" s="1">
        <v>1594.0</v>
      </c>
      <c r="B1596" s="3" t="s">
        <v>1597</v>
      </c>
      <c r="C1596" s="3" t="str">
        <f>IFERROR(__xludf.DUMMYFUNCTION("GOOGLETRANSLATE(B1596,""id"",""en"")"),"['Telkomsel', 'Telkomsel', 'MGGU', 'Ngadat', 'slow', 'network', 'JDI', 'ugly', 'performance', 'knp', 'skrg', 'reliable', ' DLU ',' remote ',' signal ',' proud ',' in ',' why ',' ']")</f>
        <v>['Telkomsel', 'Telkomsel', 'MGGU', 'Ngadat', 'slow', 'network', 'JDI', 'ugly', 'performance', 'knp', 'skrg', 'reliable', ' DLU ',' remote ',' signal ',' proud ',' in ',' why ',' ']</v>
      </c>
      <c r="D1596" s="3">
        <v>1.0</v>
      </c>
    </row>
    <row r="1597" ht="15.75" customHeight="1">
      <c r="A1597" s="1">
        <v>1595.0</v>
      </c>
      <c r="B1597" s="3" t="s">
        <v>1598</v>
      </c>
      <c r="C1597" s="3" t="str">
        <f>IFERROR(__xludf.DUMMYFUNCTION("GOOGLETRANSLATE(B1597,""id"",""en"")"),"['Telkomsel', 'strange', 'live', 'quota', 'sumps',' pulses', 'sucked', 'run out', 'run out', 'right', 'right', ' Quota ',' Package ',' Internet ',' Sumpot ',' Many ',' Times', 'Extit it', 'Season', 'Need', 'Credit', 'Potions',' Phone ',' SMS ' , 'Please',"&amp;" 'Features', 'Lock', 'Credit', 'Please', 'Kasih', 'Please', ""]")</f>
        <v>['Telkomsel', 'strange', 'live', 'quota', 'sumps',' pulses', 'sucked', 'run out', 'run out', 'right', 'right', ' Quota ',' Package ',' Internet ',' Sumpot ',' Many ',' Times', 'Extit it', 'Season', 'Need', 'Credit', 'Potions',' Phone ',' SMS ' , 'Please', 'Features', 'Lock', 'Credit', 'Please', 'Kasih', 'Please', "]</v>
      </c>
      <c r="D1597" s="3">
        <v>1.0</v>
      </c>
    </row>
    <row r="1598" ht="15.75" customHeight="1">
      <c r="A1598" s="1">
        <v>1596.0</v>
      </c>
      <c r="B1598" s="3" t="s">
        <v>1599</v>
      </c>
      <c r="C1598" s="3" t="str">
        <f>IFERROR(__xludf.DUMMYFUNCTION("GOOGLETRANSLATE(B1598,""id"",""en"")"),"['serious',' disappointed ',' buy ',' credit ',' follow ',' package ',' no ',' pulse ',' transaction ',' fail ',' pulses', 'missing', ' No ',' Confirmation ',' Telkomsel ',' Really ',' Disappointed ',' ']")</f>
        <v>['serious',' disappointed ',' buy ',' credit ',' follow ',' package ',' no ',' pulse ',' transaction ',' fail ',' pulses', 'missing', ' No ',' Confirmation ',' Telkomsel ',' Really ',' Disappointed ',' ']</v>
      </c>
      <c r="D1598" s="3">
        <v>1.0</v>
      </c>
    </row>
    <row r="1599" ht="15.75" customHeight="1">
      <c r="A1599" s="1">
        <v>1597.0</v>
      </c>
      <c r="B1599" s="3" t="s">
        <v>1600</v>
      </c>
      <c r="C1599" s="3" t="str">
        <f>IFERROR(__xludf.DUMMYFUNCTION("GOOGLETRANSLATE(B1599,""id"",""en"")"),"['Disappointed', 'Telkomsel', 'right', 'Pay', 'Credit', 'then' awaited ',' process ',' finished ',' finished ',' already ',' awaited ',' MENISIS ',' Credit ',' already ',' Abis', 'Sia', 'Sia', 'Please', 'responded', 'repaired']")</f>
        <v>['Disappointed', 'Telkomsel', 'right', 'Pay', 'Credit', 'then' awaited ',' process ',' finished ',' finished ',' already ',' awaited ',' MENISIS ',' Credit ',' already ',' Abis', 'Sia', 'Sia', 'Please', 'responded', 'repaired']</v>
      </c>
      <c r="D1599" s="3">
        <v>1.0</v>
      </c>
    </row>
    <row r="1600" ht="15.75" customHeight="1">
      <c r="A1600" s="1">
        <v>1598.0</v>
      </c>
      <c r="B1600" s="3" t="s">
        <v>1601</v>
      </c>
      <c r="C1600" s="3" t="str">
        <f>IFERROR(__xludf.DUMMYFUNCTION("GOOGLETRANSLATE(B1600,""id"",""en"")"),"['Package', 'buy', 'rb', 'msh', 'pengapa', 'slow', 'forgiveness',' deh ',' try ',' buy ',' card ',' operator ',' Cheap ',' smooth ',' jet ',' slow ', ""]")</f>
        <v>['Package', 'buy', 'rb', 'msh', 'pengapa', 'slow', 'forgiveness',' deh ',' try ',' buy ',' card ',' operator ',' Cheap ',' smooth ',' jet ',' slow ', "]</v>
      </c>
      <c r="D1600" s="3">
        <v>1.0</v>
      </c>
    </row>
    <row r="1601" ht="15.75" customHeight="1">
      <c r="A1601" s="1">
        <v>1599.0</v>
      </c>
      <c r="B1601" s="3" t="s">
        <v>1602</v>
      </c>
      <c r="C1601" s="3" t="str">
        <f>IFERROR(__xludf.DUMMYFUNCTION("GOOGLETRANSLATE(B1601,""id"",""en"")"),"['Price', 'Package', 'Different', 'Different', 'Card', 'Telkomsel', 'That's',' friend ',' Card ',' Telkomsel ',' Package ',' Cheap ',' ']")</f>
        <v>['Price', 'Package', 'Different', 'Different', 'Card', 'Telkomsel', 'That's',' friend ',' Card ',' Telkomsel ',' Package ',' Cheap ',' ']</v>
      </c>
      <c r="D1601" s="3">
        <v>3.0</v>
      </c>
    </row>
    <row r="1602" ht="15.75" customHeight="1">
      <c r="A1602" s="1">
        <v>1600.0</v>
      </c>
      <c r="B1602" s="3" t="s">
        <v>1603</v>
      </c>
      <c r="C1602" s="3" t="str">
        <f>IFERROR(__xludf.DUMMYFUNCTION("GOOGLETRANSLATE(B1602,""id"",""en"")"),"['right', 'run out', 'think', 'deh', 'buy', 'package', 'GB', 'willing', 'ngeluarin', 'money', 'buy', 'result', ' Really ',' disappointed ',' slow ',' ketolong ',' friend ',' tri ',' smooth ']")</f>
        <v>['right', 'run out', 'think', 'deh', 'buy', 'package', 'GB', 'willing', 'ngeluarin', 'money', 'buy', 'result', ' Really ',' disappointed ',' slow ',' ketolong ',' friend ',' tri ',' smooth ']</v>
      </c>
      <c r="D1602" s="3">
        <v>1.0</v>
      </c>
    </row>
    <row r="1603" ht="15.75" customHeight="1">
      <c r="A1603" s="1">
        <v>1601.0</v>
      </c>
      <c r="B1603" s="3" t="s">
        <v>1604</v>
      </c>
      <c r="C1603" s="3" t="str">
        <f>IFERROR(__xludf.DUMMYFUNCTION("GOOGLETRANSLATE(B1603,""id"",""en"")"),"['Indihom', 'attack', 'complex', 'signal', 'cellular', 'weakened', 'missing', 'Telkomsel', 'operator', 'hanging out', 'smooth', 'Jaya', ' Yutub ',' MAH ',' Amambarr ',' position ',' on the page ',' signal ',' slow ',' signal ',' wifi ',' indihom ',' block"&amp;"ing ',' signal ',' cellular ' , 'People', 'Install', 'Indihom', 'Strategy', 'Dancuuuuk', ""]")</f>
        <v>['Indihom', 'attack', 'complex', 'signal', 'cellular', 'weakened', 'missing', 'Telkomsel', 'operator', 'hanging out', 'smooth', 'Jaya', ' Yutub ',' MAH ',' Amambarr ',' position ',' on the page ',' signal ',' slow ',' signal ',' wifi ',' indihom ',' blocking ',' signal ',' cellular ' , 'People', 'Install', 'Indihom', 'Strategy', 'Dancuuuuk', "]</v>
      </c>
      <c r="D1603" s="3">
        <v>1.0</v>
      </c>
    </row>
    <row r="1604" ht="15.75" customHeight="1">
      <c r="A1604" s="1">
        <v>1602.0</v>
      </c>
      <c r="B1604" s="3" t="s">
        <v>1605</v>
      </c>
      <c r="C1604" s="3" t="str">
        <f>IFERROR(__xludf.DUMMYFUNCTION("GOOGLETRANSLATE(B1604,""id"",""en"")"),"['', 'Main', 'Game', 'Online', 'Open', 'YouTube', 'Open', 'App', 'Telkomsel', 'Video', 'Call', 'Stream', 'Online ',' Gara ',' Network ',' Stable ',' Please ',' Help ',' Address', 'Village', 'Kuala', 'Bangka', 'Kuual', 'Hilir', 'Kab', 'Labuhan', 'Batu', 'N"&amp;"orth', 'Prov', 'Sumatran', 'North', 'Code', 'Post', 'tired', 'Ngeluh', 'tired', 'blasphemy ',' Litu ',' please ',' low ',' heart ',' customer ',' please ',' fulfill ',' right ',' customer ',' accept ',' love ', ""]")</f>
        <v>['', 'Main', 'Game', 'Online', 'Open', 'YouTube', 'Open', 'App', 'Telkomsel', 'Video', 'Call', 'Stream', 'Online ',' Gara ',' Network ',' Stable ',' Please ',' Help ',' Address', 'Village', 'Kuala', 'Bangka', 'Kuual', 'Hilir', 'Kab', 'Labuhan', 'Batu', 'North', 'Prov', 'Sumatran', 'North', 'Code', 'Post', 'tired', 'Ngeluh', 'tired', 'blasphemy ',' Litu ',' please ',' low ',' heart ',' customer ',' please ',' fulfill ',' right ',' customer ',' accept ',' love ', "]</v>
      </c>
      <c r="D1604" s="3">
        <v>1.0</v>
      </c>
    </row>
    <row r="1605" ht="15.75" customHeight="1">
      <c r="A1605" s="1">
        <v>1603.0</v>
      </c>
      <c r="B1605" s="3" t="s">
        <v>1606</v>
      </c>
      <c r="C1605" s="3" t="str">
        <f>IFERROR(__xludf.DUMMYFUNCTION("GOOGLETRANSLATE(B1605,""id"",""en"")"),"['Napa', 'network', 'Telkomsel', 'buy', 'good', 'slow', 'no', 'karuan', 'network', 'replace', 'card', 'no', ' Faithful ',' Telkomsel ',' Network ',' No ',' Support ',' Please ',' Min ',' Fix ']")</f>
        <v>['Napa', 'network', 'Telkomsel', 'buy', 'good', 'slow', 'no', 'karuan', 'network', 'replace', 'card', 'no', ' Faithful ',' Telkomsel ',' Network ',' No ',' Support ',' Please ',' Min ',' Fix ']</v>
      </c>
      <c r="D1605" s="3">
        <v>1.0</v>
      </c>
    </row>
    <row r="1606" ht="15.75" customHeight="1">
      <c r="A1606" s="1">
        <v>1604.0</v>
      </c>
      <c r="B1606" s="3" t="s">
        <v>1607</v>
      </c>
      <c r="C1606" s="3" t="str">
        <f>IFERROR(__xludf.DUMMYFUNCTION("GOOGLETRANSLATE(B1606,""id"",""en"")"),"['Severe', 'Severe', 'Severe', 'Severe', 'The Network', 'LemoOOOOOH', 'Buy', 'Package', 'Expensive', 'Network', 'Loading', 'Forgiveness',' card ',' cheap ',' Telkomsel ',' loss', 'debt', 'answer', '']")</f>
        <v>['Severe', 'Severe', 'Severe', 'Severe', 'The Network', 'LemoOOOOOH', 'Buy', 'Package', 'Expensive', 'Network', 'Loading', 'Forgiveness',' card ',' cheap ',' Telkomsel ',' loss', 'debt', 'answer', '']</v>
      </c>
      <c r="D1606" s="3">
        <v>1.0</v>
      </c>
    </row>
    <row r="1607" ht="15.75" customHeight="1">
      <c r="A1607" s="1">
        <v>1605.0</v>
      </c>
      <c r="B1607" s="3" t="s">
        <v>1608</v>
      </c>
      <c r="C1607" s="3" t="str">
        <f>IFERROR(__xludf.DUMMYFUNCTION("GOOGLETRANSLATE(B1607,""id"",""en"")"),"['buy', 'package', 'GB', 'active', 'pulse', 'sumps', 'run out', 'internet', 'umpteenth', 'time', 'badkkkkkkk']")</f>
        <v>['buy', 'package', 'GB', 'active', 'pulse', 'sumps', 'run out', 'internet', 'umpteenth', 'time', 'badkkkkkkk']</v>
      </c>
      <c r="D1607" s="3">
        <v>1.0</v>
      </c>
    </row>
    <row r="1608" ht="15.75" customHeight="1">
      <c r="A1608" s="1">
        <v>1606.0</v>
      </c>
      <c r="B1608" s="3" t="s">
        <v>1609</v>
      </c>
      <c r="C1608" s="3" t="str">
        <f>IFERROR(__xludf.DUMMYFUNCTION("GOOGLETRANSLATE(B1608,""id"",""en"")"),"['Congratulations',' Night ',' Sis', 'About', 'Package', 'Unlimited', 'Thinking', 'YouTube', 'Buying', 'Package', 'Stay', 'Unlimited', ' YouTube ',' access', 'YouTube', 'quota', '']")</f>
        <v>['Congratulations',' Night ',' Sis', 'About', 'Package', 'Unlimited', 'Thinking', 'YouTube', 'Buying', 'Package', 'Stay', 'Unlimited', ' YouTube ',' access', 'YouTube', 'quota', '']</v>
      </c>
      <c r="D1608" s="3">
        <v>2.0</v>
      </c>
    </row>
    <row r="1609" ht="15.75" customHeight="1">
      <c r="A1609" s="1">
        <v>1607.0</v>
      </c>
      <c r="B1609" s="3" t="s">
        <v>1610</v>
      </c>
      <c r="C1609" s="3" t="str">
        <f>IFERROR(__xludf.DUMMYFUNCTION("GOOGLETRANSLATE(B1609,""id"",""en"")"),"['ugly', 'bngt', 'buy', 'package', 'promo', 'personal', 'that's',' what's', 'promo', 'already', 'that's',' pulses', ' Sumpot ',' leftover ',' quota ',' turn ',' buy ',' package ',' pulse ',' huuuuf ',' vain ',' buy ',' pulse ',' maketin ']")</f>
        <v>['ugly', 'bngt', 'buy', 'package', 'promo', 'personal', 'that's',' what's', 'promo', 'already', 'that's',' pulses', ' Sumpot ',' leftover ',' quota ',' turn ',' buy ',' package ',' pulse ',' huuuuf ',' vain ',' buy ',' pulse ',' maketin ']</v>
      </c>
      <c r="D1609" s="3">
        <v>1.0</v>
      </c>
    </row>
    <row r="1610" ht="15.75" customHeight="1">
      <c r="A1610" s="1">
        <v>1608.0</v>
      </c>
      <c r="B1610" s="3" t="s">
        <v>1611</v>
      </c>
      <c r="C1610" s="3" t="str">
        <f>IFERROR(__xludf.DUMMYFUNCTION("GOOGLETRANSLATE(B1610,""id"",""en"")"),"['Join', 'Telkomsel', 'according to', 'Experience', 'Feel', 'Card', 'Telkomsel', 'Network', 'Where', 'Easy', 'Telkomsel', ""]")</f>
        <v>['Join', 'Telkomsel', 'according to', 'Experience', 'Feel', 'Card', 'Telkomsel', 'Network', 'Where', 'Easy', 'Telkomsel', "]</v>
      </c>
      <c r="D1610" s="3">
        <v>5.0</v>
      </c>
    </row>
    <row r="1611" ht="15.75" customHeight="1">
      <c r="A1611" s="1">
        <v>1609.0</v>
      </c>
      <c r="B1611" s="3" t="s">
        <v>1612</v>
      </c>
      <c r="C1611" s="3" t="str">
        <f>IFERROR(__xludf.DUMMYFUNCTION("GOOGLETRANSLATE(B1611,""id"",""en"")"),"['Emg', 'Telkom', 'Wind', 'Ujan', 'Credit', 'ilang', 'Maling', 'Telkomsel', 'Telkomsel', 'Maling', 'Make', 'Telkomsel', ' Heart ',' Bro ',' Try ',' Credit ',' Silver ',' Save ',' No ',' Operator ',' Maling ',' Coy ',' Coy ', ""]")</f>
        <v>['Emg', 'Telkom', 'Wind', 'Ujan', 'Credit', 'ilang', 'Maling', 'Telkomsel', 'Telkomsel', 'Maling', 'Make', 'Telkomsel', ' Heart ',' Bro ',' Try ',' Credit ',' Silver ',' Save ',' No ',' Operator ',' Maling ',' Coy ',' Coy ', "]</v>
      </c>
      <c r="D1611" s="3">
        <v>1.0</v>
      </c>
    </row>
    <row r="1612" ht="15.75" customHeight="1">
      <c r="A1612" s="1">
        <v>1610.0</v>
      </c>
      <c r="B1612" s="3" t="s">
        <v>1613</v>
      </c>
      <c r="C1612" s="3" t="str">
        <f>IFERROR(__xludf.DUMMYFUNCTION("GOOGLETRANSLATE(B1612,""id"",""en"")"),"['quota', 'expensive', 'TPI', 'network', 'bad', 'unfortunate', 'user', 'loyal', 'telkomsel', 'dri', 'sad', 'really' oath ',' Please ',' Price ',' Jngan ',' Expensive ',' ']")</f>
        <v>['quota', 'expensive', 'TPI', 'network', 'bad', 'unfortunate', 'user', 'loyal', 'telkomsel', 'dri', 'sad', 'really' oath ',' Please ',' Price ',' Jngan ',' Expensive ',' ']</v>
      </c>
      <c r="D1612" s="3">
        <v>1.0</v>
      </c>
    </row>
    <row r="1613" ht="15.75" customHeight="1">
      <c r="A1613" s="1">
        <v>1611.0</v>
      </c>
      <c r="B1613" s="3" t="s">
        <v>1614</v>
      </c>
      <c r="C1613" s="3" t="str">
        <f>IFERROR(__xludf.DUMMYFUNCTION("GOOGLETRANSLATE(B1613,""id"",""en"")"),"['Hi', 'Mimin', 'Telkomsel', 'Heart', 'here', 'Network', 'Bad', 'here', 'Good', 'Come', 'Fix', 'Network', ' Users', 'Telkomsel', 'Disappointed', 'Move', 'Haluan', 'hopefully', 'heard', 'complaints',' Kisah ']")</f>
        <v>['Hi', 'Mimin', 'Telkomsel', 'Heart', 'here', 'Network', 'Bad', 'here', 'Good', 'Come', 'Fix', 'Network', ' Users', 'Telkomsel', 'Disappointed', 'Move', 'Haluan', 'hopefully', 'heard', 'complaints',' Kisah ']</v>
      </c>
      <c r="D1613" s="3">
        <v>2.0</v>
      </c>
    </row>
    <row r="1614" ht="15.75" customHeight="1">
      <c r="A1614" s="1">
        <v>1612.0</v>
      </c>
      <c r="B1614" s="3" t="s">
        <v>1615</v>
      </c>
      <c r="C1614" s="3" t="str">
        <f>IFERROR(__xludf.DUMMYFUNCTION("GOOGLETRANSLATE(B1614,""id"",""en"")"),"['like', 'apk', 'because', 'ahir', 'difficult', 'transaction', 'process',' ehh ',' already ',' waiting ',' transaction ',' managed ',' Pls', 'Ringgal', 'Package', 'Success',' Transaction ',' Gara ',' Change ',' Provider ',' Lan ',' Work ',' Propesional ']")</f>
        <v>['like', 'apk', 'because', 'ahir', 'difficult', 'transaction', 'process',' ehh ',' already ',' waiting ',' transaction ',' managed ',' Pls', 'Ringgal', 'Package', 'Success',' Transaction ',' Gara ',' Change ',' Provider ',' Lan ',' Work ',' Propesional ']</v>
      </c>
      <c r="D1614" s="3">
        <v>1.0</v>
      </c>
    </row>
    <row r="1615" ht="15.75" customHeight="1">
      <c r="A1615" s="1">
        <v>1613.0</v>
      </c>
      <c r="B1615" s="3" t="s">
        <v>1616</v>
      </c>
      <c r="C1615" s="3" t="str">
        <f>IFERROR(__xludf.DUMMYFUNCTION("GOOGLETRANSLATE(B1615,""id"",""en"")"),"['DMN', 'Mna', 'People', 'Improved', 'Service', 'Network', 'GDK', 'Network', 'Thinking', 'People', 'Weak', 'Jng', ' fooled', '']")</f>
        <v>['DMN', 'Mna', 'People', 'Improved', 'Service', 'Network', 'GDK', 'Network', 'Thinking', 'People', 'Weak', 'Jng', ' fooled', '']</v>
      </c>
      <c r="D1615" s="3">
        <v>1.0</v>
      </c>
    </row>
    <row r="1616" ht="15.75" customHeight="1">
      <c r="A1616" s="1">
        <v>1614.0</v>
      </c>
      <c r="B1616" s="3" t="s">
        <v>1617</v>
      </c>
      <c r="C1616" s="3" t="str">
        <f>IFERROR(__xludf.DUMMYFUNCTION("GOOGLETRANSLATE(B1616,""id"",""en"")"),"['MyTelkomsel', 'version', 'as good', 'version', 'application', 'sudden', 'stop', 'uninstall', 'install', 'reset', 'application', 'sudden', ' Stopped ',' Telkomsel ',' Disruption ',' Signal ',' Internet ',' Lost ',' Network ',' Phone ',' Stable ',' ']")</f>
        <v>['MyTelkomsel', 'version', 'as good', 'version', 'application', 'sudden', 'stop', 'uninstall', 'install', 'reset', 'application', 'sudden', ' Stopped ',' Telkomsel ',' Disruption ',' Signal ',' Internet ',' Lost ',' Network ',' Phone ',' Stable ',' ']</v>
      </c>
      <c r="D1616" s="3">
        <v>1.0</v>
      </c>
    </row>
    <row r="1617" ht="15.75" customHeight="1">
      <c r="A1617" s="1">
        <v>1615.0</v>
      </c>
      <c r="B1617" s="3" t="s">
        <v>1618</v>
      </c>
      <c r="C1617" s="3" t="str">
        <f>IFERROR(__xludf.DUMMYFUNCTION("GOOGLETRANSLATE(B1617,""id"",""en"")"),"['Telkomsel', 'annoying', 'imagine', 'sms',' enter ',' loan ',' gift ',' what ',' useful ',' data ',' sell ',' Telkomsel ',' SMS ',' enter ',' garbage ',' ngak ',' useful ',' ']")</f>
        <v>['Telkomsel', 'annoying', 'imagine', 'sms',' enter ',' loan ',' gift ',' what ',' useful ',' data ',' sell ',' Telkomsel ',' SMS ',' enter ',' garbage ',' ngak ',' useful ',' ']</v>
      </c>
      <c r="D1617" s="3">
        <v>1.0</v>
      </c>
    </row>
    <row r="1618" ht="15.75" customHeight="1">
      <c r="A1618" s="1">
        <v>1616.0</v>
      </c>
      <c r="B1618" s="3" t="s">
        <v>1619</v>
      </c>
      <c r="C1618" s="3" t="str">
        <f>IFERROR(__xludf.DUMMYFUNCTION("GOOGLETRANSLATE(B1618,""id"",""en"")"),"['Hi', 'restore', 'credit', 'emergency', 'thousand', 'contents',' pulse ',' thousand ',' truncated ',' automatic ',' return ',' package ',' emergency ',' automatic ',' code ',' tried it ',' repeated ',' reset ',' billed ',' fill ',' pulse ',' many "", 'ti"&amp;"mes', 'please']")</f>
        <v>['Hi', 'restore', 'credit', 'emergency', 'thousand', 'contents',' pulse ',' thousand ',' truncated ',' automatic ',' return ',' package ',' emergency ',' automatic ',' code ',' tried it ',' repeated ',' reset ',' billed ',' fill ',' pulse ',' many ", 'times', 'please']</v>
      </c>
      <c r="D1618" s="3">
        <v>3.0</v>
      </c>
    </row>
    <row r="1619" ht="15.75" customHeight="1">
      <c r="A1619" s="1">
        <v>1617.0</v>
      </c>
      <c r="B1619" s="3" t="s">
        <v>1620</v>
      </c>
      <c r="C1619" s="3" t="str">
        <f>IFERROR(__xludf.DUMMYFUNCTION("GOOGLETRANSLATE(B1619,""id"",""en"")"),"['Come', 'Threat', 'sympathy', 'Sinyal', 'Severe', 'oath', 'slow down', 'work', 'people', 'expensive', 'doang', 'quality', ' Threat ',' oath ',' signal ',' ugly ',' fix ',' expensive ',' doang ']")</f>
        <v>['Come', 'Threat', 'sympathy', 'Sinyal', 'Severe', 'oath', 'slow down', 'work', 'people', 'expensive', 'doang', 'quality', ' Threat ',' oath ',' signal ',' ugly ',' fix ',' expensive ',' doang ']</v>
      </c>
      <c r="D1619" s="3">
        <v>1.0</v>
      </c>
    </row>
    <row r="1620" ht="15.75" customHeight="1">
      <c r="A1620" s="1">
        <v>1618.0</v>
      </c>
      <c r="B1620" s="3" t="s">
        <v>1621</v>
      </c>
      <c r="C1620" s="3" t="str">
        <f>IFERROR(__xludf.DUMMYFUNCTION("GOOGLETRANSLATE(B1620,""id"",""en"")"),"['Sis',' Signal ',' Bad ',' Region ',' Majalengka ',' Telkomsel ',' Famous', 'Sousal', 'Strong', 'skrg', 'boro', 'boro', ' strong ',' chatingan ',' sometimes', 'gabisa']")</f>
        <v>['Sis',' Signal ',' Bad ',' Region ',' Majalengka ',' Telkomsel ',' Famous', 'Sousal', 'Strong', 'skrg', 'boro', 'boro', ' strong ',' chatingan ',' sometimes', 'gabisa']</v>
      </c>
      <c r="D1620" s="3">
        <v>1.0</v>
      </c>
    </row>
    <row r="1621" ht="15.75" customHeight="1">
      <c r="A1621" s="1">
        <v>1619.0</v>
      </c>
      <c r="B1621" s="3" t="s">
        <v>1622</v>
      </c>
      <c r="C1621" s="3" t="str">
        <f>IFERROR(__xludf.DUMMYFUNCTION("GOOGLETRANSLATE(B1621,""id"",""en"")"),"['Package', 'Out', 'Unlimited', 'YouTube', 'Fast', 'App', 'Good', 'Main', 'Game', 'Network', 'Already', 'Good', ' Ngellag ',' Handwritten ',' gamemax ',' gini ',' service ',' already ',' brapa ',' times', 'right', 'run out', 'package', 'main', 'unlimited'"&amp;" , 'gamemax', 'feels']")</f>
        <v>['Package', 'Out', 'Unlimited', 'YouTube', 'Fast', 'App', 'Good', 'Main', 'Game', 'Network', 'Already', 'Good', ' Ngellag ',' Handwritten ',' gamemax ',' gini ',' service ',' already ',' brapa ',' times', 'right', 'run out', 'package', 'main', 'unlimited' , 'gamemax', 'feels']</v>
      </c>
      <c r="D1621" s="3">
        <v>1.0</v>
      </c>
    </row>
    <row r="1622" ht="15.75" customHeight="1">
      <c r="A1622" s="1">
        <v>1620.0</v>
      </c>
      <c r="B1622" s="3" t="s">
        <v>1623</v>
      </c>
      <c r="C1622" s="3" t="str">
        <f>IFERROR(__xludf.DUMMYFUNCTION("GOOGLETRANSLATE(B1622,""id"",""en"")"),"['Package', 'combo', 'Sakti', 'unlimited', 'package', 'strange', 'description', 'quota', 'multimedia', 'quota', 'utamany', 'quota', ' Utamany ',' Abis', 'automatic', 'Lemod', 'kgk', 'Gunain', 'quota', 'multimedia', 'feels',' mending ',' ngerlanarin ',' pa"&amp;"ckage ',' bgtu ' , 'tip', 'count on', 'quota', 'mainly', 'different', 'operator', 'quota', 'balance', 'user', 'open', 'application', ' Package ',' quota ',' buy ',' Customer ',' ']")</f>
        <v>['Package', 'combo', 'Sakti', 'unlimited', 'package', 'strange', 'description', 'quota', 'multimedia', 'quota', 'utamany', 'quota', ' Utamany ',' Abis', 'automatic', 'Lemod', 'kgk', 'Gunain', 'quota', 'multimedia', 'feels',' mending ',' ngerlanarin ',' package ',' bgtu ' , 'tip', 'count on', 'quota', 'mainly', 'different', 'operator', 'quota', 'balance', 'user', 'open', 'application', ' Package ',' quota ',' buy ',' Customer ',' ']</v>
      </c>
      <c r="D1622" s="3">
        <v>1.0</v>
      </c>
    </row>
    <row r="1623" ht="15.75" customHeight="1">
      <c r="A1623" s="1">
        <v>1621.0</v>
      </c>
      <c r="B1623" s="3" t="s">
        <v>1624</v>
      </c>
      <c r="C1623" s="3" t="str">
        <f>IFERROR(__xludf.DUMMYFUNCTION("GOOGLETRANSLATE(B1623,""id"",""en"")"),"['ugly', 'data', 'expensive', 'extra', 'unlimited', 'hadeeehhh', 'Telkomsel', 'lemoot', 'expensive', 'ugly', ""]")</f>
        <v>['ugly', 'data', 'expensive', 'extra', 'unlimited', 'hadeeehhh', 'Telkomsel', 'lemoot', 'expensive', 'ugly', "]</v>
      </c>
      <c r="D1623" s="3">
        <v>1.0</v>
      </c>
    </row>
    <row r="1624" ht="15.75" customHeight="1">
      <c r="A1624" s="1">
        <v>1622.0</v>
      </c>
      <c r="B1624" s="3" t="s">
        <v>1625</v>
      </c>
      <c r="C1624" s="3" t="str">
        <f>IFERROR(__xludf.DUMMYFUNCTION("GOOGLETRANSLATE(B1624,""id"",""en"")"),"['here', 'expensive', 'package', 'Telkomsel', 'Tollong', 'fox', 'no', 'expensive', 'network', 'stable', 'already', 'expensive', ' bad connection']")</f>
        <v>['here', 'expensive', 'package', 'Telkomsel', 'Tollong', 'fox', 'no', 'expensive', 'network', 'stable', 'already', 'expensive', ' bad connection']</v>
      </c>
      <c r="D1624" s="3">
        <v>5.0</v>
      </c>
    </row>
    <row r="1625" ht="15.75" customHeight="1">
      <c r="A1625" s="1">
        <v>1623.0</v>
      </c>
      <c r="B1625" s="3" t="s">
        <v>1626</v>
      </c>
      <c r="C1625" s="3" t="str">
        <f>IFERROR(__xludf.DUMMYFUNCTION("GOOGLETRANSLATE(B1625,""id"",""en"")"),"['Ethics', 'Contact', 'Center', 'Talking', 'Records', 'Phone', 'Telkomsel', 'Follow', 'Viral', ""]")</f>
        <v>['Ethics', 'Contact', 'Center', 'Talking', 'Records', 'Phone', 'Telkomsel', 'Follow', 'Viral', "]</v>
      </c>
      <c r="D1625" s="3">
        <v>1.0</v>
      </c>
    </row>
    <row r="1626" ht="15.75" customHeight="1">
      <c r="A1626" s="1">
        <v>1624.0</v>
      </c>
      <c r="B1626" s="3" t="s">
        <v>1627</v>
      </c>
      <c r="C1626" s="3" t="str">
        <f>IFERROR(__xludf.DUMMYFUNCTION("GOOGLETRANSLATE(B1626,""id"",""en"")"),"['Bad', 'bad', 'Tipu', 'right', 'buy', 'package', 'description', 'GB', 'thousand', 'right', 'already', 'contents',' pulse ',' kaga ',' buy ',' basic ',' telkomsel ',' jing ']")</f>
        <v>['Bad', 'bad', 'Tipu', 'right', 'buy', 'package', 'description', 'GB', 'thousand', 'right', 'already', 'contents',' pulse ',' kaga ',' buy ',' basic ',' telkomsel ',' jing ']</v>
      </c>
      <c r="D1626" s="3">
        <v>1.0</v>
      </c>
    </row>
    <row r="1627" ht="15.75" customHeight="1">
      <c r="A1627" s="1">
        <v>1625.0</v>
      </c>
      <c r="B1627" s="3" t="s">
        <v>1628</v>
      </c>
      <c r="C1627" s="3" t="str">
        <f>IFERROR(__xludf.DUMMYFUNCTION("GOOGLETRANSLATE(B1627,""id"",""en"")"),"['poor', 'Telkomsel', 'crazy', 'expensive', 'really', 'times',' scorched ',' quota ',' activated ',' expensive ',' activated ',' for a while ',' Law ',' SERBA ',' SALE ',' Suggestions', 'Quota', 'Internet', 'Quota', 'Internet', 'Local', 'Yaallah', 'Suffic"&amp;"ial', 'really', 'keuang' , 'Sia', 'quota', 'already', 'times', 'darling', 'money', 'run out', 'buy', 'quota', 'discarded', 'gini', 'huhu']")</f>
        <v>['poor', 'Telkomsel', 'crazy', 'expensive', 'really', 'times',' scorched ',' quota ',' activated ',' expensive ',' activated ',' for a while ',' Law ',' SERBA ',' SALE ',' Suggestions', 'Quota', 'Internet', 'Quota', 'Internet', 'Local', 'Yaallah', 'Sufficial', 'really', 'keuang' , 'Sia', 'quota', 'already', 'times', 'darling', 'money', 'run out', 'buy', 'quota', 'discarded', 'gini', 'huhu']</v>
      </c>
      <c r="D1627" s="3">
        <v>1.0</v>
      </c>
    </row>
    <row r="1628" ht="15.75" customHeight="1">
      <c r="A1628" s="1">
        <v>1626.0</v>
      </c>
      <c r="B1628" s="3" t="s">
        <v>1629</v>
      </c>
      <c r="C1628" s="3" t="str">
        <f>IFERROR(__xludf.DUMMYFUNCTION("GOOGLETRANSLATE(B1628,""id"",""en"")"),"['price', 'package', 'Fulu', 'package', 'internet', 'omg', 'rb', 'no', 'according to', 'ability', 'consumer', 'disappointed', ' Telkomsel ']")</f>
        <v>['price', 'package', 'Fulu', 'package', 'internet', 'omg', 'rb', 'no', 'according to', 'ability', 'consumer', 'disappointed', ' Telkomsel ']</v>
      </c>
      <c r="D1628" s="3">
        <v>1.0</v>
      </c>
    </row>
    <row r="1629" ht="15.75" customHeight="1">
      <c r="A1629" s="1">
        <v>1627.0</v>
      </c>
      <c r="B1629" s="3" t="s">
        <v>1630</v>
      </c>
      <c r="C1629" s="3" t="str">
        <f>IFERROR(__xludf.DUMMYFUNCTION("GOOGLETRANSLATE(B1629,""id"",""en"")"),"['Telkomsel', 'card', 'price', 'expensive', 'network', 'ugly', 'signal', 'ugly', 'ALIIIIII', 'Change', 'card', 'Males',' Pakek ',' Telkomsel ',' ']")</f>
        <v>['Telkomsel', 'card', 'price', 'expensive', 'network', 'ugly', 'signal', 'ugly', 'ALIIIIII', 'Change', 'card', 'Males',' Pakek ',' Telkomsel ',' ']</v>
      </c>
      <c r="D1629" s="3">
        <v>1.0</v>
      </c>
    </row>
    <row r="1630" ht="15.75" customHeight="1">
      <c r="A1630" s="1">
        <v>1628.0</v>
      </c>
      <c r="B1630" s="3" t="s">
        <v>1631</v>
      </c>
      <c r="C1630" s="3" t="str">
        <f>IFERROR(__xludf.DUMMYFUNCTION("GOOGLETRANSLATE(B1630,""id"",""en"")"),"['card', 'loop', 'contents',' pulse ',' use ',' saampe ',' pulse ',' run out ',' rb ',' use ',' sms', 'telephone', ' buy ',' package ',' grace ',' active ',' add ',' Telkomsel ',' mengusir ',' how ',' number ',' use ',' business', 'work', 'this is' , 'Try"&amp;"', 'Turn Off', 'Number', 'Change']")</f>
        <v>['card', 'loop', 'contents',' pulse ',' use ',' saampe ',' pulse ',' run out ',' rb ',' use ',' sms', 'telephone', ' buy ',' package ',' grace ',' active ',' add ',' Telkomsel ',' mengusir ',' how ',' number ',' use ',' business', 'work', 'this is' , 'Try', 'Turn Off', 'Number', 'Change']</v>
      </c>
      <c r="D1630" s="3">
        <v>1.0</v>
      </c>
    </row>
    <row r="1631" ht="15.75" customHeight="1">
      <c r="A1631" s="1">
        <v>1629.0</v>
      </c>
      <c r="B1631" s="3" t="s">
        <v>1632</v>
      </c>
      <c r="C1631" s="3" t="str">
        <f>IFERROR(__xludf.DUMMYFUNCTION("GOOGLETRANSLATE(B1631,""id"",""en"")"),"['Genetas',' really ',' UDH ',' buy ',' quota ',' unlimited ',' tiktok ',' gabisa ',' dipake ',' waste ',' pulse ',' replace ',' card']")</f>
        <v>['Genetas',' really ',' UDH ',' buy ',' quota ',' unlimited ',' tiktok ',' gabisa ',' dipake ',' waste ',' pulse ',' replace ',' card']</v>
      </c>
      <c r="D1631" s="3">
        <v>1.0</v>
      </c>
    </row>
    <row r="1632" ht="15.75" customHeight="1">
      <c r="A1632" s="1">
        <v>1630.0</v>
      </c>
      <c r="B1632" s="3" t="s">
        <v>1633</v>
      </c>
      <c r="C1632" s="3" t="str">
        <f>IFERROR(__xludf.DUMMYFUNCTION("GOOGLETRANSLATE(B1632,""id"",""en"")"),"['expensive', 'chaotic', 'network', 'bnyak', 'card', 'waste', 'yesterday', 'promo', 'cheerful', 'nga', 'buy', 'Telkomsel', ' then ',' combo ',' price ',' reload ',' pulse ',' donk ',' leftover ',' guarantee ',' disappear ',' swallow ',' earth ',' ndak ','"&amp;" kmna ' , 'go', 'pulse', '']")</f>
        <v>['expensive', 'chaotic', 'network', 'bnyak', 'card', 'waste', 'yesterday', 'promo', 'cheerful', 'nga', 'buy', 'Telkomsel', ' then ',' combo ',' price ',' reload ',' pulse ',' donk ',' leftover ',' guarantee ',' disappear ',' swallow ',' earth ',' ndak ',' kmna ' , 'go', 'pulse', '']</v>
      </c>
      <c r="D1632" s="3">
        <v>1.0</v>
      </c>
    </row>
    <row r="1633" ht="15.75" customHeight="1">
      <c r="A1633" s="1">
        <v>1631.0</v>
      </c>
      <c r="B1633" s="3" t="s">
        <v>1634</v>
      </c>
      <c r="C1633" s="3" t="str">
        <f>IFERROR(__xludf.DUMMYFUNCTION("GOOGLETRANSLATE(B1633,""id"",""en"")"),"['', 'Pakek', 'Telkomsel', 'Lebaran', 'Yesterday', 'THR', 'Credit', 'thousand', 'just', 'apply', 'bonus',' that's', ' ',' Udh ',' run out ',' cave ',' contents', 'pulse', 'yrs', ""]")</f>
        <v>['', 'Pakek', 'Telkomsel', 'Lebaran', 'Yesterday', 'THR', 'Credit', 'thousand', 'just', 'apply', 'bonus',' that's', ' ',' Udh ',' run out ',' cave ',' contents', 'pulse', 'yrs', "]</v>
      </c>
      <c r="D1633" s="3">
        <v>3.0</v>
      </c>
    </row>
    <row r="1634" ht="15.75" customHeight="1">
      <c r="A1634" s="1">
        <v>1632.0</v>
      </c>
      <c r="B1634" s="3" t="s">
        <v>1635</v>
      </c>
      <c r="C1634" s="3" t="str">
        <f>IFERROR(__xludf.DUMMYFUNCTION("GOOGLETRANSLATE(B1634,""id"",""en"")"),"['Review', 'Karna', 'Package', 'Unlimited', 'Combo', 'Sakti', 'Used', 'Full', 'a month', 'Game', 'Application', 'Sosmed', ' Restricted ',' GB ',' called ',' Combo ',' Sakti ',' Unlimited ',' Package ',' Get ',' Bonus', 'Quota', 'Thinking', 'Please', 'Unde"&amp;"rstand' , 'Telkomsel', '']")</f>
        <v>['Review', 'Karna', 'Package', 'Unlimited', 'Combo', 'Sakti', 'Used', 'Full', 'a month', 'Game', 'Application', 'Sosmed', ' Restricted ',' GB ',' called ',' Combo ',' Sakti ',' Unlimited ',' Package ',' Get ',' Bonus', 'Quota', 'Thinking', 'Please', 'Understand' , 'Telkomsel', '']</v>
      </c>
      <c r="D1634" s="3">
        <v>1.0</v>
      </c>
    </row>
    <row r="1635" ht="15.75" customHeight="1">
      <c r="A1635" s="1">
        <v>1633.0</v>
      </c>
      <c r="B1635" s="3" t="s">
        <v>1636</v>
      </c>
      <c r="C1635" s="3" t="str">
        <f>IFERROR(__xludf.DUMMYFUNCTION("GOOGLETRANSLATE(B1635,""id"",""en"")"),"['', 'around', 'November', 'network', 'Telkomsel', 'area', 'strange', 'internet', 'speed', 'Sulawesi', 'North', 'Minahasa', 'southeast ',' around ',' annual ',' card ',' Telkomsel ',' Telkomsel ',' network ',' internet ',' Telkomsel ',' disappointing ',' "&amp;"package ',' internet ',' cheap ', '']")</f>
        <v>['', 'around', 'November', 'network', 'Telkomsel', 'area', 'strange', 'internet', 'speed', 'Sulawesi', 'North', 'Minahasa', 'southeast ',' around ',' annual ',' card ',' Telkomsel ',' Telkomsel ',' network ',' internet ',' Telkomsel ',' disappointing ',' package ',' internet ',' cheap ', '']</v>
      </c>
      <c r="D1635" s="3">
        <v>1.0</v>
      </c>
    </row>
    <row r="1636" ht="15.75" customHeight="1">
      <c r="A1636" s="1">
        <v>1634.0</v>
      </c>
      <c r="B1636" s="3" t="s">
        <v>1637</v>
      </c>
      <c r="C1636" s="3" t="str">
        <f>IFERROR(__xludf.DUMMYFUNCTION("GOOGLETRANSLATE(B1636,""id"",""en"")"),"['Package', 'unlimited', 'okay', 'gpp', 'thousand', 'doang', 'quota', 'unlimited', 'run out', 'slow', 'times', 'even though' The limit ',' speed ',' unlimited ',' run out ',' until ',' week ',' quota ',' run out ',' udh ',' slow ',' time ',' unlimited ','"&amp;" already ' , 'expensive', 'slow', 'bagusan', 'change', 'operator', 'gini']")</f>
        <v>['Package', 'unlimited', 'okay', 'gpp', 'thousand', 'doang', 'quota', 'unlimited', 'run out', 'slow', 'times', 'even though' The limit ',' speed ',' unlimited ',' run out ',' until ',' week ',' quota ',' run out ',' udh ',' slow ',' time ',' unlimited ',' already ' , 'expensive', 'slow', 'bagusan', 'change', 'operator', 'gini']</v>
      </c>
      <c r="D1636" s="3">
        <v>1.0</v>
      </c>
    </row>
    <row r="1637" ht="15.75" customHeight="1">
      <c r="A1637" s="1">
        <v>1635.0</v>
      </c>
      <c r="B1637" s="3" t="s">
        <v>1638</v>
      </c>
      <c r="C1637" s="3" t="str">
        <f>IFERROR(__xludf.DUMMYFUNCTION("GOOGLETRANSLATE(B1637,""id"",""en"")"),"['missed', 'pulse', 'package', 'internet', 'kb', 'developer', 'company', 'no', 'gave', 'feature', 'lock', 'like', ' Apps', 'Service', 'Operator', 'Next to', '']")</f>
        <v>['missed', 'pulse', 'package', 'internet', 'kb', 'developer', 'company', 'no', 'gave', 'feature', 'lock', 'like', ' Apps', 'Service', 'Operator', 'Next to', '']</v>
      </c>
      <c r="D1637" s="3">
        <v>1.0</v>
      </c>
    </row>
    <row r="1638" ht="15.75" customHeight="1">
      <c r="A1638" s="1">
        <v>1636.0</v>
      </c>
      <c r="B1638" s="3" t="s">
        <v>1639</v>
      </c>
      <c r="C1638" s="3" t="str">
        <f>IFERROR(__xludf.DUMMYFUNCTION("GOOGLETRANSLATE(B1638,""id"",""en"")"),"['Veronika', 'talk', 'customer', 'service', 'love', 'solution', 'love', 'already', 'network', 'slow', 'service', 'what', ' Sihh ', ""]")</f>
        <v>['Veronika', 'talk', 'customer', 'service', 'love', 'solution', 'love', 'already', 'network', 'slow', 'service', 'what', ' Sihh ', "]</v>
      </c>
      <c r="D1638" s="3">
        <v>1.0</v>
      </c>
    </row>
    <row r="1639" ht="15.75" customHeight="1">
      <c r="A1639" s="1">
        <v>1637.0</v>
      </c>
      <c r="B1639" s="3" t="s">
        <v>1640</v>
      </c>
      <c r="C1639" s="3" t="str">
        <f>IFERROR(__xludf.DUMMYFUNCTION("GOOGLETRANSLATE(B1639,""id"",""en"")"),"['Gwe', 'Samsung', 'Gwe', 'sophisticated', 'friend', 'Gwa', 'other', 'JT', 'knapa', 'signal', 'full', 'network', ' ehh ',' right ',' play ',' games', 'connects',' RELOD ',' then ',' Ampe ',' Game ',' finished ',' Didup ',' friend ',' Gwe ' , 'Current', 'J"&amp;"AYA', 'Network', 'stalk', 'stem', 'APK', 'amplifier', 'signal', 'What's', '']")</f>
        <v>['Gwe', 'Samsung', 'Gwe', 'sophisticated', 'friend', 'Gwa', 'other', 'JT', 'knapa', 'signal', 'full', 'network', ' ehh ',' right ',' play ',' games', 'connects',' RELOD ',' then ',' Ampe ',' Game ',' finished ',' Didup ',' friend ',' Gwe ' , 'Current', 'JAYA', 'Network', 'stalk', 'stem', 'APK', 'amplifier', 'signal', 'What's', '']</v>
      </c>
      <c r="D1639" s="3">
        <v>1.0</v>
      </c>
    </row>
    <row r="1640" ht="15.75" customHeight="1">
      <c r="A1640" s="1">
        <v>1638.0</v>
      </c>
      <c r="B1640" s="3" t="s">
        <v>1641</v>
      </c>
      <c r="C1640" s="3" t="str">
        <f>IFERROR(__xludf.DUMMYFUNCTION("GOOGLETRANSLATE(B1640,""id"",""en"")"),"['Telkomsel', 'Severe', 'already', 'Pay', 'expensive', 'network', 'kayak', 'taik', 'barein', 'Telkomsel', 'company', 'handle', ' network ',' slow ',' kayak ',' garbage ',' network ',' ']")</f>
        <v>['Telkomsel', 'Severe', 'already', 'Pay', 'expensive', 'network', 'kayak', 'taik', 'barein', 'Telkomsel', 'company', 'handle', ' network ',' slow ',' kayak ',' garbage ',' network ',' ']</v>
      </c>
      <c r="D1640" s="3">
        <v>1.0</v>
      </c>
    </row>
    <row r="1641" ht="15.75" customHeight="1">
      <c r="A1641" s="1">
        <v>1639.0</v>
      </c>
      <c r="B1641" s="3" t="s">
        <v>1642</v>
      </c>
      <c r="C1641" s="3" t="str">
        <f>IFERROR(__xludf.DUMMYFUNCTION("GOOGLETRANSLATE(B1641,""id"",""en"")"),"['pulse', 'promo', 'purchase', 'GB', 'get', 'right', 'select', 'pulse', 'try', 'admin']")</f>
        <v>['pulse', 'promo', 'purchase', 'GB', 'get', 'right', 'select', 'pulse', 'try', 'admin']</v>
      </c>
      <c r="D1641" s="3">
        <v>1.0</v>
      </c>
    </row>
    <row r="1642" ht="15.75" customHeight="1">
      <c r="A1642" s="1">
        <v>1640.0</v>
      </c>
      <c r="B1642" s="3" t="s">
        <v>1643</v>
      </c>
      <c r="C1642" s="3" t="str">
        <f>IFERROR(__xludf.DUMMYFUNCTION("GOOGLETRANSLATE(B1642,""id"",""en"")"),"['purchase', 'package', 'internet', 'night', 'payment', 'funds',' payment ',' successful ',' accept ',' package ',' internet ',' trsbt ',' ']")</f>
        <v>['purchase', 'package', 'internet', 'night', 'payment', 'funds',' payment ',' successful ',' accept ',' package ',' internet ',' trsbt ',' ']</v>
      </c>
      <c r="D1642" s="3">
        <v>1.0</v>
      </c>
    </row>
    <row r="1643" ht="15.75" customHeight="1">
      <c r="A1643" s="1">
        <v>1641.0</v>
      </c>
      <c r="B1643" s="3" t="s">
        <v>1644</v>
      </c>
      <c r="C1643" s="3" t="str">
        <f>IFERROR(__xludf.DUMMYFUNCTION("GOOGLETRANSLATE(B1643,""id"",""en"")"),"['Severe', 'already', 'expensive', 'sometimes',' signal ',' lost ',' slow ',' UDH ',' Lottery ',' gift ',' game ',' org ',' Telkomsel ',' Feedah ',' Change ',' Switch ',' Card ',' ']")</f>
        <v>['Severe', 'already', 'expensive', 'sometimes',' signal ',' lost ',' slow ',' UDH ',' Lottery ',' gift ',' game ',' org ',' Telkomsel ',' Feedah ',' Change ',' Switch ',' Card ',' ']</v>
      </c>
      <c r="D1643" s="3">
        <v>1.0</v>
      </c>
    </row>
    <row r="1644" ht="15.75" customHeight="1">
      <c r="A1644" s="1">
        <v>1642.0</v>
      </c>
      <c r="B1644" s="3" t="s">
        <v>1645</v>
      </c>
      <c r="C1644" s="3" t="str">
        <f>IFERROR(__xludf.DUMMYFUNCTION("GOOGLETRANSLATE(B1644,""id"",""en"")"),"['Hello', 'min', 'apk', 'good', 'knapa', 'bli', 'pulse', 'always',' run out ',' padhl ',' blm ',' blm ',' pulses', 'thousand', 'stay', 'thousand', 'pdhl', 'tomorrow', 'test', 'telkom', 'person', 'rich', 'as far as',' parents', 'dizzy' , 'what', 'test', 't"&amp;"omorrow', 'because', 'pulse', 'thousand', 'package', 'telkom', 'expensive', 'pulse', 'thousand', 'maxi', ' Maxi ',' Help ', ""]")</f>
        <v>['Hello', 'min', 'apk', 'good', 'knapa', 'bli', 'pulse', 'always',' run out ',' padhl ',' blm ',' blm ',' pulses', 'thousand', 'stay', 'thousand', 'pdhl', 'tomorrow', 'test', 'telkom', 'person', 'rich', 'as far as',' parents', 'dizzy' , 'what', 'test', 'tomorrow', 'because', 'pulse', 'thousand', 'package', 'telkom', 'expensive', 'pulse', 'thousand', 'maxi', ' Maxi ',' Help ', "]</v>
      </c>
      <c r="D1644" s="3">
        <v>4.0</v>
      </c>
    </row>
    <row r="1645" ht="15.75" customHeight="1">
      <c r="A1645" s="1">
        <v>1643.0</v>
      </c>
      <c r="B1645" s="3" t="s">
        <v>1646</v>
      </c>
      <c r="C1645" s="3" t="str">
        <f>IFERROR(__xludf.DUMMYFUNCTION("GOOGLETRANSLATE(B1645,""id"",""en"")"),"['Telkomsel', 'Price', 'Doang', 'Quality', 'Nets', 'Leet', 'Quality', 'Win', 'Price', 'Doang', 'Bad', 'Bad' Bad, 'provider', 'garbage', 'closed', 'better', 'belaga', 'pairs', 'price', 'quality', 'lowly', 'threat']")</f>
        <v>['Telkomsel', 'Price', 'Doang', 'Quality', 'Nets', 'Leet', 'Quality', 'Win', 'Price', 'Doang', 'Bad', 'Bad' Bad, 'provider', 'garbage', 'closed', 'better', 'belaga', 'pairs', 'price', 'quality', 'lowly', 'threat']</v>
      </c>
      <c r="D1645" s="3">
        <v>1.0</v>
      </c>
    </row>
    <row r="1646" ht="15.75" customHeight="1">
      <c r="A1646" s="1">
        <v>1644.0</v>
      </c>
      <c r="B1646" s="3" t="s">
        <v>1647</v>
      </c>
      <c r="C1646" s="3" t="str">
        <f>IFERROR(__xludf.DUMMYFUNCTION("GOOGLETRANSLATE(B1646,""id"",""en"")"),"['ugly', 'signal', 'Telkomsel', 'Region', 'Java', 'Tegal', 'signal', 'appears',' Please ',' repaired ',' area ',' Tegal ',' Margasari ',' repaired ',' region ',' tegal ',' ugly ',' forced ',' moved ',' card ',' operator ',' ']")</f>
        <v>['ugly', 'signal', 'Telkomsel', 'Region', 'Java', 'Tegal', 'signal', 'appears',' Please ',' repaired ',' area ',' Tegal ',' Margasari ',' repaired ',' region ',' tegal ',' ugly ',' forced ',' moved ',' card ',' operator ',' ']</v>
      </c>
      <c r="D1646" s="3">
        <v>1.0</v>
      </c>
    </row>
    <row r="1647" ht="15.75" customHeight="1">
      <c r="A1647" s="1">
        <v>1645.0</v>
      </c>
      <c r="B1647" s="3" t="s">
        <v>1648</v>
      </c>
      <c r="C1647" s="3" t="str">
        <f>IFERROR(__xludf.DUMMYFUNCTION("GOOGLETRANSLATE(B1647,""id"",""en"")"),"['Severe', 'really', 'network', 'slow', 'signal', 'stem', 'doang', 'already', 'docked', 'tetep', 'mending', 'access',' Internet ',' a month ',' disorder ',' gapapa ',' mah ',' severe ',' really ', ""]")</f>
        <v>['Severe', 'really', 'network', 'slow', 'signal', 'stem', 'doang', 'already', 'docked', 'tetep', 'mending', 'access',' Internet ',' a month ',' disorder ',' gapapa ',' mah ',' severe ',' really ', "]</v>
      </c>
      <c r="D1647" s="3">
        <v>1.0</v>
      </c>
    </row>
    <row r="1648" ht="15.75" customHeight="1">
      <c r="A1648" s="1">
        <v>1646.0</v>
      </c>
      <c r="B1648" s="3" t="s">
        <v>1649</v>
      </c>
      <c r="C1648" s="3" t="str">
        <f>IFERROR(__xludf.DUMMYFUNCTION("GOOGLETRANSLATE(B1648,""id"",""en"")"),"['NGAI', 'Bintang', 'Gara', 'Network', 'Severe', 'Down', 'Hopefully', 'Ingredients',' Network ',' NGK ',' Stable ',' Price ',' Package ',' Mulu ',' Search ',' Untung ',' Search ',' Untung ',' Ngk ',' Disappointing ',' Customer ',' Fameline ',' Telkomsel '"&amp;",' Season ',' Please ' , 'Response', 'Bacot', 'Greetings', ""]")</f>
        <v>['NGAI', 'Bintang', 'Gara', 'Network', 'Severe', 'Down', 'Hopefully', 'Ingredients',' Network ',' NGK ',' Stable ',' Price ',' Package ',' Mulu ',' Search ',' Untung ',' Search ',' Untung ',' Ngk ',' Disappointing ',' Customer ',' Fameline ',' Telkomsel ',' Season ',' Please ' , 'Response', 'Bacot', 'Greetings', "]</v>
      </c>
      <c r="D1648" s="3">
        <v>1.0</v>
      </c>
    </row>
    <row r="1649" ht="15.75" customHeight="1">
      <c r="A1649" s="1">
        <v>1647.0</v>
      </c>
      <c r="B1649" s="3" t="s">
        <v>1650</v>
      </c>
      <c r="C1649" s="3" t="str">
        <f>IFERROR(__xludf.DUMMYFUNCTION("GOOGLETRANSLATE(B1649,""id"",""en"")"),"['application', 'damaged', 'Heng', 'Heng', 'Mulu', 'now', 'buy', 'package', 'unlimited', 'cheerful', 'week', 'quota', ' Suck ',' first ',' pulses', 'suck', 'already', 'gini', 'smpe', 'ngmng', 'gross',' sorry ',' abis', ""]")</f>
        <v>['application', 'damaged', 'Heng', 'Heng', 'Mulu', 'now', 'buy', 'package', 'unlimited', 'cheerful', 'week', 'quota', ' Suck ',' first ',' pulses', 'suck', 'already', 'gini', 'smpe', 'ngmng', 'gross',' sorry ',' abis', "]</v>
      </c>
      <c r="D1649" s="3">
        <v>1.0</v>
      </c>
    </row>
    <row r="1650" ht="15.75" customHeight="1">
      <c r="A1650" s="1">
        <v>1648.0</v>
      </c>
      <c r="B1650" s="3" t="s">
        <v>1651</v>
      </c>
      <c r="C1650" s="3" t="str">
        <f>IFERROR(__xludf.DUMMYFUNCTION("GOOGLETRANSLATE(B1650,""id"",""en"")"),"['Balesan', 'please', 'confirm', 'assisted', 'confirm', 'that's',' sosmed ',' Males', 'really', 'cave', 'people', 'halhal', ' Boss', 'that's',' Doang ',' ']")</f>
        <v>['Balesan', 'please', 'confirm', 'assisted', 'confirm', 'that's',' sosmed ',' Males', 'really', 'cave', 'people', 'halhal', ' Boss', 'that's',' Doang ',' ']</v>
      </c>
      <c r="D1650" s="3">
        <v>1.0</v>
      </c>
    </row>
    <row r="1651" ht="15.75" customHeight="1">
      <c r="A1651" s="1">
        <v>1649.0</v>
      </c>
      <c r="B1651" s="3" t="s">
        <v>1652</v>
      </c>
      <c r="C1651" s="3" t="str">
        <f>IFERROR(__xludf.DUMMYFUNCTION("GOOGLETRANSLATE(B1651,""id"",""en"")"),"['Want', 'Telkomsel', 'used', 'mode', 'offline', 'quota', 'out', 'quota', 'run out', 'confused', 'rich', 'what', ' Buy ',' Application ',' ']")</f>
        <v>['Want', 'Telkomsel', 'used', 'mode', 'offline', 'quota', 'out', 'quota', 'run out', 'confused', 'rich', 'what', ' Buy ',' Application ',' ']</v>
      </c>
      <c r="D1651" s="3">
        <v>3.0</v>
      </c>
    </row>
    <row r="1652" ht="15.75" customHeight="1">
      <c r="A1652" s="1">
        <v>1650.0</v>
      </c>
      <c r="B1652" s="3" t="s">
        <v>1653</v>
      </c>
      <c r="C1652" s="3" t="str">
        <f>IFERROR(__xludf.DUMMYFUNCTION("GOOGLETRANSLATE(B1652,""id"",""en"")"),"['Severe', 'network', 'Telkomsel', 'expensive', 'package', 'wasteful', 'package', 'data', 'slow', 'inhibits',' work ',' really ',' Region ',' Mataram ',' Lombok ',' NTB ',' Disorders', ""]")</f>
        <v>['Severe', 'network', 'Telkomsel', 'expensive', 'package', 'wasteful', 'package', 'data', 'slow', 'inhibits',' work ',' really ',' Region ',' Mataram ',' Lombok ',' NTB ',' Disorders', "]</v>
      </c>
      <c r="D1652" s="3">
        <v>1.0</v>
      </c>
    </row>
    <row r="1653" ht="15.75" customHeight="1">
      <c r="A1653" s="1">
        <v>1651.0</v>
      </c>
      <c r="B1653" s="3" t="s">
        <v>1654</v>
      </c>
      <c r="C1653" s="3" t="str">
        <f>IFERROR(__xludf.DUMMYFUNCTION("GOOGLETRANSLATE(B1653,""id"",""en"")"),"['Disappointed', 'Telkomsel', 'Package', 'Unlimitid', 'Different', 'Price', 'Limit', 'Use', 'Unlimitid', 'Naman', 'Nyari', 'luck', ' Hope ',' fake ',' customers', 'loss',' buy ',' expensive ',' return ',' use ',' limit ',' price ',' unlimitid ',' limit ',"&amp;"' fed up ' , 'Beganan', '']")</f>
        <v>['Disappointed', 'Telkomsel', 'Package', 'Unlimitid', 'Different', 'Price', 'Limit', 'Use', 'Unlimitid', 'Naman', 'Nyari', 'luck', ' Hope ',' fake ',' customers', 'loss',' buy ',' expensive ',' return ',' use ',' limit ',' price ',' unlimitid ',' limit ',' fed up ' , 'Beganan', '']</v>
      </c>
      <c r="D1653" s="3">
        <v>1.0</v>
      </c>
    </row>
    <row r="1654" ht="15.75" customHeight="1">
      <c r="A1654" s="1">
        <v>1652.0</v>
      </c>
      <c r="B1654" s="3" t="s">
        <v>1655</v>
      </c>
      <c r="C1654" s="3" t="str">
        <f>IFERROR(__xludf.DUMMYFUNCTION("GOOGLETRANSLATE(B1654,""id"",""en"")"),"['Saranin', 'Pakek', 'Telkomsel', 'Admin', 'Caling', 'Mengelek', 'ugly', 'in', 'card', 'The reason', 'his cellphone', 'supports',' The cards', 'Belom', 'Upgrade', 'Like', 'Call', 'Telkomsel', 'Operator', 'Worst', '']")</f>
        <v>['Saranin', 'Pakek', 'Telkomsel', 'Admin', 'Caling', 'Mengelek', 'ugly', 'in', 'card', 'The reason', 'his cellphone', 'supports',' The cards', 'Belom', 'Upgrade', 'Like', 'Call', 'Telkomsel', 'Operator', 'Worst', '']</v>
      </c>
      <c r="D1654" s="3">
        <v>1.0</v>
      </c>
    </row>
    <row r="1655" ht="15.75" customHeight="1">
      <c r="A1655" s="1">
        <v>1653.0</v>
      </c>
      <c r="B1655" s="3" t="s">
        <v>1656</v>
      </c>
      <c r="C1655" s="3" t="str">
        <f>IFERROR(__xludf.DUMMYFUNCTION("GOOGLETRANSLATE(B1655,""id"",""en"")"),"['Krna', 'Krna', 'Snanya', 'Telkomsel', 'created', 'people', 'signal', 'evenly', 'compared', 'dangan', 'provider', 'forced', ' Telkomsel ',' Thank you ',' Help ',' expensive ',' Sometimes', 'signal', 'Bobrokk', ""]")</f>
        <v>['Krna', 'Krna', 'Snanya', 'Telkomsel', 'created', 'people', 'signal', 'evenly', 'compared', 'dangan', 'provider', 'forced', ' Telkomsel ',' Thank you ',' Help ',' expensive ',' Sometimes', 'signal', 'Bobrokk', "]</v>
      </c>
      <c r="D1655" s="3">
        <v>1.0</v>
      </c>
    </row>
    <row r="1656" ht="15.75" customHeight="1">
      <c r="A1656" s="1">
        <v>1654.0</v>
      </c>
      <c r="B1656" s="3" t="s">
        <v>1657</v>
      </c>
      <c r="C1656" s="3" t="str">
        <f>IFERROR(__xludf.DUMMYFUNCTION("GOOGLETRANSLATE(B1656,""id"",""en"")"),"['Telkomsel', 'please', 'fix', 'damage', 'network', 'already', 'buy', 'quota', 'expensive', 'expensive', 'right', 'play', ' Games', 'online', 'network', 'like', 'ilang', 'please', 'pay attention', 'move', 'ajalah', 'njink']")</f>
        <v>['Telkomsel', 'please', 'fix', 'damage', 'network', 'already', 'buy', 'quota', 'expensive', 'expensive', 'right', 'play', ' Games', 'online', 'network', 'like', 'ilang', 'please', 'pay attention', 'move', 'ajalah', 'njink']</v>
      </c>
      <c r="D1656" s="3">
        <v>2.0</v>
      </c>
    </row>
    <row r="1657" ht="15.75" customHeight="1">
      <c r="A1657" s="1">
        <v>1655.0</v>
      </c>
      <c r="B1657" s="3" t="s">
        <v>1658</v>
      </c>
      <c r="C1657" s="3" t="str">
        <f>IFERROR(__xludf.DUMMYFUNCTION("GOOGLETRANSLATE(B1657,""id"",""en"")"),"['service', 'network', 'package', 'most expensive', 'Indonesia', 'suits',' price ',' huh ',' network ',' number ',' truss', 'quality', ' network ',' kayak ',' snail ',' slow ',' mending ',' switch ',' service ',' internet ',' ']")</f>
        <v>['service', 'network', 'package', 'most expensive', 'Indonesia', 'suits',' price ',' huh ',' network ',' number ',' truss', 'quality', ' network ',' kayak ',' snail ',' slow ',' mending ',' switch ',' service ',' internet ',' ']</v>
      </c>
      <c r="D1657" s="3">
        <v>1.0</v>
      </c>
    </row>
    <row r="1658" ht="15.75" customHeight="1">
      <c r="A1658" s="1">
        <v>1656.0</v>
      </c>
      <c r="B1658" s="3" t="s">
        <v>1659</v>
      </c>
      <c r="C1658" s="3" t="str">
        <f>IFERROR(__xludf.DUMMYFUNCTION("GOOGLETRANSLATE(B1658,""id"",""en"")"),"['Sorry', 'Bintang', 'Nambah', 'Quality', 'Signal', 'Bad', 'Price', 'Package', 'Expensive', 'Mending', 'Indosat', 'Price', ' Cheap ',' signal ',' decent ',' number ',' relationship ',' work ',' already ',' waste ',' card ',' ']")</f>
        <v>['Sorry', 'Bintang', 'Nambah', 'Quality', 'Signal', 'Bad', 'Price', 'Package', 'Expensive', 'Mending', 'Indosat', 'Price', ' Cheap ',' signal ',' decent ',' number ',' relationship ',' work ',' already ',' waste ',' card ',' ']</v>
      </c>
      <c r="D1658" s="3">
        <v>1.0</v>
      </c>
    </row>
    <row r="1659" ht="15.75" customHeight="1">
      <c r="A1659" s="1">
        <v>1657.0</v>
      </c>
      <c r="B1659" s="3" t="s">
        <v>1660</v>
      </c>
      <c r="C1659" s="3" t="str">
        <f>IFERROR(__xludf.DUMMYFUNCTION("GOOGLETRANSLATE(B1659,""id"",""en"")"),"['Assalamu', 'alaikum', 'Please', 'Sya', 'annoying', 'wktun', 'sebntar', 'mhon', 'info', 'knp', 'nets',' internet ',' "", 'for', 'package', 'network', 'bgtu', 'bad', 'mksh']")</f>
        <v>['Assalamu', 'alaikum', 'Please', 'Sya', 'annoying', 'wktun', 'sebntar', 'mhon', 'info', 'knp', 'nets',' internet ',' ", 'for', 'package', 'network', 'bgtu', 'bad', 'mksh']</v>
      </c>
      <c r="D1659" s="3">
        <v>3.0</v>
      </c>
    </row>
    <row r="1660" ht="15.75" customHeight="1">
      <c r="A1660" s="1">
        <v>1658.0</v>
      </c>
      <c r="B1660" s="3" t="s">
        <v>1661</v>
      </c>
      <c r="C1660" s="3" t="str">
        <f>IFERROR(__xludf.DUMMYFUNCTION("GOOGLETRANSLATE(B1660,""id"",""en"")"),"['', 'June', 'loss',' buy ',' package ',' internet ',' omg ',' internet ',' okay ',' good ',' here ',' super ',' lemottt ',' bar ',' bar ',' network ',' CMA ',' MB ',' ']")</f>
        <v>['', 'June', 'loss',' buy ',' package ',' internet ',' omg ',' internet ',' okay ',' good ',' here ',' super ',' lemottt ',' bar ',' bar ',' network ',' CMA ',' MB ',' ']</v>
      </c>
      <c r="D1660" s="3">
        <v>2.0</v>
      </c>
    </row>
    <row r="1661" ht="15.75" customHeight="1">
      <c r="A1661" s="1">
        <v>1659.0</v>
      </c>
      <c r="B1661" s="3" t="s">
        <v>1662</v>
      </c>
      <c r="C1661" s="3" t="str">
        <f>IFERROR(__xludf.DUMMYFUNCTION("GOOGLETRANSLATE(B1661,""id"",""en"")"),"['', 'transaction', 'pulse', 'noon', 'entry', 'agent', 'sent', 'beg', 'follow', 'continue', 'Instagram', ""]")</f>
        <v>['', 'transaction', 'pulse', 'noon', 'entry', 'agent', 'sent', 'beg', 'follow', 'continue', 'Instagram', "]</v>
      </c>
      <c r="D1661" s="3">
        <v>5.0</v>
      </c>
    </row>
    <row r="1662" ht="15.75" customHeight="1">
      <c r="A1662" s="1">
        <v>1660.0</v>
      </c>
      <c r="B1662" s="3" t="s">
        <v>1663</v>
      </c>
      <c r="C1662" s="3" t="str">
        <f>IFERROR(__xludf.DUMMYFUNCTION("GOOGLETRANSLATE(B1662,""id"",""en"")"),"['Price', 'comparable', 'Quality', 'Sopankah', 'Woe', 'Jan', 'Diem', 'Muasin', 'Customer', 'Already', 'Closed', ""]")</f>
        <v>['Price', 'comparable', 'Quality', 'Sopankah', 'Woe', 'Jan', 'Diem', 'Muasin', 'Customer', 'Already', 'Closed', "]</v>
      </c>
      <c r="D1662" s="3">
        <v>1.0</v>
      </c>
    </row>
    <row r="1663" ht="15.75" customHeight="1">
      <c r="A1663" s="1">
        <v>1661.0</v>
      </c>
      <c r="B1663" s="3" t="s">
        <v>1664</v>
      </c>
      <c r="C1663" s="3" t="str">
        <f>IFERROR(__xludf.DUMMYFUNCTION("GOOGLETRANSLATE(B1663,""id"",""en"")"),"['Sis',' Please ',' Sorry ',' Buy ',' Package ',' Combo ',' Sakti ',' Internet ',' Package ',' Internet ',' Multimedia ',' Use ',' Chat ',' YouTube ',' Period ',' Package ',' On ',' absorbed ',' quota ',' main ',' multimedia ',' functions', 'whole', 'quot"&amp;"a', 'display' , 'Doang', 'Change', 'Card', 'Move', '']")</f>
        <v>['Sis',' Please ',' Sorry ',' Buy ',' Package ',' Combo ',' Sakti ',' Internet ',' Package ',' Internet ',' Multimedia ',' Use ',' Chat ',' YouTube ',' Period ',' Package ',' On ',' absorbed ',' quota ',' main ',' multimedia ',' functions', 'whole', 'quota', 'display' , 'Doang', 'Change', 'Card', 'Move', '']</v>
      </c>
      <c r="D1663" s="3">
        <v>1.0</v>
      </c>
    </row>
    <row r="1664" ht="15.75" customHeight="1">
      <c r="A1664" s="1">
        <v>1662.0</v>
      </c>
      <c r="B1664" s="3" t="s">
        <v>1665</v>
      </c>
      <c r="C1664" s="3" t="str">
        <f>IFERROR(__xludf.DUMMYFUNCTION("GOOGLETRANSLATE(B1664,""id"",""en"")"),"['Original', 'severe', 'regret', 'buy', 'package', 'game', 'max', 'ngak', 'nyesel', 'telkom', 'gini', 'luck', ' Costemer ',' Mrasa ',' Loss', 'MSAK', 'already', 'buy', 'package', 'game', 'max', 'ngak', 'use', 'open', 'game' , 'Doang', 'NGK', 'play', 'nbnn"&amp;"ya', 'use', 'package', 'game', 'max', ""]")</f>
        <v>['Original', 'severe', 'regret', 'buy', 'package', 'game', 'max', 'ngak', 'nyesel', 'telkom', 'gini', 'luck', ' Costemer ',' Mrasa ',' Loss', 'MSAK', 'already', 'buy', 'package', 'game', 'max', 'ngak', 'use', 'open', 'game' , 'Doang', 'NGK', 'play', 'nbnnya', 'use', 'package', 'game', 'max', "]</v>
      </c>
      <c r="D1664" s="3">
        <v>1.0</v>
      </c>
    </row>
    <row r="1665" ht="15.75" customHeight="1">
      <c r="A1665" s="1">
        <v>1663.0</v>
      </c>
      <c r="B1665" s="3" t="s">
        <v>1666</v>
      </c>
      <c r="C1665" s="3" t="str">
        <f>IFERROR(__xludf.DUMMYFUNCTION("GOOGLETRANSLATE(B1665,""id"",""en"")"),"['Maen', 'game', 'try', 'explained', 'package', 'expensive', 'doang', 'thinking', 'comment', 'user', 'thinking', 'business',' Advantages', 'users',' Telkomsel ',' Semaju ']")</f>
        <v>['Maen', 'game', 'try', 'explained', 'package', 'expensive', 'doang', 'thinking', 'comment', 'user', 'thinking', 'business',' Advantages', 'users',' Telkomsel ',' Semaju ']</v>
      </c>
      <c r="D1665" s="3">
        <v>1.0</v>
      </c>
    </row>
    <row r="1666" ht="15.75" customHeight="1">
      <c r="A1666" s="1">
        <v>1664.0</v>
      </c>
      <c r="B1666" s="3" t="s">
        <v>1667</v>
      </c>
      <c r="C1666" s="3" t="str">
        <f>IFERROR(__xludf.DUMMYFUNCTION("GOOGLETRANSLATE(B1666,""id"",""en"")"),"['Telkomsel', 'card', 'Telkomsel', 'home', 'rural', 'signal', 'ugly', 'really', 'loss',' star ',' push ',' Rank ',' Gara ',' signal ',' ugly ',' regret ']")</f>
        <v>['Telkomsel', 'card', 'Telkomsel', 'home', 'rural', 'signal', 'ugly', 'really', 'loss',' star ',' push ',' Rank ',' Gara ',' signal ',' ugly ',' regret ']</v>
      </c>
      <c r="D1666" s="3">
        <v>2.0</v>
      </c>
    </row>
    <row r="1667" ht="15.75" customHeight="1">
      <c r="A1667" s="1">
        <v>1665.0</v>
      </c>
      <c r="B1667" s="3" t="s">
        <v>1668</v>
      </c>
      <c r="C1667" s="3" t="str">
        <f>IFERROR(__xludf.DUMMYFUNCTION("GOOGLETRANSLATE(B1667,""id"",""en"")"),"['Love', 'Bintang', 'Honest', 'Disappointed', 'Network', 'Telkomsel', 'Slow', 'Really', 'Ad', 'Sok', 'Network', 'Super', ' slow ',' really ',' quota ',' expensive ',' network ',' supports', '']")</f>
        <v>['Love', 'Bintang', 'Honest', 'Disappointed', 'Network', 'Telkomsel', 'Slow', 'Really', 'Ad', 'Sok', 'Network', 'Super', ' slow ',' really ',' quota ',' expensive ',' network ',' supports', '']</v>
      </c>
      <c r="D1667" s="3">
        <v>1.0</v>
      </c>
    </row>
    <row r="1668" ht="15.75" customHeight="1">
      <c r="A1668" s="1">
        <v>1666.0</v>
      </c>
      <c r="B1668" s="3" t="s">
        <v>1669</v>
      </c>
      <c r="C1668" s="3" t="str">
        <f>IFERROR(__xludf.DUMMYFUNCTION("GOOGLETRANSLATE(B1668,""id"",""en"")"),"['application', 'good', 'kouta', 'free', 'different', 'kayak', 'tetep', 'recommend', 'really', 'deh', 'suggestion', 'apk', ' Next ',' Check ',' Dayli ',' Please ',' Love ',' Vocer ',' Top ',' Game ',' Vocer ',' Discount ',' Thanks', ""]")</f>
        <v>['application', 'good', 'kouta', 'free', 'different', 'kayak', 'tetep', 'recommend', 'really', 'deh', 'suggestion', 'apk', ' Next ',' Check ',' Dayli ',' Please ',' Love ',' Vocer ',' Top ',' Game ',' Vocer ',' Discount ',' Thanks', "]</v>
      </c>
      <c r="D1668" s="3">
        <v>5.0</v>
      </c>
    </row>
    <row r="1669" ht="15.75" customHeight="1">
      <c r="A1669" s="1">
        <v>1667.0</v>
      </c>
      <c r="B1669" s="3" t="s">
        <v>1670</v>
      </c>
      <c r="C1669" s="3" t="str">
        <f>IFERROR(__xludf.DUMMYFUNCTION("GOOGLETRANSLATE(B1669,""id"",""en"")"),"['Unlimited', 'Disiang', 'burns', 'pulses', 'service', 'bad', 'network', 'disappointing', 'price', 'quota', 'fair', 'expensive']")</f>
        <v>['Unlimited', 'Disiang', 'burns', 'pulses', 'service', 'bad', 'network', 'disappointing', 'price', 'quota', 'fair', 'expensive']</v>
      </c>
      <c r="D1669" s="3">
        <v>1.0</v>
      </c>
    </row>
    <row r="1670" ht="15.75" customHeight="1">
      <c r="A1670" s="1">
        <v>1668.0</v>
      </c>
      <c r="B1670" s="3" t="s">
        <v>1671</v>
      </c>
      <c r="C1670" s="3" t="str">
        <f>IFERROR(__xludf.DUMMYFUNCTION("GOOGLETRANSLATE(B1670,""id"",""en"")"),"['access',' yes', 'thanks',' thanks', 'Telkomsel', 'twice', 'fast', 'abis',' because ',' package ',' data ',' waste ',' Hany ',' Whatsup ',' Free ',' Free ',' Package ',' Out ',' Suggestions', 'Kouta', 'Internet', 'Seminin', 'Free', 'Apps',' Kouta ' , 'ru"&amp;"n out', 'free', 'yes',' right ',' it's needed ',' sosmet ',' right ',' it's good ',' kauta ',' internet ',' amsyong ',' sanagat ',' Disappointed ',' package ',' data ',' fast ',' run out ',' auto ',' uninstall ',' change ',' card ', ""]")</f>
        <v>['access',' yes', 'thanks',' thanks', 'Telkomsel', 'twice', 'fast', 'abis',' because ',' package ',' data ',' waste ',' Hany ',' Whatsup ',' Free ',' Free ',' Package ',' Out ',' Suggestions', 'Kouta', 'Internet', 'Seminin', 'Free', 'Apps',' Kouta ' , 'run out', 'free', 'yes',' right ',' it's needed ',' sosmet ',' right ',' it's good ',' kauta ',' internet ',' amsyong ',' sanagat ',' Disappointed ',' package ',' data ',' fast ',' run out ',' auto ',' uninstall ',' change ',' card ', "]</v>
      </c>
      <c r="D1670" s="3">
        <v>1.0</v>
      </c>
    </row>
    <row r="1671" ht="15.75" customHeight="1">
      <c r="A1671" s="1">
        <v>1669.0</v>
      </c>
      <c r="B1671" s="3" t="s">
        <v>1672</v>
      </c>
      <c r="C1671" s="3" t="str">
        <f>IFERROR(__xludf.DUMMYFUNCTION("GOOGLETRANSLATE(B1671,""id"",""en"")"),"['Love', 'Star', 'Min', 'Network', 'Telkomsel', 'Ntah', 'Knapa', 'BURIK', 'Condition', 'Network', 'Prima', 'My place', ' Sultan ',' Telkomsel ',' Please ',' Note ',' Network ',' User ',' Telkomsel ',' On ',' Min ', ""]")</f>
        <v>['Love', 'Star', 'Min', 'Network', 'Telkomsel', 'Ntah', 'Knapa', 'BURIK', 'Condition', 'Network', 'Prima', 'My place', ' Sultan ',' Telkomsel ',' Please ',' Note ',' Network ',' User ',' Telkomsel ',' On ',' Min ', "]</v>
      </c>
      <c r="D1671" s="3">
        <v>3.0</v>
      </c>
    </row>
    <row r="1672" ht="15.75" customHeight="1">
      <c r="A1672" s="1">
        <v>1670.0</v>
      </c>
      <c r="B1672" s="3" t="s">
        <v>1673</v>
      </c>
      <c r="C1672" s="3" t="str">
        <f>IFERROR(__xludf.DUMMYFUNCTION("GOOGLETRANSLATE(B1672,""id"",""en"")"),"['Disappointed', 'heavy', 'bad', 'network', 'signal', 'my area', 'Sukoharjo', 'West', 'home', 'tower', 'Telkomsel', 'bad', ' signalny ',' offered ',' Telkomsel ',' Hallo ',' use ',' pulse ',' quota ',' month ',' reject ',' kek ',' gini ', ""]")</f>
        <v>['Disappointed', 'heavy', 'bad', 'network', 'signal', 'my area', 'Sukoharjo', 'West', 'home', 'tower', 'Telkomsel', 'bad', ' signalny ',' offered ',' Telkomsel ',' Hallo ',' use ',' pulse ',' quota ',' month ',' reject ',' kek ',' gini ', "]</v>
      </c>
      <c r="D1672" s="3">
        <v>1.0</v>
      </c>
    </row>
    <row r="1673" ht="15.75" customHeight="1">
      <c r="A1673" s="1">
        <v>1671.0</v>
      </c>
      <c r="B1673" s="3" t="s">
        <v>1674</v>
      </c>
      <c r="C1673" s="3" t="str">
        <f>IFERROR(__xludf.DUMMYFUNCTION("GOOGLETRANSLATE(B1673,""id"",""en"")"),"['Smart', 'and', 'Eazy', 'user', 'Severe', 'slow', 'signs',' Telkomsel ',' bankrupt ',' fraud ',' internal ',' Telkomsel ',' Honest ',' users', 'Telkomsel', 'Disappointed', '']")</f>
        <v>['Smart', 'and', 'Eazy', 'user', 'Severe', 'slow', 'signs',' Telkomsel ',' bankrupt ',' fraud ',' internal ',' Telkomsel ',' Honest ',' users', 'Telkomsel', 'Disappointed', '']</v>
      </c>
      <c r="D1673" s="3">
        <v>1.0</v>
      </c>
    </row>
    <row r="1674" ht="15.75" customHeight="1">
      <c r="A1674" s="1">
        <v>1672.0</v>
      </c>
      <c r="B1674" s="3" t="s">
        <v>1675</v>
      </c>
      <c r="C1674" s="3" t="str">
        <f>IFERROR(__xludf.DUMMYFUNCTION("GOOGLETRANSLATE(B1674,""id"",""en"")"),"['Network', 'Line', 'Full', 'TPI', 'Enter', 'Internet', 'Lamaaaa', 'UDH', 'Network', 'Slow', 'Sorry', 'Sherma', ' Move ',' card ',' disappointing ']")</f>
        <v>['Network', 'Line', 'Full', 'TPI', 'Enter', 'Internet', 'Lamaaaa', 'UDH', 'Network', 'Slow', 'Sorry', 'Sherma', ' Move ',' card ',' disappointing ']</v>
      </c>
      <c r="D1674" s="3">
        <v>1.0</v>
      </c>
    </row>
    <row r="1675" ht="15.75" customHeight="1">
      <c r="A1675" s="1">
        <v>1673.0</v>
      </c>
      <c r="B1675" s="3" t="s">
        <v>1676</v>
      </c>
      <c r="C1675" s="3" t="str">
        <f>IFERROR(__xludf.DUMMYFUNCTION("GOOGLETRANSLATE(B1675,""id"",""en"")"),"['', 'used', 'Telkomsel', 'buy', 'package', 'enter', 'buy', 'voucher', 'enter', 'price', 'package', 'notif', 'package ',' combo ',' combo ',' you ',' price ',' thousand ',' price ',' thousand ',' person ',' poor ',' press', 'mulu', 'it seems']")</f>
        <v>['', 'used', 'Telkomsel', 'buy', 'package', 'enter', 'buy', 'voucher', 'enter', 'price', 'package', 'notif', 'package ',' combo ',' combo ',' you ',' price ',' thousand ',' price ',' thousand ',' person ',' poor ',' press', 'mulu', 'it seems']</v>
      </c>
      <c r="D1675" s="3">
        <v>1.0</v>
      </c>
    </row>
    <row r="1676" ht="15.75" customHeight="1">
      <c r="A1676" s="1">
        <v>1674.0</v>
      </c>
      <c r="B1676" s="3" t="s">
        <v>1677</v>
      </c>
      <c r="C1676" s="3" t="str">
        <f>IFERROR(__xludf.DUMMYFUNCTION("GOOGLETRANSLATE(B1676,""id"",""en"")"),"['Please', 'The application', 'repaired', 'slow', 'person', 'need', 'data', 'pulses',' run out ',' buy ',' cook ',' open ',' Application ',' Telkomsel ',' Must ',' Ber ',' Hour ',' Open ']")</f>
        <v>['Please', 'The application', 'repaired', 'slow', 'person', 'need', 'data', 'pulses',' run out ',' buy ',' cook ',' open ',' Application ',' Telkomsel ',' Must ',' Ber ',' Hour ',' Open ']</v>
      </c>
      <c r="D1676" s="3">
        <v>1.0</v>
      </c>
    </row>
    <row r="1677" ht="15.75" customHeight="1">
      <c r="A1677" s="1">
        <v>1675.0</v>
      </c>
      <c r="B1677" s="3" t="s">
        <v>1678</v>
      </c>
      <c r="C1677" s="3" t="str">
        <f>IFERROR(__xludf.DUMMYFUNCTION("GOOGLETRANSLATE(B1677,""id"",""en"")"),"['Severe', 'Telkomsel', 'No', 'Package', 'Internet', 'Open', 'Internet', 'Credit', 'Cutting', 'Parahhh', 'Network', 'Severe', ' ']")</f>
        <v>['Severe', 'Telkomsel', 'No', 'Package', 'Internet', 'Open', 'Internet', 'Credit', 'Cutting', 'Parahhh', 'Network', 'Severe', ' ']</v>
      </c>
      <c r="D1677" s="3">
        <v>1.0</v>
      </c>
    </row>
    <row r="1678" ht="15.75" customHeight="1">
      <c r="A1678" s="1">
        <v>1676.0</v>
      </c>
      <c r="B1678" s="3" t="s">
        <v>1679</v>
      </c>
      <c r="C1678" s="3" t="str">
        <f>IFERROR(__xludf.DUMMYFUNCTION("GOOGLETRANSLATE(B1678,""id"",""en"")"),"['Disappointed', 'Telkomsel', 'skrg', 'use', 'quota', 'unlimite', 'speed', 'use', 'slow', 'buy', 'unlimited', 'unlimited', ' Udh ',' rich ',' limit ',' quota ',' open ',' staatus', 'muter', 'slow', 'package', 'strange', '']")</f>
        <v>['Disappointed', 'Telkomsel', 'skrg', 'use', 'quota', 'unlimite', 'speed', 'use', 'slow', 'buy', 'unlimited', 'unlimited', ' Udh ',' rich ',' limit ',' quota ',' open ',' staatus', 'muter', 'slow', 'package', 'strange', '']</v>
      </c>
      <c r="D1678" s="3">
        <v>1.0</v>
      </c>
    </row>
    <row r="1679" ht="15.75" customHeight="1">
      <c r="A1679" s="1">
        <v>1677.0</v>
      </c>
      <c r="B1679" s="3" t="s">
        <v>1680</v>
      </c>
      <c r="C1679" s="3" t="str">
        <f>IFERROR(__xludf.DUMMYFUNCTION("GOOGLETRANSLATE(B1679,""id"",""en"")"),"['network', 'Telkomsel', 'slow', 'then', 'missing', 'arising', 'price', 'ngak', 'raise', 'quality', 'good']")</f>
        <v>['network', 'Telkomsel', 'slow', 'then', 'missing', 'arising', 'price', 'ngak', 'raise', 'quality', 'good']</v>
      </c>
      <c r="D1679" s="3">
        <v>1.0</v>
      </c>
    </row>
    <row r="1680" ht="15.75" customHeight="1">
      <c r="A1680" s="1">
        <v>1678.0</v>
      </c>
      <c r="B1680" s="3" t="s">
        <v>1681</v>
      </c>
      <c r="C1680" s="3" t="str">
        <f>IFERROR(__xludf.DUMMYFUNCTION("GOOGLETRANSLATE(B1680,""id"",""en"")"),"['Ukel', 'unlimited', 'right', 'used', 'limit', 'NATURES', 'GB', 'Out', 'Application', 'Unlimited', 'Severe', 'Mending', ' Price ',' cheap ',' network ',' okay ']")</f>
        <v>['Ukel', 'unlimited', 'right', 'used', 'limit', 'NATURES', 'GB', 'Out', 'Application', 'Unlimited', 'Severe', 'Mending', ' Price ',' cheap ',' network ',' okay ']</v>
      </c>
      <c r="D1680" s="3">
        <v>1.0</v>
      </c>
    </row>
    <row r="1681" ht="15.75" customHeight="1">
      <c r="A1681" s="1">
        <v>1679.0</v>
      </c>
      <c r="B1681" s="3" t="s">
        <v>1682</v>
      </c>
      <c r="C1681" s="3" t="str">
        <f>IFERROR(__xludf.DUMMYFUNCTION("GOOGLETRANSLATE(B1681,""id"",""en"")"),"['fill', 'credit', 'rb', 'take', 'pay', 'internet', 'emergency', 'rb', 'leftover', 'pulse', 'rb', 'thousand', ' Colong ',' Kemanain ',' Mao ',' Maling ',' Money ',' People ',' Transactions', 'KGK', 'Clarity', 'Cover', 'Credit', 'Rb', 'Shy' , '']")</f>
        <v>['fill', 'credit', 'rb', 'take', 'pay', 'internet', 'emergency', 'rb', 'leftover', 'pulse', 'rb', 'thousand', ' Colong ',' Kemanain ',' Mao ',' Maling ',' Money ',' People ',' Transactions', 'KGK', 'Clarity', 'Cover', 'Credit', 'Rb', 'Shy' , '']</v>
      </c>
      <c r="D1681" s="3">
        <v>1.0</v>
      </c>
    </row>
    <row r="1682" ht="15.75" customHeight="1">
      <c r="A1682" s="1">
        <v>1680.0</v>
      </c>
      <c r="B1682" s="3" t="s">
        <v>1683</v>
      </c>
      <c r="C1682" s="3" t="str">
        <f>IFERROR(__xludf.DUMMYFUNCTION("GOOGLETRANSLATE(B1682,""id"",""en"")"),"['uda', 'pkek', 'Telkomsel', 'ugly', 'network', 'telkomsel', 'replace', 'card', 'kalok', 'kek', 'gni', 'pay', ' expensive ',' ugly ',' times', 'access',' internet ',' Telkomsel ']")</f>
        <v>['uda', 'pkek', 'Telkomsel', 'ugly', 'network', 'telkomsel', 'replace', 'card', 'kalok', 'kek', 'gni', 'pay', ' expensive ',' ugly ',' times', 'access',' internet ',' Telkomsel ']</v>
      </c>
      <c r="D1682" s="3">
        <v>1.0</v>
      </c>
    </row>
    <row r="1683" ht="15.75" customHeight="1">
      <c r="A1683" s="1">
        <v>1681.0</v>
      </c>
      <c r="B1683" s="3" t="s">
        <v>1684</v>
      </c>
      <c r="C1683" s="3" t="str">
        <f>IFERROR(__xludf.DUMMYFUNCTION("GOOGLETRANSLATE(B1683,""id"",""en"")"),"['Telkomsel', 'network', 'destroyed', 'play', 'Game', 'Telkomsel', 'satisfying', 'Customer', 'TARIP', 'quota', 'Mahalin', 'TPI', ' network ',' bad ',' play ',' game ',' online ',' disappointed ',' ']")</f>
        <v>['Telkomsel', 'network', 'destroyed', 'play', 'Game', 'Telkomsel', 'satisfying', 'Customer', 'TARIP', 'quota', 'Mahalin', 'TPI', ' network ',' bad ',' play ',' game ',' online ',' disappointed ',' ']</v>
      </c>
      <c r="D1683" s="3">
        <v>1.0</v>
      </c>
    </row>
    <row r="1684" ht="15.75" customHeight="1">
      <c r="A1684" s="1">
        <v>1682.0</v>
      </c>
      <c r="B1684" s="3" t="s">
        <v>1685</v>
      </c>
      <c r="C1684" s="3" t="str">
        <f>IFERROR(__xludf.DUMMYFUNCTION("GOOGLETRANSLATE(B1684,""id"",""en"")"),"['activated', 'card', 'hello', 'easy', 'come', 'turn', 'change', 'package', 'non', 'activated', 'complicated', 'Hra', ' Dateng ',' graparies', 'cunning', 'bother', 'org', 'skrg', 'paketan', 'expensive', 'quota', 'streaming', 'berya', 'redundant', 'coakes'"&amp;" , 'accumulation', 'quota', 'kepake', 'mending', 'activated', 'hello', 'vain', 'reversed']")</f>
        <v>['activated', 'card', 'hello', 'easy', 'come', 'turn', 'change', 'package', 'non', 'activated', 'complicated', 'Hra', ' Dateng ',' graparies', 'cunning', 'bother', 'org', 'skrg', 'paketan', 'expensive', 'quota', 'streaming', 'berya', 'redundant', 'coakes' , 'accumulation', 'quota', 'kepake', 'mending', 'activated', 'hello', 'vain', 'reversed']</v>
      </c>
      <c r="D1684" s="3">
        <v>1.0</v>
      </c>
    </row>
    <row r="1685" ht="15.75" customHeight="1">
      <c r="A1685" s="1">
        <v>1683.0</v>
      </c>
      <c r="B1685" s="3" t="s">
        <v>1686</v>
      </c>
      <c r="C1685" s="3" t="str">
        <f>IFERROR(__xludf.DUMMYFUNCTION("GOOGLETRANSLATE(B1685,""id"",""en"")"),"['min', 'Telkomsel', 'SLLU', 'SMS', 'fraud', 'can', 'check', 'gift', 'cash', 'loan', 'online', 'etc.', ' Risih ',' comes', 'SMS', 'a day', 'tens',' times', 'enter', 'message', 'inbox', 'full']")</f>
        <v>['min', 'Telkomsel', 'SLLU', 'SMS', 'fraud', 'can', 'check', 'gift', 'cash', 'loan', 'online', 'etc.', ' Risih ',' comes', 'SMS', 'a day', 'tens',' times', 'enter', 'message', 'inbox', 'full']</v>
      </c>
      <c r="D1685" s="3">
        <v>4.0</v>
      </c>
    </row>
    <row r="1686" ht="15.75" customHeight="1">
      <c r="A1686" s="1">
        <v>1684.0</v>
      </c>
      <c r="B1686" s="3" t="s">
        <v>1687</v>
      </c>
      <c r="C1686" s="3" t="str">
        <f>IFERROR(__xludf.DUMMYFUNCTION("GOOGLETRANSLATE(B1686,""id"",""en"")"),"['', 'Telkomsel', 'love', 'input', 'buy', 'package', 'data', 'package', 'nelp', 'minute', 'reduced', 'minutes',' please ',' Telkomsel ',' ']")</f>
        <v>['', 'Telkomsel', 'love', 'input', 'buy', 'package', 'data', 'package', 'nelp', 'minute', 'reduced', 'minutes',' please ',' Telkomsel ',' ']</v>
      </c>
      <c r="D1686" s="3">
        <v>5.0</v>
      </c>
    </row>
    <row r="1687" ht="15.75" customHeight="1">
      <c r="A1687" s="1">
        <v>1685.0</v>
      </c>
      <c r="B1687" s="3" t="s">
        <v>1688</v>
      </c>
      <c r="C1687" s="3" t="str">
        <f>IFERROR(__xludf.DUMMYFUNCTION("GOOGLETRANSLATE(B1687,""id"",""en"")"),"['satellite', 'Telkomsel', 'problematic', 'kah', 'network', 'slow', 'user', 'complement', 'please', 'fix', 'serious',' operator ',' Telkomsel ',' ']")</f>
        <v>['satellite', 'Telkomsel', 'problematic', 'kah', 'network', 'slow', 'user', 'complement', 'please', 'fix', 'serious',' operator ',' Telkomsel ',' ']</v>
      </c>
      <c r="D1687" s="3">
        <v>1.0</v>
      </c>
    </row>
    <row r="1688" ht="15.75" customHeight="1">
      <c r="A1688" s="1">
        <v>1686.0</v>
      </c>
      <c r="B1688" s="3" t="s">
        <v>1689</v>
      </c>
      <c r="C1688" s="3" t="str">
        <f>IFERROR(__xludf.DUMMYFUNCTION("GOOGLETRANSLATE(B1688,""id"",""en"")"),"['ugly', 'APK', 'buy', 'quota', 'enter', 'enter', 'pulse', 'missing', 'already', 'so', 'hoax', 'unlimited', ' Dahlah ', ""]")</f>
        <v>['ugly', 'APK', 'buy', 'quota', 'enter', 'enter', 'pulse', 'missing', 'already', 'so', 'hoax', 'unlimited', ' Dahlah ', "]</v>
      </c>
      <c r="D1688" s="3">
        <v>1.0</v>
      </c>
    </row>
    <row r="1689" ht="15.75" customHeight="1">
      <c r="A1689" s="1">
        <v>1687.0</v>
      </c>
      <c r="B1689" s="3" t="s">
        <v>1690</v>
      </c>
      <c r="C1689" s="3" t="str">
        <f>IFERROR(__xludf.DUMMYFUNCTION("GOOGLETRANSLATE(B1689,""id"",""en"")"),"['The application', 'no', 'functions',' waste ',' waste ',' quota ',' card ',' check ',' pulse ',' difficult ',' telvon ',' sms', ' Because ',' number ',' family ',' already ',' change ',' card ',' ugly ',' really ']")</f>
        <v>['The application', 'no', 'functions',' waste ',' waste ',' quota ',' card ',' check ',' pulse ',' difficult ',' telvon ',' sms', ' Because ',' number ',' family ',' already ',' change ',' card ',' ugly ',' really ']</v>
      </c>
      <c r="D1689" s="3">
        <v>1.0</v>
      </c>
    </row>
    <row r="1690" ht="15.75" customHeight="1">
      <c r="A1690" s="1">
        <v>1688.0</v>
      </c>
      <c r="B1690" s="3" t="s">
        <v>1691</v>
      </c>
      <c r="C1690" s="3" t="str">
        <f>IFERROR(__xludf.DUMMYFUNCTION("GOOGLETRANSLATE(B1690,""id"",""en"")"),"['Age', 'school', 'Telkomsel', 'Telkomsel', 'Sinyal', 'disappointed', 'work', 'disrupted', 'Mhon', 'repaired', ""]")</f>
        <v>['Age', 'school', 'Telkomsel', 'Telkomsel', 'Sinyal', 'disappointed', 'work', 'disrupted', 'Mhon', 'repaired', "]</v>
      </c>
      <c r="D1690" s="3">
        <v>1.0</v>
      </c>
    </row>
    <row r="1691" ht="15.75" customHeight="1">
      <c r="A1691" s="1">
        <v>1689.0</v>
      </c>
      <c r="B1691" s="3" t="s">
        <v>1692</v>
      </c>
      <c r="C1691" s="3" t="str">
        <f>IFERROR(__xludf.DUMMYFUNCTION("GOOGLETRANSLATE(B1691,""id"",""en"")"),"['Disappointed', 'Denggan', 'Telkomsel', 'Sangat', 'Sangat', 'Disappointed', 'Karimun', 'Javanese', 'Card', 'Internet', 'Telkomsel', 'Sanggat', ' Slow ',' please ',' fix ',' ']")</f>
        <v>['Disappointed', 'Denggan', 'Telkomsel', 'Sangat', 'Sangat', 'Disappointed', 'Karimun', 'Javanese', 'Card', 'Internet', 'Telkomsel', 'Sanggat', ' Slow ',' please ',' fix ',' ']</v>
      </c>
      <c r="D1691" s="3">
        <v>1.0</v>
      </c>
    </row>
    <row r="1692" ht="15.75" customHeight="1">
      <c r="A1692" s="1">
        <v>1690.0</v>
      </c>
      <c r="B1692" s="3" t="s">
        <v>1693</v>
      </c>
      <c r="C1692" s="3" t="str">
        <f>IFERROR(__xludf.DUMMYFUNCTION("GOOGLETRANSLATE(B1692,""id"",""en"")"),"['slow', 'network', 'tsel', 'ad', 'good', 'big', 'network', 'benerin', 'poor', ""]")</f>
        <v>['slow', 'network', 'tsel', 'ad', 'good', 'big', 'network', 'benerin', 'poor', "]</v>
      </c>
      <c r="D1692" s="3">
        <v>1.0</v>
      </c>
    </row>
    <row r="1693" ht="15.75" customHeight="1">
      <c r="A1693" s="1">
        <v>1691.0</v>
      </c>
      <c r="B1693" s="3" t="s">
        <v>1694</v>
      </c>
      <c r="C1693" s="3" t="str">
        <f>IFERROR(__xludf.DUMMYFUNCTION("GOOGLETRANSLATE(B1693,""id"",""en"")"),"['Good', 'bad', 'signal', 'stable', 'expensive', 'price', 'quota', 'mending', 'change', 'good', 'price', 'drain', ' bags', 'rating', 'already', 'love']")</f>
        <v>['Good', 'bad', 'signal', 'stable', 'expensive', 'price', 'quota', 'mending', 'change', 'good', 'price', 'drain', ' bags', 'rating', 'already', 'love']</v>
      </c>
      <c r="D1693" s="3">
        <v>1.0</v>
      </c>
    </row>
    <row r="1694" ht="15.75" customHeight="1">
      <c r="A1694" s="1">
        <v>1692.0</v>
      </c>
      <c r="B1694" s="3" t="s">
        <v>1695</v>
      </c>
      <c r="C1694" s="3" t="str">
        <f>IFERROR(__xludf.DUMMYFUNCTION("GOOGLETRANSLATE(B1694,""id"",""en"")"),"['Network', 'please', 'fix', 'quota', 'expensive', 'gpp', 'according to', 'network', 'expensive', 'network', 'duck', 'compound', ' Operators', 'Results',' Make it ',' Report ',' WOI ',' WOI ',' Network ',' Box ',' Box ',' Clean ',' Box ',' Ngegame ',' Buy"&amp;" ' , 'peanut', 'ping', 'talk', 'fix', 'consumer', 'need', 'proof', 'advertising', 'ad', 'good', 'network', 'BURIK', ' Boong ',' ']")</f>
        <v>['Network', 'please', 'fix', 'quota', 'expensive', 'gpp', 'according to', 'network', 'expensive', 'network', 'duck', 'compound', ' Operators', 'Results',' Make it ',' Report ',' WOI ',' WOI ',' Network ',' Box ',' Box ',' Clean ',' Box ',' Ngegame ',' Buy ' , 'peanut', 'ping', 'talk', 'fix', 'consumer', 'need', 'proof', 'advertising', 'ad', 'good', 'network', 'BURIK', ' Boong ',' ']</v>
      </c>
      <c r="D1694" s="3">
        <v>1.0</v>
      </c>
    </row>
    <row r="1695" ht="15.75" customHeight="1">
      <c r="A1695" s="1">
        <v>1693.0</v>
      </c>
      <c r="B1695" s="3" t="s">
        <v>1696</v>
      </c>
      <c r="C1695" s="3" t="str">
        <f>IFERROR(__xludf.DUMMYFUNCTION("GOOGLETRANSLATE(B1695,""id"",""en"")"),"['Please', 'Signal', 'Severe', 'Fix', 'Signal', 'Price', 'Quality', 'Souses',' User ',' Telkomsel ',' Reluctant ',' Change ',' carnakan ',' family ',' user ',' Telkomsel ',' please ',' note ',' consumer ',' fix ',' signal ', ""]")</f>
        <v>['Please', 'Signal', 'Severe', 'Fix', 'Signal', 'Price', 'Quality', 'Souses',' User ',' Telkomsel ',' Reluctant ',' Change ',' carnakan ',' family ',' user ',' Telkomsel ',' please ',' note ',' consumer ',' fix ',' signal ', "]</v>
      </c>
      <c r="D1695" s="3">
        <v>1.0</v>
      </c>
    </row>
    <row r="1696" ht="15.75" customHeight="1">
      <c r="A1696" s="1">
        <v>1694.0</v>
      </c>
      <c r="B1696" s="3" t="s">
        <v>1697</v>
      </c>
      <c r="C1696" s="3" t="str">
        <f>IFERROR(__xludf.DUMMYFUNCTION("GOOGLETRANSLATE(B1696,""id"",""en"")"),"['Thank "",' Love ',' Telkomsel ',' here ',' Network ',' Good ',' Sushsss ',' Very ',' Network ',' Nya ',' Hope ',' want ',' Telkomsel ',' Customer ',' Move ',' ']")</f>
        <v>['Thank ",' Love ',' Telkomsel ',' here ',' Network ',' Good ',' Sushsss ',' Very ',' Network ',' Nya ',' Hope ',' want ',' Telkomsel ',' Customer ',' Move ',' ']</v>
      </c>
      <c r="D1696" s="3">
        <v>1.0</v>
      </c>
    </row>
    <row r="1697" ht="15.75" customHeight="1">
      <c r="A1697" s="1">
        <v>1695.0</v>
      </c>
      <c r="B1697" s="3" t="s">
        <v>1698</v>
      </c>
      <c r="C1697" s="3" t="str">
        <f>IFERROR(__xludf.DUMMYFUNCTION("GOOGLETRANSLATE(B1697,""id"",""en"")"),"['Please', 'number', 'name', 'refision', 'friend', 'package', 'cheap', 'promo', 'expensive', 'package', 'depped', 'that's',' Promo ',' ']")</f>
        <v>['Please', 'number', 'name', 'refision', 'friend', 'package', 'cheap', 'promo', 'expensive', 'package', 'depped', 'that's',' Promo ',' ']</v>
      </c>
      <c r="D1697" s="3">
        <v>1.0</v>
      </c>
    </row>
    <row r="1698" ht="15.75" customHeight="1">
      <c r="A1698" s="1">
        <v>1696.0</v>
      </c>
      <c r="B1698" s="3" t="s">
        <v>1699</v>
      </c>
      <c r="C1698" s="3" t="str">
        <f>IFERROR(__xludf.DUMMYFUNCTION("GOOGLETRANSLATE(B1698,""id"",""en"")"),"['Stay', 'City', 'Guarantee', 'Quality', 'Signal', 'Telkomsel', 'Good', 'Bad', 'Decreases',' Performing ',' Love ',' Customer ',' info ',' disorders', 'network', 'constraints',' service ',' umbar ',' promo ',' maintenance ',' customer ',' guarded ',' note"&amp;"d ',' robot ',' news' , 'solution', 'medsos', 'customer', 'understand', 'lazy', 'entrance', 'customer', 'because', 'customers', 'Telkomsel', 'rich', ""]")</f>
        <v>['Stay', 'City', 'Guarantee', 'Quality', 'Signal', 'Telkomsel', 'Good', 'Bad', 'Decreases',' Performing ',' Love ',' Customer ',' info ',' disorders', 'network', 'constraints',' service ',' umbar ',' promo ',' maintenance ',' customer ',' guarded ',' noted ',' robot ',' news' , 'solution', 'medsos', 'customer', 'understand', 'lazy', 'entrance', 'customer', 'because', 'customers', 'Telkomsel', 'rich', "]</v>
      </c>
      <c r="D1698" s="3">
        <v>1.0</v>
      </c>
    </row>
    <row r="1699" ht="15.75" customHeight="1">
      <c r="A1699" s="1">
        <v>1697.0</v>
      </c>
      <c r="B1699" s="3" t="s">
        <v>1700</v>
      </c>
      <c r="C1699" s="3" t="str">
        <f>IFERROR(__xludf.DUMMYFUNCTION("GOOGLETRANSLATE(B1699,""id"",""en"")"),"['leftover', 'quota', 'aligned', 'grace', 'run out', 'charging', 'please', 'return', 'Singapore', 'bleku', 'buy', 'Please', ' Return ',' used ',' run out ',' ']")</f>
        <v>['leftover', 'quota', 'aligned', 'grace', 'run out', 'charging', 'please', 'return', 'Singapore', 'bleku', 'buy', 'Please', ' Return ',' used ',' run out ',' ']</v>
      </c>
      <c r="D1699" s="3">
        <v>5.0</v>
      </c>
    </row>
    <row r="1700" ht="15.75" customHeight="1">
      <c r="A1700" s="1">
        <v>1698.0</v>
      </c>
      <c r="B1700" s="3" t="s">
        <v>1701</v>
      </c>
      <c r="C1700" s="3" t="str">
        <f>IFERROR(__xludf.DUMMYFUNCTION("GOOGLETRANSLATE(B1700,""id"",""en"")"),"['Star', 'Changed', 'Service', 'Bad', 'Door', 'Enter', 'Parking', 'GraPARI', 'Makassar', 'Satpam', 'Bad', 'Enter', ' Building ',' Officer ',' Keep ',' Counters', 'Queue', 'Jdi', 'Sitting', 'Mencetan', 'Trnata', 'Take', 'Number', 'Queue', 'Officer' , 'his "&amp;"officer', 'active', 'customer', 'related', 'change', 'data', 'tratata', 'requires',' customer ',' carry ',' card ',' family ',' Take ',' number ',' Dibillain ',' Cust ',' Severe ',' ']")</f>
        <v>['Star', 'Changed', 'Service', 'Bad', 'Door', 'Enter', 'Parking', 'GraPARI', 'Makassar', 'Satpam', 'Bad', 'Enter', ' Building ',' Officer ',' Keep ',' Counters', 'Queue', 'Jdi', 'Sitting', 'Mencetan', 'Trnata', 'Take', 'Number', 'Queue', 'Officer' , 'his officer', 'active', 'customer', 'related', 'change', 'data', 'tratata', 'requires',' customer ',' carry ',' card ',' family ',' Take ',' number ',' Dibillain ',' Cust ',' Severe ',' ']</v>
      </c>
      <c r="D1700" s="3">
        <v>1.0</v>
      </c>
    </row>
    <row r="1701" ht="15.75" customHeight="1">
      <c r="A1701" s="1">
        <v>1699.0</v>
      </c>
      <c r="B1701" s="3" t="s">
        <v>1702</v>
      </c>
      <c r="C1701" s="3" t="str">
        <f>IFERROR(__xludf.DUMMYFUNCTION("GOOGLETRANSLATE(B1701,""id"",""en"")"),"['Fun', 'Network', 'Paketan', 'Severe', 'Expensive', 'Price', 'Paketan', 'Bad', 'Juning', 'Affordable', 'Signal', 'Parahhhhhh', ' Abisssse ',' Neh ',' Price ',' Expensive ',' Quality ',' Badkkkk ']")</f>
        <v>['Fun', 'Network', 'Paketan', 'Severe', 'Expensive', 'Price', 'Paketan', 'Bad', 'Juning', 'Affordable', 'Signal', 'Parahhhhhh', ' Abisssse ',' Neh ',' Price ',' Expensive ',' Quality ',' Badkkkk ']</v>
      </c>
      <c r="D1701" s="3">
        <v>1.0</v>
      </c>
    </row>
    <row r="1702" ht="15.75" customHeight="1">
      <c r="A1702" s="1">
        <v>1700.0</v>
      </c>
      <c r="B1702" s="3" t="s">
        <v>1703</v>
      </c>
      <c r="C1702" s="3" t="str">
        <f>IFERROR(__xludf.DUMMYFUNCTION("GOOGLETRANSLATE(B1702,""id"",""en"")"),"['Doang', 'felt', 'signal', 'internet', 'Telkomsel', 'bad', 'send', 'order', 'open', 'quota', 'lamampin', 'screenshot', ' screenshot ',' deh ',' sad ',' class', 'Telkomsel', 'gini', 'signal', '']")</f>
        <v>['Doang', 'felt', 'signal', 'internet', 'Telkomsel', 'bad', 'send', 'order', 'open', 'quota', 'lamampin', 'screenshot', ' screenshot ',' deh ',' sad ',' class', 'Telkomsel', 'gini', 'signal', '']</v>
      </c>
      <c r="D1702" s="3">
        <v>1.0</v>
      </c>
    </row>
    <row r="1703" ht="15.75" customHeight="1">
      <c r="A1703" s="1">
        <v>1701.0</v>
      </c>
      <c r="B1703" s="3" t="s">
        <v>1704</v>
      </c>
      <c r="C1703" s="3" t="str">
        <f>IFERROR(__xludf.DUMMYFUNCTION("GOOGLETRANSLATE(B1703,""id"",""en"")"),"['Please', 'Fix', 'Quality', 'Sousal', 'Region', 'Share', 'Send', 'Message', 'WhatsApp', 'Loading', 'Price', 'Expensive', ' Operators', 'Prices',' Cheap ',' Network ',' Good ']")</f>
        <v>['Please', 'Fix', 'Quality', 'Sousal', 'Region', 'Share', 'Send', 'Message', 'WhatsApp', 'Loading', 'Price', 'Expensive', ' Operators', 'Prices',' Cheap ',' Network ',' Good ']</v>
      </c>
      <c r="D1703" s="3">
        <v>1.0</v>
      </c>
    </row>
    <row r="1704" ht="15.75" customHeight="1">
      <c r="A1704" s="1">
        <v>1702.0</v>
      </c>
      <c r="B1704" s="3" t="s">
        <v>1705</v>
      </c>
      <c r="C1704" s="3" t="str">
        <f>IFERROR(__xludf.DUMMYFUNCTION("GOOGLETRANSLATE(B1704,""id"",""en"")"),"['Telkomsel', 'network', 'slow', 'severe', 'price', 'expensive', 'crazy', 'disappointed', 'select', 'internet', 'Malaysia', 'above' sky ',' internet ',' Indonesia ',' price ',' cheap ',' quota ',' unlimited ',' division ',' quota ',' no ',' internet ',' I"&amp;"ndonesia ',' quota ' , 'Distribution', 'wkwkwk', 'Telkomsel', 'Malaysia', 'no', 'use', 'network', 'snail', 'price', 'kayak', 'no', 'entry', ' sense ',' quota ',' Malaysia ',' pay ',' ringgit ',' already ',' unlimited ',' youtube ',' internet ',' Indonesia"&amp;" ',' comparable ']")</f>
        <v>['Telkomsel', 'network', 'slow', 'severe', 'price', 'expensive', 'crazy', 'disappointed', 'select', 'internet', 'Malaysia', 'above' sky ',' internet ',' Indonesia ',' price ',' cheap ',' quota ',' unlimited ',' division ',' quota ',' no ',' internet ',' Indonesia ',' quota ' , 'Distribution', 'wkwkwk', 'Telkomsel', 'Malaysia', 'no', 'use', 'network', 'snail', 'price', 'kayak', 'no', 'entry', ' sense ',' quota ',' Malaysia ',' pay ',' ringgit ',' already ',' unlimited ',' youtube ',' internet ',' Indonesia ',' comparable ']</v>
      </c>
      <c r="D1704" s="3">
        <v>1.0</v>
      </c>
    </row>
    <row r="1705" ht="15.75" customHeight="1">
      <c r="A1705" s="1">
        <v>1703.0</v>
      </c>
      <c r="B1705" s="3" t="s">
        <v>1706</v>
      </c>
      <c r="C1705" s="3" t="str">
        <f>IFERROR(__xludf.DUMMYFUNCTION("GOOGLETRANSLATE(B1705,""id"",""en"")"),"['Come on', 'already', 'Telkomsel', 'here', 'signal', 'play', 'mobile', 'legend', 'bang', 'bang', 'delay', 'signal', ' The exit ',' ']")</f>
        <v>['Come on', 'already', 'Telkomsel', 'here', 'signal', 'play', 'mobile', 'legend', 'bang', 'bang', 'delay', 'signal', ' The exit ',' ']</v>
      </c>
      <c r="D1705" s="3">
        <v>1.0</v>
      </c>
    </row>
    <row r="1706" ht="15.75" customHeight="1">
      <c r="A1706" s="1">
        <v>1704.0</v>
      </c>
      <c r="B1706" s="3" t="s">
        <v>1707</v>
      </c>
      <c r="C1706" s="3" t="str">
        <f>IFERROR(__xludf.DUMMYFUNCTION("GOOGLETRANSLATE(B1706,""id"",""en"")"),"['expensive', 'Doang', 'anjeng', 'YouTube', 'Gaa', 'Gaa', 'game', 'right', 'game', 'enter', 'already', 'game', ' Enter ',' YouTube ',' enter ',' already ',' Gaa ',' kntle ',' emang ',' Telkomsel ', ""]")</f>
        <v>['expensive', 'Doang', 'anjeng', 'YouTube', 'Gaa', 'Gaa', 'game', 'right', 'game', 'enter', 'already', 'game', ' Enter ',' YouTube ',' enter ',' already ',' Gaa ',' kntle ',' emang ',' Telkomsel ', "]</v>
      </c>
      <c r="D1706" s="3">
        <v>1.0</v>
      </c>
    </row>
    <row r="1707" ht="15.75" customHeight="1">
      <c r="A1707" s="1">
        <v>1705.0</v>
      </c>
      <c r="B1707" s="3" t="s">
        <v>1708</v>
      </c>
      <c r="C1707" s="3" t="str">
        <f>IFERROR(__xludf.DUMMYFUNCTION("GOOGLETRANSLATE(B1707,""id"",""en"")"),"['Disappointed', 'Telkomsel', 'Package', 'Telkomsel', 'Most expensive', 'according to', 'bad', 'its network']")</f>
        <v>['Disappointed', 'Telkomsel', 'Package', 'Telkomsel', 'Most expensive', 'according to', 'bad', 'its network']</v>
      </c>
      <c r="D1707" s="3">
        <v>1.0</v>
      </c>
    </row>
    <row r="1708" ht="15.75" customHeight="1">
      <c r="A1708" s="1">
        <v>1706.0</v>
      </c>
      <c r="B1708" s="3" t="s">
        <v>1709</v>
      </c>
      <c r="C1708" s="3" t="str">
        <f>IFERROR(__xludf.DUMMYFUNCTION("GOOGLETRANSLATE(B1708,""id"",""en"")"),"['buy', 'quota', 'mending', 'price', 'according to', 'shown', 'APP', 'MyTelkomsel', 'buy', 'quota', 'price', 'said', ' pulse ',' balance ',' pulses', '']")</f>
        <v>['buy', 'quota', 'mending', 'price', 'according to', 'shown', 'APP', 'MyTelkomsel', 'buy', 'quota', 'price', 'said', ' pulse ',' balance ',' pulses', '']</v>
      </c>
      <c r="D1708" s="3">
        <v>2.0</v>
      </c>
    </row>
    <row r="1709" ht="15.75" customHeight="1">
      <c r="A1709" s="1">
        <v>1707.0</v>
      </c>
      <c r="B1709" s="3" t="s">
        <v>1710</v>
      </c>
      <c r="C1709" s="3" t="str">
        <f>IFERROR(__xludf.DUMMYFUNCTION("GOOGLETRANSLATE(B1709,""id"",""en"")"),"['price', 'package', 'expensive', 'contents',' quota ',' price ',' quality ',' network ',' Telkomsel ',' severe ',' lag ',' in the area ',' Bekasi ',' North ',' KNP ',' Like ',' Down ',' Network ',' Package ',' Price ',' Expensive ',' Network ',' ugly ','"&amp;" Please ',' repaired ' , 'Customer', 'Telkomsel', 'Disappointed', '']")</f>
        <v>['price', 'package', 'expensive', 'contents',' quota ',' price ',' quality ',' network ',' Telkomsel ',' severe ',' lag ',' in the area ',' Bekasi ',' North ',' KNP ',' Like ',' Down ',' Network ',' Package ',' Price ',' Expensive ',' Network ',' ugly ',' Please ',' repaired ' , 'Customer', 'Telkomsel', 'Disappointed', '']</v>
      </c>
      <c r="D1709" s="3">
        <v>1.0</v>
      </c>
    </row>
    <row r="1710" ht="15.75" customHeight="1">
      <c r="A1710" s="1">
        <v>1708.0</v>
      </c>
      <c r="B1710" s="3" t="s">
        <v>1711</v>
      </c>
      <c r="C1710" s="3" t="str">
        <f>IFERROR(__xludf.DUMMYFUNCTION("GOOGLETRANSLATE(B1710,""id"",""en"")"),"['Please', 'Telkomsel', 'Menon', 'Activate', 'Number', 'Notification', 'Late', 'Fill', 'Credit', 'Neis',' already ',' Non ',' Activate ',' Forgotten ',' Extend ',' Naturally ',' Karna ',' Thinking ',' Energy ',' On ',' Please ',' Definition ',' Move ',' M"&amp;"ove ',' Card ' , 'service', 'already', 'expensive', 'expensive', 'buy', 'package', 'data', 'network', 'internet', 'ugly', ""]")</f>
        <v>['Please', 'Telkomsel', 'Menon', 'Activate', 'Number', 'Notification', 'Late', 'Fill', 'Credit', 'Neis',' already ',' Non ',' Activate ',' Forgotten ',' Extend ',' Naturally ',' Karna ',' Thinking ',' Energy ',' On ',' Please ',' Definition ',' Move ',' Move ',' Card ' , 'service', 'already', 'expensive', 'expensive', 'buy', 'package', 'data', 'network', 'internet', 'ugly', "]</v>
      </c>
      <c r="D1710" s="3">
        <v>1.0</v>
      </c>
    </row>
    <row r="1711" ht="15.75" customHeight="1">
      <c r="A1711" s="1">
        <v>1709.0</v>
      </c>
      <c r="B1711" s="3" t="s">
        <v>1712</v>
      </c>
      <c r="C1711" s="3" t="str">
        <f>IFERROR(__xludf.DUMMYFUNCTION("GOOGLETRANSLATE(B1711,""id"",""en"")"),"['Contents',' pulse ',' buy ',' package ',' internet ',' package ',' unlimited ',' rb ',' masi ',' turn ',' already ',' contents', ' pulse ',' ilang ',' fear ',' really ',' customer ',' fortunate ',' njeng ']")</f>
        <v>['Contents',' pulse ',' buy ',' package ',' internet ',' package ',' unlimited ',' rb ',' masi ',' turn ',' already ',' contents', ' pulse ',' ilang ',' fear ',' really ',' customer ',' fortunate ',' njeng ']</v>
      </c>
      <c r="D1711" s="3">
        <v>1.0</v>
      </c>
    </row>
    <row r="1712" ht="15.75" customHeight="1">
      <c r="A1712" s="1">
        <v>1710.0</v>
      </c>
      <c r="B1712" s="3" t="s">
        <v>1713</v>
      </c>
      <c r="C1712" s="3" t="str">
        <f>IFERROR(__xludf.DUMMYFUNCTION("GOOGLETRANSLATE(B1712,""id"",""en"")"),"['', 'regret', 'buy', 'package', 'sympathy', 'unlimited', 'GB', 'hrga', 'thousand', 'prtma', 'use', 'delicious',' smoothly ',' quota ',' main ',' out ',' youtube ',' titktok ',' ngegame ',' smooth ',' usage ',' limited ',' normal ',' bln ',' use ', 'quota"&amp;"', 'UTMA', 'HBS', 'limit', 'Naturally', 'slow', 'Dengah', 'smartfren', 'disappointed', 'really', 'Telkomsel', 'Dri', 'smartfren ',' HRI ',' Limit ',' slow ',' mnta ',' forgiveness', 'regret', 'bget', 'use', 'card', 'exporter', 'unlimited', 'can', '']")</f>
        <v>['', 'regret', 'buy', 'package', 'sympathy', 'unlimited', 'GB', 'hrga', 'thousand', 'prtma', 'use', 'delicious',' smoothly ',' quota ',' main ',' out ',' youtube ',' titktok ',' ngegame ',' smooth ',' usage ',' limited ',' normal ',' bln ',' use ', 'quota', 'UTMA', 'HBS', 'limit', 'Naturally', 'slow', 'Dengah', 'smartfren', 'disappointed', 'really', 'Telkomsel', 'Dri', 'smartfren ',' HRI ',' Limit ',' slow ',' mnta ',' forgiveness', 'regret', 'bget', 'use', 'card', 'exporter', 'unlimited', 'can', '']</v>
      </c>
      <c r="D1712" s="3">
        <v>1.0</v>
      </c>
    </row>
    <row r="1713" ht="15.75" customHeight="1">
      <c r="A1713" s="1">
        <v>1711.0</v>
      </c>
      <c r="B1713" s="3" t="s">
        <v>1714</v>
      </c>
      <c r="C1713" s="3" t="str">
        <f>IFERROR(__xludf.DUMMYFUNCTION("GOOGLETRANSLATE(B1713,""id"",""en"")"),"['already', 'loyal', 'use', 'Telkomsel', 'many years',' replied ',' satisfying ',' area ',' city ',' class', 'area', 'Juanda', ' signal ',' severe ',' dilapidated ',' emotion ',' gini ',' signal ',' best ',' hadeh ']")</f>
        <v>['already', 'loyal', 'use', 'Telkomsel', 'many years',' replied ',' satisfying ',' area ',' city ',' class', 'area', 'Juanda', ' signal ',' severe ',' dilapidated ',' emotion ',' gini ',' signal ',' best ',' hadeh ']</v>
      </c>
      <c r="D1713" s="3">
        <v>1.0</v>
      </c>
    </row>
    <row r="1714" ht="15.75" customHeight="1">
      <c r="A1714" s="1">
        <v>1712.0</v>
      </c>
      <c r="B1714" s="3" t="s">
        <v>1715</v>
      </c>
      <c r="C1714" s="3" t="str">
        <f>IFERROR(__xludf.DUMMYFUNCTION("GOOGLETRANSLATE(B1714,""id"",""en"")"),"['Please', 'Telkomsel', 'Network', 'Telkomsel', 'already', 'buy', 'package', 'expensive', 'please', 'Increase', 'the network', 'buy', ' package ',' expensive ',' network ',' slow ',' night ',' no ',' no ',' love ',' convenience ',' customer ',' mending ',"&amp;"' replace ',' card ' , 'quality', 'good', 'Telkomsel', '']")</f>
        <v>['Please', 'Telkomsel', 'Network', 'Telkomsel', 'already', 'buy', 'package', 'expensive', 'please', 'Increase', 'the network', 'buy', ' package ',' expensive ',' network ',' slow ',' night ',' no ',' no ',' love ',' convenience ',' customer ',' mending ',' replace ',' card ' , 'quality', 'good', 'Telkomsel', '']</v>
      </c>
      <c r="D1714" s="3">
        <v>2.0</v>
      </c>
    </row>
    <row r="1715" ht="15.75" customHeight="1">
      <c r="A1715" s="1">
        <v>1713.0</v>
      </c>
      <c r="B1715" s="3" t="s">
        <v>1716</v>
      </c>
      <c r="C1715" s="3" t="str">
        <f>IFERROR(__xludf.DUMMYFUNCTION("GOOGLETRANSLATE(B1715,""id"",""en"")"),"['happy', 'transaction', 'purchase', 'package', 'internet', 'nelfon', 'easy', 'spirit', 'best', 'costumer', 'greetings',' success', ' ']")</f>
        <v>['happy', 'transaction', 'purchase', 'package', 'internet', 'nelfon', 'easy', 'spirit', 'best', 'costumer', 'greetings',' success', ' ']</v>
      </c>
      <c r="D1715" s="3">
        <v>5.0</v>
      </c>
    </row>
    <row r="1716" ht="15.75" customHeight="1">
      <c r="A1716" s="1">
        <v>1714.0</v>
      </c>
      <c r="B1716" s="3" t="s">
        <v>1717</v>
      </c>
      <c r="C1716" s="3" t="str">
        <f>IFERROR(__xludf.DUMMYFUNCTION("GOOGLETRANSLATE(B1716,""id"",""en"")"),"['MyTelkomsel', 'buy', 'package', 'UnlimitedMax', 'In it', 'subscribe', 'Disney', 'Hotstar', 'access',' application ',' subscribe ',' please ',' disappointed']")</f>
        <v>['MyTelkomsel', 'buy', 'package', 'UnlimitedMax', 'In it', 'subscribe', 'Disney', 'Hotstar', 'access',' application ',' subscribe ',' please ',' disappointed']</v>
      </c>
      <c r="D1716" s="3">
        <v>1.0</v>
      </c>
    </row>
    <row r="1717" ht="15.75" customHeight="1">
      <c r="A1717" s="1">
        <v>1715.0</v>
      </c>
      <c r="B1717" s="3" t="s">
        <v>1718</v>
      </c>
      <c r="C1717" s="3" t="str">
        <f>IFERROR(__xludf.DUMMYFUNCTION("GOOGLETRANSLATE(B1717,""id"",""en"")"),"['users',' loyal ',' Telkomsel ',' a week ',' buy ',' Vocer ',' package ',' data ',' entry ',' vocer ',' package ',' data ',' Input ',' check ',' series', 'Vocer', 'used', 'right', 'use', 'good', 'inconsequential']")</f>
        <v>['users',' loyal ',' Telkomsel ',' a week ',' buy ',' Vocer ',' package ',' data ',' entry ',' vocer ',' package ',' data ',' Input ',' check ',' series', 'Vocer', 'used', 'right', 'use', 'good', 'inconsequential']</v>
      </c>
      <c r="D1717" s="3">
        <v>1.0</v>
      </c>
    </row>
    <row r="1718" ht="15.75" customHeight="1">
      <c r="A1718" s="1">
        <v>1716.0</v>
      </c>
      <c r="B1718" s="3" t="s">
        <v>1719</v>
      </c>
      <c r="C1718" s="3" t="str">
        <f>IFERROR(__xludf.DUMMYFUNCTION("GOOGLETRANSLATE(B1718,""id"",""en"")"),"['Buy', 'Package', 'Tel', 'Weekly', 'appears', 'Telkomsel', 'Telkomsel', 'Wrong', 'Please', 'Charry', ""]")</f>
        <v>['Buy', 'Package', 'Tel', 'Weekly', 'appears', 'Telkomsel', 'Telkomsel', 'Wrong', 'Please', 'Charry', "]</v>
      </c>
      <c r="D1718" s="3">
        <v>5.0</v>
      </c>
    </row>
    <row r="1719" ht="15.75" customHeight="1">
      <c r="A1719" s="1">
        <v>1717.0</v>
      </c>
      <c r="B1719" s="3" t="s">
        <v>1720</v>
      </c>
      <c r="C1719" s="3" t="str">
        <f>IFERROR(__xludf.DUMMYFUNCTION("GOOGLETRANSLATE(B1719,""id"",""en"")"),"['users',' Telkomsel ',' Mobile ',' Times', 'Change', 'Provider', 'Change', 'Provider', 'Karna', 'Network', 'Bad', 'Recommendation', ' Internet ',' Game ',' Inviting ',' Family ',' Move ',' Provider ',' Hopefully ',' Invite ',' Moving ',' Expensive ',' Do"&amp;"ang ',' Signal ',' Ancurr ' , 'replication', 'chat', 'page', 'msh', 'use', 'chat', 'bot', 'then', 'point', 'veronica', 'assistant', 'stupinya', ' Already ',' bye ']")</f>
        <v>['users',' Telkomsel ',' Mobile ',' Times', 'Change', 'Provider', 'Change', 'Provider', 'Karna', 'Network', 'Bad', 'Recommendation', ' Internet ',' Game ',' Inviting ',' Family ',' Move ',' Provider ',' Hopefully ',' Invite ',' Moving ',' Expensive ',' Doang ',' Signal ',' Ancurr ' , 'replication', 'chat', 'page', 'msh', 'use', 'chat', 'bot', 'then', 'point', 'veronica', 'assistant', 'stupinya', ' Already ',' bye ']</v>
      </c>
      <c r="D1719" s="3">
        <v>1.0</v>
      </c>
    </row>
    <row r="1720" ht="15.75" customHeight="1">
      <c r="A1720" s="1">
        <v>1718.0</v>
      </c>
      <c r="B1720" s="3" t="s">
        <v>1721</v>
      </c>
      <c r="C1720" s="3" t="str">
        <f>IFERROR(__xludf.DUMMYFUNCTION("GOOGLETRANSLATE(B1720,""id"",""en"")"),"['Drop', 'play', 'game', 'recommendation', 'really', 'play', 'game', 'recommend', 'call', 'sms',' technology ',' sophisticated ',' Basic ',' card ',' miss', 'era', 'Thanks', ""]")</f>
        <v>['Drop', 'play', 'game', 'recommendation', 'really', 'play', 'game', 'recommend', 'call', 'sms',' technology ',' sophisticated ',' Basic ',' card ',' miss', 'era', 'Thanks', "]</v>
      </c>
      <c r="D1720" s="3">
        <v>1.0</v>
      </c>
    </row>
    <row r="1721" ht="15.75" customHeight="1">
      <c r="A1721" s="1">
        <v>1719.0</v>
      </c>
      <c r="B1721" s="3" t="s">
        <v>1722</v>
      </c>
      <c r="C1721" s="3" t="str">
        <f>IFERROR(__xludf.DUMMYFUNCTION("GOOGLETRANSLATE(B1721,""id"",""en"")"),"['advanced', 'technology', 'network', 'open', 'speed', 'internet', 'network', 'Telkomsel', 'disappointing', 'downhill', 'package', 'data', ' speed ',' connection ',' decreases', 'network', 'printed', 'LTE', 'slow', 'sometimes',' breaking ',' moved ',' for"&amp;"est ',' yes', 'city' , 'district', 'slow', 'contact', 'Call', 'Center', 'Lakanin', 'instructions',' result ',' test ',' Try ',' card ',' lbh ',' Good ',' loyal ',' Telkomsel ',' mk ',' ttp ',' card ',' main ',' honest ',' disappointing ']")</f>
        <v>['advanced', 'technology', 'network', 'open', 'speed', 'internet', 'network', 'Telkomsel', 'disappointing', 'downhill', 'package', 'data', ' speed ',' connection ',' decreases', 'network', 'printed', 'LTE', 'slow', 'sometimes',' breaking ',' moved ',' forest ',' yes', 'city' , 'district', 'slow', 'contact', 'Call', 'Center', 'Lakanin', 'instructions',' result ',' test ',' Try ',' card ',' lbh ',' Good ',' loyal ',' Telkomsel ',' mk ',' ttp ',' card ',' main ',' honest ',' disappointing ']</v>
      </c>
      <c r="D1721" s="3">
        <v>2.0</v>
      </c>
    </row>
    <row r="1722" ht="15.75" customHeight="1">
      <c r="A1722" s="1">
        <v>1720.0</v>
      </c>
      <c r="B1722" s="3" t="s">
        <v>1723</v>
      </c>
      <c r="C1722" s="3" t="str">
        <f>IFERROR(__xludf.DUMMYFUNCTION("GOOGLETRANSLATE(B1722,""id"",""en"")"),"['users',' Telkomsel ',' Inidenik ',' ratherlama ',' bad ',' Telkomsel ',' login ',' Wait ',' really ',' play ',' pub ',' broke ',' network ',' network ',' already ',' send ',' message ',' gmail ',' email ',' printed ',' telebgram ',' really ',' account '"&amp;",' bot ',' fake ' , 'Please', 'really', 'strengthen', 'already', 'expensive', 'lag', 'mulu', 'hadwehh', ""]")</f>
        <v>['users',' Telkomsel ',' Inidenik ',' ratherlama ',' bad ',' Telkomsel ',' login ',' Wait ',' really ',' play ',' pub ',' broke ',' network ',' network ',' already ',' send ',' message ',' gmail ',' email ',' printed ',' telebgram ',' really ',' account ',' bot ',' fake ' , 'Please', 'really', 'strengthen', 'already', 'expensive', 'lag', 'mulu', 'hadwehh', "]</v>
      </c>
      <c r="D1722" s="3">
        <v>1.0</v>
      </c>
    </row>
    <row r="1723" ht="15.75" customHeight="1">
      <c r="A1723" s="1">
        <v>1721.0</v>
      </c>
      <c r="B1723" s="3" t="s">
        <v>1724</v>
      </c>
      <c r="C1723" s="3" t="str">
        <f>IFERROR(__xludf.DUMMYFUNCTION("GOOGLETRANSLATE(B1723,""id"",""en"")"),"['Sorry', 'enthusiasts',' Telkomsel ',' card ',' lei ',' aga ',' disappointed ',' package ',' data ',' naunt ',' sample ',' package ',' Cheerful ',' Naikan ',' Naikan ',' Enoops', 'Survive', 'Increases',' Price ',' Naik ',' Customer ',' Glad ',' Tomorrow "&amp;"',' Disappointed ', ""]")</f>
        <v>['Sorry', 'enthusiasts',' Telkomsel ',' card ',' lei ',' aga ',' disappointed ',' package ',' data ',' naunt ',' sample ',' package ',' Cheerful ',' Naikan ',' Naikan ',' Enoops', 'Survive', 'Increases',' Price ',' Naik ',' Customer ',' Glad ',' Tomorrow ',' Disappointed ', "]</v>
      </c>
      <c r="D1723" s="3">
        <v>1.0</v>
      </c>
    </row>
    <row r="1724" ht="15.75" customHeight="1">
      <c r="A1724" s="1">
        <v>1722.0</v>
      </c>
      <c r="B1724" s="3" t="s">
        <v>1725</v>
      </c>
      <c r="C1724" s="3" t="str">
        <f>IFERROR(__xludf.DUMMYFUNCTION("GOOGLETRANSLATE(B1724,""id"",""en"")"),"['ugly', 'network', 'Telkomsel', 'please', 'fix', 'fortunate', 'service', 'improvement', 'ampasss']")</f>
        <v>['ugly', 'network', 'Telkomsel', 'please', 'fix', 'fortunate', 'service', 'improvement', 'ampasss']</v>
      </c>
      <c r="D1724" s="3">
        <v>1.0</v>
      </c>
    </row>
    <row r="1725" ht="15.75" customHeight="1">
      <c r="A1725" s="1">
        <v>1723.0</v>
      </c>
      <c r="B1725" s="3" t="s">
        <v>1726</v>
      </c>
      <c r="C1725" s="3" t="str">
        <f>IFERROR(__xludf.DUMMYFUNCTION("GOOGLETRANSLATE(B1725,""id"",""en"")"),"['star', 'zero', 'love', 'star', 'zero', 'price', 'expensive', 'quality', 'network', 'bad', 'provider', 'dilapidated', ' His name is', '']")</f>
        <v>['star', 'zero', 'love', 'star', 'zero', 'price', 'expensive', 'quality', 'network', 'bad', 'provider', 'dilapidated', ' His name is', '']</v>
      </c>
      <c r="D1725" s="3">
        <v>1.0</v>
      </c>
    </row>
    <row r="1726" ht="15.75" customHeight="1">
      <c r="A1726" s="1">
        <v>1724.0</v>
      </c>
      <c r="B1726" s="3" t="s">
        <v>1727</v>
      </c>
      <c r="C1726" s="3" t="str">
        <f>IFERROR(__xludf.DUMMYFUNCTION("GOOGLETRANSLATE(B1726,""id"",""en"")"),"['Disappointed', 'Telkomsel', 'buy', 'package', 'internet', 'unlimited', 'price', 'use', 'unlimited', 'game', 'times',' AFK ',' games', 'confirm', 'Telkomsel', 'use', 'signal', 'good', 'speed', 'sinya', 'okay', 'really', 'nii', 'please', 'help' , 'Pliss',"&amp;" 'troubling', 'really', 'unlimited', 'Gamenya', 'Benerin', 'Kasi', 'Bintang', 'Please', 'Help', ""]")</f>
        <v>['Disappointed', 'Telkomsel', 'buy', 'package', 'internet', 'unlimited', 'price', 'use', 'unlimited', 'game', 'times',' AFK ',' games', 'confirm', 'Telkomsel', 'use', 'signal', 'good', 'speed', 'sinya', 'okay', 'really', 'nii', 'please', 'help' , 'Pliss', 'troubling', 'really', 'unlimited', 'Gamenya', 'Benerin', 'Kasi', 'Bintang', 'Please', 'Help', "]</v>
      </c>
      <c r="D1726" s="3">
        <v>1.0</v>
      </c>
    </row>
    <row r="1727" ht="15.75" customHeight="1">
      <c r="A1727" s="1">
        <v>1725.0</v>
      </c>
      <c r="B1727" s="3" t="s">
        <v>1728</v>
      </c>
      <c r="C1727" s="3" t="str">
        <f>IFERROR(__xludf.DUMMYFUNCTION("GOOGLETRANSLATE(B1727,""id"",""en"")"),"['hope', 'card', 'Telkomsel', 'loops',' circulation ',' multiply ',' city ',' lombok ',' ntb ',' please ',' connection ',' signal ',' Internet ',' Fix ',' ']")</f>
        <v>['hope', 'card', 'Telkomsel', 'loops',' circulation ',' multiply ',' city ',' lombok ',' ntb ',' please ',' connection ',' signal ',' Internet ',' Fix ',' ']</v>
      </c>
      <c r="D1727" s="3">
        <v>5.0</v>
      </c>
    </row>
    <row r="1728" ht="15.75" customHeight="1">
      <c r="A1728" s="1">
        <v>1726.0</v>
      </c>
      <c r="B1728" s="3" t="s">
        <v>1729</v>
      </c>
      <c r="C1728" s="3" t="str">
        <f>IFERROR(__xludf.DUMMYFUNCTION("GOOGLETRANSLATE(B1728,""id"",""en"")"),"['Wear', 'propider', 'quota', 'data', 'Telkomsel', 'run out', 'activate', 'quota', 'data', 'axis', 'min', '']")</f>
        <v>['Wear', 'propider', 'quota', 'data', 'Telkomsel', 'run out', 'activate', 'quota', 'data', 'axis', 'min', '']</v>
      </c>
      <c r="D1728" s="3">
        <v>1.0</v>
      </c>
    </row>
    <row r="1729" ht="15.75" customHeight="1">
      <c r="A1729" s="1">
        <v>1727.0</v>
      </c>
      <c r="B1729" s="3" t="s">
        <v>1730</v>
      </c>
      <c r="C1729" s="3" t="str">
        <f>IFERROR(__xludf.DUMMYFUNCTION("GOOGLETRANSLATE(B1729,""id"",""en"")"),"['application', 'good', 'already', 'bnyak', 'support', 'payment', 'darling', 'network', 'super', 'slow', 'gapapa', 'expensive', ' Good ',' already ',' expensive ',' slow ',' moved ',' operator ',' fast ',' speed ',' network ']")</f>
        <v>['application', 'good', 'already', 'bnyak', 'support', 'payment', 'darling', 'network', 'super', 'slow', 'gapapa', 'expensive', ' Good ',' already ',' expensive ',' slow ',' moved ',' operator ',' fast ',' speed ',' network ']</v>
      </c>
      <c r="D1729" s="3">
        <v>5.0</v>
      </c>
    </row>
    <row r="1730" ht="15.75" customHeight="1">
      <c r="A1730" s="1">
        <v>1728.0</v>
      </c>
      <c r="B1730" s="3" t="s">
        <v>1731</v>
      </c>
      <c r="C1730" s="3" t="str">
        <f>IFERROR(__xludf.DUMMYFUNCTION("GOOGLETRANSLATE(B1730,""id"",""en"")"),"['internet', 'slow', 'already', 'tower', 'signal', 'full', 'slow', 'already', 'a week', 'slow', 'send', 'message', ' Email ',' Kasi ',' satisfying ', ""]")</f>
        <v>['internet', 'slow', 'already', 'tower', 'signal', 'full', 'slow', 'already', 'a week', 'slow', 'send', 'message', ' Email ',' Kasi ',' satisfying ', "]</v>
      </c>
      <c r="D1730" s="3">
        <v>1.0</v>
      </c>
    </row>
    <row r="1731" ht="15.75" customHeight="1">
      <c r="A1731" s="1">
        <v>1729.0</v>
      </c>
      <c r="B1731" s="3" t="s">
        <v>1732</v>
      </c>
      <c r="C1731" s="3" t="str">
        <f>IFERROR(__xludf.DUMMYFUNCTION("GOOGLETRANSLATE(B1731,""id"",""en"")"),"['forced', 'work', 'network', 'writing', 'play', 'pub', 'lag', 'read', 'comics',' buffer ',' until ',' refresh ',' times', 'open', 'page', '']")</f>
        <v>['forced', 'work', 'network', 'writing', 'play', 'pub', 'lag', 'read', 'comics',' buffer ',' until ',' refresh ',' times', 'open', 'page', '']</v>
      </c>
      <c r="D1731" s="3">
        <v>1.0</v>
      </c>
    </row>
    <row r="1732" ht="15.75" customHeight="1">
      <c r="A1732" s="1">
        <v>1730.0</v>
      </c>
      <c r="B1732" s="3" t="s">
        <v>1733</v>
      </c>
      <c r="C1732" s="3" t="str">
        <f>IFERROR(__xludf.DUMMYFUNCTION("GOOGLETRANSLATE(B1732,""id"",""en"")"),"['heart', 'mode', 'cheap', 'package', 'internet', 'leftover', 'pulse', 'disappear', 'sucked', 'network', 'hny', 'dlm', ' Reach ',' in ',' call ',' profit ',' leftover ',' pulse ',' goceng ',' swear ',' telkomsel ',' trail ',' indosat ',' sell ',' state ' "&amp;", 'The network', 'steady', 'CEY', '']")</f>
        <v>['heart', 'mode', 'cheap', 'package', 'internet', 'leftover', 'pulse', 'disappear', 'sucked', 'network', 'hny', 'dlm', ' Reach ',' in ',' call ',' profit ',' leftover ',' pulse ',' goceng ',' swear ',' telkomsel ',' trail ',' indosat ',' sell ',' state ' , 'The network', 'steady', 'CEY', '']</v>
      </c>
      <c r="D1732" s="3">
        <v>1.0</v>
      </c>
    </row>
    <row r="1733" ht="15.75" customHeight="1">
      <c r="A1733" s="1">
        <v>1731.0</v>
      </c>
      <c r="B1733" s="3" t="s">
        <v>1734</v>
      </c>
      <c r="C1733" s="3" t="str">
        <f>IFERROR(__xludf.DUMMYFUNCTION("GOOGLETRANSLATE(B1733,""id"",""en"")"),"['buy', 'credit', 'response', 'buy', 'quota', 'data', 'network', 'nyakin', 'slow', 'use', 'card', 'disappointed', ' Buy ',' Credit ',' Wait ',' Wait ',' Buy ',' Goceng ',' Doang ',' Sihh ',' Wait ',' Wait ',' Buy ',' Thousand ',' Plus' , 'response', 'than"&amp;"ks', 'charity', 'person', 'card', 'waste']")</f>
        <v>['buy', 'credit', 'response', 'buy', 'quota', 'data', 'network', 'nyakin', 'slow', 'use', 'card', 'disappointed', ' Buy ',' Credit ',' Wait ',' Wait ',' Buy ',' Goceng ',' Doang ',' Sihh ',' Wait ',' Wait ',' Buy ',' Thousand ',' Plus' , 'response', 'thanks', 'charity', 'person', 'card', 'waste']</v>
      </c>
      <c r="D1733" s="3">
        <v>1.0</v>
      </c>
    </row>
    <row r="1734" ht="15.75" customHeight="1">
      <c r="A1734" s="1">
        <v>1732.0</v>
      </c>
      <c r="B1734" s="3" t="s">
        <v>1735</v>
      </c>
      <c r="C1734" s="3" t="str">
        <f>IFERROR(__xludf.DUMMYFUNCTION("GOOGLETRANSLATE(B1734,""id"",""en"")"),"[ 'Ngelaggggggggggggggggggggggggggggggggggggggggggggggggggggggggggggggggggggggggggggggggggggggggggggg', 'malem', 'Gatau', 'rich', 'want', 'invites',' Guled ',' song ',' play ',' fit ',' war ',' ngelag '' right ',' dead ',' smooth ',' gatau ']")</f>
        <v>[ 'Ngelaggggggggggggggggggggggggggggggggggggggggggggggggggggggggggggggggggggggggggggggggggggggggggggg', 'malem', 'Gatau', 'rich', 'want', 'invites',' Guled ',' song ',' play ',' fit ',' war ',' ngelag '' right ',' dead ',' smooth ',' gatau ']</v>
      </c>
      <c r="D1734" s="3">
        <v>1.0</v>
      </c>
    </row>
    <row r="1735" ht="15.75" customHeight="1">
      <c r="A1735" s="1">
        <v>1733.0</v>
      </c>
      <c r="B1735" s="3" t="s">
        <v>1736</v>
      </c>
      <c r="C1735" s="3" t="str">
        <f>IFERROR(__xludf.DUMMYFUNCTION("GOOGLETRANSLATE(B1735,""id"",""en"")"),"['signal', 'Telkomsel', 'use', 'communication', 'call', 'difficult', 'really', 'sound', 'towards',' night ',' difficult ',' signal ',' area ',' oku ',' east ']")</f>
        <v>['signal', 'Telkomsel', 'use', 'communication', 'call', 'difficult', 'really', 'sound', 'towards',' night ',' difficult ',' signal ',' area ',' oku ',' east ']</v>
      </c>
      <c r="D1735" s="3">
        <v>1.0</v>
      </c>
    </row>
    <row r="1736" ht="15.75" customHeight="1">
      <c r="A1736" s="1">
        <v>1734.0</v>
      </c>
      <c r="B1736" s="3" t="s">
        <v>1737</v>
      </c>
      <c r="C1736" s="3" t="str">
        <f>IFERROR(__xludf.DUMMYFUNCTION("GOOGLETRANSLATE(B1736,""id"",""en"")"),"['please', 'Telkomsel', 'package', 'data', 'expensive', 'area', 'network', 'slow', 'bangat', 'package', 'slow', 'play', ' game ',' open ',' apk ',' Telkomsel ',' slow ',' fail ',' buy ',' package ',' please ',' fix ',' server ',' ']")</f>
        <v>['please', 'Telkomsel', 'package', 'data', 'expensive', 'area', 'network', 'slow', 'bangat', 'package', 'slow', 'play', ' game ',' open ',' apk ',' Telkomsel ',' slow ',' fail ',' buy ',' package ',' please ',' fix ',' server ',' ']</v>
      </c>
      <c r="D1736" s="3">
        <v>1.0</v>
      </c>
    </row>
    <row r="1737" ht="15.75" customHeight="1">
      <c r="A1737" s="1">
        <v>1735.0</v>
      </c>
      <c r="B1737" s="3" t="s">
        <v>1738</v>
      </c>
      <c r="C1737" s="3" t="str">
        <f>IFERROR(__xludf.DUMMYFUNCTION("GOOGLETRANSLATE(B1737,""id"",""en"")"),"['Hey', 'Telkomsel', 'joked', 'kah', 'price', 'package', 'expensive', 'signal', 'ugly', 'really', 'open', 'game', ' Online ',' open ',' Instagram ',' Tetep ',' slow ',' user ',' loyal ',' Telkomsel ',' Please ',' signal ',' Increases']")</f>
        <v>['Hey', 'Telkomsel', 'joked', 'kah', 'price', 'package', 'expensive', 'signal', 'ugly', 'really', 'open', 'game', ' Online ',' open ',' Instagram ',' Tetep ',' slow ',' user ',' loyal ',' Telkomsel ',' Please ',' signal ',' Increases']</v>
      </c>
      <c r="D1737" s="3">
        <v>1.0</v>
      </c>
    </row>
    <row r="1738" ht="15.75" customHeight="1">
      <c r="A1738" s="1">
        <v>1736.0</v>
      </c>
      <c r="B1738" s="3" t="s">
        <v>1739</v>
      </c>
      <c r="C1738" s="3" t="str">
        <f>IFERROR(__xludf.DUMMYFUNCTION("GOOGLETRANSLATE(B1738,""id"",""en"")"),"['Application', 'Telemot', 'Wonder', 'Application', 'Mr.', 'House', 'Selemot', 'Install', 'Difficult', 'Check', 'Quota', 'Bill', ' card ',' Hallo ',' full ',' sahan ',' patience ',' exceed ',' in it ',' ocean ',' breadth ',' ocean ',' height ',' sky ',' a"&amp;"staufirullahaadzim ' ]")</f>
        <v>['Application', 'Telemot', 'Wonder', 'Application', 'Mr.', 'House', 'Selemot', 'Install', 'Difficult', 'Check', 'Quota', 'Bill', ' card ',' Hallo ',' full ',' sahan ',' patience ',' exceed ',' in it ',' ocean ',' breadth ',' ocean ',' height ',' sky ',' astaufirullahaadzim ' ]</v>
      </c>
      <c r="D1738" s="3">
        <v>1.0</v>
      </c>
    </row>
    <row r="1739" ht="15.75" customHeight="1">
      <c r="A1739" s="1">
        <v>1737.0</v>
      </c>
      <c r="B1739" s="3" t="s">
        <v>1740</v>
      </c>
      <c r="C1739" s="3" t="str">
        <f>IFERROR(__xludf.DUMMYFUNCTION("GOOGLETRANSLATE(B1739,""id"",""en"")"),"['', 'Telkomsel', 'ugly', 'signal', 'buy', 'expensive', 'expensive', 'signal', 'slow', 'how', 'search', 'signal' ',' ugly ',' mulu ',' moved ',' card ',' work ',' really ',' ngeecewain ',' consumer ',' telkomsel ',' anjg ']")</f>
        <v>['', 'Telkomsel', 'ugly', 'signal', 'buy', 'expensive', 'expensive', 'signal', 'slow', 'how', 'search', 'signal' ',' ugly ',' mulu ',' moved ',' card ',' work ',' really ',' ngeecewain ',' consumer ',' telkomsel ',' anjg ']</v>
      </c>
      <c r="D1739" s="3">
        <v>1.0</v>
      </c>
    </row>
    <row r="1740" ht="15.75" customHeight="1">
      <c r="A1740" s="1">
        <v>1738.0</v>
      </c>
      <c r="B1740" s="3" t="s">
        <v>1741</v>
      </c>
      <c r="C1740" s="3" t="str">
        <f>IFERROR(__xludf.DUMMYFUNCTION("GOOGLETRANSLATE(B1740,""id"",""en"")"),"['Application', 'Quota', 'Combi', 'Described', 'Package', 'Quota', 'Combo', 'Promo', 'Different', 'PDAH', 'Tier', 'Gold', ' Please, 'repaired', 'thank you']")</f>
        <v>['Application', 'Quota', 'Combi', 'Described', 'Package', 'Quota', 'Combo', 'Promo', 'Different', 'PDAH', 'Tier', 'Gold', ' Please, 'repaired', 'thank you']</v>
      </c>
      <c r="D1740" s="3">
        <v>2.0</v>
      </c>
    </row>
    <row r="1741" ht="15.75" customHeight="1">
      <c r="A1741" s="1">
        <v>1739.0</v>
      </c>
      <c r="B1741" s="3" t="s">
        <v>1742</v>
      </c>
      <c r="C1741" s="3" t="str">
        <f>IFERROR(__xludf.DUMMYFUNCTION("GOOGLETRANSLATE(B1741,""id"",""en"")"),"['Telkomsel', 'Sinyal', 'Good', 'Package', 'Internet', 'Useful', 'Yaa', 'Pas',' Visit ',' Lombok ',' Bali ',' Trus', ' signal ',' bad ',' pdhl ',' city ',' notif ',' quota ',' national ',' finished ',' TSK ',' traveling ',' Indonesia ',' package ',' inter"&amp;"net ' , 'omg', 'skrg', 'package', 'national', 'please', 'doong', 'leftover', 'quota', 'internet', 'byk', ""]")</f>
        <v>['Telkomsel', 'Sinyal', 'Good', 'Package', 'Internet', 'Useful', 'Yaa', 'Pas',' Visit ',' Lombok ',' Bali ',' Trus', ' signal ',' bad ',' pdhl ',' city ',' notif ',' quota ',' national ',' finished ',' TSK ',' traveling ',' Indonesia ',' package ',' internet ' , 'omg', 'skrg', 'package', 'national', 'please', 'doong', 'leftover', 'quota', 'internet', 'byk', "]</v>
      </c>
      <c r="D1741" s="3">
        <v>1.0</v>
      </c>
    </row>
    <row r="1742" ht="15.75" customHeight="1">
      <c r="A1742" s="1">
        <v>1740.0</v>
      </c>
      <c r="B1742" s="3" t="s">
        <v>1743</v>
      </c>
      <c r="C1742" s="3" t="str">
        <f>IFERROR(__xludf.DUMMYFUNCTION("GOOGLETRANSLATE(B1742,""id"",""en"")"),"['Telkomsel', 'contents',' pulses', 'thousand', 'buy', 'package', 'thousand', 'stay', 'pulse', 'name', 'fooling', 'public', ' ']")</f>
        <v>['Telkomsel', 'contents',' pulses', 'thousand', 'buy', 'package', 'thousand', 'stay', 'pulse', 'name', 'fooling', 'public', ' ']</v>
      </c>
      <c r="D1742" s="3">
        <v>1.0</v>
      </c>
    </row>
    <row r="1743" ht="15.75" customHeight="1">
      <c r="A1743" s="1">
        <v>1741.0</v>
      </c>
      <c r="B1743" s="3" t="s">
        <v>1744</v>
      </c>
      <c r="C1743" s="3" t="str">
        <f>IFERROR(__xludf.DUMMYFUNCTION("GOOGLETRANSLATE(B1743,""id"",""en"")"),"['Customer', 'Telkomsel', 'buy', 'pulse', 'for', 'thousand', 'buy', 'package', 'GB', 'Haru', 'price', 'thousand', ' reduced ',' leftover ',' pulse ',' remaining ',' thousand ',' pulse ',' remaining ',' thousand ',' please ',' return ',' pulse ',' rich ','"&amp;" gini ' , 'Wear', 'Telkomsel', 'times',' contents', 'pulse', 'times',' sucked ',' Telkomsel ',' pulse ',' please ',' work ',' Telkomsel ',' Return ',' pulse ',' ']")</f>
        <v>['Customer', 'Telkomsel', 'buy', 'pulse', 'for', 'thousand', 'buy', 'package', 'GB', 'Haru', 'price', 'thousand', ' reduced ',' leftover ',' pulse ',' remaining ',' thousand ',' pulse ',' remaining ',' thousand ',' please ',' return ',' pulse ',' rich ',' gini ' , 'Wear', 'Telkomsel', 'times',' contents', 'pulse', 'times',' sucked ',' Telkomsel ',' pulse ',' please ',' work ',' Telkomsel ',' Return ',' pulse ',' ']</v>
      </c>
      <c r="D1743" s="3">
        <v>1.0</v>
      </c>
    </row>
    <row r="1744" ht="15.75" customHeight="1">
      <c r="A1744" s="1">
        <v>1742.0</v>
      </c>
      <c r="B1744" s="3" t="s">
        <v>1745</v>
      </c>
      <c r="C1744" s="3" t="str">
        <f>IFERROR(__xludf.DUMMYFUNCTION("GOOGLETRANSLATE(B1744,""id"",""en"")"),"['You', 'Tower', 'Where', 'You', 'Tower', 'How', 'Telkomselll', 'Bins',' Move ',' Smartfren ',' Quota ',' murahh ',' network ',' reliable ',' Telkomsel ']")</f>
        <v>['You', 'Tower', 'Where', 'You', 'Tower', 'How', 'Telkomselll', 'Bins',' Move ',' Smartfren ',' Quota ',' murahh ',' network ',' reliable ',' Telkomsel ']</v>
      </c>
      <c r="D1744" s="3">
        <v>1.0</v>
      </c>
    </row>
    <row r="1745" ht="15.75" customHeight="1">
      <c r="A1745" s="1">
        <v>1743.0</v>
      </c>
      <c r="B1745" s="3" t="s">
        <v>1746</v>
      </c>
      <c r="C1745" s="3" t="str">
        <f>IFERROR(__xludf.DUMMYFUNCTION("GOOGLETRANSLATE(B1745,""id"",""en"")"),"['down', 'price', 'package', 'internet', 'expensive', 'bangett', 'cuyyy', 'price', 'package', 'sited', 'quality', 'network', ' lag ',' expensive ',' nonx ',' down ',' whatsss', 'what', 'you', 'kanna', 'telkomsel', 'klw', 'bgin', 'moved', 'deh' , 'Operator"&amp;"', 'Next to', '']")</f>
        <v>['down', 'price', 'package', 'internet', 'expensive', 'bangett', 'cuyyy', 'price', 'package', 'sited', 'quality', 'network', ' lag ',' expensive ',' nonx ',' down ',' whatsss', 'what', 'you', 'kanna', 'telkomsel', 'klw', 'bgin', 'moved', 'deh' , 'Operator', 'Next to', '']</v>
      </c>
      <c r="D1745" s="3">
        <v>1.0</v>
      </c>
    </row>
    <row r="1746" ht="15.75" customHeight="1">
      <c r="A1746" s="1">
        <v>1744.0</v>
      </c>
      <c r="B1746" s="3" t="s">
        <v>1747</v>
      </c>
      <c r="C1746" s="3" t="str">
        <f>IFERROR(__xludf.DUMMYFUNCTION("GOOGLETRANSLATE(B1746,""id"",""en"")"),"['network', 'Telkomsel', 'ugly', 'Telkomsel', 'network', 'internet', 'disorder', 'sometimes', 'network', 'difficult', 'jdi', 'internet']")</f>
        <v>['network', 'Telkomsel', 'ugly', 'Telkomsel', 'network', 'internet', 'disorder', 'sometimes', 'network', 'difficult', 'jdi', 'internet']</v>
      </c>
      <c r="D1746" s="3">
        <v>1.0</v>
      </c>
    </row>
    <row r="1747" ht="15.75" customHeight="1">
      <c r="A1747" s="1">
        <v>1745.0</v>
      </c>
      <c r="B1747" s="3" t="s">
        <v>1748</v>
      </c>
      <c r="C1747" s="3" t="str">
        <f>IFERROR(__xludf.DUMMYFUNCTION("GOOGLETRANSLATE(B1747,""id"",""en"")"),"['protest', 'buy', 'quota', 'Unlimited', 'Yutube', 'SMS', 'Music', 'Game', 'SMS', 'Music', 'Game', 'Walking', ' Yutube ',' Buy ',' Unlimited ',' Yutube ',' Open ',' Yutube ',' Video ',' How ',' Signal ',' Good ',' Open ',' Video ',' Yutube ' , 'Name', 'Do"&amp;"ang', 'Unlimited', 'Yutube', 'right', 'Open', 'Yutube', 'Liat', 'Video', 'Muter', 'Mulu', ""]")</f>
        <v>['protest', 'buy', 'quota', 'Unlimited', 'Yutube', 'SMS', 'Music', 'Game', 'SMS', 'Music', 'Game', 'Walking', ' Yutube ',' Buy ',' Unlimited ',' Yutube ',' Open ',' Yutube ',' Video ',' How ',' Signal ',' Good ',' Open ',' Video ',' Yutube ' , 'Name', 'Doang', 'Unlimited', 'Yutube', 'right', 'Open', 'Yutube', 'Liat', 'Video', 'Muter', 'Mulu', "]</v>
      </c>
      <c r="D1747" s="3">
        <v>1.0</v>
      </c>
    </row>
    <row r="1748" ht="15.75" customHeight="1">
      <c r="A1748" s="1">
        <v>1746.0</v>
      </c>
      <c r="B1748" s="3" t="s">
        <v>1749</v>
      </c>
      <c r="C1748" s="3" t="str">
        <f>IFERROR(__xludf.DUMMYFUNCTION("GOOGLETRANSLATE(B1748,""id"",""en"")"),"['', 'Maen', 'Dri', 'Direct', 'buy', 'expensive', 'expensive', 'results',' satisfying ',' eat ',' salary ',' blind ',' employee ',' Telkomsel ']")</f>
        <v>['', 'Maen', 'Dri', 'Direct', 'buy', 'expensive', 'expensive', 'results',' satisfying ',' eat ',' salary ',' blind ',' employee ',' Telkomsel ']</v>
      </c>
      <c r="D1748" s="3">
        <v>1.0</v>
      </c>
    </row>
    <row r="1749" ht="15.75" customHeight="1">
      <c r="A1749" s="1">
        <v>1747.0</v>
      </c>
      <c r="B1749" s="3" t="s">
        <v>1750</v>
      </c>
      <c r="C1749" s="3" t="str">
        <f>IFERROR(__xludf.DUMMYFUNCTION("GOOGLETRANSLATE(B1749,""id"",""en"")"),"['Rada', 'Ngeselin', 'skg', 'Telkomsel', 'promo', 'promo', 'cheap', 'cheap', 'bought', 'plsa', 'buy', 'quota', ' clicked ',' transaction ',' failed ',' Hello ',' admin ',' Telkomsel ',' hit ',' prank ',' how ',' so ',' want ',' slamming ',' darling ' , 'P"&amp;"atahin', 'card', 'darling', 'beautiful', 'YDH', 'Ditaro', 'Dihp', 'old school', ""]")</f>
        <v>['Rada', 'Ngeselin', 'skg', 'Telkomsel', 'promo', 'promo', 'cheap', 'cheap', 'bought', 'plsa', 'buy', 'quota', ' clicked ',' transaction ',' failed ',' Hello ',' admin ',' Telkomsel ',' hit ',' prank ',' how ',' so ',' want ',' slamming ',' darling ' , 'Patahin', 'card', 'darling', 'beautiful', 'YDH', 'Ditaro', 'Dihp', 'old school', "]</v>
      </c>
      <c r="D1749" s="3">
        <v>1.0</v>
      </c>
    </row>
    <row r="1750" ht="15.75" customHeight="1">
      <c r="A1750" s="1">
        <v>1748.0</v>
      </c>
      <c r="B1750" s="3" t="s">
        <v>1751</v>
      </c>
      <c r="C1750" s="3" t="str">
        <f>IFERROR(__xludf.DUMMYFUNCTION("GOOGLETRANSLATE(B1750,""id"",""en"")"),"['APK', 'Good', 'TPI', 'Open', 'APK', 'Open', 'Data', 'automatic', 'pulse', 'yng', 'already', 'buy', ' sucked ',' so ',' jdi ',' buy ',' pulse ',' lgi ',' jdi ',' gmn ',' pulse ',' yng ',' already ',' bought ',' sucked ' , 'LGI', '']")</f>
        <v>['APK', 'Good', 'TPI', 'Open', 'APK', 'Open', 'Data', 'automatic', 'pulse', 'yng', 'already', 'buy', ' sucked ',' so ',' jdi ',' buy ',' pulse ',' lgi ',' jdi ',' gmn ',' pulse ',' yng ',' already ',' bought ',' sucked ' , 'LGI', '']</v>
      </c>
      <c r="D1750" s="3">
        <v>4.0</v>
      </c>
    </row>
    <row r="1751" ht="15.75" customHeight="1">
      <c r="A1751" s="1">
        <v>1749.0</v>
      </c>
      <c r="B1751" s="3" t="s">
        <v>1752</v>
      </c>
      <c r="C1751" s="3" t="str">
        <f>IFERROR(__xludf.DUMMYFUNCTION("GOOGLETRANSLATE(B1751,""id"",""en"")"),"['Anyway', 'package', 'emergency', 'help', 'run out', 'quota', 'in the area', 'seller', 'retail', 'pulse', 'quota', 'provider', ' Package ',' Emergency ',' Telkomsel ',' smooth ',' Thank you ', ""]")</f>
        <v>['Anyway', 'package', 'emergency', 'help', 'run out', 'quota', 'in the area', 'seller', 'retail', 'pulse', 'quota', 'provider', ' Package ',' Emergency ',' Telkomsel ',' smooth ',' Thank you ', "]</v>
      </c>
      <c r="D1751" s="3">
        <v>5.0</v>
      </c>
    </row>
    <row r="1752" ht="15.75" customHeight="1">
      <c r="A1752" s="1">
        <v>1750.0</v>
      </c>
      <c r="B1752" s="3" t="s">
        <v>1753</v>
      </c>
      <c r="C1752" s="3" t="str">
        <f>IFERROR(__xludf.DUMMYFUNCTION("GOOGLETRANSLATE(B1752,""id"",""en"")"),"['buy', 'unlimited', 'sanpe', 'knapa', 'quota', 'main', 'masi', 'quota', 'main', 'out', 'please', 'fix', ' ']")</f>
        <v>['buy', 'unlimited', 'sanpe', 'knapa', 'quota', 'main', 'masi', 'quota', 'main', 'out', 'please', 'fix', ' ']</v>
      </c>
      <c r="D1752" s="3">
        <v>1.0</v>
      </c>
    </row>
    <row r="1753" ht="15.75" customHeight="1">
      <c r="A1753" s="1">
        <v>1751.0</v>
      </c>
      <c r="B1753" s="3" t="s">
        <v>1754</v>
      </c>
      <c r="C1753" s="3" t="str">
        <f>IFERROR(__xludf.DUMMYFUNCTION("GOOGLETRANSLATE(B1753,""id"",""en"")"),"['spent', 'quota', 'no', 'really', 'buy', 'package', 'data', 'not', 'enter', 'handling', 'slow', 'lazy', ' products', 'sympathy', 'no', 'customers',' bother ',' disappointed ',' heavy ',' sympathy ']")</f>
        <v>['spent', 'quota', 'no', 'really', 'buy', 'package', 'data', 'not', 'enter', 'handling', 'slow', 'lazy', ' products', 'sympathy', 'no', 'customers',' bother ',' disappointed ',' heavy ',' sympathy ']</v>
      </c>
      <c r="D1753" s="3">
        <v>1.0</v>
      </c>
    </row>
    <row r="1754" ht="15.75" customHeight="1">
      <c r="A1754" s="1">
        <v>1752.0</v>
      </c>
      <c r="B1754" s="3" t="s">
        <v>1755</v>
      </c>
      <c r="C1754" s="3" t="str">
        <f>IFERROR(__xludf.DUMMYFUNCTION("GOOGLETRANSLATE(B1754,""id"",""en"")"),"['users',' Telkomsel ',' network ',' signal ',' severe ',' slow ',' increase ',' price ',' already ',' expensive ',' cook ',' signal ',' Disconnect ',' eah ', ""]")</f>
        <v>['users',' Telkomsel ',' network ',' signal ',' severe ',' slow ',' increase ',' price ',' already ',' expensive ',' cook ',' signal ',' Disconnect ',' eah ', "]</v>
      </c>
      <c r="D1754" s="3">
        <v>5.0</v>
      </c>
    </row>
    <row r="1755" ht="15.75" customHeight="1">
      <c r="A1755" s="1">
        <v>1753.0</v>
      </c>
      <c r="B1755" s="3" t="s">
        <v>1756</v>
      </c>
      <c r="C1755" s="3" t="str">
        <f>IFERROR(__xludf.DUMMYFUNCTION("GOOGLETRANSLATE(B1755,""id"",""en"")"),"['Buy', 'Package', 'Telkomsel', 'Shope', 'Pay', 'Purchase', 'Success',' Shope ',' Package ',' Enter ',' How ',' Telkomsel ',' Harms', 'Disappointed', 'Provider', 'Negri']")</f>
        <v>['Buy', 'Package', 'Telkomsel', 'Shope', 'Pay', 'Purchase', 'Success',' Shope ',' Package ',' Enter ',' How ',' Telkomsel ',' Harms', 'Disappointed', 'Provider', 'Negri']</v>
      </c>
      <c r="D1755" s="3">
        <v>1.0</v>
      </c>
    </row>
    <row r="1756" ht="15.75" customHeight="1">
      <c r="A1756" s="1">
        <v>1754.0</v>
      </c>
      <c r="B1756" s="3" t="s">
        <v>1757</v>
      </c>
      <c r="C1756" s="3" t="str">
        <f>IFERROR(__xludf.DUMMYFUNCTION("GOOGLETRANSLATE(B1756,""id"",""en"")"),"['Buy', 'Credit', 'Counter', 'Buy', 'Package', 'Data', 'Telkomsel', 'Out', 'Credit', 'Process',' Purchase ',' Data ',' Telkomsel ',' sucks', 'please', 'service', 'complaint', 'fix', '']")</f>
        <v>['Buy', 'Credit', 'Counter', 'Buy', 'Package', 'Data', 'Telkomsel', 'Out', 'Credit', 'Process',' Purchase ',' Data ',' Telkomsel ',' sucks', 'please', 'service', 'complaint', 'fix', '']</v>
      </c>
      <c r="D1756" s="3">
        <v>1.0</v>
      </c>
    </row>
    <row r="1757" ht="15.75" customHeight="1">
      <c r="A1757" s="1">
        <v>1755.0</v>
      </c>
      <c r="B1757" s="3" t="s">
        <v>1758</v>
      </c>
      <c r="C1757" s="3" t="str">
        <f>IFERROR(__xludf.DUMMYFUNCTION("GOOGLETRANSLATE(B1757,""id"",""en"")"),"['Best', 'Loss',' Waiting ',' Quota ',' Internet ',' Enter ',' Pay ',' Via ',' Linkaja ',' Balance ',' Link ',' Cut "" Package ',' Enter ',' Please ',' Response ',' Keep ',' Comfort ',' Work ',' Bener ',' Ruli ',' Entrusting ',' Telkomsel ',' Reply ',' re"&amp;"sponsible ' , 'Customer', 'Loss', 'Telkomsel']")</f>
        <v>['Best', 'Loss',' Waiting ',' Quota ',' Internet ',' Enter ',' Pay ',' Via ',' Linkaja ',' Balance ',' Link ',' Cut " Package ',' Enter ',' Please ',' Response ',' Keep ',' Comfort ',' Work ',' Bener ',' Ruli ',' Entrusting ',' Telkomsel ',' Reply ',' responsible ' , 'Customer', 'Loss', 'Telkomsel']</v>
      </c>
      <c r="D1757" s="3">
        <v>1.0</v>
      </c>
    </row>
    <row r="1758" ht="15.75" customHeight="1">
      <c r="A1758" s="1">
        <v>1756.0</v>
      </c>
      <c r="B1758" s="3" t="s">
        <v>1759</v>
      </c>
      <c r="C1758" s="3" t="str">
        <f>IFERROR(__xludf.DUMMYFUNCTION("GOOGLETRANSLATE(B1758,""id"",""en"")"),"['Honest', 'Disappointed', 'Heavy', 'Telkomsel', 'Card', 'Expair', 'Fanggal', 'June', 'Expair', 'Contents',' Credit ',' Buy ',' Peket ',' Call ',' Intefnet ',' expair ',' reporting ',' number ',' sister ',' Waiting ',' Clock ',' Clock ',' Wait ',' Wait ',"&amp;"' reporting ' , 'clock', 'contact', 'BLM', 'resolved', '']")</f>
        <v>['Honest', 'Disappointed', 'Heavy', 'Telkomsel', 'Card', 'Expair', 'Fanggal', 'June', 'Expair', 'Contents',' Credit ',' Buy ',' Peket ',' Call ',' Intefnet ',' expair ',' reporting ',' number ',' sister ',' Waiting ',' Clock ',' Clock ',' Wait ',' Wait ',' reporting ' , 'clock', 'contact', 'BLM', 'resolved', '']</v>
      </c>
      <c r="D1758" s="3">
        <v>1.0</v>
      </c>
    </row>
    <row r="1759" ht="15.75" customHeight="1">
      <c r="A1759" s="1">
        <v>1757.0</v>
      </c>
      <c r="B1759" s="3" t="s">
        <v>1760</v>
      </c>
      <c r="C1759" s="3" t="str">
        <f>IFERROR(__xludf.DUMMYFUNCTION("GOOGLETRANSLATE(B1759,""id"",""en"")"),"['list', 'package', 'lapse', 'main', 'daily', 'balance', 'gopay', 'balance', 'already', 'cut "",' quota ',' entered ',' Used ',' Tang ',' Driver ',' Gojek ',' Item ',' Histori ',' Purchase ',' History ',' Purchase ',' Try ',' Until ',' Times', 'Balance' ,"&amp;" 'Cut "",' trs', 'quota', 'entered', 'name', 'robbery', '']")</f>
        <v>['list', 'package', 'lapse', 'main', 'daily', 'balance', 'gopay', 'balance', 'already', 'cut ",' quota ',' entered ',' Used ',' Tang ',' Driver ',' Gojek ',' Item ',' Histori ',' Purchase ',' History ',' Purchase ',' Try ',' Until ',' Times', 'Balance' , 'Cut ",' trs', 'quota', 'entered', 'name', 'robbery', '']</v>
      </c>
      <c r="D1759" s="3">
        <v>1.0</v>
      </c>
    </row>
    <row r="1760" ht="15.75" customHeight="1">
      <c r="A1760" s="1">
        <v>1758.0</v>
      </c>
      <c r="B1760" s="3" t="s">
        <v>1761</v>
      </c>
      <c r="C1760" s="3" t="str">
        <f>IFERROR(__xludf.DUMMYFUNCTION("GOOGLETRANSLATE(B1760,""id"",""en"")"),"['bad', 'unlimited', 'TPI', 'limit', 'promo', 'enter', 'right', 'dftr', 'understand', 'lgi', 'telkomsel', 'ckck']")</f>
        <v>['bad', 'unlimited', 'TPI', 'limit', 'promo', 'enter', 'right', 'dftr', 'understand', 'lgi', 'telkomsel', 'ckck']</v>
      </c>
      <c r="D1760" s="3">
        <v>1.0</v>
      </c>
    </row>
    <row r="1761" ht="15.75" customHeight="1">
      <c r="A1761" s="1">
        <v>1759.0</v>
      </c>
      <c r="B1761" s="3" t="s">
        <v>1762</v>
      </c>
      <c r="C1761" s="3" t="str">
        <f>IFERROR(__xludf.DUMMYFUNCTION("GOOGLETRANSLATE(B1761,""id"",""en"")"),"['Hadeuh', 'Telkomsel', 'Severe', 'Network', 'Leet', 'System', 'Disorders',' Bored ',' Change ',' Card ',' friend ',' friend ',' replace ',' card ',' Telkomsel ',' here ',' bad ',' message ',' reply ',' tsel ',' please ',' sorry ',' please ',' contact ','"&amp;" bacot ' , 'contacted', 'alibi', 'reason', 'according to', 'reality', 'hadeuh', 'telkom', 'telkom', 'Lord', 'bankrupt', 'Telkomsel', 'cheating', ' ']")</f>
        <v>['Hadeuh', 'Telkomsel', 'Severe', 'Network', 'Leet', 'System', 'Disorders',' Bored ',' Change ',' Card ',' friend ',' friend ',' replace ',' card ',' Telkomsel ',' here ',' bad ',' message ',' reply ',' tsel ',' please ',' sorry ',' please ',' contact ',' bacot ' , 'contacted', 'alibi', 'reason', 'according to', 'reality', 'hadeuh', 'telkom', 'telkom', 'Lord', 'bankrupt', 'Telkomsel', 'cheating', ' ']</v>
      </c>
      <c r="D1761" s="3">
        <v>1.0</v>
      </c>
    </row>
    <row r="1762" ht="15.75" customHeight="1">
      <c r="A1762" s="1">
        <v>1760.0</v>
      </c>
      <c r="B1762" s="3" t="s">
        <v>1763</v>
      </c>
      <c r="C1762" s="3" t="str">
        <f>IFERROR(__xludf.DUMMYFUNCTION("GOOGLETRANSLATE(B1762,""id"",""en"")"),"['Region', 'Telkomsel', 'slow', 'tower', 'area', 'Telkomsel', 'internet', 'fast', 'please', 'fix', 'network', 'customer', ' Faithful ',' Switch ',' Operator ',' Thank ',' Love ']")</f>
        <v>['Region', 'Telkomsel', 'slow', 'tower', 'area', 'Telkomsel', 'internet', 'fast', 'please', 'fix', 'network', 'customer', ' Faithful ',' Switch ',' Operator ',' Thank ',' Love ']</v>
      </c>
      <c r="D1762" s="3">
        <v>3.0</v>
      </c>
    </row>
    <row r="1763" ht="15.75" customHeight="1">
      <c r="A1763" s="1">
        <v>1761.0</v>
      </c>
      <c r="B1763" s="3" t="s">
        <v>1764</v>
      </c>
      <c r="C1763" s="3" t="str">
        <f>IFERROR(__xludf.DUMMYFUNCTION("GOOGLETRANSLATE(B1763,""id"",""en"")"),"['poor', 'rates',' number ',' Different ',' Different ',' apply ',' rates', 'fair', 'really', 'already', 'so', 'notif', ' Quota ',' Combo ',' Sakti ',' Unlimited ',' RB ',' right ',' opened ',' expensive ',' RB ',' number ',' rates', 'low', 'combo' , 'Sak"&amp;"ti', 'RB', 'number', 'rates', 'lowest', 'RB', 'quota', 'a month', 'until', 'that's', 'mubadzir']")</f>
        <v>['poor', 'rates',' number ',' Different ',' Different ',' apply ',' rates', 'fair', 'really', 'already', 'so', 'notif', ' Quota ',' Combo ',' Sakti ',' Unlimited ',' RB ',' right ',' opened ',' expensive ',' RB ',' number ',' rates', 'low', 'combo' , 'Sakti', 'RB', 'number', 'rates', 'lowest', 'RB', 'quota', 'a month', 'until', 'that's', 'mubadzir']</v>
      </c>
      <c r="D1763" s="3">
        <v>1.0</v>
      </c>
    </row>
    <row r="1764" ht="15.75" customHeight="1">
      <c r="A1764" s="1">
        <v>1762.0</v>
      </c>
      <c r="B1764" s="3" t="s">
        <v>1765</v>
      </c>
      <c r="C1764" s="3" t="str">
        <f>IFERROR(__xludf.DUMMYFUNCTION("GOOGLETRANSLATE(B1764,""id"",""en"")"),"['Change', 'card', 'Dibrapari', 'free', 'bonus',' quota ',' GB ',' bonus', 'GB', 'pay', 'cost', 'card', ' rb ',' pulse ',' full ',' krna ',' kmren ',' wife ',' change ',' card ',' filled ',' pulse ',' contents', 'digrapari', 'available' , 'Min', 'rb', 'co"&amp;"ntents',' pulse ',' outside ',' tetep ',' TB ',' card ',' brrti ',' rb ',' pay ',' card ',' Fill ',' quota ',' GB ',' Hadeuuhhh ',' Gini ',' Free ',' get ',' dehhh ',' network ',' Lemottt ']")</f>
        <v>['Change', 'card', 'Dibrapari', 'free', 'bonus',' quota ',' GB ',' bonus', 'GB', 'pay', 'cost', 'card', ' rb ',' pulse ',' full ',' krna ',' kmren ',' wife ',' change ',' card ',' filled ',' pulse ',' contents', 'digrapari', 'available' , 'Min', 'rb', 'contents',' pulse ',' outside ',' tetep ',' TB ',' card ',' brrti ',' rb ',' pay ',' card ',' Fill ',' quota ',' GB ',' Hadeuuhhh ',' Gini ',' Free ',' get ',' dehhh ',' network ',' Lemottt ']</v>
      </c>
      <c r="D1764" s="3">
        <v>1.0</v>
      </c>
    </row>
    <row r="1765" ht="15.75" customHeight="1">
      <c r="A1765" s="1">
        <v>1763.0</v>
      </c>
      <c r="B1765" s="3" t="s">
        <v>1766</v>
      </c>
      <c r="C1765" s="3" t="str">
        <f>IFERROR(__xludf.DUMMYFUNCTION("GOOGLETRANSLATE(B1765,""id"",""en"")"),"['buy', 'package', 'data', 'enter', 'enter', 'balance', 'shopeepay', 'chick', 'package', 'data', 'enter', 'enter', ' Please ',' Explanation ']")</f>
        <v>['buy', 'package', 'data', 'enter', 'enter', 'balance', 'shopeepay', 'chick', 'package', 'data', 'enter', 'enter', ' Please ',' Explanation ']</v>
      </c>
      <c r="D1765" s="3">
        <v>1.0</v>
      </c>
    </row>
    <row r="1766" ht="15.75" customHeight="1">
      <c r="A1766" s="1">
        <v>1764.0</v>
      </c>
      <c r="B1766" s="3" t="s">
        <v>1767</v>
      </c>
      <c r="C1766" s="3" t="str">
        <f>IFERROR(__xludf.DUMMYFUNCTION("GOOGLETRANSLATE(B1766,""id"",""en"")"),"['Service', 'bad', 'sakarang', 'network', 'Telkomsel', 'slow', 'contents',' quota ',' GB ',' muter ',' watch ',' video ',' YouTube ',' here ',' Telkomsel ',' Severe ',' Males', 'use', 'Telkomsel', 'service', 'satisfying', 'gini']")</f>
        <v>['Service', 'bad', 'sakarang', 'network', 'Telkomsel', 'slow', 'contents',' quota ',' GB ',' muter ',' watch ',' video ',' YouTube ',' here ',' Telkomsel ',' Severe ',' Males', 'use', 'Telkomsel', 'service', 'satisfying', 'gini']</v>
      </c>
      <c r="D1766" s="3">
        <v>1.0</v>
      </c>
    </row>
    <row r="1767" ht="15.75" customHeight="1">
      <c r="A1767" s="1">
        <v>1765.0</v>
      </c>
      <c r="B1767" s="3" t="s">
        <v>1768</v>
      </c>
      <c r="C1767" s="3" t="str">
        <f>IFERROR(__xludf.DUMMYFUNCTION("GOOGLETRANSLATE(B1767,""id"",""en"")"),"['application', 'computer', 'ane', 'contents',' pulse ',' rb ',' ilang ',' swallow ',' earth ',' veronika ',' reply ',' Telkomsel ',' Already ',' inconsequently ']")</f>
        <v>['application', 'computer', 'ane', 'contents',' pulse ',' rb ',' ilang ',' swallow ',' earth ',' veronika ',' reply ',' Telkomsel ',' Already ',' inconsequently ']</v>
      </c>
      <c r="D1767" s="3">
        <v>1.0</v>
      </c>
    </row>
    <row r="1768" ht="15.75" customHeight="1">
      <c r="A1768" s="1">
        <v>1766.0</v>
      </c>
      <c r="B1768" s="3" t="s">
        <v>1769</v>
      </c>
      <c r="C1768" s="3" t="str">
        <f>IFERROR(__xludf.DUMMYFUNCTION("GOOGLETRANSLATE(B1768,""id"",""en"")"),"['Telkomsel', 'damn', 'package', 'internet', 'application', 'Telkomsel', 'active', 'date', 'sendin', 'message', 'sms',' klok ',' Package ',' TGL ',' I ',' LIST ',' BLN ',' Unlimited ',' Sosmed ',' Loading ',' Game ',' Safe ',' Most ',' Take ',' Untung ' ,"&amp;" 'chat', 'response', 'provider', 'severe', 'BUMN', 'Doang', 'expensive', 'service', 'Hunhurrr', ""]")</f>
        <v>['Telkomsel', 'damn', 'package', 'internet', 'application', 'Telkomsel', 'active', 'date', 'sendin', 'message', 'sms',' klok ',' Package ',' TGL ',' I ',' LIST ',' BLN ',' Unlimited ',' Sosmed ',' Loading ',' Game ',' Safe ',' Most ',' Take ',' Untung ' , 'chat', 'response', 'provider', 'severe', 'BUMN', 'Doang', 'expensive', 'service', 'Hunhurrr', "]</v>
      </c>
      <c r="D1768" s="3">
        <v>1.0</v>
      </c>
    </row>
    <row r="1769" ht="15.75" customHeight="1">
      <c r="A1769" s="1">
        <v>1767.0</v>
      </c>
      <c r="B1769" s="3" t="s">
        <v>1770</v>
      </c>
      <c r="C1769" s="3" t="str">
        <f>IFERROR(__xludf.DUMMYFUNCTION("GOOGLETRANSLATE(B1769,""id"",""en"")"),"['Hello', 'Need', 'Help', 'Event', 'Disappointing', 'Pelangement', 'Buy', 'Package', 'Internet', 'Application', 'Fund', 'Money', ' Reduced ',' Package ',' Internet ',' buy ',' enter ',' disappointing ']")</f>
        <v>['Hello', 'Need', 'Help', 'Event', 'Disappointing', 'Pelangement', 'Buy', 'Package', 'Internet', 'Application', 'Fund', 'Money', ' Reduced ',' Package ',' Internet ',' buy ',' enter ',' disappointing ']</v>
      </c>
      <c r="D1769" s="3">
        <v>1.0</v>
      </c>
    </row>
    <row r="1770" ht="15.75" customHeight="1">
      <c r="A1770" s="1">
        <v>1768.0</v>
      </c>
      <c r="B1770" s="3" t="s">
        <v>1771</v>
      </c>
      <c r="C1770" s="3" t="str">
        <f>IFERROR(__xludf.DUMMYFUNCTION("GOOGLETRANSLATE(B1770,""id"",""en"")"),"['admin', 'Telkomsel', 'The network', 'Severe', 'Very', 'Telkomsel', 'Please', 'repaired', 'City', 'Bekasi', 'on the restricted', 'remote', ' The network is', 'good', 'ugly', 'really', 'Telkomsel', 'The network', 'Please', 'repaired', ""]")</f>
        <v>['admin', 'Telkomsel', 'The network', 'Severe', 'Very', 'Telkomsel', 'Please', 'repaired', 'City', 'Bekasi', 'on the restricted', 'remote', ' The network is', 'good', 'ugly', 'really', 'Telkomsel', 'The network', 'Please', 'repaired', "]</v>
      </c>
      <c r="D1770" s="3">
        <v>2.0</v>
      </c>
    </row>
    <row r="1771" ht="15.75" customHeight="1">
      <c r="A1771" s="1">
        <v>1769.0</v>
      </c>
      <c r="B1771" s="3" t="s">
        <v>1772</v>
      </c>
      <c r="C1771" s="3" t="str">
        <f>IFERROR(__xludf.DUMMYFUNCTION("GOOGLETRANSLATE(B1771,""id"",""en"")"),"['Tower', 'Telkomsel', 'collapse', 'really', 'down', 'signal', 'feeling', 'potatoes',' missing ',' then ',' mentok ',' expensive ',' price ',' package you ',' cook ',' according to ',' service ',' Telkomsel ',' high school ',' smpe ',' skrg ',' child ',' "&amp;"here ',' threat ',' the network ' , '']")</f>
        <v>['Tower', 'Telkomsel', 'collapse', 'really', 'down', 'signal', 'feeling', 'potatoes',' missing ',' then ',' mentok ',' expensive ',' price ',' package you ',' cook ',' according to ',' service ',' Telkomsel ',' high school ',' smpe ',' skrg ',' child ',' here ',' threat ',' the network ' , '']</v>
      </c>
      <c r="D1771" s="3">
        <v>1.0</v>
      </c>
    </row>
    <row r="1772" ht="15.75" customHeight="1">
      <c r="A1772" s="1">
        <v>1770.0</v>
      </c>
      <c r="B1772" s="3" t="s">
        <v>1773</v>
      </c>
      <c r="C1772" s="3" t="str">
        <f>IFERROR(__xludf.DUMMYFUNCTION("GOOGLETRANSLATE(B1772,""id"",""en"")"),"['buy', 'package', 'data', 'Telkomsel', 'pay', 'via', 'link', 'payment', 'already', 'success',' package ',' data ',' Enter ',' solution ',' ']")</f>
        <v>['buy', 'package', 'data', 'Telkomsel', 'pay', 'via', 'link', 'payment', 'already', 'success',' package ',' data ',' Enter ',' solution ',' ']</v>
      </c>
      <c r="D1772" s="3">
        <v>5.0</v>
      </c>
    </row>
    <row r="1773" ht="15.75" customHeight="1">
      <c r="A1773" s="1">
        <v>1771.0</v>
      </c>
      <c r="B1773" s="3" t="s">
        <v>1774</v>
      </c>
      <c r="C1773" s="3" t="str">
        <f>IFERROR(__xludf.DUMMYFUNCTION("GOOGLETRANSLATE(B1773,""id"",""en"")"),"['Network', 'bad', 'Pay', 'expensive', 'quality', 'low', 'disorder', 'operator', 'SMA', 'Telkomsel', 'disappointed', 'signal', ' disruption ',' network ',' price ',' expensive ',' quality ',' cheap ',' ']")</f>
        <v>['Network', 'bad', 'Pay', 'expensive', 'quality', 'low', 'disorder', 'operator', 'SMA', 'Telkomsel', 'disappointed', 'signal', ' disruption ',' network ',' price ',' expensive ',' quality ',' cheap ',' ']</v>
      </c>
      <c r="D1773" s="3">
        <v>1.0</v>
      </c>
    </row>
    <row r="1774" ht="15.75" customHeight="1">
      <c r="A1774" s="1">
        <v>1772.0</v>
      </c>
      <c r="B1774" s="3" t="s">
        <v>1775</v>
      </c>
      <c r="C1774" s="3" t="str">
        <f>IFERROR(__xludf.DUMMYFUNCTION("GOOGLETRANSLATE(B1774,""id"",""en"")"),"['quota', 'unlimited', 'restricted', 'speed', 'lie', 'please', 'fix', 'quota', 'unlimited', 'restricted', 'speed']")</f>
        <v>['quota', 'unlimited', 'restricted', 'speed', 'lie', 'please', 'fix', 'quota', 'unlimited', 'restricted', 'speed']</v>
      </c>
      <c r="D1774" s="3">
        <v>1.0</v>
      </c>
    </row>
    <row r="1775" ht="15.75" customHeight="1">
      <c r="A1775" s="1">
        <v>1773.0</v>
      </c>
      <c r="B1775" s="3" t="s">
        <v>1776</v>
      </c>
      <c r="C1775" s="3" t="str">
        <f>IFERROR(__xludf.DUMMYFUNCTION("GOOGLETRANSLATE(B1775,""id"",""en"")"),"['Suggestion', 'Telkomsel', 'Package', 'Internet', 'APK', 'Choice', 'Make', 'Quota', 'Main', 'Karna', 'Quota', 'Main', ' APK ',' example ',' buy ',' package ',' GB ',' quota ',' main ',' just ',' GB ',' GB ',' APK ',' use it ',' just ' , 'input', 'min', '"&amp;"responded', 'thanks', 'no', 'GPP', 'thank', 'love', ""]")</f>
        <v>['Suggestion', 'Telkomsel', 'Package', 'Internet', 'APK', 'Choice', 'Make', 'Quota', 'Main', 'Karna', 'Quota', 'Main', ' APK ',' example ',' buy ',' package ',' GB ',' quota ',' main ',' just ',' GB ',' GB ',' APK ',' use it ',' just ' , 'input', 'min', 'responded', 'thanks', 'no', 'GPP', 'thank', 'love', "]</v>
      </c>
      <c r="D1775" s="3">
        <v>2.0</v>
      </c>
    </row>
    <row r="1776" ht="15.75" customHeight="1">
      <c r="A1776" s="1">
        <v>1774.0</v>
      </c>
      <c r="B1776" s="3" t="s">
        <v>1777</v>
      </c>
      <c r="C1776" s="3" t="str">
        <f>IFERROR(__xludf.DUMMYFUNCTION("GOOGLETRANSLATE(B1776,""id"",""en"")"),"['Cave', 'buy', 'quota', 'combo', 'unlimited', 'Sakti', 'TPI', 'BLM', 'a month', 'UDH', 'hope', 'fix', ' In ',' a month ',' UDH ',' Cave ',' Buy ',' Package ',' Combo ',' Sakti ',' Unlimited ',' UDH ',' PRBAIKIN ',' Bru ',' Cave ' , 'Kasib', 'star', '']")</f>
        <v>['Cave', 'buy', 'quota', 'combo', 'unlimited', 'Sakti', 'TPI', 'BLM', 'a month', 'UDH', 'hope', 'fix', ' In ',' a month ',' UDH ',' Cave ',' Buy ',' Package ',' Combo ',' Sakti ',' Unlimited ',' UDH ',' PRBAIKIN ',' Bru ',' Cave ' , 'Kasib', 'star', '']</v>
      </c>
      <c r="D1776" s="3">
        <v>1.0</v>
      </c>
    </row>
    <row r="1777" ht="15.75" customHeight="1">
      <c r="A1777" s="1">
        <v>1775.0</v>
      </c>
      <c r="B1777" s="3" t="s">
        <v>1778</v>
      </c>
      <c r="C1777" s="3" t="str">
        <f>IFERROR(__xludf.DUMMYFUNCTION("GOOGLETRANSLATE(B1777,""id"",""en"")"),"['Network', 'Telkomsel', 'Sometimes',' Sometimes', 'NGK', 'Serving', 'Quality', 'NGK', 'Good', 'Already', 'Card', 'Telkom', ' Consumers', 'switch', 'provider', 'jdi', 'please', 'quality', 'waiter', 'was married', 'ngk', 'event', 'because', 'people', 'need"&amp;"' , 'quality', 'network', 'please', 'respond', 'sumut', 'cliff', 'Wednesday', 'June', '']")</f>
        <v>['Network', 'Telkomsel', 'Sometimes',' Sometimes', 'NGK', 'Serving', 'Quality', 'NGK', 'Good', 'Already', 'Card', 'Telkom', ' Consumers', 'switch', 'provider', 'jdi', 'please', 'quality', 'waiter', 'was married', 'ngk', 'event', 'because', 'people', 'need' , 'quality', 'network', 'please', 'respond', 'sumut', 'cliff', 'Wednesday', 'June', '']</v>
      </c>
      <c r="D1777" s="3">
        <v>1.0</v>
      </c>
    </row>
    <row r="1778" ht="15.75" customHeight="1">
      <c r="A1778" s="1">
        <v>1776.0</v>
      </c>
      <c r="B1778" s="3" t="s">
        <v>1779</v>
      </c>
      <c r="C1778" s="3" t="str">
        <f>IFERROR(__xludf.DUMMYFUNCTION("GOOGLETRANSLATE(B1778,""id"",""en"")"),"['What', 'Sis',' UDH ',' Exchange ',' Points', 'Snack', 'Link', 'Enter', 'Points',' Please ',' Return ',' Points', 'Loss',' Donk ', ""]")</f>
        <v>['What', 'Sis',' UDH ',' Exchange ',' Points', 'Snack', 'Link', 'Enter', 'Points',' Please ',' Return ',' Points', 'Loss',' Donk ', "]</v>
      </c>
      <c r="D1778" s="3">
        <v>1.0</v>
      </c>
    </row>
    <row r="1779" ht="15.75" customHeight="1">
      <c r="A1779" s="1">
        <v>1777.0</v>
      </c>
      <c r="B1779" s="3" t="s">
        <v>1780</v>
      </c>
      <c r="C1779" s="3" t="str">
        <f>IFERROR(__xludf.DUMMYFUNCTION("GOOGLETRANSLATE(B1779,""id"",""en"")"),"['network', 'cave', 'safe', 'please', 'price', 'package', 'perman', 'friend', 'cave', 'combo', 'sakti', 'cave', ' kagak ',' cave ',' love ',' star ',' ntar ',' already ',' fix ',' cave ',' addin ',' star ']")</f>
        <v>['network', 'cave', 'safe', 'please', 'price', 'package', 'perman', 'friend', 'cave', 'combo', 'sakti', 'cave', ' kagak ',' cave ',' love ',' star ',' ntar ',' already ',' fix ',' cave ',' addin ',' star ']</v>
      </c>
      <c r="D1779" s="3">
        <v>2.0</v>
      </c>
    </row>
    <row r="1780" ht="15.75" customHeight="1">
      <c r="A1780" s="1">
        <v>1778.0</v>
      </c>
      <c r="B1780" s="3" t="s">
        <v>1781</v>
      </c>
      <c r="C1780" s="3" t="str">
        <f>IFERROR(__xludf.DUMMYFUNCTION("GOOGLETRANSLATE(B1780,""id"",""en"")"),"['Telkomsel', 'network', 'slow', 'Mending', 'moved', 'operator', 'Telkomsel', 'satisfying', 'customer', 'squeeze', 'network', 'like', ' turtle ',' Kura ',' Kasi ',' star ']")</f>
        <v>['Telkomsel', 'network', 'slow', 'Mending', 'moved', 'operator', 'Telkomsel', 'satisfying', 'customer', 'squeeze', 'network', 'like', ' turtle ',' Kura ',' Kasi ',' star ']</v>
      </c>
      <c r="D1780" s="3">
        <v>1.0</v>
      </c>
    </row>
    <row r="1781" ht="15.75" customHeight="1">
      <c r="A1781" s="1">
        <v>1779.0</v>
      </c>
      <c r="B1781" s="3" t="s">
        <v>1782</v>
      </c>
      <c r="C1781" s="3" t="str">
        <f>IFERROR(__xludf.DUMMYFUNCTION("GOOGLETRANSLATE(B1781,""id"",""en"")"),"['th', 'use', 'card', 'hello', 'disappointed', 'yesterday', 'yesterday', 'slow', 'position', 'city', 'city', 'lemooot', ' speed ',' internet ',' disappointing ',' signal ',' stem ',' full ',' speed ',' below ',' MB ',' speed ',' add ',' right ',' open ' ,"&amp;" 'Application', 'Telkomsel', 'Addin', 'Complain', 'Ribet', 'Most', 'Validation', 'Validation', ""]")</f>
        <v>['th', 'use', 'card', 'hello', 'disappointed', 'yesterday', 'yesterday', 'slow', 'position', 'city', 'city', 'lemooot', ' speed ',' internet ',' disappointing ',' signal ',' stem ',' full ',' speed ',' below ',' MB ',' speed ',' add ',' right ',' open ' , 'Application', 'Telkomsel', 'Addin', 'Complain', 'Ribet', 'Most', 'Validation', 'Validation', "]</v>
      </c>
      <c r="D1781" s="3">
        <v>1.0</v>
      </c>
    </row>
    <row r="1782" ht="15.75" customHeight="1">
      <c r="A1782" s="1">
        <v>1780.0</v>
      </c>
      <c r="B1782" s="3" t="s">
        <v>1783</v>
      </c>
      <c r="C1782" s="3" t="str">
        <f>IFERROR(__xludf.DUMMYFUNCTION("GOOGLETRANSLATE(B1782,""id"",""en"")"),"['A week', 'signal', 'get', 'bar', 'sometimes',' get ',' event ',' city ',' Tangerang ',' lohh ',' please ',' repaired ',' thank you', '']")</f>
        <v>['A week', 'signal', 'get', 'bar', 'sometimes',' get ',' event ',' city ',' Tangerang ',' lohh ',' please ',' repaired ',' thank you', '']</v>
      </c>
      <c r="D1782" s="3">
        <v>1.0</v>
      </c>
    </row>
    <row r="1783" ht="15.75" customHeight="1">
      <c r="A1783" s="1">
        <v>1781.0</v>
      </c>
      <c r="B1783" s="3" t="s">
        <v>1784</v>
      </c>
      <c r="C1783" s="3" t="str">
        <f>IFERROR(__xludf.DUMMYFUNCTION("GOOGLETRANSLATE(B1783,""id"",""en"")"),"['base', 'apk', 'morotin', 'pulse', 'morning', 'buy', 'pulse', 'ilang', 'base', 'apk', 'ngk', 'artisan', ' Morotin ',' pulses', '']")</f>
        <v>['base', 'apk', 'morotin', 'pulse', 'morning', 'buy', 'pulse', 'ilang', 'base', 'apk', 'ngk', 'artisan', ' Morotin ',' pulses', '']</v>
      </c>
      <c r="D1783" s="3">
        <v>1.0</v>
      </c>
    </row>
    <row r="1784" ht="15.75" customHeight="1">
      <c r="A1784" s="1">
        <v>1782.0</v>
      </c>
      <c r="B1784" s="3" t="s">
        <v>1785</v>
      </c>
      <c r="C1784" s="3" t="str">
        <f>IFERROR(__xludf.DUMMYFUNCTION("GOOGLETRANSLATE(B1784,""id"",""en"")"),"['already', 'expensive', 'network', 'ngelag', 'slow', 'klw', 'good', 'signal', 'klw', 'already', 'clock', 'gini', ' Drop ',' indicator ',' signal ',' manteng ',' slow ',' fix ']")</f>
        <v>['already', 'expensive', 'network', 'ngelag', 'slow', 'klw', 'good', 'signal', 'klw', 'already', 'clock', 'gini', ' Drop ',' indicator ',' signal ',' manteng ',' slow ',' fix ']</v>
      </c>
      <c r="D1784" s="3">
        <v>1.0</v>
      </c>
    </row>
    <row r="1785" ht="15.75" customHeight="1">
      <c r="A1785" s="1">
        <v>1783.0</v>
      </c>
      <c r="B1785" s="3" t="s">
        <v>1786</v>
      </c>
      <c r="C1785" s="3" t="str">
        <f>IFERROR(__xludf.DUMMYFUNCTION("GOOGLETRANSLATE(B1785,""id"",""en"")"),"['Judge', 'told', 'consultation', 'The problem', 'Customer', 'servicenya', 'right', 'already', 'consult', 'solution', 'anything', 'help']")</f>
        <v>['Judge', 'told', 'consultation', 'The problem', 'Customer', 'servicenya', 'right', 'already', 'consult', 'solution', 'anything', 'help']</v>
      </c>
      <c r="D1785" s="3">
        <v>1.0</v>
      </c>
    </row>
    <row r="1786" ht="15.75" customHeight="1">
      <c r="A1786" s="1">
        <v>1784.0</v>
      </c>
      <c r="B1786" s="3" t="s">
        <v>1787</v>
      </c>
      <c r="C1786" s="3" t="str">
        <f>IFERROR(__xludf.DUMMYFUNCTION("GOOGLETRANSLATE(B1786,""id"",""en"")"),"['Please', 'Adin', 'Package', 'Combo', 'Sakti', 'GB', 'Plus',' Unlimited ',' Package ',' Combo ',' Sakti ',' Plusin ',' Active ',' Combo ',' Sakti ',' Plus', 'Unlimited', 'Active', 'Dannn', 'Please', 'Dibagusin', 'Connect', 'Kayak', 'Soon', 'Kayak' , 'Pro"&amp;"vider', 'like', 'Ngeload', 'Good', 'Thank you', ""]")</f>
        <v>['Please', 'Adin', 'Package', 'Combo', 'Sakti', 'GB', 'Plus',' Unlimited ',' Package ',' Combo ',' Sakti ',' Plusin ',' Active ',' Combo ',' Sakti ',' Plus', 'Unlimited', 'Active', 'Dannn', 'Please', 'Dibagusin', 'Connect', 'Kayak', 'Soon', 'Kayak' , 'Provider', 'like', 'Ngeload', 'Good', 'Thank you', "]</v>
      </c>
      <c r="D1786" s="3">
        <v>5.0</v>
      </c>
    </row>
    <row r="1787" ht="15.75" customHeight="1">
      <c r="A1787" s="1">
        <v>1785.0</v>
      </c>
      <c r="B1787" s="3" t="s">
        <v>1788</v>
      </c>
      <c r="C1787" s="3" t="str">
        <f>IFERROR(__xludf.DUMMYFUNCTION("GOOGLETRANSLATE(B1787,""id"",""en"")"),"['Telkomsel', 'Please', 'Quota', 'Internet', 'Unlimited', 'Restore', 'Tampa', 'Limitation', 'Application', 'Instagram', 'Tiktok', 'Limit', ' GB ',' Internet ',' Unlimited ',' RP ',' Telkomsel ',' Written ',' Speed ​​',' GB ',' Out ',' Limit ',' KB ',' KB "&amp;"',' Facebook ' , 'Gini', 'Move', 'Network', 'next door', '']")</f>
        <v>['Telkomsel', 'Please', 'Quota', 'Internet', 'Unlimited', 'Restore', 'Tampa', 'Limitation', 'Application', 'Instagram', 'Tiktok', 'Limit', ' GB ',' Internet ',' Unlimited ',' RP ',' Telkomsel ',' Written ',' Speed ​​',' GB ',' Out ',' Limit ',' KB ',' KB ',' Facebook ' , 'Gini', 'Move', 'Network', 'next door', '']</v>
      </c>
      <c r="D1787" s="3">
        <v>1.0</v>
      </c>
    </row>
    <row r="1788" ht="15.75" customHeight="1">
      <c r="A1788" s="1">
        <v>1786.0</v>
      </c>
      <c r="B1788" s="3" t="s">
        <v>1789</v>
      </c>
      <c r="C1788" s="3" t="str">
        <f>IFERROR(__xludf.DUMMYFUNCTION("GOOGLETRANSLATE(B1788,""id"",""en"")"),"['please', 'Telkomsel', 'fix', 'network', 'corruption', 'kalok', 'abis',' quota ',' buy ',' no ',' net ',' bran ',' Slow ',' Sangat ',' Disappointed ',' PIN ',' Card ',' Quota ',' Mass', 'Can't', 'Collect', 'Fix', 'Admin', 'stupid' , 'Sangat', 'please', '"&amp;"already', 'improved', 'network', 'Kasi', 'star', ""]")</f>
        <v>['please', 'Telkomsel', 'fix', 'network', 'corruption', 'kalok', 'abis',' quota ',' buy ',' no ',' net ',' bran ',' Slow ',' Sangat ',' Disappointed ',' PIN ',' Card ',' Quota ',' Mass', 'Can't', 'Collect', 'Fix', 'Admin', 'stupid' , 'Sangat', 'please', 'already', 'improved', 'network', 'Kasi', 'star', "]</v>
      </c>
      <c r="D1788" s="3">
        <v>1.0</v>
      </c>
    </row>
    <row r="1789" ht="15.75" customHeight="1">
      <c r="A1789" s="1">
        <v>1787.0</v>
      </c>
      <c r="B1789" s="3" t="s">
        <v>1790</v>
      </c>
      <c r="C1789" s="3" t="str">
        <f>IFERROR(__xludf.DUMMYFUNCTION("GOOGLETRANSLATE(B1789,""id"",""en"")"),"['min', 'package', 'fox', 'fox', 'habit', 'buy', 'package', 'internet', 'max', 'package', 'jdi', 'double', ' buy ',' pulse ',' so ',' thank you ']")</f>
        <v>['min', 'package', 'fox', 'fox', 'habit', 'buy', 'package', 'internet', 'max', 'package', 'jdi', 'double', ' buy ',' pulse ',' so ',' thank you ']</v>
      </c>
      <c r="D1789" s="3">
        <v>3.0</v>
      </c>
    </row>
    <row r="1790" ht="15.75" customHeight="1">
      <c r="A1790" s="1">
        <v>1788.0</v>
      </c>
      <c r="B1790" s="3" t="s">
        <v>1791</v>
      </c>
      <c r="C1790" s="3" t="str">
        <f>IFERROR(__xludf.DUMMYFUNCTION("GOOGLETRANSLATE(B1790,""id"",""en"")"),"['quota', 'mytelkomsel', 'error', 'severe', 'sms',' quota ',' limit ',' run out ',' late ',' minute ',' reduced ',' notification ',' SMS ',' quota ',' run out ',' appears', 'pulse', 'run out', 'disappointed', '']")</f>
        <v>['quota', 'mytelkomsel', 'error', 'severe', 'sms',' quota ',' limit ',' run out ',' late ',' minute ',' reduced ',' notification ',' SMS ',' quota ',' run out ',' appears', 'pulse', 'run out', 'disappointed', '']</v>
      </c>
      <c r="D1790" s="3">
        <v>1.0</v>
      </c>
    </row>
    <row r="1791" ht="15.75" customHeight="1">
      <c r="A1791" s="1">
        <v>1789.0</v>
      </c>
      <c r="B1791" s="3" t="s">
        <v>1792</v>
      </c>
      <c r="C1791" s="3" t="str">
        <f>IFERROR(__xludf.DUMMYFUNCTION("GOOGLETRANSLATE(B1791,""id"",""en"")"),"['Hopefully', 'smooth', 'internet', 'wherever', 'Telkomsel', 'Indonesia', 'Slow', 'MOTHER', 'promo', 'cheap', 'internet', 'success',' Telkomsel ',' ']")</f>
        <v>['Hopefully', 'smooth', 'internet', 'wherever', 'Telkomsel', 'Indonesia', 'Slow', 'MOTHER', 'promo', 'cheap', 'internet', 'success',' Telkomsel ',' ']</v>
      </c>
      <c r="D1791" s="3">
        <v>5.0</v>
      </c>
    </row>
    <row r="1792" ht="15.75" customHeight="1">
      <c r="A1792" s="1">
        <v>1790.0</v>
      </c>
      <c r="B1792" s="3" t="s">
        <v>1793</v>
      </c>
      <c r="C1792" s="3" t="str">
        <f>IFERROR(__xludf.DUMMYFUNCTION("GOOGLETRANSLATE(B1792,""id"",""en"")"),"['knp', 'buy', 'package', 'cheerful', 'promo', 'apply', 'right', 'buy', 'just', 'thank you', 'request', 'processed', ' reset ',' times', 'no', 'kantel', 'please', 'operator']")</f>
        <v>['knp', 'buy', 'package', 'cheerful', 'promo', 'apply', 'right', 'buy', 'just', 'thank you', 'request', 'processed', ' reset ',' times', 'no', 'kantel', 'please', 'operator']</v>
      </c>
      <c r="D1792" s="3">
        <v>1.0</v>
      </c>
    </row>
    <row r="1793" ht="15.75" customHeight="1">
      <c r="A1793" s="1">
        <v>1791.0</v>
      </c>
      <c r="B1793" s="3" t="s">
        <v>1794</v>
      </c>
      <c r="C1793" s="3" t="str">
        <f>IFERROR(__xludf.DUMMYFUNCTION("GOOGLETRANSLATE(B1793,""id"",""en"")"),"['buy', 'package', 'please', 'package', 'play', 'play', 'response', 'stop', 'Telkomsel', ""]")</f>
        <v>['buy', 'package', 'please', 'package', 'play', 'play', 'response', 'stop', 'Telkomsel', "]</v>
      </c>
      <c r="D1793" s="3">
        <v>1.0</v>
      </c>
    </row>
    <row r="1794" ht="15.75" customHeight="1">
      <c r="A1794" s="1">
        <v>1792.0</v>
      </c>
      <c r="B1794" s="3" t="s">
        <v>1795</v>
      </c>
      <c r="C1794" s="3" t="str">
        <f>IFERROR(__xludf.DUMMYFUNCTION("GOOGLETRANSLATE(B1794,""id"",""en"")"),"['quality', 'service', 'bad', 'cost', 'service', 'expensive', 'match', 'Telkomsel', 'card', 'people', 'rich', 'community', ' MediumBawah ',' Try ',' use ',' Telkomsel ',' ']")</f>
        <v>['quality', 'service', 'bad', 'cost', 'service', 'expensive', 'match', 'Telkomsel', 'card', 'people', 'rich', 'community', ' MediumBawah ',' Try ',' use ',' Telkomsel ',' ']</v>
      </c>
      <c r="D1794" s="3">
        <v>1.0</v>
      </c>
    </row>
    <row r="1795" ht="15.75" customHeight="1">
      <c r="A1795" s="1">
        <v>1793.0</v>
      </c>
      <c r="B1795" s="3" t="s">
        <v>1796</v>
      </c>
      <c r="C1795" s="3" t="str">
        <f>IFERROR(__xludf.DUMMYFUNCTION("GOOGLETRANSLATE(B1795,""id"",""en"")"),"['network', 'error', 'already', 'week', 'price', 'package', 'expensive', 'please', 'increase', 'price', 'do', 'increase', ' Diet ',' users', 'Telkomsel', 'Satisfied', 'Special', 'Region', '']")</f>
        <v>['network', 'error', 'already', 'week', 'price', 'package', 'expensive', 'please', 'increase', 'price', 'do', 'increase', ' Diet ',' users', 'Telkomsel', 'Satisfied', 'Special', 'Region', '']</v>
      </c>
      <c r="D1795" s="3">
        <v>2.0</v>
      </c>
    </row>
    <row r="1796" ht="15.75" customHeight="1">
      <c r="A1796" s="1">
        <v>1794.0</v>
      </c>
      <c r="B1796" s="3" t="s">
        <v>1797</v>
      </c>
      <c r="C1796" s="3" t="str">
        <f>IFERROR(__xludf.DUMMYFUNCTION("GOOGLETRANSLATE(B1796,""id"",""en"")"),"['Network', 'Genah', 'expensive', 'try', 'survey', 'price', 'market', 'price', 'quality', 'item', 'next door']")</f>
        <v>['Network', 'Genah', 'expensive', 'try', 'survey', 'price', 'market', 'price', 'quality', 'item', 'next door']</v>
      </c>
      <c r="D1796" s="3">
        <v>1.0</v>
      </c>
    </row>
    <row r="1797" ht="15.75" customHeight="1">
      <c r="A1797" s="1">
        <v>1795.0</v>
      </c>
      <c r="B1797" s="3" t="s">
        <v>1798</v>
      </c>
      <c r="C1797" s="3" t="str">
        <f>IFERROR(__xludf.DUMMYFUNCTION("GOOGLETRANSLATE(B1797,""id"",""en"")"),"['The application', 'easy', 'information', 'detail', 'extra', 'hope', 'language', 'Indonesia', 'in', 'application', 'Telkomsel', 'easy', ' Understand ',' Language ']")</f>
        <v>['The application', 'easy', 'information', 'detail', 'extra', 'hope', 'language', 'Indonesia', 'in', 'application', 'Telkomsel', 'easy', ' Understand ',' Language ']</v>
      </c>
      <c r="D1797" s="3">
        <v>4.0</v>
      </c>
    </row>
    <row r="1798" ht="15.75" customHeight="1">
      <c r="A1798" s="1">
        <v>1796.0</v>
      </c>
      <c r="B1798" s="3" t="s">
        <v>1799</v>
      </c>
      <c r="C1798" s="3" t="str">
        <f>IFERROR(__xludf.DUMMYFUNCTION("GOOGLETRANSLATE(B1798,""id"",""en"")"),"['wil', 'Jayapura', 'alternating', 'reasons',' dead ',' cable ',' optics', 'pay', 'card', 'hello', 'mbanking', 'dialitem', ' Block ',' Nomer ',' how ',' user ',' rich ',' distance ',' km ',' grapari ',' pay ',' offline ',' pay ',' manking ',' matek ' , 'I"&amp;"net', 'Pay', 'blamed', 'blocked', 'easy', 'change', 'number', 'emang', 'merchant', 'online', 'loss',' gonta ',' Change ',' nomer ',' thanks', 'free', 'in the month', 'May', 'hope', 'really', 'see', 'free', 'free', 'bill', 'download' , 'reset', 'Telkomsel'"&amp;", 'difficult', '']")</f>
        <v>['wil', 'Jayapura', 'alternating', 'reasons',' dead ',' cable ',' optics', 'pay', 'card', 'hello', 'mbanking', 'dialitem', ' Block ',' Nomer ',' how ',' user ',' rich ',' distance ',' km ',' grapari ',' pay ',' offline ',' pay ',' manking ',' matek ' , 'Inet', 'Pay', 'blamed', 'blocked', 'easy', 'change', 'number', 'emang', 'merchant', 'online', 'loss',' gonta ',' Change ',' nomer ',' thanks', 'free', 'in the month', 'May', 'hope', 'really', 'see', 'free', 'free', 'bill', 'download' , 'reset', 'Telkomsel', 'difficult', '']</v>
      </c>
      <c r="D1798" s="3">
        <v>5.0</v>
      </c>
    </row>
    <row r="1799" ht="15.75" customHeight="1">
      <c r="A1799" s="1">
        <v>1797.0</v>
      </c>
      <c r="B1799" s="3" t="s">
        <v>1800</v>
      </c>
      <c r="C1799" s="3" t="str">
        <f>IFERROR(__xludf.DUMMYFUNCTION("GOOGLETRANSLATE(B1799,""id"",""en"")"),"['Hallo', 'Congratulations',' night ',' PRNH ',' Disruption ',' Msalah ',' Whatever ',' Slama ',' Wear ',' Telkomsel ',' Network ',' Slalu ',' Strong ',' TPI ',' KNPA ',' JRANKAN ',' SLUS ',' LOST ',' PLASH ',' LEMOT ',' Restar ',' Bekali ',' times', 'ple"&amp;"ase' , 'smpai', 'moved', 'SIM', 'TTP', 'Network', 'missing', 'Tlong', 'Lahh', 'Fix', 'fast', 'Muguh', ""]")</f>
        <v>['Hallo', 'Congratulations',' night ',' PRNH ',' Disruption ',' Msalah ',' Whatever ',' Slama ',' Wear ',' Telkomsel ',' Network ',' Slalu ',' Strong ',' TPI ',' KNPA ',' JRANKAN ',' SLUS ',' LOST ',' PLASH ',' LEMOT ',' Restar ',' Bekali ',' times', 'please' , 'smpai', 'moved', 'SIM', 'TTP', 'Network', 'missing', 'Tlong', 'Lahh', 'Fix', 'fast', 'Muguh', "]</v>
      </c>
      <c r="D1799" s="3">
        <v>1.0</v>
      </c>
    </row>
    <row r="1800" ht="15.75" customHeight="1">
      <c r="A1800" s="1">
        <v>1798.0</v>
      </c>
      <c r="B1800" s="3" t="s">
        <v>1801</v>
      </c>
      <c r="C1800" s="3" t="str">
        <f>IFERROR(__xludf.DUMMYFUNCTION("GOOGLETRANSLATE(B1800,""id"",""en"")"),"['Telkomsel', 'slow', 'network', 'internet', 'sya', 'dizziness', 'confused', 'how', 'sya', 'jringan', 'telkomsel', ""]")</f>
        <v>['Telkomsel', 'slow', 'network', 'internet', 'sya', 'dizziness', 'confused', 'how', 'sya', 'jringan', 'telkomsel', "]</v>
      </c>
      <c r="D1800" s="3">
        <v>1.0</v>
      </c>
    </row>
    <row r="1801" ht="15.75" customHeight="1">
      <c r="A1801" s="1">
        <v>1799.0</v>
      </c>
      <c r="B1801" s="3" t="s">
        <v>1802</v>
      </c>
      <c r="C1801" s="3" t="str">
        <f>IFERROR(__xludf.DUMMYFUNCTION("GOOGLETRANSLATE(B1801,""id"",""en"")"),"['Network', 'Kayak', 'Taik', 'buy', 'package', 'expensive', 'signal', 'kayak', 'bangse', 'sory', 'worker', 'take care', ' Tower ',' Telkom ',' Dnnn ',' Risk ',' Life ',' I ',' User ',' I ',' Pay ',' I ',' Jngn ',' Season ',' Revenge ' , 'I', 'connoisseurs"&amp;"',' signal ',' smooth ',' me ',' nikmatin ',' network ',' inet ',' smooth ',' free ',' pay ',' pay ',' Workers', 'Tower', 'like', 'complement', 'users',' hrus', 'think', 'down', 'tower', 'ready', 'hope', 'in the future', 'Telkomsel' , 'fix', 'replace', 'c"&amp;"ard', 'bye', 'nyet']")</f>
        <v>['Network', 'Kayak', 'Taik', 'buy', 'package', 'expensive', 'signal', 'kayak', 'bangse', 'sory', 'worker', 'take care', ' Tower ',' Telkom ',' Dnnn ',' Risk ',' Life ',' I ',' User ',' I ',' Pay ',' I ',' Jngn ',' Season ',' Revenge ' , 'I', 'connoisseurs',' signal ',' smooth ',' me ',' nikmatin ',' network ',' inet ',' smooth ',' free ',' pay ',' pay ',' Workers', 'Tower', 'like', 'complement', 'users',' hrus', 'think', 'down', 'tower', 'ready', 'hope', 'in the future', 'Telkomsel' , 'fix', 'replace', 'card', 'bye', 'nyet']</v>
      </c>
      <c r="D1801" s="3">
        <v>1.0</v>
      </c>
    </row>
    <row r="1802" ht="15.75" customHeight="1">
      <c r="A1802" s="1">
        <v>1800.0</v>
      </c>
      <c r="B1802" s="3" t="s">
        <v>1803</v>
      </c>
      <c r="C1802" s="3" t="str">
        <f>IFERROR(__xludf.DUMMYFUNCTION("GOOGLETRANSLATE(B1802,""id"",""en"")"),"['signal', 'ugly', 'no', 'village', 'no', 'city', 'application', 'telkomsel', 'kayak', 'bug', 'so', 'my cellphone', ' Open ',' APK ',' APK ',' Force ',' Close ',' Loading ',' Open ',' APK ',' Use ',' WiFi ', ""]")</f>
        <v>['signal', 'ugly', 'no', 'village', 'no', 'city', 'application', 'telkomsel', 'kayak', 'bug', 'so', 'my cellphone', ' Open ',' APK ',' APK ',' Force ',' Close ',' Loading ',' Open ',' APK ',' Use ',' WiFi ', "]</v>
      </c>
      <c r="D1802" s="3">
        <v>2.0</v>
      </c>
    </row>
    <row r="1803" ht="15.75" customHeight="1">
      <c r="A1803" s="1">
        <v>1801.0</v>
      </c>
      <c r="B1803" s="3" t="s">
        <v>1804</v>
      </c>
      <c r="C1803" s="3" t="str">
        <f>IFERROR(__xludf.DUMMYFUNCTION("GOOGLETRANSLATE(B1803,""id"",""en"")"),"['Telkomsel', 'Crazy', 'Since', 'Mending', 'Level', 'Crush', 'Network', 'Signal', 'Strong', 'Full', 'Tapiii', 'Internet', ' Leeks', 'Anjenkk', 'Taikk', 'pig', ""]")</f>
        <v>['Telkomsel', 'Crazy', 'Since', 'Mending', 'Level', 'Crush', 'Network', 'Signal', 'Strong', 'Full', 'Tapiii', 'Internet', ' Leeks', 'Anjenkk', 'Taikk', 'pig', "]</v>
      </c>
      <c r="D1803" s="3">
        <v>1.0</v>
      </c>
    </row>
    <row r="1804" ht="15.75" customHeight="1">
      <c r="A1804" s="1">
        <v>1802.0</v>
      </c>
      <c r="B1804" s="3" t="s">
        <v>1805</v>
      </c>
      <c r="C1804" s="3" t="str">
        <f>IFERROR(__xludf.DUMMYFUNCTION("GOOGLETRANSLATE(B1804,""id"",""en"")"),"['Satisfied', 'just', 'please', 'fix', 'open', 'Telkomsel', 'slow', 'open', 'Telkomsel', 'slow', 'package', 'signal', ' Good ',' should ',' slow ',' ']")</f>
        <v>['Satisfied', 'just', 'please', 'fix', 'open', 'Telkomsel', 'slow', 'open', 'Telkomsel', 'slow', 'package', 'signal', ' Good ',' should ',' slow ',' ']</v>
      </c>
      <c r="D1804" s="3">
        <v>4.0</v>
      </c>
    </row>
    <row r="1805" ht="15.75" customHeight="1">
      <c r="A1805" s="1">
        <v>1803.0</v>
      </c>
      <c r="B1805" s="3" t="s">
        <v>1806</v>
      </c>
      <c r="C1805" s="3" t="str">
        <f>IFERROR(__xludf.DUMMYFUNCTION("GOOGLETRANSLATE(B1805,""id"",""en"")"),"['price', 'quotanya', 'expensive', 'mas',' mba ',' quality ',' network ',' down ',' gaming ',' how ',' different ',' below it ',' Reply ',' ']")</f>
        <v>['price', 'quotanya', 'expensive', 'mas',' mba ',' quality ',' network ',' down ',' gaming ',' how ',' different ',' below it ',' Reply ',' ']</v>
      </c>
      <c r="D1805" s="3">
        <v>1.0</v>
      </c>
    </row>
    <row r="1806" ht="15.75" customHeight="1">
      <c r="A1806" s="1">
        <v>1804.0</v>
      </c>
      <c r="B1806" s="3" t="s">
        <v>1807</v>
      </c>
      <c r="C1806" s="3" t="str">
        <f>IFERROR(__xludf.DUMMYFUNCTION("GOOGLETRANSLATE(B1806,""id"",""en"")"),"['Provider', 'calculations',' expensive ',' title ',' unlimited ',' end ',' restricted ',' contact ',' complaint ',' mentok ',' told ',' search ',' package ',' according to ',' tetep ',' network ',' taste ',' edge ', ""]")</f>
        <v>['Provider', 'calculations',' expensive ',' title ',' unlimited ',' end ',' restricted ',' contact ',' complaint ',' mentok ',' told ',' search ',' package ',' according to ',' tetep ',' network ',' taste ',' edge ', "]</v>
      </c>
      <c r="D1806" s="3">
        <v>2.0</v>
      </c>
    </row>
    <row r="1807" ht="15.75" customHeight="1">
      <c r="A1807" s="1">
        <v>1805.0</v>
      </c>
      <c r="B1807" s="3" t="s">
        <v>1808</v>
      </c>
      <c r="C1807" s="3" t="str">
        <f>IFERROR(__xludf.DUMMYFUNCTION("GOOGLETRANSLATE(B1807,""id"",""en"")"),"['Changed', 'Package', 'Unlimited', 'YouTube', 'Satuku', 'Package', 'Internet', 'Unlimited', 'YouTube', 'Package', 'Separate', ""]")</f>
        <v>['Changed', 'Package', 'Unlimited', 'YouTube', 'Satuku', 'Package', 'Internet', 'Unlimited', 'YouTube', 'Package', 'Separate', "]</v>
      </c>
      <c r="D1807" s="3">
        <v>1.0</v>
      </c>
    </row>
    <row r="1808" ht="15.75" customHeight="1">
      <c r="A1808" s="1">
        <v>1806.0</v>
      </c>
      <c r="B1808" s="3" t="s">
        <v>1809</v>
      </c>
      <c r="C1808" s="3" t="str">
        <f>IFERROR(__xludf.DUMMYFUNCTION("GOOGLETRANSLATE(B1808,""id"",""en"")"),"['Took', 'Telkomsel', 'service', 'repaired', 'gini', 'signal', 'stable', 'clock', 'night', 'strangehhhhhhhhhhhhhhhhhhhhhhhhhhhhhhhhhhhhhhhhhhhhhhhhhhhhhhhhhhhhhhhhhhhhhhhhhhhhhhhhhhhhhhhhhhhhhhhhhhhhhhhhhhhhhhhhhhhhhhhhhhhhhhhhhhhhhhhhhhhhhhhhhhhhhhhhhhhh"&amp;"hhhhhhhhhhhhhhhhhhhhhhhhhhhhhhhhhhhhhhhhhhhhhhhhhhhhhhhhhhhhhhhhhhhh")</f>
        <v>['Took', 'Telkomsel', 'service', 'repaired', 'gini', 'signal', 'stable', 'clock', 'night', 'strangehhhhhhhhhhhhhhhhhhhhhhhhhhhhhhhhhhhhhhhhhhhhhhhhhhhhhhhhhhhhhhhhhhhhhhhhhhhhhhhhhhhhhhhhhhhhhhhhhhhhhhhhhhhhhhhhhhhhhhhhhhhhhhhhhhhhhhhhhhhhhhhhhhhhhhhhhhhhhhhhhhhhhhhhhhhhhhhhhhhhhhhhhhhhhhhhhhhhhhhhhhhhhhhhhhhhhhhhhhhhhhhh</v>
      </c>
      <c r="D1808" s="3">
        <v>1.0</v>
      </c>
    </row>
    <row r="1809" ht="15.75" customHeight="1">
      <c r="A1809" s="1">
        <v>1807.0</v>
      </c>
      <c r="B1809" s="3" t="s">
        <v>1810</v>
      </c>
      <c r="C1809" s="3" t="str">
        <f>IFERROR(__xludf.DUMMYFUNCTION("GOOGLETRANSLATE(B1809,""id"",""en"")"),"['', 'users',' Telkom ',' literacy ',' price ',' package ',' expensive ',' mending ',' strong ',' ugly ',' unlimited ',' speed ',' kbps ',' expensive ',' unlimited ',' gini ',' ']")</f>
        <v>['', 'users',' Telkom ',' literacy ',' price ',' package ',' expensive ',' mending ',' strong ',' ugly ',' unlimited ',' speed ',' kbps ',' expensive ',' unlimited ',' gini ',' ']</v>
      </c>
      <c r="D1809" s="3">
        <v>1.0</v>
      </c>
    </row>
    <row r="1810" ht="15.75" customHeight="1">
      <c r="A1810" s="1">
        <v>1808.0</v>
      </c>
      <c r="B1810" s="3" t="s">
        <v>1811</v>
      </c>
      <c r="C1810" s="3" t="str">
        <f>IFERROR(__xludf.DUMMYFUNCTION("GOOGLETRANSLATE(B1810,""id"",""en"")"),"['down', 'rating', 'bankrupt', 'Telkomsel', 'Perdana', 'super', 'slow', 'card', 'sultan', 'quota', 'expensive', 'signal', ' kek ',' pig ',' game ',' ngellag ',' mulu ',' mending ',' card ',' three ',' rather than ',' sympathy ',' ngellag ',' no ',' ush ' "&amp;", 'card', 'indihonya', 'like', 'disorder', 'najiss', '']")</f>
        <v>['down', 'rating', 'bankrupt', 'Telkomsel', 'Perdana', 'super', 'slow', 'card', 'sultan', 'quota', 'expensive', 'signal', ' kek ',' pig ',' game ',' ngellag ',' mulu ',' mending ',' card ',' three ',' rather than ',' sympathy ',' ngellag ',' no ',' ush ' , 'card', 'indihonya', 'like', 'disorder', 'najiss', '']</v>
      </c>
      <c r="D1810" s="3">
        <v>1.0</v>
      </c>
    </row>
    <row r="1811" ht="15.75" customHeight="1">
      <c r="A1811" s="1">
        <v>1809.0</v>
      </c>
      <c r="B1811" s="3" t="s">
        <v>1812</v>
      </c>
      <c r="C1811" s="3" t="str">
        <f>IFERROR(__xludf.DUMMYFUNCTION("GOOGLETRANSLATE(B1811,""id"",""en"")"),"['Please', 'buy', 'pulse', 'quota', 'cheap', 'pdhl', 'buy', 'pulse', 'rare', 'quota', 'cheap', 'knpa', ' Please '""explanation']")</f>
        <v>['Please', 'buy', 'pulse', 'quota', 'cheap', 'pdhl', 'buy', 'pulse', 'rare', 'quota', 'cheap', 'knpa', ' Please '"explanation']</v>
      </c>
      <c r="D1811" s="3">
        <v>4.0</v>
      </c>
    </row>
    <row r="1812" ht="15.75" customHeight="1">
      <c r="A1812" s="1">
        <v>1810.0</v>
      </c>
      <c r="B1812" s="3" t="s">
        <v>1813</v>
      </c>
      <c r="C1812" s="3" t="str">
        <f>IFERROR(__xludf.DUMMYFUNCTION("GOOGLETRANSLATE(B1812,""id"",""en"")"),"['Network', 'Telkomsel', 'bad', 'held', 'improvement', 'limited', 'expect', 'money', 'community', 'buy', 'data', 'Dzalimilah', ' Praying ',' destruction ', ""]")</f>
        <v>['Network', 'Telkomsel', 'bad', 'held', 'improvement', 'limited', 'expect', 'money', 'community', 'buy', 'data', 'Dzalimilah', ' Praying ',' destruction ', "]</v>
      </c>
      <c r="D1812" s="3">
        <v>1.0</v>
      </c>
    </row>
    <row r="1813" ht="15.75" customHeight="1">
      <c r="A1813" s="1">
        <v>1811.0</v>
      </c>
      <c r="B1813" s="3" t="s">
        <v>1814</v>
      </c>
      <c r="C1813" s="3" t="str">
        <f>IFERROR(__xludf.DUMMYFUNCTION("GOOGLETRANSLATE(B1813,""id"",""en"")"),"['user', 'card', 'Telkomsel', 'True', 'love', 'suggestion', 'friend', 'friend', 'mending', 'change', 'card', 'signal', ' Telkomsel ',' skarang ',' damaged ',' Nge ',' YouTube ',' Game ',' sosmed ',' no ']")</f>
        <v>['user', 'card', 'Telkomsel', 'True', 'love', 'suggestion', 'friend', 'friend', 'mending', 'change', 'card', 'signal', ' Telkomsel ',' skarang ',' damaged ',' Nge ',' YouTube ',' Game ',' sosmed ',' no ']</v>
      </c>
      <c r="D1813" s="3">
        <v>1.0</v>
      </c>
    </row>
    <row r="1814" ht="15.75" customHeight="1">
      <c r="A1814" s="1">
        <v>1812.0</v>
      </c>
      <c r="B1814" s="3" t="s">
        <v>1815</v>
      </c>
      <c r="C1814" s="3" t="str">
        <f>IFERROR(__xludf.DUMMYFUNCTION("GOOGLETRANSLATE(B1814,""id"",""en"")"),"['Network', 'service', 'internet', 'mantab', 'cook', 'contents',' pls', 'rb', 'buy', 'package', 'belom', 'package', ' buy ',' pls', 'suck', 'run out', 'please', 'lacea', 'internet', 'update', 'package', 'run out', 'eat', 'pls',' disappointed ' , 'fill', '"&amp;"pls',' buy ',' package ',' Telkomsel ',' because ',' data ',' Matiin ',' buy ',' package ',' fix ',' directly ',' Add it ',' Star ']")</f>
        <v>['Network', 'service', 'internet', 'mantab', 'cook', 'contents',' pls', 'rb', 'buy', 'package', 'belom', 'package', ' buy ',' pls', 'suck', 'run out', 'please', 'lacea', 'internet', 'update', 'package', 'run out', 'eat', 'pls',' disappointed ' , 'fill', 'pls',' buy ',' package ',' Telkomsel ',' because ',' data ',' Matiin ',' buy ',' package ',' fix ',' directly ',' Add it ',' Star ']</v>
      </c>
      <c r="D1814" s="3">
        <v>2.0</v>
      </c>
    </row>
    <row r="1815" ht="15.75" customHeight="1">
      <c r="A1815" s="1">
        <v>1813.0</v>
      </c>
      <c r="B1815" s="3" t="s">
        <v>1816</v>
      </c>
      <c r="C1815" s="3" t="str">
        <f>IFERROR(__xludf.DUMMYFUNCTION("GOOGLETRANSLATE(B1815,""id"",""en"")"),"['Hallo', 'provider', 'Telkomsel', 'accept', 'message', 'Tsel', 'Google', 'there', 'written', 'success',' buy ',' package ',' YouTube ',' Music ',' Premium ',' Purchase ',' Package ',' You ',' Tube ',' Premium ',' Notification ',' Approval ',' Send ',' Co"&amp;"mplaints', 'Inbox' , 'Facebook', 'response']")</f>
        <v>['Hallo', 'provider', 'Telkomsel', 'accept', 'message', 'Tsel', 'Google', 'there', 'written', 'success',' buy ',' package ',' YouTube ',' Music ',' Premium ',' Purchase ',' Package ',' You ',' Tube ',' Premium ',' Notification ',' Approval ',' Send ',' Complaints', 'Inbox' , 'Facebook', 'response']</v>
      </c>
      <c r="D1815" s="3">
        <v>1.0</v>
      </c>
    </row>
    <row r="1816" ht="15.75" customHeight="1">
      <c r="A1816" s="1">
        <v>1814.0</v>
      </c>
      <c r="B1816" s="3" t="s">
        <v>1817</v>
      </c>
      <c r="C1816" s="3" t="str">
        <f>IFERROR(__xludf.DUMMYFUNCTION("GOOGLETRANSLATE(B1816,""id"",""en"")"),"['pulse', 'sucked', 'activity', 'internet', 'use', 'wifi', 'bbrp', 'week', 'pdhal', 'activate', 'feature', 'package', ' Etc. ',' pulses', 'stolen', 'bright', 'Dipertulated', 'Direct', 'Cpt', 'Raib', ""]")</f>
        <v>['pulse', 'sucked', 'activity', 'internet', 'use', 'wifi', 'bbrp', 'week', 'pdhal', 'activate', 'feature', 'package', ' Etc. ',' pulses', 'stolen', 'bright', 'Dipertulated', 'Direct', 'Cpt', 'Raib', "]</v>
      </c>
      <c r="D1816" s="3">
        <v>1.0</v>
      </c>
    </row>
    <row r="1817" ht="15.75" customHeight="1">
      <c r="A1817" s="1">
        <v>1815.0</v>
      </c>
      <c r="B1817" s="3" t="s">
        <v>1818</v>
      </c>
      <c r="C1817" s="3" t="str">
        <f>IFERROR(__xludf.DUMMYFUNCTION("GOOGLETRANSLATE(B1817,""id"",""en"")"),"['Min', 'ask', 'malem', 'in my area', 'signal', 'speed', 'stuck', 'kbps',' malem ',' clock ',' keaatas', 'signal', ' Road ',' Mbps', 'Please', 'Doang', 'Fire', 'Issue', 'Region', 'Bangka', 'Belitung', 'Village', 'Pemali', 'Thanks', ""]")</f>
        <v>['Min', 'ask', 'malem', 'in my area', 'signal', 'speed', 'stuck', 'kbps',' malem ',' clock ',' keaatas', 'signal', ' Road ',' Mbps', 'Please', 'Doang', 'Fire', 'Issue', 'Region', 'Bangka', 'Belitung', 'Village', 'Pemali', 'Thanks', "]</v>
      </c>
      <c r="D1817" s="3">
        <v>4.0</v>
      </c>
    </row>
    <row r="1818" ht="15.75" customHeight="1">
      <c r="A1818" s="1">
        <v>1816.0</v>
      </c>
      <c r="B1818" s="3" t="s">
        <v>1819</v>
      </c>
      <c r="C1818" s="3" t="str">
        <f>IFERROR(__xludf.DUMMYFUNCTION("GOOGLETRANSLATE(B1818,""id"",""en"")"),"['Telkomsel', 'package', 'expensive', 'network', 'comparable', 'package', 'how', 'according to', 'HISA', 'network', 'price', 'package', ' package ',' expensive ',' network ',' lemotttttt ',' hadeh ']")</f>
        <v>['Telkomsel', 'package', 'expensive', 'network', 'comparable', 'package', 'how', 'according to', 'HISA', 'network', 'price', 'package', ' package ',' expensive ',' network ',' lemotttttt ',' hadeh ']</v>
      </c>
      <c r="D1818" s="3">
        <v>1.0</v>
      </c>
    </row>
    <row r="1819" ht="15.75" customHeight="1">
      <c r="A1819" s="1">
        <v>1817.0</v>
      </c>
      <c r="B1819" s="3" t="s">
        <v>1820</v>
      </c>
      <c r="C1819" s="3" t="str">
        <f>IFERROR(__xludf.DUMMYFUNCTION("GOOGLETRANSLATE(B1819,""id"",""en"")"),"['Network', 'Dibsusin', 'Customer', 'KLW', 'Customer', 'GTU', 'Your Network', 'Leet', 'Oath', 'LEGAR', 'TIME', 'Tigers',' crew ',' potatoes', 'your network', 'potatoes']")</f>
        <v>['Network', 'Dibsusin', 'Customer', 'KLW', 'Customer', 'GTU', 'Your Network', 'Leet', 'Oath', 'LEGAR', 'TIME', 'Tigers',' crew ',' potatoes', 'your network', 'potatoes']</v>
      </c>
      <c r="D1819" s="3">
        <v>1.0</v>
      </c>
    </row>
    <row r="1820" ht="15.75" customHeight="1">
      <c r="A1820" s="1">
        <v>1818.0</v>
      </c>
      <c r="B1820" s="3" t="s">
        <v>1821</v>
      </c>
      <c r="C1820" s="3" t="str">
        <f>IFERROR(__xludf.DUMMYFUNCTION("GOOGLETRANSLATE(B1820,""id"",""en"")"),"['Hemh', 'wanted', 'slamming', 'mulu', 'feels', 'because' signal ',' maap ',' signal ',' full ',' data ',' enter ',' Example ',' chat ',' ngejam ',' come on ',' Telkomsel ',' joked ',' atuu ',' ngeprank ',' how ',' yesterday ',' tower ',' near ',' house '"&amp;" , 'difficult', 'GPP', 'destroyed', 'how', 'Telkomsel', 'clarity', 'star', 'comment']")</f>
        <v>['Hemh', 'wanted', 'slamming', 'mulu', 'feels', 'because' signal ',' maap ',' signal ',' full ',' data ',' enter ',' Example ',' chat ',' ngejam ',' come on ',' Telkomsel ',' joked ',' atuu ',' ngeprank ',' how ',' yesterday ',' tower ',' near ',' house ' , 'difficult', 'GPP', 'destroyed', 'how', 'Telkomsel', 'clarity', 'star', 'comment']</v>
      </c>
      <c r="D1820" s="3">
        <v>1.0</v>
      </c>
    </row>
    <row r="1821" ht="15.75" customHeight="1">
      <c r="A1821" s="1">
        <v>1819.0</v>
      </c>
      <c r="B1821" s="3" t="s">
        <v>1822</v>
      </c>
      <c r="C1821" s="3" t="str">
        <f>IFERROR(__xludf.DUMMYFUNCTION("GOOGLETRANSLATE(B1821,""id"",""en"")"),"['application', 'makes it easy', 'transaction', 'purchase', 'pulse', 'quota', 'hopefully', 'Telkomsel', 'update', 'fix', 'network', 'stable', ' Prioritting ',' Needs', 'Masyrakat', 'Leading', 'Lottery', 'Gift', 'Redem', 'Hopefully', 'Telkomsel', 'Transfar"&amp;"an', 'Commitment', 'Honest', 'Gift' , 'Declared', 'right', 'Winner', 'Random', 'Redem', 'trmkasih']")</f>
        <v>['application', 'makes it easy', 'transaction', 'purchase', 'pulse', 'quota', 'hopefully', 'Telkomsel', 'update', 'fix', 'network', 'stable', ' Prioritting ',' Needs', 'Masyrakat', 'Leading', 'Lottery', 'Gift', 'Redem', 'Hopefully', 'Telkomsel', 'Transfaran', 'Commitment', 'Honest', 'Gift' , 'Declared', 'right', 'Winner', 'Random', 'Redem', 'trmkasih']</v>
      </c>
      <c r="D1821" s="3">
        <v>5.0</v>
      </c>
    </row>
    <row r="1822" ht="15.75" customHeight="1">
      <c r="A1822" s="1">
        <v>1820.0</v>
      </c>
      <c r="B1822" s="3" t="s">
        <v>1823</v>
      </c>
      <c r="C1822" s="3" t="str">
        <f>IFERROR(__xludf.DUMMYFUNCTION("GOOGLETRANSLATE(B1822,""id"",""en"")"),"['gave', 'star', 'degrading', 'Karna', 'comment', 'Yahaha', 'Boong', 'serious',' Telkomsel ',' Kayak ',' Media ',' Discard ',' Discard ',' money ',' buy ',' quota ',' expensive ',' key ',' signal ',' good ',' really ',' dipake ',' internet ',' open ',' lo"&amp;"ading ' , 'quota', 'contents',' GB ',' signal ',' good ',' internet ',' clay ',' kb ',' signal ',' good ',' quota ',' satisfied ',' Emotions', 'Please', 'repaired', '']")</f>
        <v>['gave', 'star', 'degrading', 'Karna', 'comment', 'Yahaha', 'Boong', 'serious',' Telkomsel ',' Kayak ',' Media ',' Discard ',' Discard ',' money ',' buy ',' quota ',' expensive ',' key ',' signal ',' good ',' really ',' dipake ',' internet ',' open ',' loading ' , 'quota', 'contents',' GB ',' signal ',' good ',' internet ',' clay ',' kb ',' signal ',' good ',' quota ',' satisfied ',' Emotions', 'Please', 'repaired', '']</v>
      </c>
      <c r="D1822" s="3">
        <v>1.0</v>
      </c>
    </row>
    <row r="1823" ht="15.75" customHeight="1">
      <c r="A1823" s="1">
        <v>1821.0</v>
      </c>
      <c r="B1823" s="3" t="s">
        <v>1824</v>
      </c>
      <c r="C1823" s="3" t="str">
        <f>IFERROR(__xludf.DUMMYFUNCTION("GOOGLETRANSLATE(B1823,""id"",""en"")"),"['Pakeg', 'Unlimited', 'Reduced', 'Spray', 'Disappointed', 'Very', 'Untung', 'Place', 'Sya', 'SJA', 'Sinyal', 'Good', ' Operators', 'Leave', 'Service', 'Really', 'Bad']")</f>
        <v>['Pakeg', 'Unlimited', 'Reduced', 'Spray', 'Disappointed', 'Very', 'Untung', 'Place', 'Sya', 'SJA', 'Sinyal', 'Good', ' Operators', 'Leave', 'Service', 'Really', 'Bad']</v>
      </c>
      <c r="D1823" s="3">
        <v>1.0</v>
      </c>
    </row>
    <row r="1824" ht="15.75" customHeight="1">
      <c r="A1824" s="1">
        <v>1822.0</v>
      </c>
      <c r="B1824" s="3" t="s">
        <v>1825</v>
      </c>
      <c r="C1824" s="3" t="str">
        <f>IFERROR(__xludf.DUMMYFUNCTION("GOOGLETRANSLATE(B1824,""id"",""en"")"),"['user', 'comfortable', 'Telkomsel', 'how', 'comfortable', 'kouta', 'super', 'cheap', 'economical', 'imagine', 'GB', 'combo', ' Rp. ',' already ',' that's', 'bonus',' Telkomsel ',' The ',' Best ']")</f>
        <v>['user', 'comfortable', 'Telkomsel', 'how', 'comfortable', 'kouta', 'super', 'cheap', 'economical', 'imagine', 'GB', 'combo', ' Rp. ',' already ',' that's', 'bonus',' Telkomsel ',' The ',' Best ']</v>
      </c>
      <c r="D1824" s="3">
        <v>5.0</v>
      </c>
    </row>
    <row r="1825" ht="15.75" customHeight="1">
      <c r="A1825" s="1">
        <v>1823.0</v>
      </c>
      <c r="B1825" s="3" t="s">
        <v>1826</v>
      </c>
      <c r="C1825" s="3" t="str">
        <f>IFERROR(__xludf.DUMMYFUNCTION("GOOGLETRANSLATE(B1825,""id"",""en"")"),"['Telkomsel', 'proudness',' skrng ',' changed ',' total ',' network ',' internet ',' super ',' slow ',' strange ',' ad ',' appears', ' Layarr ',' Try ',' Handle ',' User ',' Telkomsel ',' LBH ',' Comfortable ',' Telkomsel ',' Msh ',' Digit ', ""]")</f>
        <v>['Telkomsel', 'proudness',' skrng ',' changed ',' total ',' network ',' internet ',' super ',' slow ',' strange ',' ad ',' appears', ' Layarr ',' Try ',' Handle ',' User ',' Telkomsel ',' LBH ',' Comfortable ',' Telkomsel ',' Msh ',' Digit ', "]</v>
      </c>
      <c r="D1825" s="3">
        <v>1.0</v>
      </c>
    </row>
    <row r="1826" ht="15.75" customHeight="1">
      <c r="A1826" s="1">
        <v>1824.0</v>
      </c>
      <c r="B1826" s="3" t="s">
        <v>1827</v>
      </c>
      <c r="C1826" s="3" t="str">
        <f>IFERROR(__xludf.DUMMYFUNCTION("GOOGLETRANSLATE(B1826,""id"",""en"")"),"['buy', 'package', 'bought', 'aebelum', 'application', 'ALAlu', 'error', 'error', 'system', 'please', 'try', ' time ',' error ',' disappointed ',' ']")</f>
        <v>['buy', 'package', 'bought', 'aebelum', 'application', 'ALAlu', 'error', 'error', 'system', 'please', 'try', ' time ',' error ',' disappointed ',' ']</v>
      </c>
      <c r="D1826" s="3">
        <v>1.0</v>
      </c>
    </row>
    <row r="1827" ht="15.75" customHeight="1">
      <c r="A1827" s="1">
        <v>1825.0</v>
      </c>
      <c r="B1827" s="3" t="s">
        <v>1828</v>
      </c>
      <c r="C1827" s="3" t="str">
        <f>IFERROR(__xludf.DUMMYFUNCTION("GOOGLETRANSLATE(B1827,""id"",""en"")"),"['use', 'Telkomsel', 'package', 'internet', 'cheap', 'package', 'internet', 'expensive', 'since' Since ',' network ',' expensive ',' Jugak ',' Karuan ',' Disappointed ']")</f>
        <v>['use', 'Telkomsel', 'package', 'internet', 'cheap', 'package', 'internet', 'expensive', 'since' Since ',' network ',' expensive ',' Jugak ',' Karuan ',' Disappointed ']</v>
      </c>
      <c r="D1827" s="3">
        <v>2.0</v>
      </c>
    </row>
    <row r="1828" ht="15.75" customHeight="1">
      <c r="A1828" s="1">
        <v>1826.0</v>
      </c>
      <c r="B1828" s="3" t="s">
        <v>1829</v>
      </c>
      <c r="C1828" s="3" t="str">
        <f>IFERROR(__xludf.DUMMYFUNCTION("GOOGLETRANSLATE(B1828,""id"",""en"")"),"['user', 'card', 'Hello', 'Network', 'Disruption', 'Papua', 'Yesal', 'Package', 'Katu', 'Hello', 'Keke', 'Sampe', ' Monthly ',' will you ',' pay ',' how ',' solution ',' data ',' run out ',' network ',' Telkomsel ',' replace ',' how ',' ']")</f>
        <v>['user', 'card', 'Hello', 'Network', 'Disruption', 'Papua', 'Yesal', 'Package', 'Katu', 'Hello', 'Keke', 'Sampe', ' Monthly ',' will you ',' pay ',' how ',' solution ',' data ',' run out ',' network ',' Telkomsel ',' replace ',' how ',' ']</v>
      </c>
      <c r="D1828" s="3">
        <v>3.0</v>
      </c>
    </row>
    <row r="1829" ht="15.75" customHeight="1">
      <c r="A1829" s="1">
        <v>1827.0</v>
      </c>
      <c r="B1829" s="3" t="s">
        <v>1830</v>
      </c>
      <c r="C1829" s="3" t="str">
        <f>IFERROR(__xludf.DUMMYFUNCTION("GOOGLETRANSLATE(B1829,""id"",""en"")"),"['Sympathy', 'signal', 'internet', 'loading', 'oldaaaaaaaa', 'Different', 'yellow', 'yellow', 'fast', 'really', 'loading', 'feel', ' The difference is']")</f>
        <v>['Sympathy', 'signal', 'internet', 'loading', 'oldaaaaaaaa', 'Different', 'yellow', 'yellow', 'fast', 'really', 'loading', 'feel', ' The difference is']</v>
      </c>
      <c r="D1829" s="3">
        <v>1.0</v>
      </c>
    </row>
    <row r="1830" ht="15.75" customHeight="1">
      <c r="A1830" s="1">
        <v>1828.0</v>
      </c>
      <c r="B1830" s="3" t="s">
        <v>1831</v>
      </c>
      <c r="C1830" s="3" t="str">
        <f>IFERROR(__xludf.DUMMYFUNCTION("GOOGLETRANSLATE(B1830,""id"",""en"")"),"['Network', 'Please', 'Looked', 'Telkomsel', 'Please', 'Confessing', 'Disappointed', 'Price', 'Dapet', 'Unlimited', 'Application', 'Limited', ' ICT ',' Tok ',' Sosmed ',' Games', 'Speed', 'Mbps',' Mbps', 'Limited', 'Speed', 'Mbps',' Please ',' Mbps', 'Mbp"&amp;"s' ]")</f>
        <v>['Network', 'Please', 'Looked', 'Telkomsel', 'Please', 'Confessing', 'Disappointed', 'Price', 'Dapet', 'Unlimited', 'Application', 'Limited', ' ICT ',' Tok ',' Sosmed ',' Games', 'Speed', 'Mbps',' Mbps', 'Limited', 'Speed', 'Mbps',' Please ',' Mbps', 'Mbps' ]</v>
      </c>
      <c r="D1830" s="3">
        <v>1.0</v>
      </c>
    </row>
    <row r="1831" ht="15.75" customHeight="1">
      <c r="A1831" s="1">
        <v>1829.0</v>
      </c>
      <c r="B1831" s="3" t="s">
        <v>1832</v>
      </c>
      <c r="C1831" s="3" t="str">
        <f>IFERROR(__xludf.DUMMYFUNCTION("GOOGLETRANSLATE(B1831,""id"",""en"")"),"['card', 'emang', 'price', 'expensive', 'according to', 'price', 'signal', 'ugly', 'mulu', 'ilang', 'mulu', 'slow' forgiveness', 'repairs',' donk ',' price ',' package ',' expensive ',' network ',' fix ',' price ',' expensive ',' network ',' stable ', ""]")</f>
        <v>['card', 'emang', 'price', 'expensive', 'according to', 'price', 'signal', 'ugly', 'mulu', 'ilang', 'mulu', 'slow' forgiveness', 'repairs',' donk ',' price ',' package ',' expensive ',' network ',' fix ',' price ',' expensive ',' network ',' stable ', "]</v>
      </c>
      <c r="D1831" s="3">
        <v>1.0</v>
      </c>
    </row>
    <row r="1832" ht="15.75" customHeight="1">
      <c r="A1832" s="1">
        <v>1830.0</v>
      </c>
      <c r="B1832" s="3" t="s">
        <v>1833</v>
      </c>
      <c r="C1832" s="3" t="str">
        <f>IFERROR(__xludf.DUMMYFUNCTION("GOOGLETRANSLATE(B1832,""id"",""en"")"),"['Suggest', 'Telkomsel', 'Region', 'Kab', 'Bandung', 'Javanese', 'West', 'Signal', 'ugly', 'really', 'relationship', 'job', ' already ',' replace ',' Telkomsel ',' Burik ',' lose ',' provider ',' expensive ',' yes', 'quality', 'bother', ""]")</f>
        <v>['Suggest', 'Telkomsel', 'Region', 'Kab', 'Bandung', 'Javanese', 'West', 'Signal', 'ugly', 'really', 'relationship', 'job', ' already ',' replace ',' Telkomsel ',' Burik ',' lose ',' provider ',' expensive ',' yes', 'quality', 'bother', "]</v>
      </c>
      <c r="D1832" s="3">
        <v>1.0</v>
      </c>
    </row>
    <row r="1833" ht="15.75" customHeight="1">
      <c r="A1833" s="1">
        <v>1831.0</v>
      </c>
      <c r="B1833" s="3" t="s">
        <v>1834</v>
      </c>
      <c r="C1833" s="3" t="str">
        <f>IFERROR(__xludf.DUMMYFUNCTION("GOOGLETRANSLATE(B1833,""id"",""en"")"),"['users',' Telkomsel ',' disappointed ',' network ',' slow ',' win ',' package ',' expensive ',' tissue ',' slow ',' beg ',' fix ',' Mending ',' moved ',' card ',' Blood ',' I ',' Gara ',' Sinyal ',' Kayak ',' Gini ',' Season ',' Gue ',' Telkomsel ']")</f>
        <v>['users',' Telkomsel ',' disappointed ',' network ',' slow ',' win ',' package ',' expensive ',' tissue ',' slow ',' beg ',' fix ',' Mending ',' moved ',' card ',' Blood ',' I ',' Gara ',' Sinyal ',' Kayak ',' Gini ',' Season ',' Gue ',' Telkomsel ']</v>
      </c>
      <c r="D1833" s="3">
        <v>1.0</v>
      </c>
    </row>
    <row r="1834" ht="15.75" customHeight="1">
      <c r="A1834" s="1">
        <v>1832.0</v>
      </c>
      <c r="B1834" s="3" t="s">
        <v>1835</v>
      </c>
      <c r="C1834" s="3" t="str">
        <f>IFERROR(__xludf.DUMMYFUNCTION("GOOGLETRANSLATE(B1834,""id"",""en"")"),"['Sorry', 'actually', 'like', 'application', 'feature', 'service', 'good', 'it's easy', 'unfortunate', 'cook', 'a little', 'the application', ' down ',' slow ',' until ',' error ',' capacity ',' apk ',' sampe ',' mb ',' slow ',' operational ',' see ',' tr"&amp;"oubled ',' network ' , 'Internet', 'WiFi', 'Toling', 'repaired', 'operating', 'Notif', 'Close', 'Wait', 'this', 'App', '']")</f>
        <v>['Sorry', 'actually', 'like', 'application', 'feature', 'service', 'good', 'it's easy', 'unfortunate', 'cook', 'a little', 'the application', ' down ',' slow ',' until ',' error ',' capacity ',' apk ',' sampe ',' mb ',' slow ',' operational ',' see ',' troubled ',' network ' , 'Internet', 'WiFi', 'Toling', 'repaired', 'operating', 'Notif', 'Close', 'Wait', 'this', 'App', '']</v>
      </c>
      <c r="D1834" s="3">
        <v>1.0</v>
      </c>
    </row>
    <row r="1835" ht="15.75" customHeight="1">
      <c r="A1835" s="1">
        <v>1833.0</v>
      </c>
      <c r="B1835" s="3" t="s">
        <v>1836</v>
      </c>
      <c r="C1835" s="3" t="str">
        <f>IFERROR(__xludf.DUMMYFUNCTION("GOOGLETRANSLATE(B1835,""id"",""en"")"),"['signal', 'like', 'missing', 'quota', 'expensive', 'package', 'ilmupedia', 'thousand', 'already', 'contents',' pulse ',' billed ',' active ',' date ',' contents', 'date', 'active', 'date', 'contents',' pulse ',' bonus', 'quota']")</f>
        <v>['signal', 'like', 'missing', 'quota', 'expensive', 'package', 'ilmupedia', 'thousand', 'already', 'contents',' pulse ',' billed ',' active ',' date ',' contents', 'date', 'active', 'date', 'contents',' pulse ',' bonus', 'quota']</v>
      </c>
      <c r="D1835" s="3">
        <v>1.0</v>
      </c>
    </row>
    <row r="1836" ht="15.75" customHeight="1">
      <c r="A1836" s="1">
        <v>1834.0</v>
      </c>
      <c r="B1836" s="3" t="s">
        <v>1837</v>
      </c>
      <c r="C1836" s="3" t="str">
        <f>IFERROR(__xludf.DUMMYFUNCTION("GOOGLETRANSLATE(B1836,""id"",""en"")"),"['users',' Telkomsel ',' fares', 'expensive', 'users',' comparisons', 'prices',' Kouta ',' different ',' network ',' internet ',' bad ',' Under ',' Standard ',' Operator ',' ']")</f>
        <v>['users',' Telkomsel ',' fares', 'expensive', 'users',' comparisons', 'prices',' Kouta ',' different ',' network ',' internet ',' bad ',' Under ',' Standard ',' Operator ',' ']</v>
      </c>
      <c r="D1836" s="3">
        <v>1.0</v>
      </c>
    </row>
    <row r="1837" ht="15.75" customHeight="1">
      <c r="A1837" s="1">
        <v>1835.0</v>
      </c>
      <c r="B1837" s="3" t="s">
        <v>1838</v>
      </c>
      <c r="C1837" s="3" t="str">
        <f>IFERROR(__xludf.DUMMYFUNCTION("GOOGLETRANSLATE(B1837,""id"",""en"")"),"['Unlimited', 'Kayak', 'Trash', 'Cook', 'Buy', 'GB', 'Direct', 'Open', 'Adohhhh', 'Woy', 'Package', 'Useful', ' Maen ',' Game ',' Ngeleg ',' Open ',' Limit ',' MALS ',' Cave ',' Telkomsel ']")</f>
        <v>['Unlimited', 'Kayak', 'Trash', 'Cook', 'Buy', 'GB', 'Direct', 'Open', 'Adohhhh', 'Woy', 'Package', 'Useful', ' Maen ',' Game ',' Ngeleg ',' Open ',' Limit ',' MALS ',' Cave ',' Telkomsel ']</v>
      </c>
      <c r="D1837" s="3">
        <v>1.0</v>
      </c>
    </row>
    <row r="1838" ht="15.75" customHeight="1">
      <c r="A1838" s="1">
        <v>1836.0</v>
      </c>
      <c r="B1838" s="3" t="s">
        <v>1839</v>
      </c>
      <c r="C1838" s="3" t="str">
        <f>IFERROR(__xludf.DUMMYFUNCTION("GOOGLETRANSLATE(B1838,""id"",""en"")"),"['user', 'loyal', 'Telkomsel', 'Disappointed', 'Loss',' Signal ',' Telkomsel ',' Lost ',' Play ',' Game ',' Mobile ',' Legends', ' disruption ',' network ',' network ',' bad ',' different ',' network ',' where ',' happy ',' proud ',' hrga ',' expensive ',"&amp;"' honest ',' disappointed ' , 'Please', 'Fix', 'Disappointed', 'User', 'Telkomsel', 'Feel']")</f>
        <v>['user', 'loyal', 'Telkomsel', 'Disappointed', 'Loss',' Signal ',' Telkomsel ',' Lost ',' Play ',' Game ',' Mobile ',' Legends', ' disruption ',' network ',' network ',' bad ',' different ',' network ',' where ',' happy ',' proud ',' hrga ',' expensive ',' honest ',' disappointed ' , 'Please', 'Fix', 'Disappointed', 'User', 'Telkomsel', 'Feel']</v>
      </c>
      <c r="D1838" s="3">
        <v>1.0</v>
      </c>
    </row>
    <row r="1839" ht="15.75" customHeight="1">
      <c r="A1839" s="1">
        <v>1837.0</v>
      </c>
      <c r="B1839" s="3" t="s">
        <v>1840</v>
      </c>
      <c r="C1839" s="3" t="str">
        <f>IFERROR(__xludf.DUMMYFUNCTION("GOOGLETRANSLATE(B1839,""id"",""en"")"),"['Sorry', 'Telkomsel', 'make', 'disappointed', 'please', 'given', 'price', 'cheap', 'expensive', 'please', 'love', ' Normal ',' Kek ',' already ',' Untung ',' Jugakan ',' Telkomsel ',' Jgnlah ',' raised ']")</f>
        <v>['Sorry', 'Telkomsel', 'make', 'disappointed', 'please', 'given', 'price', 'cheap', 'expensive', 'please', 'love', ' Normal ',' Kek ',' already ',' Untung ',' Jugakan ',' Telkomsel ',' Jgnlah ',' raised ']</v>
      </c>
      <c r="D1839" s="3">
        <v>1.0</v>
      </c>
    </row>
    <row r="1840" ht="15.75" customHeight="1">
      <c r="A1840" s="1">
        <v>1838.0</v>
      </c>
      <c r="B1840" s="3" t="s">
        <v>1841</v>
      </c>
      <c r="C1840" s="3" t="str">
        <f>IFERROR(__xludf.DUMMYFUNCTION("GOOGLETRANSLATE(B1840,""id"",""en"")"),"['Telkomsel', 'damaged', 'network', 'slow', 'buy', 'package', 'sometimes',' package ',' expensive ',' quality ',' pulse ',' sucked ',' then ',' people ',' rich ',' diginin ',' cave ', ""]")</f>
        <v>['Telkomsel', 'damaged', 'network', 'slow', 'buy', 'package', 'sometimes',' package ',' expensive ',' quality ',' pulse ',' sucked ',' then ',' people ',' rich ',' diginin ',' cave ', "]</v>
      </c>
      <c r="D1840" s="3">
        <v>1.0</v>
      </c>
    </row>
    <row r="1841" ht="15.75" customHeight="1">
      <c r="A1841" s="1">
        <v>1839.0</v>
      </c>
      <c r="B1841" s="3" t="s">
        <v>1842</v>
      </c>
      <c r="C1841" s="3" t="str">
        <f>IFERROR(__xludf.DUMMYFUNCTION("GOOGLETRANSLATE(B1841,""id"",""en"")"),"['poor', 'package', 'price', 'already', 'gtu', 'purchase', 'plsa', 'point', 'different', 'really', 'card', 'next door', ' Disappointed ',' BNGET ',' ']")</f>
        <v>['poor', 'package', 'price', 'already', 'gtu', 'purchase', 'plsa', 'point', 'different', 'really', 'card', 'next door', ' Disappointed ',' BNGET ',' ']</v>
      </c>
      <c r="D1841" s="3">
        <v>1.0</v>
      </c>
    </row>
    <row r="1842" ht="15.75" customHeight="1">
      <c r="A1842" s="1">
        <v>1840.0</v>
      </c>
      <c r="B1842" s="3" t="s">
        <v>1843</v>
      </c>
      <c r="C1842" s="3" t="str">
        <f>IFERROR(__xludf.DUMMYFUNCTION("GOOGLETRANSLATE(B1842,""id"",""en"")"),"['Corruption', 'then', 'pulse', 'fill in', 'intention', 'package', 'internet', 'direct', 'sumps',' use ',' wifi ',' that's', ' Drain ',' run out ',' it's a turn ',' already ',' put together ',' internet ',' leftover ',' pulse ',' drained ',' run out ',' u"&amp;"sers', 'Telkomsel', 'bosss' , 'Bener', 'disappointed', 'already', 'complement', 'telephone', 'operator', 'settlement', 'right', 'severe', 'fixxx', 'finished', 'package', ' Already ',' Sudi ',' use ',' disappointed ',' heavy ',' Borosssss', 'Fixxx', 'Next'"&amp;", 'Internet', 'moved', 'operator', 'Telkomsel', 'musee' , 'critical', '']")</f>
        <v>['Corruption', 'then', 'pulse', 'fill in', 'intention', 'package', 'internet', 'direct', 'sumps',' use ',' wifi ',' that's', ' Drain ',' run out ',' it's a turn ',' already ',' put together ',' internet ',' leftover ',' pulse ',' drained ',' run out ',' users', 'Telkomsel', 'bosss' , 'Bener', 'disappointed', 'already', 'complement', 'telephone', 'operator', 'settlement', 'right', 'severe', 'fixxx', 'finished', 'package', ' Already ',' Sudi ',' use ',' disappointed ',' heavy ',' Borosssss', 'Fixxx', 'Next', 'Internet', 'moved', 'operator', 'Telkomsel', 'musee' , 'critical', '']</v>
      </c>
      <c r="D1842" s="3">
        <v>1.0</v>
      </c>
    </row>
    <row r="1843" ht="15.75" customHeight="1">
      <c r="A1843" s="1">
        <v>1841.0</v>
      </c>
      <c r="B1843" s="3" t="s">
        <v>1844</v>
      </c>
      <c r="C1843" s="3" t="str">
        <f>IFERROR(__xludf.DUMMYFUNCTION("GOOGLETRANSLATE(B1843,""id"",""en"")"),"['Akgir', 'Akgir', 'Network', 'Internet', 'Telkomsel', 'ugly', 'really', 'Region', 'Tangerang', 'Kec', 'Pinang', 'Pakojan', ' network ',' severe ',' then ',' login ',' internet ',' difficult ',' play ',' game ',' reconect ',' trus', 'wonder']")</f>
        <v>['Akgir', 'Akgir', 'Network', 'Internet', 'Telkomsel', 'ugly', 'really', 'Region', 'Tangerang', 'Kec', 'Pinang', 'Pakojan', ' network ',' severe ',' then ',' login ',' internet ',' difficult ',' play ',' game ',' reconect ',' trus', 'wonder']</v>
      </c>
      <c r="D1843" s="3">
        <v>1.0</v>
      </c>
    </row>
    <row r="1844" ht="15.75" customHeight="1">
      <c r="A1844" s="1">
        <v>1842.0</v>
      </c>
      <c r="B1844" s="3" t="s">
        <v>1845</v>
      </c>
      <c r="C1844" s="3" t="str">
        <f>IFERROR(__xludf.DUMMYFUNCTION("GOOGLETRANSLATE(B1844,""id"",""en"")"),"['Return', 'plz', 'person', 'outskirts',' wrong ',' steal ',' plz ',' the story ',' fill out ',' list ',' package ',' reset ',' His bales', 'plz', 'sufficient', 'clock', 'checked', 'Pulza', 'reduced']")</f>
        <v>['Return', 'plz', 'person', 'outskirts',' wrong ',' steal ',' plz ',' the story ',' fill out ',' list ',' package ',' reset ',' His bales', 'plz', 'sufficient', 'clock', 'checked', 'Pulza', 'reduced']</v>
      </c>
      <c r="D1844" s="3">
        <v>1.0</v>
      </c>
    </row>
    <row r="1845" ht="15.75" customHeight="1">
      <c r="A1845" s="1">
        <v>1843.0</v>
      </c>
      <c r="B1845" s="3" t="s">
        <v>1846</v>
      </c>
      <c r="C1845" s="3" t="str">
        <f>IFERROR(__xludf.DUMMYFUNCTION("GOOGLETRANSLATE(B1845,""id"",""en"")"),"['sad', 'expensive', 'price', 'quota', 'Telkomsel', 'truss',' card ',' Telkomsel ',' already ',' quota ',' internetmax ',' buy ',' connection ',' bad ',' quota ',' combo ',' price ',' expensive ',' hopefully ',' Telkomsel ',' fix ',' spirit ',' Dears', 'T"&amp;"elkomsel' , '']")</f>
        <v>['sad', 'expensive', 'price', 'quota', 'Telkomsel', 'truss',' card ',' Telkomsel ',' already ',' quota ',' internetmax ',' buy ',' connection ',' bad ',' quota ',' combo ',' price ',' expensive ',' hopefully ',' Telkomsel ',' fix ',' spirit ',' Dears', 'Telkomsel' , '']</v>
      </c>
      <c r="D1845" s="3">
        <v>4.0</v>
      </c>
    </row>
    <row r="1846" ht="15.75" customHeight="1">
      <c r="A1846" s="1">
        <v>1844.0</v>
      </c>
      <c r="B1846" s="3" t="s">
        <v>1847</v>
      </c>
      <c r="C1846" s="3" t="str">
        <f>IFERROR(__xludf.DUMMYFUNCTION("GOOGLETRANSLATE(B1846,""id"",""en"")"),"['Please', 'package', 'unlimitedmax', 'contents',' package ',' unlimited ',' multimedia ',' unlimited ',' abis', 'kayak', 'so', 'mending', ' Love ',' Package ',' Multimedia ',' Quotes ',' Network ',' No "", 'Stable',""]")</f>
        <v>['Please', 'package', 'unlimitedmax', 'contents',' package ',' unlimited ',' multimedia ',' unlimited ',' abis', 'kayak', 'so', 'mending', ' Love ',' Package ',' Multimedia ',' Quotes ',' Network ',' No ", 'Stable',"]</v>
      </c>
      <c r="D1846" s="3">
        <v>3.0</v>
      </c>
    </row>
    <row r="1847" ht="15.75" customHeight="1">
      <c r="A1847" s="1">
        <v>1845.0</v>
      </c>
      <c r="B1847" s="3" t="s">
        <v>1848</v>
      </c>
      <c r="C1847" s="3" t="str">
        <f>IFERROR(__xludf.DUMMYFUNCTION("GOOGLETRANSLATE(B1847,""id"",""en"")"),"['buy', 'package', 'internet', 'for', 'thousand', 'dated', 'June', 'application', 'MyTelkomsel', 'balance', 'funds',' balance ',' Cutting ',' Purchase ',' Failed ',' Disappointed ',' Very ',' Fraud ',' sincere ']")</f>
        <v>['buy', 'package', 'internet', 'for', 'thousand', 'dated', 'June', 'application', 'MyTelkomsel', 'balance', 'funds',' balance ',' Cutting ',' Purchase ',' Failed ',' Disappointed ',' Very ',' Fraud ',' sincere ']</v>
      </c>
      <c r="D1847" s="3">
        <v>1.0</v>
      </c>
    </row>
    <row r="1848" ht="15.75" customHeight="1">
      <c r="A1848" s="1">
        <v>1846.0</v>
      </c>
      <c r="B1848" s="3" t="s">
        <v>1849</v>
      </c>
      <c r="C1848" s="3" t="str">
        <f>IFERROR(__xludf.DUMMYFUNCTION("GOOGLETRANSLATE(B1848,""id"",""en"")"),"['network', 'difficult', 'signal', 'beam', 'slow', 'network', 'repaired', 'price', 'package', 'doang', 'repaired', 'expensive', ' Sorry ',' Telkomsel ',' HRUS ',' Switch ',' Provider ',' Network ',' Sexous', 'Recover']")</f>
        <v>['network', 'difficult', 'signal', 'beam', 'slow', 'network', 'repaired', 'price', 'package', 'doang', 'repaired', 'expensive', ' Sorry ',' Telkomsel ',' HRUS ',' Switch ',' Provider ',' Network ',' Sexous', 'Recover']</v>
      </c>
      <c r="D1848" s="3">
        <v>1.0</v>
      </c>
    </row>
    <row r="1849" ht="15.75" customHeight="1">
      <c r="A1849" s="1">
        <v>1847.0</v>
      </c>
      <c r="B1849" s="3" t="s">
        <v>1850</v>
      </c>
      <c r="C1849" s="3" t="str">
        <f>IFERROR(__xludf.DUMMYFUNCTION("GOOGLETRANSLATE(B1849,""id"",""en"")"),"['Features',' Veronika ',' Bot ',' Mulu ',' Customer ',' Service ',' Response ',' It's better ',' ilangin ',' deh ',' gakguna ',' help ',' ']")</f>
        <v>['Features',' Veronika ',' Bot ',' Mulu ',' Customer ',' Service ',' Response ',' It's better ',' ilangin ',' deh ',' gakguna ',' help ',' ']</v>
      </c>
      <c r="D1849" s="3">
        <v>2.0</v>
      </c>
    </row>
    <row r="1850" ht="15.75" customHeight="1">
      <c r="A1850" s="1">
        <v>1848.0</v>
      </c>
      <c r="B1850" s="3" t="s">
        <v>1851</v>
      </c>
      <c r="C1850" s="3" t="str">
        <f>IFERROR(__xludf.DUMMYFUNCTION("GOOGLETRANSLATE(B1850,""id"",""en"")"),"['expensive', 'doang', 'hahaha', 'network', 'gaguna', 'lose', 'ama', 'card', 'cheap', 'open', 'comics',' pending ',' Mulu ',' crazy ',' expensive ',' network ',' dipake ',' have ',' emotion ',' doang ']")</f>
        <v>['expensive', 'doang', 'hahaha', 'network', 'gaguna', 'lose', 'ama', 'card', 'cheap', 'open', 'comics',' pending ',' Mulu ',' crazy ',' expensive ',' network ',' dipake ',' have ',' emotion ',' doang ']</v>
      </c>
      <c r="D1850" s="3">
        <v>1.0</v>
      </c>
    </row>
    <row r="1851" ht="15.75" customHeight="1">
      <c r="A1851" s="1">
        <v>1849.0</v>
      </c>
      <c r="B1851" s="3" t="s">
        <v>1852</v>
      </c>
      <c r="C1851" s="3" t="str">
        <f>IFERROR(__xludf.DUMMYFUNCTION("GOOGLETRANSLATE(B1851,""id"",""en"")"),"['Severe', 'Network', 'Telkomsel', 'Different', 'Nge', 'Game', 'SJA', 'Difficult', 'Send', 'Data', 'Jga', 'Sometimes' difficult ',' please ',' fix ',' network ']")</f>
        <v>['Severe', 'Network', 'Telkomsel', 'Different', 'Nge', 'Game', 'SJA', 'Difficult', 'Send', 'Data', 'Jga', 'Sometimes' difficult ',' please ',' fix ',' network ']</v>
      </c>
      <c r="D1851" s="3">
        <v>1.0</v>
      </c>
    </row>
    <row r="1852" ht="15.75" customHeight="1">
      <c r="A1852" s="1">
        <v>1850.0</v>
      </c>
      <c r="B1852" s="3" t="s">
        <v>1853</v>
      </c>
      <c r="C1852" s="3" t="str">
        <f>IFERROR(__xludf.DUMMYFUNCTION("GOOGLETRANSLATE(B1852,""id"",""en"")"),"['Please', 'sorry', 'user', 'loyal', 'Telkomsel', 'Indosat', 'Telkomsel', 'slow', 'really', 'network', 'internet', 'TLP', ' Sometimes', 'die', 'care', 'price', 'expensive', 'expensive', 'quality', 'ugly', 'bad', 'sorry', 'use', 'please', 'fix' , 'Differen"&amp;"t', 'Indosat', 'cheap', 'good', 'connection', 'internet', '']")</f>
        <v>['Please', 'sorry', 'user', 'loyal', 'Telkomsel', 'Indosat', 'Telkomsel', 'slow', 'really', 'network', 'internet', 'TLP', ' Sometimes', 'die', 'care', 'price', 'expensive', 'expensive', 'quality', 'ugly', 'bad', 'sorry', 'use', 'please', 'fix' , 'Different', 'Indosat', 'cheap', 'good', 'connection', 'internet', '']</v>
      </c>
      <c r="D1852" s="3">
        <v>1.0</v>
      </c>
    </row>
    <row r="1853" ht="15.75" customHeight="1">
      <c r="A1853" s="1">
        <v>1851.0</v>
      </c>
      <c r="B1853" s="3" t="s">
        <v>1854</v>
      </c>
      <c r="C1853" s="3" t="str">
        <f>IFERROR(__xludf.DUMMYFUNCTION("GOOGLETRANSLATE(B1853,""id"",""en"")"),"['internet', 'at the same time', 'internet', 'pulse', 'reduced', 'Please', 'please', 'udh', 'buy', 'package', 'TPI', 'suck', ' pulse', '']")</f>
        <v>['internet', 'at the same time', 'internet', 'pulse', 'reduced', 'Please', 'please', 'udh', 'buy', 'package', 'TPI', 'suck', ' pulse', '']</v>
      </c>
      <c r="D1853" s="3">
        <v>1.0</v>
      </c>
    </row>
    <row r="1854" ht="15.75" customHeight="1">
      <c r="A1854" s="1">
        <v>1852.0</v>
      </c>
      <c r="B1854" s="3" t="s">
        <v>1855</v>
      </c>
      <c r="C1854" s="3" t="str">
        <f>IFERROR(__xludf.DUMMYFUNCTION("GOOGLETRANSLATE(B1854,""id"",""en"")"),"['Arrogant', 'afraid', 'getting', 'karma', 'yesterday', 'network', 'safe', 'smooth', 'Jaya', 'tomorrow', 'hope', 'durable', ' Safe ',' smooth ',' Jaya ',' ']")</f>
        <v>['Arrogant', 'afraid', 'getting', 'karma', 'yesterday', 'network', 'safe', 'smooth', 'Jaya', 'tomorrow', 'hope', 'durable', ' Safe ',' smooth ',' Jaya ',' ']</v>
      </c>
      <c r="D1854" s="3">
        <v>5.0</v>
      </c>
    </row>
    <row r="1855" ht="15.75" customHeight="1">
      <c r="A1855" s="1">
        <v>1853.0</v>
      </c>
      <c r="B1855" s="3" t="s">
        <v>1856</v>
      </c>
      <c r="C1855" s="3" t="str">
        <f>IFERROR(__xludf.DUMMYFUNCTION("GOOGLETRANSLATE(B1855,""id"",""en"")"),"['gave', 'star', 'sincere', 'love', 'star', 'charcoal', 'me', 'wifi', 'at home', 'right', 'content', 'pulses',' Activine ',' Data ',' Cut ',' Rb ',' Times', 'Culas',' ']")</f>
        <v>['gave', 'star', 'sincere', 'love', 'star', 'charcoal', 'me', 'wifi', 'at home', 'right', 'content', 'pulses',' Activine ',' Data ',' Cut ',' Rb ',' Times', 'Culas',' ']</v>
      </c>
      <c r="D1855" s="3">
        <v>1.0</v>
      </c>
    </row>
    <row r="1856" ht="15.75" customHeight="1">
      <c r="A1856" s="1">
        <v>1854.0</v>
      </c>
      <c r="B1856" s="3" t="s">
        <v>1857</v>
      </c>
      <c r="C1856" s="3" t="str">
        <f>IFERROR(__xludf.DUMMYFUNCTION("GOOGLETRANSLATE(B1856,""id"",""en"")"),"['application', 'sucks',' ngak ',' cook ',' me ',' udh ',' buy ',' package ',' payment ',' legitimate ',' finished ',' quota ',' Ngak ',' enter ',' enter ',' for days', 'Different', 'Axis',' card ',' cheap ',' Connect ',' fast ',' buyer ']")</f>
        <v>['application', 'sucks',' ngak ',' cook ',' me ',' udh ',' buy ',' package ',' payment ',' legitimate ',' finished ',' quota ',' Ngak ',' enter ',' enter ',' for days', 'Different', 'Axis',' card ',' cheap ',' Connect ',' fast ',' buyer ']</v>
      </c>
      <c r="D1856" s="3">
        <v>1.0</v>
      </c>
    </row>
    <row r="1857" ht="15.75" customHeight="1">
      <c r="A1857" s="1">
        <v>1855.0</v>
      </c>
      <c r="B1857" s="3" t="s">
        <v>1858</v>
      </c>
      <c r="C1857" s="3" t="str">
        <f>IFERROR(__xludf.DUMMYFUNCTION("GOOGLETRANSLATE(B1857,""id"",""en"")"),"['Update', 'repeated', 'Telkomsel', 'opened', 'The application', 'really', 'blank', 'opened', 'the application', 'Please', 'explanation', 'awaited', ' Telkomsel ']")</f>
        <v>['Update', 'repeated', 'Telkomsel', 'opened', 'The application', 'really', 'blank', 'opened', 'the application', 'Please', 'explanation', 'awaited', ' Telkomsel ']</v>
      </c>
      <c r="D1857" s="3">
        <v>4.0</v>
      </c>
    </row>
    <row r="1858" ht="15.75" customHeight="1">
      <c r="A1858" s="1">
        <v>1856.0</v>
      </c>
      <c r="B1858" s="3" t="s">
        <v>1859</v>
      </c>
      <c r="C1858" s="3" t="str">
        <f>IFERROR(__xludf.DUMMYFUNCTION("GOOGLETRANSLATE(B1858,""id"",""en"")"),"['Telkomsel', 'a week', 'network', 'Telkomsel', 'area', 'home', 'please', 'confirm', 'suffer']")</f>
        <v>['Telkomsel', 'a week', 'network', 'Telkomsel', 'area', 'home', 'please', 'confirm', 'suffer']</v>
      </c>
      <c r="D1858" s="3">
        <v>1.0</v>
      </c>
    </row>
    <row r="1859" ht="15.75" customHeight="1">
      <c r="A1859" s="1">
        <v>1857.0</v>
      </c>
      <c r="B1859" s="3" t="s">
        <v>1860</v>
      </c>
      <c r="C1859" s="3" t="str">
        <f>IFERROR(__xludf.DUMMYFUNCTION("GOOGLETRANSLATE(B1859,""id"",""en"")"),"['Season', 'I', 'LIAT', 'Telkomsel', 'I', 'SMS', 'Telkomsel', 'Package', 'Cheerful', 'Have', 'Reply', 'SMS', ' pulses', 'cave', 'eat', 'gyma', 'cave', 'belik', 'package', 'reply', 'code', 'direct', 'eat', 'bambang', 'salty' , 'I', '']")</f>
        <v>['Season', 'I', 'LIAT', 'Telkomsel', 'I', 'SMS', 'Telkomsel', 'Package', 'Cheerful', 'Have', 'Reply', 'SMS', ' pulses', 'cave', 'eat', 'gyma', 'cave', 'belik', 'package', 'reply', 'code', 'direct', 'eat', 'bambang', 'salty' , 'I', '']</v>
      </c>
      <c r="D1859" s="3">
        <v>1.0</v>
      </c>
    </row>
    <row r="1860" ht="15.75" customHeight="1">
      <c r="A1860" s="1">
        <v>1858.0</v>
      </c>
      <c r="B1860" s="3" t="s">
        <v>1861</v>
      </c>
      <c r="C1860" s="3" t="str">
        <f>IFERROR(__xludf.DUMMYFUNCTION("GOOGLETRANSLATE(B1860,""id"",""en"")"),"['Credit', 'Cut', 'then', 'buy', 'Package', 'use', 'Package', 'Until', 'Out', 'Sumpot', 'Please', 'Loss',' very', '']")</f>
        <v>['Credit', 'Cut', 'then', 'buy', 'Package', 'use', 'Package', 'Until', 'Out', 'Sumpot', 'Please', 'Loss',' very', '']</v>
      </c>
      <c r="D1860" s="3">
        <v>2.0</v>
      </c>
    </row>
    <row r="1861" ht="15.75" customHeight="1">
      <c r="A1861" s="1">
        <v>1859.0</v>
      </c>
      <c r="B1861" s="3" t="s">
        <v>1862</v>
      </c>
      <c r="C1861" s="3" t="str">
        <f>IFERROR(__xludf.DUMMYFUNCTION("GOOGLETRANSLATE(B1861,""id"",""en"")"),"['Provider', 'good', 'really', 'bolt', 'play', 'game', 'striming', 'YouTube', 'smooth', 'Jaya', 'bar', 'full', ' slow ',' bar ',' mentok ',' get ',' grateful ',' come on ',' fix ',' package ',' expensive ',' internet ',' smooth ',' home ',' got ' , 'signa"&amp;"l', 'smooth', 'Hadeh', 'Hadeh', 'dizzy', 'buy', 'expensive', 'expensive', 'gabisa', 'play', 'game', 'kembangin']")</f>
        <v>['Provider', 'good', 'really', 'bolt', 'play', 'game', 'striming', 'YouTube', 'smooth', 'Jaya', 'bar', 'full', ' slow ',' bar ',' mentok ',' get ',' grateful ',' come on ',' fix ',' package ',' expensive ',' internet ',' smooth ',' home ',' got ' , 'signal', 'smooth', 'Hadeh', 'Hadeh', 'dizzy', 'buy', 'expensive', 'expensive', 'gabisa', 'play', 'game', 'kembangin']</v>
      </c>
      <c r="D1861" s="3">
        <v>1.0</v>
      </c>
    </row>
    <row r="1862" ht="15.75" customHeight="1">
      <c r="A1862" s="1">
        <v>1860.0</v>
      </c>
      <c r="B1862" s="3" t="s">
        <v>1863</v>
      </c>
      <c r="C1862" s="3" t="str">
        <f>IFERROR(__xludf.DUMMYFUNCTION("GOOGLETRANSLATE(B1862,""id"",""en"")"),"['Telkomsel', 'relapse', 'he jerk', 'contents',' quota ',' date ',' May ',' Towards', 'RB', 'GB', 'date', 'Dipake', ' Quota ',' Sumpot ',' Ghost ',' Rare ',' Browsing ',' Watch ',' Download ',' Gede ',' Severe ',' Hopefully ',' Repaired ',' Deh ', ""]")</f>
        <v>['Telkomsel', 'relapse', 'he jerk', 'contents',' quota ',' date ',' May ',' Towards', 'RB', 'GB', 'date', 'Dipake', ' Quota ',' Sumpot ',' Ghost ',' Rare ',' Browsing ',' Watch ',' Download ',' Gede ',' Severe ',' Hopefully ',' Repaired ',' Deh ', "]</v>
      </c>
      <c r="D1862" s="3">
        <v>1.0</v>
      </c>
    </row>
    <row r="1863" ht="15.75" customHeight="1">
      <c r="A1863" s="1">
        <v>1861.0</v>
      </c>
      <c r="B1863" s="3" t="s">
        <v>1864</v>
      </c>
      <c r="C1863" s="3" t="str">
        <f>IFERROR(__xludf.DUMMYFUNCTION("GOOGLETRANSLATE(B1863,""id"",""en"")"),"['here', 'samakin', 'slow', 'really', 'network', 'quota', 'GB', 'open', 'photo', 'loading', 'sape', 'lbh', ' Minutes', 'already', 'gth', 'sucked', 'quota', 'fast', 'open', 'messenger', 'download', 'download', 'open', 'youtub', 'tweeteter' , 'etc.', 'buy',"&amp;" 'quota', 'home', 'hrap', 'complaints',' bsa ',' network ',' sympathy ',' lbh ',' good ',' smooth ',' etc. ',' annoying ',' sdang ',' work ']")</f>
        <v>['here', 'samakin', 'slow', 'really', 'network', 'quota', 'GB', 'open', 'photo', 'loading', 'sape', 'lbh', ' Minutes', 'already', 'gth', 'sucked', 'quota', 'fast', 'open', 'messenger', 'download', 'download', 'open', 'youtub', 'tweeteter' , 'etc.', 'buy', 'quota', 'home', 'hrap', 'complaints',' bsa ',' network ',' sympathy ',' lbh ',' good ',' smooth ',' etc. ',' annoying ',' sdang ',' work ']</v>
      </c>
      <c r="D1863" s="3">
        <v>1.0</v>
      </c>
    </row>
    <row r="1864" ht="15.75" customHeight="1">
      <c r="A1864" s="1">
        <v>1862.0</v>
      </c>
      <c r="B1864" s="3" t="s">
        <v>1865</v>
      </c>
      <c r="C1864" s="3" t="str">
        <f>IFERROR(__xludf.DUMMYFUNCTION("GOOGLETRANSLATE(B1864,""id"",""en"")"),"['customer', 'indo', 'fierce', 'beud', 'person', 'paid', 'starts',' must ',' full ',' no ',' paid ',' Moso ',' Service ',' as soon as', 'name', 'package', 'cheerful', 'gemeees',' already ',' filled ',' pulse ',' said ',' then ',' try ',' Dibales' , 'Buy',"&amp;" 'Wooy', 'it's like', 'red', 'already', 'abundant', 'his wealth', 'already', 'Gabutuh', 'money', ""]")</f>
        <v>['customer', 'indo', 'fierce', 'beud', 'person', 'paid', 'starts',' must ',' full ',' no ',' paid ',' Moso ',' Service ',' as soon as', 'name', 'package', 'cheerful', 'gemeees',' already ',' filled ',' pulse ',' said ',' then ',' try ',' Dibales' , 'Buy', 'Wooy', 'it's like', 'red', 'already', 'abundant', 'his wealth', 'already', 'Gabutuh', 'money', "]</v>
      </c>
      <c r="D1864" s="3">
        <v>2.0</v>
      </c>
    </row>
    <row r="1865" ht="15.75" customHeight="1">
      <c r="A1865" s="1">
        <v>1863.0</v>
      </c>
      <c r="B1865" s="3" t="s">
        <v>1866</v>
      </c>
      <c r="C1865" s="3" t="str">
        <f>IFERROR(__xludf.DUMMYFUNCTION("GOOGLETRANSLATE(B1865,""id"",""en"")"),"['Package', 'Telkomsel', 'Uda', 'buy', 'expensive', 'network', 'slow', 'really', 'rich', 'gini', 'please', 'Benerin', ' little ',' network ',' rich ',' gini ',' loss', 'buy', 'package', 'rich', 'ginian', 'package', 'garbage']")</f>
        <v>['Package', 'Telkomsel', 'Uda', 'buy', 'expensive', 'network', 'slow', 'really', 'rich', 'gini', 'please', 'Benerin', ' little ',' network ',' rich ',' gini ',' loss', 'buy', 'package', 'rich', 'ginian', 'package', 'garbage']</v>
      </c>
      <c r="D1865" s="3">
        <v>1.0</v>
      </c>
    </row>
    <row r="1866" ht="15.75" customHeight="1">
      <c r="A1866" s="1">
        <v>1864.0</v>
      </c>
      <c r="B1866" s="3" t="s">
        <v>1867</v>
      </c>
      <c r="C1866" s="3" t="str">
        <f>IFERROR(__xludf.DUMMYFUNCTION("GOOGLETRANSLATE(B1866,""id"",""en"")"),"['Severe', 'Network', 'Telkomsel', 'Week', 'proud of', 'Telkomsel', 'Discuss',' Main ',' Game ',' Heavy ',' Smooth ',' Disconnect ',' Open ',' sosmed ',' sometimes', 'difficult', 'smooth', ""]")</f>
        <v>['Severe', 'Network', 'Telkomsel', 'Week', 'proud of', 'Telkomsel', 'Discuss',' Main ',' Game ',' Heavy ',' Smooth ',' Disconnect ',' Open ',' sosmed ',' sometimes', 'difficult', 'smooth', "]</v>
      </c>
      <c r="D1866" s="3">
        <v>1.0</v>
      </c>
    </row>
    <row r="1867" ht="15.75" customHeight="1">
      <c r="A1867" s="1">
        <v>1865.0</v>
      </c>
      <c r="B1867" s="3" t="s">
        <v>1868</v>
      </c>
      <c r="C1867" s="3" t="str">
        <f>IFERROR(__xludf.DUMMYFUNCTION("GOOGLETRANSLATE(B1867,""id"",""en"")"),"['Purchase', 'Package', 'Shopee', 'Pay', 'MyTelkomsel', 'Failed', 'Shopee', 'Pay', 'Successful', 'Fund', 'Package', 'Enter', ' Process', 'Check', 'Constraints',' Fund ',' Shopee ',' Pay ',' Change ',' Bintang ',' Review ']")</f>
        <v>['Purchase', 'Package', 'Shopee', 'Pay', 'MyTelkomsel', 'Failed', 'Shopee', 'Pay', 'Successful', 'Fund', 'Package', 'Enter', ' Process', 'Check', 'Constraints',' Fund ',' Shopee ',' Pay ',' Change ',' Bintang ',' Review ']</v>
      </c>
      <c r="D1867" s="3">
        <v>1.0</v>
      </c>
    </row>
    <row r="1868" ht="15.75" customHeight="1">
      <c r="A1868" s="1">
        <v>1866.0</v>
      </c>
      <c r="B1868" s="3" t="s">
        <v>1869</v>
      </c>
      <c r="C1868" s="3" t="str">
        <f>IFERROR(__xludf.DUMMYFUNCTION("GOOGLETRANSLATE(B1868,""id"",""en"")"),"['network', 'right', 'told', 'turn on', 'Matiin', 'Data', 'Bener', 'LEG', 'BET', 'Package', 'expensive', 'mentang', ' Quality ',' Keep ',' Give ',' Solusiny ',' Bener ', ""]")</f>
        <v>['network', 'right', 'told', 'turn on', 'Matiin', 'Data', 'Bener', 'LEG', 'BET', 'Package', 'expensive', 'mentang', ' Quality ',' Keep ',' Give ',' Solusiny ',' Bener ', "]</v>
      </c>
      <c r="D1868" s="3">
        <v>1.0</v>
      </c>
    </row>
    <row r="1869" ht="15.75" customHeight="1">
      <c r="A1869" s="1">
        <v>1867.0</v>
      </c>
      <c r="B1869" s="3" t="s">
        <v>1870</v>
      </c>
      <c r="C1869" s="3" t="str">
        <f>IFERROR(__xludf.DUMMYFUNCTION("GOOGLETRANSLATE(B1869,""id"",""en"")"),"['Mnrut', 'Sya', 'Network', 'Telkomsel', 'Good', 'Sya', 'herds',' malem ',' signal ',' forgiveness', 'deh', 'severe', ' Just ',' Browsing ',' Play ',' Game ',' Online ',' Msih ',' Okay ',' KPDA ',' Telkomsel ',' Mhon ',' Enhanced ',' Signal ',' Sya ' , 'a"&amp;"rea', 'West Sumatra', 'coast', 'south']")</f>
        <v>['Mnrut', 'Sya', 'Network', 'Telkomsel', 'Good', 'Sya', 'herds',' malem ',' signal ',' forgiveness', 'deh', 'severe', ' Just ',' Browsing ',' Play ',' Game ',' Online ',' Msih ',' Okay ',' KPDA ',' Telkomsel ',' Mhon ',' Enhanced ',' Signal ',' Sya ' , 'area', 'West Sumatra', 'coast', 'south']</v>
      </c>
      <c r="D1869" s="3">
        <v>3.0</v>
      </c>
    </row>
    <row r="1870" ht="15.75" customHeight="1">
      <c r="A1870" s="1">
        <v>1868.0</v>
      </c>
      <c r="B1870" s="3" t="s">
        <v>1871</v>
      </c>
      <c r="C1870" s="3" t="str">
        <f>IFERROR(__xludf.DUMMYFUNCTION("GOOGLETRANSLATE(B1870,""id"",""en"")"),"['Network', 'bad', 'empowered', 'in the area', 'lose', 'operator', 'next door', 'tariff', 'quota', 'expensive', 'service', 'comparable', ' Customers', 'Telkomsel', 'Thinking', 'Moves',' Line ',' Service ',' Telkomsel ']")</f>
        <v>['Network', 'bad', 'empowered', 'in the area', 'lose', 'operator', 'next door', 'tariff', 'quota', 'expensive', 'service', 'comparable', ' Customers', 'Telkomsel', 'Thinking', 'Moves',' Line ',' Service ',' Telkomsel ']</v>
      </c>
      <c r="D1870" s="3">
        <v>1.0</v>
      </c>
    </row>
    <row r="1871" ht="15.75" customHeight="1">
      <c r="A1871" s="1">
        <v>1869.0</v>
      </c>
      <c r="B1871" s="3" t="s">
        <v>1872</v>
      </c>
      <c r="C1871" s="3" t="str">
        <f>IFERROR(__xludf.DUMMYFUNCTION("GOOGLETRANSLATE(B1871,""id"",""en"")"),"['company', 'owned', 'state', 'price', 'service', 'populat', 'please', 'fixed', 'Telkomsel', 'package', 'internet', 'expensive', ' Discard ',' Package ',' Maxtrem ',' Useful ',' Need ',' Package ',' Internet ',' Quality ',' Popyat ',' Trim ']")</f>
        <v>['company', 'owned', 'state', 'price', 'service', 'populat', 'please', 'fixed', 'Telkomsel', 'package', 'internet', 'expensive', ' Discard ',' Package ',' Maxtrem ',' Useful ',' Need ',' Package ',' Internet ',' Quality ',' Popyat ',' Trim ']</v>
      </c>
      <c r="D1871" s="3">
        <v>1.0</v>
      </c>
    </row>
    <row r="1872" ht="15.75" customHeight="1">
      <c r="A1872" s="1">
        <v>1870.0</v>
      </c>
      <c r="B1872" s="3" t="s">
        <v>1873</v>
      </c>
      <c r="C1872" s="3" t="str">
        <f>IFERROR(__xludf.DUMMYFUNCTION("GOOGLETRANSLATE(B1872,""id"",""en"")"),"['hard', 'signal', 'ngaco', 'Gara', 'Gara', 'signal', 'Lola', 'emotion', 'normal', 'smooth', 'star', 'love', ' TNPA ',' Bintang ',' Good ',' grgr ',' idiot ',' signal ']")</f>
        <v>['hard', 'signal', 'ngaco', 'Gara', 'Gara', 'signal', 'Lola', 'emotion', 'normal', 'smooth', 'star', 'love', ' TNPA ',' Bintang ',' Good ',' grgr ',' idiot ',' signal ']</v>
      </c>
      <c r="D1872" s="3">
        <v>1.0</v>
      </c>
    </row>
    <row r="1873" ht="15.75" customHeight="1">
      <c r="A1873" s="1">
        <v>1871.0</v>
      </c>
      <c r="B1873" s="3" t="s">
        <v>1874</v>
      </c>
      <c r="C1873" s="3" t="str">
        <f>IFERROR(__xludf.DUMMYFUNCTION("GOOGLETRANSLATE(B1873,""id"",""en"")"),"['Package', 'unlimited', 'slow', 'really', 'a month', 'package', 'unlimited', 'quota', 'locally', 'run out', 'watch', 'YouTube', ' Etc. ',' smooth ',' slow ',' really ',' ']")</f>
        <v>['Package', 'unlimited', 'slow', 'really', 'a month', 'package', 'unlimited', 'quota', 'locally', 'run out', 'watch', 'YouTube', ' Etc. ',' smooth ',' slow ',' really ',' ']</v>
      </c>
      <c r="D1873" s="3">
        <v>1.0</v>
      </c>
    </row>
    <row r="1874" ht="15.75" customHeight="1">
      <c r="A1874" s="1">
        <v>1872.0</v>
      </c>
      <c r="B1874" s="3" t="s">
        <v>1875</v>
      </c>
      <c r="C1874" s="3" t="str">
        <f>IFERROR(__xludf.DUMMYFUNCTION("GOOGLETRANSLATE(B1874,""id"",""en"")"),"['', 'Pandemic', 'Kouta', 'Internet', 'Fast', 'Need', 'Students',' Indonesia ',' Family ',' Wear ',' Kouta ',' Telkomsel ',' Internet ',' Learning ',' Network ',' Slow ',' Watch ',' Video ',' Learning ',' Seconds', 'Loading', 'Loading', 'Minutes',' Real '"&amp;",' Spend ', 'Family', 'call', 'many', 'times',' artisan ',' fix ',' network ',' network ',' slow ',' slow ',' hope ',' Indonesia ',' fast ',' Switch ',' ']")</f>
        <v>['', 'Pandemic', 'Kouta', 'Internet', 'Fast', 'Need', 'Students',' Indonesia ',' Family ',' Wear ',' Kouta ',' Telkomsel ',' Internet ',' Learning ',' Network ',' Slow ',' Watch ',' Video ',' Learning ',' Seconds', 'Loading', 'Loading', 'Minutes',' Real ',' Spend ', 'Family', 'call', 'many', 'times',' artisan ',' fix ',' network ',' network ',' slow ',' slow ',' hope ',' Indonesia ',' fast ',' Switch ',' ']</v>
      </c>
      <c r="D1874" s="3">
        <v>3.0</v>
      </c>
    </row>
    <row r="1875" ht="15.75" customHeight="1">
      <c r="A1875" s="1">
        <v>1873.0</v>
      </c>
      <c r="B1875" s="3" t="s">
        <v>1876</v>
      </c>
      <c r="C1875" s="3" t="str">
        <f>IFERROR(__xludf.DUMMYFUNCTION("GOOGLETRANSLATE(B1875,""id"",""en"")"),"['oath', 'disappointed', 'really', 'Telkomsel', 'quota', 'official', 'signal', 'neglected', 'disappointed', 'really', 'oath', 'user', ' Faithful ',' Telkomsel ', ""]")</f>
        <v>['oath', 'disappointed', 'really', 'Telkomsel', 'quota', 'official', 'signal', 'neglected', 'disappointed', 'really', 'oath', 'user', ' Faithful ',' Telkomsel ', "]</v>
      </c>
      <c r="D1875" s="3">
        <v>1.0</v>
      </c>
    </row>
    <row r="1876" ht="15.75" customHeight="1">
      <c r="A1876" s="1">
        <v>1874.0</v>
      </c>
      <c r="B1876" s="3" t="s">
        <v>1877</v>
      </c>
      <c r="C1876" s="3" t="str">
        <f>IFERROR(__xludf.DUMMYFUNCTION("GOOGLETRANSLATE(B1876,""id"",""en"")"),"['Kirain', 'just', 'signal', 'doang', 'slow', 'complaints',' distance ',' home ',' tower ',' signal ',' internet ',' slow ',' Please, 'Fix', 'Send', 'Tasks', 'Teacher', 'Late', 'Gara', 'Gara', 'Signal', 'Internet']")</f>
        <v>['Kirain', 'just', 'signal', 'doang', 'slow', 'complaints',' distance ',' home ',' tower ',' signal ',' internet ',' slow ',' Please, 'Fix', 'Send', 'Tasks', 'Teacher', 'Late', 'Gara', 'Gara', 'Signal', 'Internet']</v>
      </c>
      <c r="D1876" s="3">
        <v>1.0</v>
      </c>
    </row>
    <row r="1877" ht="15.75" customHeight="1">
      <c r="A1877" s="1">
        <v>1875.0</v>
      </c>
      <c r="B1877" s="3" t="s">
        <v>1878</v>
      </c>
      <c r="C1877" s="3" t="str">
        <f>IFERROR(__xludf.DUMMYFUNCTION("GOOGLETRANSLATE(B1877,""id"",""en"")"),"['Telkomsel', 'already', 'network', 'ugly', 'my stay', 'replace', 'use', 'data', 'Telkomsel', 'good', 'on' on ',' DLU ',' Use ',' Telkomsel ',' Krna ',' Good ',' The Network ',' Skrg ',' Ungk ',' Use ',' Very ']")</f>
        <v>['Telkomsel', 'already', 'network', 'ugly', 'my stay', 'replace', 'use', 'data', 'Telkomsel', 'good', 'on' on ',' DLU ',' Use ',' Telkomsel ',' Krna ',' Good ',' The Network ',' Skrg ',' Ungk ',' Use ',' Very ']</v>
      </c>
      <c r="D1877" s="3">
        <v>1.0</v>
      </c>
    </row>
    <row r="1878" ht="15.75" customHeight="1">
      <c r="A1878" s="1">
        <v>1876.0</v>
      </c>
      <c r="B1878" s="3" t="s">
        <v>1879</v>
      </c>
      <c r="C1878" s="3" t="str">
        <f>IFERROR(__xludf.DUMMYFUNCTION("GOOGLETRANSLATE(B1878,""id"",""en"")"),"['contents',' package ',' unlimited ',' sosmed ',' video ',' package ',' main ',' play ',' sosmed ',' package ',' used ',' package ',' main ',' package ',' main ',' run out ',' unlimited ',' run out ',' fraud ',' name ',' please ',' explanation ', ""]")</f>
        <v>['contents',' package ',' unlimited ',' sosmed ',' video ',' package ',' main ',' play ',' sosmed ',' package ',' used ',' package ',' main ',' package ',' main ',' run out ',' unlimited ',' run out ',' fraud ',' name ',' please ',' explanation ', "]</v>
      </c>
      <c r="D1878" s="3">
        <v>1.0</v>
      </c>
    </row>
    <row r="1879" ht="15.75" customHeight="1">
      <c r="A1879" s="1">
        <v>1877.0</v>
      </c>
      <c r="B1879" s="3" t="s">
        <v>1880</v>
      </c>
      <c r="C1879" s="3" t="str">
        <f>IFERROR(__xludf.DUMMYFUNCTION("GOOGLETRANSLATE(B1879,""id"",""en"")"),"['Keceptitan', 'Network', 'Region', 'Leet', 'Snail', 'Please', 'Accelerate', 'Pas',' Cloudy ',' Mix ',' Rain ',' Super ',' duper ',' slow ',' according to ',' ads', 'keceptan', 'speeding', 'Indonesia', 'proof', 'huuuuuuuu', 'slow', 'deh']")</f>
        <v>['Keceptitan', 'Network', 'Region', 'Leet', 'Snail', 'Please', 'Accelerate', 'Pas',' Cloudy ',' Mix ',' Rain ',' Super ',' duper ',' slow ',' according to ',' ads', 'keceptan', 'speeding', 'Indonesia', 'proof', 'huuuuuuuu', 'slow', 'deh']</v>
      </c>
      <c r="D1879" s="3">
        <v>1.0</v>
      </c>
    </row>
    <row r="1880" ht="15.75" customHeight="1">
      <c r="A1880" s="1">
        <v>1878.0</v>
      </c>
      <c r="B1880" s="3" t="s">
        <v>1881</v>
      </c>
      <c r="C1880" s="3" t="str">
        <f>IFERROR(__xludf.DUMMYFUNCTION("GOOGLETRANSLATE(B1880,""id"",""en"")"),"['buy', 'games', 'max', 'bonus', 'love', 'code', 'skali', 'times', 'lohh', 'pdahal', 'search', 'kagak' SMS ',' Code ',' Asem ']")</f>
        <v>['buy', 'games', 'max', 'bonus', 'love', 'code', 'skali', 'times', 'lohh', 'pdahal', 'search', 'kagak' SMS ',' Code ',' Asem ']</v>
      </c>
      <c r="D1880" s="3">
        <v>3.0</v>
      </c>
    </row>
    <row r="1881" ht="15.75" customHeight="1">
      <c r="A1881" s="1">
        <v>1879.0</v>
      </c>
      <c r="B1881" s="3" t="s">
        <v>1882</v>
      </c>
      <c r="C1881" s="3" t="str">
        <f>IFERROR(__xludf.DUMMYFUNCTION("GOOGLETRANSLATE(B1881,""id"",""en"")"),"['customer', 'loyal', 'Telkomsel', 'week', 'yesterday', 'purchase', 'pulse', 'via', 'mobile', 'banking', 'bca', 'balance', ' Savings', 'Cutting', 'Credit', 'Increases',' Try ',' Call ',' Call ',' Center ',' Telkomsel ',' umpsugity ',' Timed ',' Waiting ' "&amp;", 'process',' told ',' email ',' capture ',' proof ',' purchase ',' fourth ',' pulses', 'increase', 'Telkomsel', 'disappointing', 'provider', ' Quality ',' service ',' bad ',' ']")</f>
        <v>['customer', 'loyal', 'Telkomsel', 'week', 'yesterday', 'purchase', 'pulse', 'via', 'mobile', 'banking', 'bca', 'balance', ' Savings', 'Cutting', 'Credit', 'Increases',' Try ',' Call ',' Call ',' Center ',' Telkomsel ',' umpsugity ',' Timed ',' Waiting ' , 'process',' told ',' email ',' capture ',' proof ',' purchase ',' fourth ',' pulses', 'increase', 'Telkomsel', 'disappointing', 'provider', ' Quality ',' service ',' bad ',' ']</v>
      </c>
      <c r="D1881" s="3">
        <v>1.0</v>
      </c>
    </row>
    <row r="1882" ht="15.75" customHeight="1">
      <c r="A1882" s="1">
        <v>1880.0</v>
      </c>
      <c r="B1882" s="3" t="s">
        <v>1883</v>
      </c>
      <c r="C1882" s="3" t="str">
        <f>IFERROR(__xludf.DUMMYFUNCTION("GOOGLETRANSLATE(B1882,""id"",""en"")"),"['Tissue', 'Telkomsel', 'deteriorating', 'just', 'complaining', 'tendus',' friend ',' switch ',' provider ',' network ',' Telkomsel ',' bad ',' Many ',' times', 'Report', 'Network', 'bad', 'Masi', 'Change', 'complain', 'Network', 'Telkomsel', 'Message', '"&amp;"Hopefully', 'fast' , 'Action', 'Continue', 'users', 'Telkomsel', 'Switch', 'Network', 'Douted']")</f>
        <v>['Tissue', 'Telkomsel', 'deteriorating', 'just', 'complaining', 'tendus',' friend ',' switch ',' provider ',' network ',' Telkomsel ',' bad ',' Many ',' times', 'Report', 'Network', 'bad', 'Masi', 'Change', 'complain', 'Network', 'Telkomsel', 'Message', 'Hopefully', 'fast' , 'Action', 'Continue', 'users', 'Telkomsel', 'Switch', 'Network', 'Douted']</v>
      </c>
      <c r="D1882" s="3">
        <v>4.0</v>
      </c>
    </row>
    <row r="1883" ht="15.75" customHeight="1">
      <c r="A1883" s="1">
        <v>1881.0</v>
      </c>
      <c r="B1883" s="3" t="s">
        <v>1884</v>
      </c>
      <c r="C1883" s="3" t="str">
        <f>IFERROR(__xludf.DUMMYFUNCTION("GOOGLETRANSLATE(B1883,""id"",""en"")"),"['complaints',' Kisah ',' Telkomsel ',' Network ',' Good ',' Manep ',' Kenceng ',' fast ',' Out ',' Naturally ',' Please ',' Yaaa ',' The limit ',' quota ',' reduced ',' slow ',' like ',' org ',' noa ',' like ',' switch ',' card ',' next door ',' please '"&amp;", ""]")</f>
        <v>['complaints',' Kisah ',' Telkomsel ',' Network ',' Good ',' Manep ',' Kenceng ',' fast ',' Out ',' Naturally ',' Please ',' Yaaa ',' The limit ',' quota ',' reduced ',' slow ',' like ',' org ',' noa ',' like ',' switch ',' card ',' next door ',' please ', "]</v>
      </c>
      <c r="D1883" s="3">
        <v>1.0</v>
      </c>
    </row>
    <row r="1884" ht="15.75" customHeight="1">
      <c r="A1884" s="1">
        <v>1882.0</v>
      </c>
      <c r="B1884" s="3" t="s">
        <v>1885</v>
      </c>
      <c r="C1884" s="3" t="str">
        <f>IFERROR(__xludf.DUMMYFUNCTION("GOOGLETRANSLATE(B1884,""id"",""en"")"),"['pulse', 'run out', 'terurang', 'little', 'KNPA', 'Cause', 'subscribe', 'anything', 'subscribe', 'package', 'data', 'pulses',' reurry ',' a little ',' understand ',' network ',' slow ',' forgiveness', 'play', 'game', 'broken', 'pakek', 'Telkomsel', 'netw"&amp;"ork', 'stable' , 'bnyak', 'shortcomings']")</f>
        <v>['pulse', 'run out', 'terurang', 'little', 'KNPA', 'Cause', 'subscribe', 'anything', 'subscribe', 'package', 'data', 'pulses',' reurry ',' a little ',' understand ',' network ',' slow ',' forgiveness', 'play', 'game', 'broken', 'pakek', 'Telkomsel', 'network', 'stable' , 'bnyak', 'shortcomings']</v>
      </c>
      <c r="D1884" s="3">
        <v>1.0</v>
      </c>
    </row>
    <row r="1885" ht="15.75" customHeight="1">
      <c r="A1885" s="1">
        <v>1883.0</v>
      </c>
      <c r="B1885" s="3" t="s">
        <v>1886</v>
      </c>
      <c r="C1885" s="3" t="str">
        <f>IFERROR(__xludf.DUMMYFUNCTION("GOOGLETRANSLATE(B1885,""id"",""en"")"),"['already', 'balance', 'pulse', 'return', 'right', 'disappointed', 'event', 'date', 'already', 'contact', 'Telkomsel', 'money', ' Really ',' disappointing ',' bad ',' natural ']")</f>
        <v>['already', 'balance', 'pulse', 'return', 'right', 'disappointed', 'event', 'date', 'already', 'contact', 'Telkomsel', 'money', ' Really ',' disappointing ',' bad ',' natural ']</v>
      </c>
      <c r="D1885" s="3">
        <v>1.0</v>
      </c>
    </row>
    <row r="1886" ht="15.75" customHeight="1">
      <c r="A1886" s="1">
        <v>1884.0</v>
      </c>
      <c r="B1886" s="3" t="s">
        <v>1887</v>
      </c>
      <c r="C1886" s="3" t="str">
        <f>IFERROR(__xludf.DUMMYFUNCTION("GOOGLETRANSLATE(B1886,""id"",""en"")"),"['unlimited', 'unlimited', 'no', 'quota', 'main', 'GB', 'run out', 'description', 'written', 'sosmed', 'You', 'Tube', ' Disney ',' Hotstar ',' No "", 'Open', 'Wait', 'Disappointing', '']")</f>
        <v>['unlimited', 'unlimited', 'no', 'quota', 'main', 'GB', 'run out', 'description', 'written', 'sosmed', 'You', 'Tube', ' Disney ',' Hotstar ',' No ", 'Open', 'Wait', 'Disappointing', '']</v>
      </c>
      <c r="D1886" s="3">
        <v>1.0</v>
      </c>
    </row>
    <row r="1887" ht="15.75" customHeight="1">
      <c r="A1887" s="1">
        <v>1885.0</v>
      </c>
      <c r="B1887" s="3" t="s">
        <v>1888</v>
      </c>
      <c r="C1887" s="3" t="str">
        <f>IFERROR(__xludf.DUMMYFUNCTION("GOOGLETRANSLATE(B1887,""id"",""en"")"),"['Please', 'Price', 'Package', 'Lost', 'Indosat', 'Switch', 'Indosat', 'friend', 'friend', 'Indosat', 'Price', 'Package', ' Cheap ',' Telkomsel ',' Quality ',' Different ']")</f>
        <v>['Please', 'Price', 'Package', 'Lost', 'Indosat', 'Switch', 'Indosat', 'friend', 'friend', 'Indosat', 'Price', 'Package', ' Cheap ',' Telkomsel ',' Quality ',' Different ']</v>
      </c>
      <c r="D1887" s="3">
        <v>4.0</v>
      </c>
    </row>
    <row r="1888" ht="15.75" customHeight="1">
      <c r="A1888" s="1">
        <v>1886.0</v>
      </c>
      <c r="B1888" s="3" t="s">
        <v>1889</v>
      </c>
      <c r="C1888" s="3" t="str">
        <f>IFERROR(__xludf.DUMMYFUNCTION("GOOGLETRANSLATE(B1888,""id"",""en"")"),"['Telkomsel', 'provider', 'rotten', 'rates',' package ',' expensive ',' network ',' fisted ',' rates', 'cheap', 'increase', 'quality', ' Maintenance ',' Network ',' Loe ',' BKN ',' Event ',' Search ',' Material ',' Disappointed ',' Telkomsel ',' Provider "&amp;"',' Super ',' Rotten ', ""]")</f>
        <v>['Telkomsel', 'provider', 'rotten', 'rates',' package ',' expensive ',' network ',' fisted ',' rates', 'cheap', 'increase', 'quality', ' Maintenance ',' Network ',' Loe ',' BKN ',' Event ',' Search ',' Material ',' Disappointed ',' Telkomsel ',' Provider ',' Super ',' Rotten ', "]</v>
      </c>
      <c r="D1888" s="3">
        <v>1.0</v>
      </c>
    </row>
    <row r="1889" ht="15.75" customHeight="1">
      <c r="A1889" s="1">
        <v>1887.0</v>
      </c>
      <c r="B1889" s="3" t="s">
        <v>1890</v>
      </c>
      <c r="C1889" s="3" t="str">
        <f>IFERROR(__xludf.DUMMYFUNCTION("GOOGLETRANSLATE(B1889,""id"",""en"")"),"['quality', 'network', 'bad', 'disappointed', 'boasts',' Telkomsel ',' network ',' provider ',' price ',' expensive ',' annoyed ',' pulses', ' Reduced ',' Internet ',' send ',' SMS ',' check ',' application ',' and then ',' provider ',' network ',' suppor"&amp;"ts ',' hope ',' as soon as possible, 'repaired' , '']")</f>
        <v>['quality', 'network', 'bad', 'disappointed', 'boasts',' Telkomsel ',' network ',' provider ',' price ',' expensive ',' annoyed ',' pulses', ' Reduced ',' Internet ',' send ',' SMS ',' check ',' application ',' and then ',' provider ',' network ',' supports ',' hope ',' as soon as possible, 'repaired' , '']</v>
      </c>
      <c r="D1889" s="3">
        <v>3.0</v>
      </c>
    </row>
    <row r="1890" ht="15.75" customHeight="1">
      <c r="A1890" s="1">
        <v>1888.0</v>
      </c>
      <c r="B1890" s="3" t="s">
        <v>1891</v>
      </c>
      <c r="C1890" s="3" t="str">
        <f>IFERROR(__xludf.DUMMYFUNCTION("GOOGLETRANSLATE(B1890,""id"",""en"")"),"['here', 'Telkomsel', 'bad', 'disappointed', 'really', 'experience', 'contents',' pulses', 'data', 'no', 'active', 'no', ' Gunain ',' pulses', 'Abis',' ']")</f>
        <v>['here', 'Telkomsel', 'bad', 'disappointed', 'really', 'experience', 'contents',' pulses', 'data', 'no', 'active', 'no', ' Gunain ',' pulses', 'Abis',' ']</v>
      </c>
      <c r="D1890" s="3">
        <v>1.0</v>
      </c>
    </row>
    <row r="1891" ht="15.75" customHeight="1">
      <c r="A1891" s="1">
        <v>1889.0</v>
      </c>
      <c r="B1891" s="3" t="s">
        <v>1892</v>
      </c>
      <c r="C1891" s="3" t="str">
        <f>IFERROR(__xludf.DUMMYFUNCTION("GOOGLETRANSLATE(B1891,""id"",""en"")"),"['Telkomsel', 'problem', 'active', 'package', 'stay', 'a day', 'kouta', 'package', 'GB', 'use', 'slow', 'sporty', ' consumers', 'please', 'fix']")</f>
        <v>['Telkomsel', 'problem', 'active', 'package', 'stay', 'a day', 'kouta', 'package', 'GB', 'use', 'slow', 'sporty', ' consumers', 'please', 'fix']</v>
      </c>
      <c r="D1891" s="3">
        <v>1.0</v>
      </c>
    </row>
    <row r="1892" ht="15.75" customHeight="1">
      <c r="A1892" s="1">
        <v>1890.0</v>
      </c>
      <c r="B1892" s="3" t="s">
        <v>1893</v>
      </c>
      <c r="C1892" s="3" t="str">
        <f>IFERROR(__xludf.DUMMYFUNCTION("GOOGLETRANSLATE(B1892,""id"",""en"")"),"['buy', 'package', 'emergency', 'srring', 'sms', 'telkomsel', 'pay', 'money', 'thousand', 'admin', 'please', 'insert "",' Because ',' annoying ',' really ',' disappointed ',' service ', ""]")</f>
        <v>['buy', 'package', 'emergency', 'srring', 'sms', 'telkomsel', 'pay', 'money', 'thousand', 'admin', 'please', 'insert ",' Because ',' annoying ',' really ',' disappointed ',' service ', "]</v>
      </c>
      <c r="D1892" s="3">
        <v>1.0</v>
      </c>
    </row>
    <row r="1893" ht="15.75" customHeight="1">
      <c r="A1893" s="1">
        <v>1891.0</v>
      </c>
      <c r="B1893" s="3" t="s">
        <v>1894</v>
      </c>
      <c r="C1893" s="3" t="str">
        <f>IFERROR(__xludf.DUMMYFUNCTION("GOOGLETRANSLATE(B1893,""id"",""en"")"),"['Pembilian', 'pulse', 'thousand', 'enter', 'purchase', 'thousand', 'direct', 'enter', 'purchase', 'enter', ""]")</f>
        <v>['Pembilian', 'pulse', 'thousand', 'enter', 'purchase', 'thousand', 'direct', 'enter', 'purchase', 'enter', "]</v>
      </c>
      <c r="D1893" s="3">
        <v>4.0</v>
      </c>
    </row>
    <row r="1894" ht="15.75" customHeight="1">
      <c r="A1894" s="1">
        <v>1892.0</v>
      </c>
      <c r="B1894" s="3" t="s">
        <v>1895</v>
      </c>
      <c r="C1894" s="3" t="str">
        <f>IFERROR(__xludf.DUMMYFUNCTION("GOOGLETRANSLATE(B1894,""id"",""en"")"),"['Knp', 'kouta', 'unlimited', 'lag', 'slow', 'slow', 'pahadal', 'buy', 'expensive', 'used', 'different', 'simcard', ' expensive ',' used ',' Telkomsel ',' broken ',' ']")</f>
        <v>['Knp', 'kouta', 'unlimited', 'lag', 'slow', 'slow', 'pahadal', 'buy', 'expensive', 'used', 'different', 'simcard', ' expensive ',' used ',' Telkomsel ',' broken ',' ']</v>
      </c>
      <c r="D1894" s="3">
        <v>1.0</v>
      </c>
    </row>
    <row r="1895" ht="15.75" customHeight="1">
      <c r="A1895" s="1">
        <v>1893.0</v>
      </c>
      <c r="B1895" s="3" t="s">
        <v>1896</v>
      </c>
      <c r="C1895" s="3" t="str">
        <f>IFERROR(__xludf.DUMMYFUNCTION("GOOGLETRANSLATE(B1895,""id"",""en"")"),"['quota', 'unlimited', 'limit', 'speed', 'network', 'quota', 'unlimited', 'limit', 'quota', 'limit', 'please', 'policy', ' Telkomsel ',' keep ',' comfort ',' users']")</f>
        <v>['quota', 'unlimited', 'limit', 'speed', 'network', 'quota', 'unlimited', 'limit', 'quota', 'limit', 'please', 'policy', ' Telkomsel ',' keep ',' comfort ',' users']</v>
      </c>
      <c r="D1895" s="3">
        <v>1.0</v>
      </c>
    </row>
    <row r="1896" ht="15.75" customHeight="1">
      <c r="A1896" s="1">
        <v>1894.0</v>
      </c>
      <c r="B1896" s="3" t="s">
        <v>1897</v>
      </c>
      <c r="C1896" s="3" t="str">
        <f>IFERROR(__xludf.DUMMYFUNCTION("GOOGLETRANSLATE(B1896,""id"",""en"")"),"['', 'Grapari', 'Renon', 'Bali', 'change', 'card', 'missing', 'told', 'Pay', 'Rb', 'todong', 'Rb', 'Reason ',' Activation ',' Daaann ',' Bad ',' Waiting ',' Hour ',' Minute ',' Hnya ',' Served ',' Queue ',' Queue ',' Samperin ',' And then ', 'After', 'NGM"&amp;"G', 'TLP', 'Ngantri', 'Samperin', 'Served', 'PDHL', 'LIAT', 'DRTD', 'MREKA', 'Standing', 'Relax', 'Door ',' enter ',' KLU ',' Pay ',' smpai ',' Customer ',' Waiting ',' Hour ',' Minutes', 'Provider', 'Free']")</f>
        <v>['', 'Grapari', 'Renon', 'Bali', 'change', 'card', 'missing', 'told', 'Pay', 'Rb', 'todong', 'Rb', 'Reason ',' Activation ',' Daaann ',' Bad ',' Waiting ',' Hour ',' Minute ',' Hnya ',' Served ',' Queue ',' Queue ',' Samperin ',' And then ', 'After', 'NGMG', 'TLP', 'Ngantri', 'Samperin', 'Served', 'PDHL', 'LIAT', 'DRTD', 'MREKA', 'Standing', 'Relax', 'Door ',' enter ',' KLU ',' Pay ',' smpai ',' Customer ',' Waiting ',' Hour ',' Minutes', 'Provider', 'Free']</v>
      </c>
      <c r="D1896" s="3">
        <v>1.0</v>
      </c>
    </row>
    <row r="1897" ht="15.75" customHeight="1">
      <c r="A1897" s="1">
        <v>1895.0</v>
      </c>
      <c r="B1897" s="3" t="s">
        <v>1898</v>
      </c>
      <c r="C1897" s="3" t="str">
        <f>IFERROR(__xludf.DUMMYFUNCTION("GOOGLETRANSLATE(B1897,""id"",""en"")"),"['', 'Anying', 'Diem', 'Dipelunjak', 'Signal', 'Doang', 'Sometimes',' Signal ',' Full ',' Quota ',' Pakek ',' Sometimes', 'Pakek ',' signal ',' ilang ',' play ',' game ',' Severe ',' smooth ',' smooth ',' just ',' setting ',' the rest ',' red ',' severe '"&amp;", 'Signal', 'appears',' enter ',' code ',' phone ',' how ',' search ',' solution ',' search ',' luck ',' money ',' quota ',' Telkomsel ',' forced ',' signal ',' milked ']")</f>
        <v>['', 'Anying', 'Diem', 'Dipelunjak', 'Signal', 'Doang', 'Sometimes',' Signal ',' Full ',' Quota ',' Pakek ',' Sometimes', 'Pakek ',' signal ',' ilang ',' play ',' game ',' Severe ',' smooth ',' smooth ',' just ',' setting ',' the rest ',' red ',' severe ', 'Signal', 'appears',' enter ',' code ',' phone ',' how ',' search ',' solution ',' search ',' luck ',' money ',' quota ',' Telkomsel ',' forced ',' signal ',' milked ']</v>
      </c>
      <c r="D1897" s="3">
        <v>1.0</v>
      </c>
    </row>
    <row r="1898" ht="15.75" customHeight="1">
      <c r="A1898" s="1">
        <v>1896.0</v>
      </c>
      <c r="B1898" s="3" t="s">
        <v>1899</v>
      </c>
      <c r="C1898" s="3" t="str">
        <f>IFERROR(__xludf.DUMMYFUNCTION("GOOGLETRANSLATE(B1898,""id"",""en"")"),"['', 'Telkomsel', 'buy', 'quota', 'expensive', 'network', 'rich', 'taik', 'deh', 'change', 'network', 'quality', 'slow ',' fooling ',' entry ',' kah ',' fate ',' like ',' third ',' please ',' love ',' donk ',' promotion ',' donk ',' buy ', 'package', 'exp"&amp;"ensive', 'love', 'donk', 'special', 'card', 'dri', '']")</f>
        <v>['', 'Telkomsel', 'buy', 'quota', 'expensive', 'network', 'rich', 'taik', 'deh', 'change', 'network', 'quality', 'slow ',' fooling ',' entry ',' kah ',' fate ',' like ',' third ',' please ',' love ',' donk ',' promotion ',' donk ',' buy ', 'package', 'expensive', 'love', 'donk', 'special', 'card', 'dri', '']</v>
      </c>
      <c r="D1898" s="3">
        <v>1.0</v>
      </c>
    </row>
    <row r="1899" ht="15.75" customHeight="1">
      <c r="A1899" s="1">
        <v>1897.0</v>
      </c>
      <c r="B1899" s="3" t="s">
        <v>1900</v>
      </c>
      <c r="C1899" s="3" t="str">
        <f>IFERROR(__xludf.DUMMYFUNCTION("GOOGLETRANSLATE(B1899,""id"",""en"")"),"['Ride in', 'price', 'mAh', 'all', 'really', 'rich', 'Negri', 'buy', 'boundary', 'rich', 'enk', 'telkosel']")</f>
        <v>['Ride in', 'price', 'mAh', 'all', 'really', 'rich', 'Negri', 'buy', 'boundary', 'rich', 'enk', 'telkosel']</v>
      </c>
      <c r="D1899" s="3">
        <v>3.0</v>
      </c>
    </row>
    <row r="1900" ht="15.75" customHeight="1">
      <c r="A1900" s="1">
        <v>1898.0</v>
      </c>
      <c r="B1900" s="3" t="s">
        <v>1901</v>
      </c>
      <c r="C1900" s="3" t="str">
        <f>IFERROR(__xludf.DUMMYFUNCTION("GOOGLETRANSLATE(B1900,""id"",""en"")"),"['network', 'Telkomsel', 'destroyed', 'play', 'game', 'error', 'like', 'already', 'price', 'expensive', 'network', 'taik', ' Please, 'Dev', 'improve', 'network', 'user', 'Telkomsel', 'Move', 'SIM', 'Card', 'Sorry', 'Fix', 'User', 'Telkomsel' , 'Betah', 'G"&amp;"ini', 'Pliss', 'repaired', 'Telkomsel', 'Telkomsel', ""]")</f>
        <v>['network', 'Telkomsel', 'destroyed', 'play', 'game', 'error', 'like', 'already', 'price', 'expensive', 'network', 'taik', ' Please, 'Dev', 'improve', 'network', 'user', 'Telkomsel', 'Move', 'SIM', 'Card', 'Sorry', 'Fix', 'User', 'Telkomsel' , 'Betah', 'Gini', 'Pliss', 'repaired', 'Telkomsel', 'Telkomsel', "]</v>
      </c>
      <c r="D1900" s="3">
        <v>1.0</v>
      </c>
    </row>
    <row r="1901" ht="15.75" customHeight="1">
      <c r="A1901" s="1">
        <v>1899.0</v>
      </c>
      <c r="B1901" s="3" t="s">
        <v>1902</v>
      </c>
      <c r="C1901" s="3" t="str">
        <f>IFERROR(__xludf.DUMMYFUNCTION("GOOGLETRANSLATE(B1901,""id"",""en"")"),"['Okay', 'please', 'keep', 'price', 'sell', 'customers', 'telkomset', 'cheap', 'operator', 'neighbor']")</f>
        <v>['Okay', 'please', 'keep', 'price', 'sell', 'customers', 'telkomset', 'cheap', 'operator', 'neighbor']</v>
      </c>
      <c r="D1901" s="3">
        <v>5.0</v>
      </c>
    </row>
    <row r="1902" ht="15.75" customHeight="1">
      <c r="A1902" s="1">
        <v>1900.0</v>
      </c>
      <c r="B1902" s="3" t="s">
        <v>1903</v>
      </c>
      <c r="C1902" s="3" t="str">
        <f>IFERROR(__xludf.DUMMYFUNCTION("GOOGLETRANSLATE(B1902,""id"",""en"")"),"['Try', 'Telkomsel', 'ngeluarin', 'locking', 'pulse', 'ilang', 'pulse', 'tetep', 'safe', 'wasteful', 'user', 'free', ' afraid', '']")</f>
        <v>['Try', 'Telkomsel', 'ngeluarin', 'locking', 'pulse', 'ilang', 'pulse', 'tetep', 'safe', 'wasteful', 'user', 'free', ' afraid', '']</v>
      </c>
      <c r="D1902" s="3">
        <v>2.0</v>
      </c>
    </row>
    <row r="1903" ht="15.75" customHeight="1">
      <c r="A1903" s="1">
        <v>1901.0</v>
      </c>
      <c r="B1903" s="3" t="s">
        <v>1904</v>
      </c>
      <c r="C1903" s="3" t="str">
        <f>IFERROR(__xludf.DUMMYFUNCTION("GOOGLETRANSLATE(B1903,""id"",""en"")"),"['Telkomsel', 'slow', 'NGK', 'Kayak', 'fast', 'really', 'please', 'story', 'already', 'pakek', 'Telkomsel', 'Ngk', ' slow ',' slow ',' Telkomsel ',' ngeluarin ',' network ',' WhatsApp ',' istagram ',' melbot ',' really ',' please ',' story ',' listeners',"&amp;" 'pleaseggggg' , 'Fix', 'Network', '']")</f>
        <v>['Telkomsel', 'slow', 'NGK', 'Kayak', 'fast', 'really', 'please', 'story', 'already', 'pakek', 'Telkomsel', 'Ngk', ' slow ',' slow ',' Telkomsel ',' ngeluarin ',' network ',' WhatsApp ',' istagram ',' melbot ',' really ',' please ',' story ',' listeners', 'pleaseggggg' , 'Fix', 'Network', '']</v>
      </c>
      <c r="D1903" s="3">
        <v>2.0</v>
      </c>
    </row>
    <row r="1904" ht="15.75" customHeight="1">
      <c r="A1904" s="1">
        <v>1902.0</v>
      </c>
      <c r="B1904" s="3" t="s">
        <v>1905</v>
      </c>
      <c r="C1904" s="3" t="str">
        <f>IFERROR(__xludf.DUMMYFUNCTION("GOOGLETRANSLATE(B1904,""id"",""en"")"),"['internet', 'GB', 'apply', 'internet', 'SMS', 'internet', 'non', 'package', 'pulse', 'sucked', 'internet', 'replace', ' Commissioner ',' Maling ',' ']")</f>
        <v>['internet', 'GB', 'apply', 'internet', 'SMS', 'internet', 'non', 'package', 'pulse', 'sucked', 'internet', 'replace', ' Commissioner ',' Maling ',' ']</v>
      </c>
      <c r="D1904" s="3">
        <v>1.0</v>
      </c>
    </row>
    <row r="1905" ht="15.75" customHeight="1">
      <c r="A1905" s="1">
        <v>1903.0</v>
      </c>
      <c r="B1905" s="3" t="s">
        <v>1906</v>
      </c>
      <c r="C1905" s="3" t="str">
        <f>IFERROR(__xludf.DUMMYFUNCTION("GOOGLETRANSLATE(B1905,""id"",""en"")"),"['Disappointed', 'heavy', 'nich', 'Telkomsel', 'package', 'call', 'minute', 'cut', 'half', 'minute', 'comfortable', 'call', ' quota ',' that way ',' network ',' internet ',' slow ',' price ',' expensive ',' disappointed ',' level ',' god ',' ']")</f>
        <v>['Disappointed', 'heavy', 'nich', 'Telkomsel', 'package', 'call', 'minute', 'cut', 'half', 'minute', 'comfortable', 'call', ' quota ',' that way ',' network ',' internet ',' slow ',' price ',' expensive ',' disappointed ',' level ',' god ',' ']</v>
      </c>
      <c r="D1905" s="3">
        <v>1.0</v>
      </c>
    </row>
    <row r="1906" ht="15.75" customHeight="1">
      <c r="A1906" s="1">
        <v>1904.0</v>
      </c>
      <c r="B1906" s="3" t="s">
        <v>1907</v>
      </c>
      <c r="C1906" s="3" t="str">
        <f>IFERROR(__xludf.DUMMYFUNCTION("GOOGLETRANSLATE(B1906,""id"",""en"")"),"['complain', 'times',' repaired ',' price ',' expensive ',' complaint ',' sorry ',' no ',' repaired ',' told ',' login ',' pulses', ' SIM ',' LIFE ',' quota ',' Kemdikbud ',' No ',' Sour ',' Credit ',' yes', 'signal', 'best', 'know', 'slow', 'expensive' ,"&amp;" 'Dibldin', 'bug']")</f>
        <v>['complain', 'times',' repaired ',' price ',' expensive ',' complaint ',' sorry ',' no ',' repaired ',' told ',' login ',' pulses', ' SIM ',' LIFE ',' quota ',' Kemdikbud ',' No ',' Sour ',' Credit ',' yes', 'signal', 'best', 'know', 'slow', 'expensive' , 'Dibldin', 'bug']</v>
      </c>
      <c r="D1906" s="3">
        <v>1.0</v>
      </c>
    </row>
    <row r="1907" ht="15.75" customHeight="1">
      <c r="A1907" s="1">
        <v>1905.0</v>
      </c>
      <c r="B1907" s="3" t="s">
        <v>1908</v>
      </c>
      <c r="C1907" s="3" t="str">
        <f>IFERROR(__xludf.DUMMYFUNCTION("GOOGLETRANSLATE(B1907,""id"",""en"")"),"['UDH', 'contents',' credit ',' buy ',' quota ',' GB ',' pulse ',' sucked ',' The reason ',' quota ',' emergency ',' quota ',' Emergency ',' Change ',' Sunday ',' mean ',' Telkomsel ', ""]")</f>
        <v>['UDH', 'contents',' credit ',' buy ',' quota ',' GB ',' pulse ',' sucked ',' The reason ',' quota ',' emergency ',' quota ',' Emergency ',' Change ',' Sunday ',' mean ',' Telkomsel ', "]</v>
      </c>
      <c r="D1907" s="3">
        <v>1.0</v>
      </c>
    </row>
    <row r="1908" ht="15.75" customHeight="1">
      <c r="A1908" s="1">
        <v>1906.0</v>
      </c>
      <c r="B1908" s="3" t="s">
        <v>1909</v>
      </c>
      <c r="C1908" s="3" t="str">
        <f>IFERROR(__xludf.DUMMYFUNCTION("GOOGLETRANSLATE(B1908,""id"",""en"")"),"['signal', 'slow', 'really', 'cook', 'lose', 'high school', 'signal', 'tri', 'really', 'divided', 'really', 'work', ' Hampered ',' Krna ', ""]")</f>
        <v>['signal', 'slow', 'really', 'cook', 'lose', 'high school', 'signal', 'tri', 'really', 'divided', 'really', 'work', ' Hampered ',' Krna ', "]</v>
      </c>
      <c r="D1908" s="3">
        <v>1.0</v>
      </c>
    </row>
    <row r="1909" ht="15.75" customHeight="1">
      <c r="A1909" s="1">
        <v>1907.0</v>
      </c>
      <c r="B1909" s="3" t="s">
        <v>1910</v>
      </c>
      <c r="C1909" s="3" t="str">
        <f>IFERROR(__xludf.DUMMYFUNCTION("GOOGLETRANSLATE(B1909,""id"",""en"")"),"['Provider', 'disappointing', 'users',' service ',' network ',' internet ',' really ',' garbage ',' according to ',' price ',' pay ',' just ',' read ',' comics', 'wait', 'minutes',' loading ',' used ',' play ',' game ',' just ',' emotion ',' Telkomsel ','"&amp;" really ',' disappointing ' , '']")</f>
        <v>['Provider', 'disappointing', 'users',' service ',' network ',' internet ',' really ',' garbage ',' according to ',' price ',' pay ',' just ',' read ',' comics', 'wait', 'minutes',' loading ',' used ',' play ',' game ',' just ',' emotion ',' Telkomsel ',' really ',' disappointing ' , '']</v>
      </c>
      <c r="D1909" s="3">
        <v>1.0</v>
      </c>
    </row>
    <row r="1910" ht="15.75" customHeight="1">
      <c r="A1910" s="1">
        <v>1908.0</v>
      </c>
      <c r="B1910" s="3" t="s">
        <v>1911</v>
      </c>
      <c r="C1910" s="3" t="str">
        <f>IFERROR(__xludf.DUMMYFUNCTION("GOOGLETRANSLATE(B1910,""id"",""en"")"),"['Gara', 'improvement', 'network', 'causes', 'lag', 'customer', 'Please', 'repaired', 'Telkomsel', 'loss', 'Customer', ""]")</f>
        <v>['Gara', 'improvement', 'network', 'causes', 'lag', 'customer', 'Please', 'repaired', 'Telkomsel', 'loss', 'Customer', "]</v>
      </c>
      <c r="D1910" s="3">
        <v>1.0</v>
      </c>
    </row>
    <row r="1911" ht="15.75" customHeight="1">
      <c r="A1911" s="1">
        <v>1909.0</v>
      </c>
      <c r="B1911" s="3" t="s">
        <v>1912</v>
      </c>
      <c r="C1911" s="3" t="str">
        <f>IFERROR(__xludf.DUMMYFUNCTION("GOOGLETRANSLATE(B1911,""id"",""en"")"),"['Cave', 'buy', 'Package', 'Unlimited', 'Different', 'Yesterday', 'Yesterday', 'Make', 'Sosmed', 'Free', 'Sampe', 'Deceived', ' ',' Telkomsel ',' consistent ',' MLS ',' cave ',' buy ',' data ',' telkom ',' good ',' moved ',' provider ']")</f>
        <v>['Cave', 'buy', 'Package', 'Unlimited', 'Different', 'Yesterday', 'Yesterday', 'Make', 'Sosmed', 'Free', 'Sampe', 'Deceived', ' ',' Telkomsel ',' consistent ',' MLS ',' cave ',' buy ',' data ',' telkom ',' good ',' moved ',' provider ']</v>
      </c>
      <c r="D1911" s="3">
        <v>1.0</v>
      </c>
    </row>
    <row r="1912" ht="15.75" customHeight="1">
      <c r="A1912" s="1">
        <v>1910.0</v>
      </c>
      <c r="B1912" s="3" t="s">
        <v>1913</v>
      </c>
      <c r="C1912" s="3" t="str">
        <f>IFERROR(__xludf.DUMMYFUNCTION("GOOGLETRANSLATE(B1912,""id"",""en"")"),"['update', 'June', 'quality', 'internet', 'Telkomsel', 'Severe', 'slow', 'location', 'province', 'village', 'drum', 'Timuru', ' sub-district ',' river ',' durian ',' district ',' city ',' kalimantan ',' south ',' package ',' data ',' connection ',' proble"&amp;"m ',' price ',' package ' , 'Internet', 'expensive', 'switch', 'operator', 'Indosat', 'stable', 'boss', ""]")</f>
        <v>['update', 'June', 'quality', 'internet', 'Telkomsel', 'Severe', 'slow', 'location', 'province', 'village', 'drum', 'Timuru', ' sub-district ',' river ',' durian ',' district ',' city ',' kalimantan ',' south ',' package ',' data ',' connection ',' problem ',' price ',' package ' , 'Internet', 'expensive', 'switch', 'operator', 'Indosat', 'stable', 'boss', "]</v>
      </c>
      <c r="D1912" s="3">
        <v>1.0</v>
      </c>
    </row>
    <row r="1913" ht="15.75" customHeight="1">
      <c r="A1913" s="1">
        <v>1911.0</v>
      </c>
      <c r="B1913" s="3" t="s">
        <v>1914</v>
      </c>
      <c r="C1913" s="3" t="str">
        <f>IFERROR(__xludf.DUMMYFUNCTION("GOOGLETRANSLATE(B1913,""id"",""en"")"),"['Position', 'Papua', 'Sueringggg', 'Skali', 'Troble', 'Dri', 'dlu', 'smpe', 'skrang', 'bkan', 'tmbah', 'good', ' Mlah ',' tmbah ',' jerlang ',' the world ',' smakin ',' advanced ',' mah ',' smakin ',' bad ',' closed ',' min ',' buy ' , 'quota', 'pulse', "&amp;"'buy', 'karti', 'sim', 'jngn', 'contact', 'instagram', 'whastapp', 'etc.', 'muter', 'bnyak', ' The reason ',' essence ',' closed ',' ']")</f>
        <v>['Position', 'Papua', 'Sueringggg', 'Skali', 'Troble', 'Dri', 'dlu', 'smpe', 'skrang', 'bkan', 'tmbah', 'good', ' Mlah ',' tmbah ',' jerlang ',' the world ',' smakin ',' advanced ',' mah ',' smakin ',' bad ',' closed ',' min ',' buy ' , 'quota', 'pulse', 'buy', 'karti', 'sim', 'jngn', 'contact', 'instagram', 'whastapp', 'etc.', 'muter', 'bnyak', ' The reason ',' essence ',' closed ',' ']</v>
      </c>
      <c r="D1913" s="3">
        <v>1.0</v>
      </c>
    </row>
    <row r="1914" ht="15.75" customHeight="1">
      <c r="A1914" s="1">
        <v>1912.0</v>
      </c>
      <c r="B1914" s="3" t="s">
        <v>1915</v>
      </c>
      <c r="C1914" s="3" t="str">
        <f>IFERROR(__xludf.DUMMYFUNCTION("GOOGLETRANSLATE(B1914,""id"",""en"")"),"['', 'users',' Telkomsel ',' True ',' just ',' Telkomsel ',' Feel ',' Different ',' Network ',' already ',' set ',' signal ',' strong ',' internet ',' weak ',' please ',' fix ',' disappointed ',' move ',' card ',' ']")</f>
        <v>['', 'users',' Telkomsel ',' True ',' just ',' Telkomsel ',' Feel ',' Different ',' Network ',' already ',' set ',' signal ',' strong ',' internet ',' weak ',' please ',' fix ',' disappointed ',' move ',' card ',' ']</v>
      </c>
      <c r="D1914" s="3">
        <v>1.0</v>
      </c>
    </row>
    <row r="1915" ht="15.75" customHeight="1">
      <c r="A1915" s="1">
        <v>1913.0</v>
      </c>
      <c r="B1915" s="3" t="s">
        <v>1916</v>
      </c>
      <c r="C1915" s="3" t="str">
        <f>IFERROR(__xludf.DUMMYFUNCTION("GOOGLETRANSLATE(B1915,""id"",""en"")"),"['Ayuk', 'download', 'application', 'guaranteed', 'regret', 'Package', 'Telkom', 'expensive', 'accelerated', 'network', 'suggestion', 'application', ' Suitable ',' Application ',' Bonus', 'Pieces',' Hopefully ',' In the future ',' Application ',' Buy ',' "&amp;"Bonus', 'Application', 'hope', 'Application', 'person' , 'Download', 'application', 'mandatory', 'really', 'download', 'application', '']")</f>
        <v>['Ayuk', 'download', 'application', 'guaranteed', 'regret', 'Package', 'Telkom', 'expensive', 'accelerated', 'network', 'suggestion', 'application', ' Suitable ',' Application ',' Bonus', 'Pieces',' Hopefully ',' In the future ',' Application ',' Buy ',' Bonus', 'Application', 'hope', 'Application', 'person' , 'Download', 'application', 'mandatory', 'really', 'download', 'application', '']</v>
      </c>
      <c r="D1915" s="3">
        <v>5.0</v>
      </c>
    </row>
    <row r="1916" ht="15.75" customHeight="1">
      <c r="A1916" s="1">
        <v>1914.0</v>
      </c>
      <c r="B1916" s="3" t="s">
        <v>1917</v>
      </c>
      <c r="C1916" s="3" t="str">
        <f>IFERROR(__xludf.DUMMYFUNCTION("GOOGLETRANSLATE(B1916,""id"",""en"")"),"['please', 'Telkomsel', 'improving', 'loss',' separated ',' quota ',' internet ',' quota ',' regular ',' emang ',' quota ',' internet ',' run out ',' take ',' quota ',' regular ',' kayak ',' always', 'know', 'condition', 'economy', 'people', 'recover', 'c"&amp;"ome on', 'help' , 'improving', 'upstream', 'company', 'recruit', 'expert', 'best', 'country', '']")</f>
        <v>['please', 'Telkomsel', 'improving', 'loss',' separated ',' quota ',' internet ',' quota ',' regular ',' emang ',' quota ',' internet ',' run out ',' take ',' quota ',' regular ',' kayak ',' always', 'know', 'condition', 'economy', 'people', 'recover', 'come on', 'help' , 'improving', 'upstream', 'company', 'recruit', 'expert', 'best', 'country', '']</v>
      </c>
      <c r="D1916" s="3">
        <v>1.0</v>
      </c>
    </row>
    <row r="1917" ht="15.75" customHeight="1">
      <c r="A1917" s="1">
        <v>1915.0</v>
      </c>
      <c r="B1917" s="3" t="s">
        <v>1918</v>
      </c>
      <c r="C1917" s="3" t="str">
        <f>IFERROR(__xludf.DUMMYFUNCTION("GOOGLETRANSLATE(B1917,""id"",""en"")"),"['buy', 'quota', 'mytelkomsel', 'kouta', 'entry', 'already', 'report', 'until', 'times',' resignation ',' told ',' waiting ',' already ',' Lebaran ',' already ',' times']")</f>
        <v>['buy', 'quota', 'mytelkomsel', 'kouta', 'entry', 'already', 'report', 'until', 'times',' resignation ',' told ',' waiting ',' already ',' Lebaran ',' already ',' times']</v>
      </c>
      <c r="D1917" s="3">
        <v>1.0</v>
      </c>
    </row>
    <row r="1918" ht="15.75" customHeight="1">
      <c r="A1918" s="1">
        <v>1916.0</v>
      </c>
      <c r="B1918" s="3" t="s">
        <v>1919</v>
      </c>
      <c r="C1918" s="3" t="str">
        <f>IFERROR(__xludf.DUMMYFUNCTION("GOOGLETRANSLATE(B1918,""id"",""en"")"),"['users',' Telkomsel ',' quota ',' application ',' used ',' sumps', 'quota', 'main', 'quota', 'the application', 'cream', 'email', ' Telkomsel ',' response ']")</f>
        <v>['users',' Telkomsel ',' quota ',' application ',' used ',' sumps', 'quota', 'main', 'quota', 'the application', 'cream', 'email', ' Telkomsel ',' response ']</v>
      </c>
      <c r="D1918" s="3">
        <v>2.0</v>
      </c>
    </row>
    <row r="1919" ht="15.75" customHeight="1">
      <c r="A1919" s="1">
        <v>1917.0</v>
      </c>
      <c r="B1919" s="3" t="s">
        <v>1920</v>
      </c>
      <c r="C1919" s="3" t="str">
        <f>IFERROR(__xludf.DUMMYFUNCTION("GOOGLETRANSLATE(B1919,""id"",""en"")"),"['Network', 'Not bad', 'smooth', 'slow', 'signal', 'missing', 'problem', 'the application', 'already', 'times',' entered ',' Wait ',' Verititaksi ',' number ',' telephone ',' really ',' check ',' quota ',' pulse ',' application ',' please ',' repaired ','"&amp;" network ',' comfortable ',' just ' , 'The application', '']")</f>
        <v>['Network', 'Not bad', 'smooth', 'slow', 'signal', 'missing', 'problem', 'the application', 'already', 'times',' entered ',' Wait ',' Verititaksi ',' number ',' telephone ',' really ',' check ',' quota ',' pulse ',' application ',' please ',' repaired ',' network ',' comfortable ',' just ' , 'The application', '']</v>
      </c>
      <c r="D1919" s="3">
        <v>5.0</v>
      </c>
    </row>
    <row r="1920" ht="15.75" customHeight="1">
      <c r="A1920" s="1">
        <v>1918.0</v>
      </c>
      <c r="B1920" s="3" t="s">
        <v>1921</v>
      </c>
      <c r="C1920" s="3" t="str">
        <f>IFERROR(__xludf.DUMMYFUNCTION("GOOGLETRANSLATE(B1920,""id"",""en"")"),"['Disney', 'What', 'unlimited', 'FUP', 'Mending', 'Disney', 'already', 'subscription', 'Combo', 'Sakti', 'FUP', 'Package', ' night ',' remove ',' replace ',' card ',' laen ']")</f>
        <v>['Disney', 'What', 'unlimited', 'FUP', 'Mending', 'Disney', 'already', 'subscription', 'Combo', 'Sakti', 'FUP', 'Package', ' night ',' remove ',' replace ',' card ',' laen ']</v>
      </c>
      <c r="D1920" s="3">
        <v>1.0</v>
      </c>
    </row>
    <row r="1921" ht="15.75" customHeight="1">
      <c r="A1921" s="1">
        <v>1919.0</v>
      </c>
      <c r="B1921" s="3" t="s">
        <v>1922</v>
      </c>
      <c r="C1921" s="3" t="str">
        <f>IFERROR(__xludf.DUMMYFUNCTION("GOOGLETRANSLATE(B1921,""id"",""en"")"),"['application', 'buwat', 'help', 'buy', 'package', 'data', 'contents', 'reset', 'pulses', ""]")</f>
        <v>['application', 'buwat', 'help', 'buy', 'package', 'data', 'contents', 'reset', 'pulses', "]</v>
      </c>
      <c r="D1921" s="3">
        <v>5.0</v>
      </c>
    </row>
    <row r="1922" ht="15.75" customHeight="1">
      <c r="A1922" s="1">
        <v>1920.0</v>
      </c>
      <c r="B1922" s="3" t="s">
        <v>1923</v>
      </c>
      <c r="C1922" s="3" t="str">
        <f>IFERROR(__xludf.DUMMYFUNCTION("GOOGLETRANSLATE(B1922,""id"",""en"")"),"['pandemic', 'March', 'progress',' significant ',' deficiency ',' in ',' point ',' strength ',' signal ',' gift ',' bonus', 'Telkomsel', ' TKS ',' Magging ',' Customer ',' ']")</f>
        <v>['pandemic', 'March', 'progress',' significant ',' deficiency ',' in ',' point ',' strength ',' signal ',' gift ',' bonus', 'Telkomsel', ' TKS ',' Magging ',' Customer ',' ']</v>
      </c>
      <c r="D1922" s="3">
        <v>4.0</v>
      </c>
    </row>
    <row r="1923" ht="15.75" customHeight="1">
      <c r="A1923" s="1">
        <v>1921.0</v>
      </c>
      <c r="B1923" s="3" t="s">
        <v>1924</v>
      </c>
      <c r="C1923" s="3" t="str">
        <f>IFERROR(__xludf.DUMMYFUNCTION("GOOGLETRANSLATE(B1923,""id"",""en"")"),"['Complaints', 'Package', 'Internet', 'Package', 'Internet', 'Cheap', 'Enjoy', 'Network', 'Best', 'Anyway', ""]")</f>
        <v>['Complaints', 'Package', 'Internet', 'Package', 'Internet', 'Cheap', 'Enjoy', 'Network', 'Best', 'Anyway', "]</v>
      </c>
      <c r="D1923" s="3">
        <v>5.0</v>
      </c>
    </row>
    <row r="1924" ht="15.75" customHeight="1">
      <c r="A1924" s="1">
        <v>1922.0</v>
      </c>
      <c r="B1924" s="3" t="s">
        <v>1925</v>
      </c>
      <c r="C1924" s="3" t="str">
        <f>IFERROR(__xludf.DUMMYFUNCTION("GOOGLETRANSLATE(B1924,""id"",""en"")"),"['already', 'Telkomsel', 'expensive', 'package', 'survive', 'signal', 'okay', 'here', 'slow', ""]")</f>
        <v>['already', 'Telkomsel', 'expensive', 'package', 'survive', 'signal', 'okay', 'here', 'slow', "]</v>
      </c>
      <c r="D1924" s="3">
        <v>1.0</v>
      </c>
    </row>
    <row r="1925" ht="15.75" customHeight="1">
      <c r="A1925" s="1">
        <v>1923.0</v>
      </c>
      <c r="B1925" s="3" t="s">
        <v>1926</v>
      </c>
      <c r="C1925" s="3" t="str">
        <f>IFERROR(__xludf.DUMMYFUNCTION("GOOGLETRANSLATE(B1925,""id"",""en"")"),"['Provider', 'Telkomsel', 'lose', 'quota', 'data', 'run out', 'direct', 'suck', 'pulse', 'until', 'data', 'cellular', ' Turn off ',' Fix ',' Love ',' Star ',' Times', 'Sumpot', 'Credit', 'Sampe', 'Merak', 'Quota', 'MaxStream', 'GB', 'Untul' , 'use it', 'q"&amp;"uota', 'regular', 'hwkwkwk', 'strange', 'funny', 'your service', 'mending', 'moved', 'provider', 'next door']")</f>
        <v>['Provider', 'Telkomsel', 'lose', 'quota', 'data', 'run out', 'direct', 'suck', 'pulse', 'until', 'data', 'cellular', ' Turn off ',' Fix ',' Love ',' Star ',' Times', 'Sumpot', 'Credit', 'Sampe', 'Merak', 'Quota', 'MaxStream', 'GB', 'Untul' , 'use it', 'quota', 'regular', 'hwkwkwk', 'strange', 'funny', 'your service', 'mending', 'moved', 'provider', 'next door']</v>
      </c>
      <c r="D1925" s="3">
        <v>1.0</v>
      </c>
    </row>
    <row r="1926" ht="15.75" customHeight="1">
      <c r="A1926" s="1">
        <v>1924.0</v>
      </c>
      <c r="B1926" s="3" t="s">
        <v>1927</v>
      </c>
      <c r="C1926" s="3" t="str">
        <f>IFERROR(__xludf.DUMMYFUNCTION("GOOGLETRANSLATE(B1926,""id"",""en"")"),"['The network', 'Live', 'Baturaja', 'City', 'Network', 'Good', 'Use', 'Network', 'Force', 'Network', ""]")</f>
        <v>['The network', 'Live', 'Baturaja', 'City', 'Network', 'Good', 'Use', 'Network', 'Force', 'Network', "]</v>
      </c>
      <c r="D1926" s="3">
        <v>4.0</v>
      </c>
    </row>
    <row r="1927" ht="15.75" customHeight="1">
      <c r="A1927" s="1">
        <v>1925.0</v>
      </c>
      <c r="B1927" s="3" t="s">
        <v>1928</v>
      </c>
      <c r="C1927" s="3" t="str">
        <f>IFERROR(__xludf.DUMMYFUNCTION("GOOGLETRANSLATE(B1927,""id"",""en"")"),"['Telkomsel', 'Telkomsel', 'Package', 'Internet', 'Sangat', 'Sangat', 'Expensive', 'Package', 'Cheerful', 'thousand', 'Package', 'Cergilanya', ' ehhhmmm ',' thousand ',' really ',' fixs', 'Leave', 'Telkomsel', 'Ial', 'card', 'axis',' bye ',' bye ',' Telko"&amp;"msel ', ""]")</f>
        <v>['Telkomsel', 'Telkomsel', 'Package', 'Internet', 'Sangat', 'Sangat', 'Expensive', 'Package', 'Cheerful', 'thousand', 'Package', 'Cergilanya', ' ehhhmmm ',' thousand ',' really ',' fixs', 'Leave', 'Telkomsel', 'Ial', 'card', 'axis',' bye ',' bye ',' Telkomsel ', "]</v>
      </c>
      <c r="D1927" s="3">
        <v>1.0</v>
      </c>
    </row>
    <row r="1928" ht="15.75" customHeight="1">
      <c r="A1928" s="1">
        <v>1926.0</v>
      </c>
      <c r="B1928" s="3" t="s">
        <v>1929</v>
      </c>
      <c r="C1928" s="3" t="str">
        <f>IFERROR(__xludf.DUMMYFUNCTION("GOOGLETRANSLATE(B1928,""id"",""en"")"),"['Telkomsel', 'used', 'telephone', 'sound', 'sound', 'person', 'phone', 'person', 'call', 'hear', 'sound', 'hear', ' Voice ',' PDHL ',' Signal ',' Full ',' Your Customer ',' Disappointed ',' ']")</f>
        <v>['Telkomsel', 'used', 'telephone', 'sound', 'sound', 'person', 'phone', 'person', 'call', 'hear', 'sound', 'hear', ' Voice ',' PDHL ',' Signal ',' Full ',' Your Customer ',' Disappointed ',' ']</v>
      </c>
      <c r="D1928" s="3">
        <v>2.0</v>
      </c>
    </row>
    <row r="1929" ht="15.75" customHeight="1">
      <c r="A1929" s="1">
        <v>1927.0</v>
      </c>
      <c r="B1929" s="3" t="s">
        <v>1930</v>
      </c>
      <c r="C1929" s="3" t="str">
        <f>IFERROR(__xludf.DUMMYFUNCTION("GOOGLETRANSLATE(B1929,""id"",""en"")"),"['disappointing', 'buy', 'package', 'gamemax', 'game', 'lag', 'network', 'full', 'poor', 'price', 'package', 'expensive', ' Tetep ',' quality ',' comparable ',' price ',' ']")</f>
        <v>['disappointing', 'buy', 'package', 'gamemax', 'game', 'lag', 'network', 'full', 'poor', 'price', 'package', 'expensive', ' Tetep ',' quality ',' comparable ',' price ',' ']</v>
      </c>
      <c r="D1929" s="3">
        <v>1.0</v>
      </c>
    </row>
    <row r="1930" ht="15.75" customHeight="1">
      <c r="A1930" s="1">
        <v>1928.0</v>
      </c>
      <c r="B1930" s="3" t="s">
        <v>1931</v>
      </c>
      <c r="C1930" s="3" t="str">
        <f>IFERROR(__xludf.DUMMYFUNCTION("GOOGLETRANSLATE(B1930,""id"",""en"")"),"['UPDATE', 'RUNNY', 'SIMPL', 'Application', 'Opened', 'Package', 'Data', 'already', 'Litu', 'Open', 'App', 'sicken', ' Credit ',' Blum ',' Packagein ',' Severe ',' Original ',' Telkomsel ',' Consumers', 'Disadalin', ""]")</f>
        <v>['UPDATE', 'RUNNY', 'SIMPL', 'Application', 'Opened', 'Package', 'Data', 'already', 'Litu', 'Open', 'App', 'sicken', ' Credit ',' Blum ',' Packagein ',' Severe ',' Original ',' Telkomsel ',' Consumers', 'Disadalin', "]</v>
      </c>
      <c r="D1930" s="3">
        <v>1.0</v>
      </c>
    </row>
    <row r="1931" ht="15.75" customHeight="1">
      <c r="A1931" s="1">
        <v>1929.0</v>
      </c>
      <c r="B1931" s="3" t="s">
        <v>1932</v>
      </c>
      <c r="C1931" s="3" t="str">
        <f>IFERROR(__xludf.DUMMYFUNCTION("GOOGLETRANSLATE(B1931,""id"",""en"")"),"['release', 'Telkomsel', 'GB', 'unlimited', 'boundary', 'FUP', 'already', 'package', 'unlimited', 'open', 'say it', 'limit', ' FUP ',' Out ',' MB ',' already ',' pakek ',' package ',' already ',' unlimited ',' auto ',' change ',' card ',' rich ',' gini ' "&amp;", '']")</f>
        <v>['release', 'Telkomsel', 'GB', 'unlimited', 'boundary', 'FUP', 'already', 'package', 'unlimited', 'open', 'say it', 'limit', ' FUP ',' Out ',' MB ',' already ',' pakek ',' package ',' already ',' unlimited ',' auto ',' change ',' card ',' rich ',' gini ' , '']</v>
      </c>
      <c r="D1931" s="3">
        <v>1.0</v>
      </c>
    </row>
    <row r="1932" ht="15.75" customHeight="1">
      <c r="A1932" s="1">
        <v>1930.0</v>
      </c>
      <c r="B1932" s="3" t="s">
        <v>1933</v>
      </c>
      <c r="C1932" s="3" t="str">
        <f>IFERROR(__xludf.DUMMYFUNCTION("GOOGLETRANSLATE(B1932,""id"",""en"")"),"['Please', 'Sorry', 'Telkomsel', 'Honest', 'Quality', 'Internet', 'Natural', 'Karawang', 'East', 'Pandemi', 'Connection', 'Internet', ' Stable ',' disturbing ',' Popoductive ',' Learning ',' Online ',' Play ',' Game ',' Bar ',' Signal ',' Full ',' Bar ','"&amp;" Indicator ',' Data ' , 'Upload', 'Download', 'Activity', 'Connection', 'Internet', 'Lost', ""]")</f>
        <v>['Please', 'Sorry', 'Telkomsel', 'Honest', 'Quality', 'Internet', 'Natural', 'Karawang', 'East', 'Pandemi', 'Connection', 'Internet', ' Stable ',' disturbing ',' Popoductive ',' Learning ',' Online ',' Play ',' Game ',' Bar ',' Signal ',' Full ',' Bar ',' Indicator ',' Data ' , 'Upload', 'Download', 'Activity', 'Connection', 'Internet', 'Lost', "]</v>
      </c>
      <c r="D1932" s="3">
        <v>1.0</v>
      </c>
    </row>
    <row r="1933" ht="15.75" customHeight="1">
      <c r="A1933" s="1">
        <v>1931.0</v>
      </c>
      <c r="B1933" s="3" t="s">
        <v>1934</v>
      </c>
      <c r="C1933" s="3" t="str">
        <f>IFERROR(__xludf.DUMMYFUNCTION("GOOGLETRANSLATE(B1933,""id"",""en"")"),"['Tekmomsel', 'signal', 'ugly', 'really', 'lose', 'location', 'Tangerang', 'Please', 'repair', 'complain', 'because' signal ',' ugly ',' move ',' peke ',' card ',' good ']")</f>
        <v>['Tekmomsel', 'signal', 'ugly', 'really', 'lose', 'location', 'Tangerang', 'Please', 'repair', 'complain', 'because' signal ',' ugly ',' move ',' peke ',' card ',' good ']</v>
      </c>
      <c r="D1933" s="3">
        <v>1.0</v>
      </c>
    </row>
    <row r="1934" ht="15.75" customHeight="1">
      <c r="A1934" s="1">
        <v>1932.0</v>
      </c>
      <c r="B1934" s="3" t="s">
        <v>1935</v>
      </c>
      <c r="C1934" s="3" t="str">
        <f>IFERROR(__xludf.DUMMYFUNCTION("GOOGLETRANSLATE(B1934,""id"",""en"")"),"['users',' Telkomsel ',' Feel ',' disappointed ',' network ',' internet ',' bad ',' class', 'Telkomsel', 'provider', 'known', 'Nusantara', ' Good ',' Reverse ',' Really ',' Disappointed ',' ']")</f>
        <v>['users',' Telkomsel ',' Feel ',' disappointed ',' network ',' internet ',' bad ',' class', 'Telkomsel', 'provider', 'known', 'Nusantara', ' Good ',' Reverse ',' Really ',' Disappointed ',' ']</v>
      </c>
      <c r="D1934" s="3">
        <v>1.0</v>
      </c>
    </row>
    <row r="1935" ht="15.75" customHeight="1">
      <c r="A1935" s="1">
        <v>1933.0</v>
      </c>
      <c r="B1935" s="3" t="s">
        <v>1936</v>
      </c>
      <c r="C1935" s="3" t="str">
        <f>IFERROR(__xludf.DUMMYFUNCTION("GOOGLETRANSLATE(B1935,""id"",""en"")"),"['Practical', 'cheap', 'Please', 'keep', 'promo', 'discount', 'affordable', 'circles',' medium ',' kbawah ',' pandemic ',' thank ',' love', '']")</f>
        <v>['Practical', 'cheap', 'Please', 'keep', 'promo', 'discount', 'affordable', 'circles',' medium ',' kbawah ',' pandemic ',' thank ',' love', '']</v>
      </c>
      <c r="D1935" s="3">
        <v>5.0</v>
      </c>
    </row>
    <row r="1936" ht="15.75" customHeight="1">
      <c r="A1936" s="1">
        <v>1934.0</v>
      </c>
      <c r="B1936" s="3" t="s">
        <v>1937</v>
      </c>
      <c r="C1936" s="3" t="str">
        <f>IFERROR(__xludf.DUMMYFUNCTION("GOOGLETRANSLATE(B1936,""id"",""en"")"),"['apk', 'disappointing', 'cheap', 'apk', 'oath', 'mendin', 'buy', 'package', 'counter', 'closest', 'buy', 'pulses',' Buy ',' Telkomsel ',' Useful ',' Cave ',' Just ',' Fill ',' Credit ',' Intention ',' Buy ',' Package ',' Telkomsel ',' Credit ',' Reduced "&amp;"' , 'mentally', 'error', 'purchase', 'pulse', 'sufficient', 'basically', 'you're' download ',' APK ',' see ',' comment ',' what ',' APK ',' Telkomsel ',' ass']")</f>
        <v>['apk', 'disappointing', 'cheap', 'apk', 'oath', 'mendin', 'buy', 'package', 'counter', 'closest', 'buy', 'pulses',' Buy ',' Telkomsel ',' Useful ',' Cave ',' Just ',' Fill ',' Credit ',' Intention ',' Buy ',' Package ',' Telkomsel ',' Credit ',' Reduced ' , 'mentally', 'error', 'purchase', 'pulse', 'sufficient', 'basically', 'you're' download ',' APK ',' see ',' comment ',' what ',' APK ',' Telkomsel ',' ass']</v>
      </c>
      <c r="D1936" s="3">
        <v>1.0</v>
      </c>
    </row>
    <row r="1937" ht="15.75" customHeight="1">
      <c r="A1937" s="1">
        <v>1935.0</v>
      </c>
      <c r="B1937" s="3" t="s">
        <v>1938</v>
      </c>
      <c r="C1937" s="3" t="str">
        <f>IFERROR(__xludf.DUMMYFUNCTION("GOOGLETRANSLATE(B1937,""id"",""en"")"),"['cave', 'suggestion', 'mending', 'replace', 'provider', 'Telkomsel', 'signal', 'here', 'good', 'ugly', 'price', 'Tawarin', ' Expensive ',' ']")</f>
        <v>['cave', 'suggestion', 'mending', 'replace', 'provider', 'Telkomsel', 'signal', 'here', 'good', 'ugly', 'price', 'Tawarin', ' Expensive ',' ']</v>
      </c>
      <c r="D1937" s="3">
        <v>1.0</v>
      </c>
    </row>
    <row r="1938" ht="15.75" customHeight="1">
      <c r="A1938" s="1">
        <v>1936.0</v>
      </c>
      <c r="B1938" s="3" t="s">
        <v>1939</v>
      </c>
      <c r="C1938" s="3" t="str">
        <f>IFERROR(__xludf.DUMMYFUNCTION("GOOGLETRANSLATE(B1938,""id"",""en"")"),"['apk', 'Telkomsel', 'Different', 'according to', 'love', 'already', 'that's', 'price', 'package', 'expensive', '']")</f>
        <v>['apk', 'Telkomsel', 'Different', 'according to', 'love', 'already', 'that's', 'price', 'package', 'expensive', '']</v>
      </c>
      <c r="D1938" s="3">
        <v>3.0</v>
      </c>
    </row>
    <row r="1939" ht="15.75" customHeight="1">
      <c r="A1939" s="1">
        <v>1937.0</v>
      </c>
      <c r="B1939" s="3" t="s">
        <v>1940</v>
      </c>
      <c r="C1939" s="3" t="str">
        <f>IFERROR(__xludf.DUMMYFUNCTION("GOOGLETRANSLATE(B1939,""id"",""en"")"),"['Hello', 'Telkomsel', 'function', 'Package', 'call', 'get', 'buy', 'quota', 'telephone', 'user', 'Telkomsel', 'Wear', ' Credit ',' pulse ',' main ',' ']")</f>
        <v>['Hello', 'Telkomsel', 'function', 'Package', 'call', 'get', 'buy', 'quota', 'telephone', 'user', 'Telkomsel', 'Wear', ' Credit ',' pulse ',' main ',' ']</v>
      </c>
      <c r="D1939" s="3">
        <v>1.0</v>
      </c>
    </row>
    <row r="1940" ht="15.75" customHeight="1">
      <c r="A1940" s="1">
        <v>1938.0</v>
      </c>
      <c r="B1940" s="3" t="s">
        <v>1941</v>
      </c>
      <c r="C1940" s="3" t="str">
        <f>IFERROR(__xludf.DUMMYFUNCTION("GOOGLETRANSLATE(B1940,""id"",""en"")"),"['Quality', 'Telkomsel', 'bad', 'network', 'difficult', 'reached', 'disappointment', 'Please', 'read', 'careful', 'search', 'solution', ' fix ',' please ',' noticed ',' consumer ',' complain ',' disappointment ']")</f>
        <v>['Quality', 'Telkomsel', 'bad', 'network', 'difficult', 'reached', 'disappointment', 'Please', 'read', 'careful', 'search', 'solution', ' fix ',' please ',' noticed ',' consumer ',' complain ',' disappointment ']</v>
      </c>
      <c r="D1940" s="3">
        <v>1.0</v>
      </c>
    </row>
    <row r="1941" ht="15.75" customHeight="1">
      <c r="A1941" s="1">
        <v>1939.0</v>
      </c>
      <c r="B1941" s="3" t="s">
        <v>1942</v>
      </c>
      <c r="C1941" s="3" t="str">
        <f>IFERROR(__xludf.DUMMYFUNCTION("GOOGLETRANSLATE(B1941,""id"",""en"")"),"['Growing', 'Severe', 'Telkomsel', 'Sad', 'Provider', 'Plan', 'Move', 'Operator', 'ugly', 'connection', 'stable', 'really', ' Parahhh ']")</f>
        <v>['Growing', 'Severe', 'Telkomsel', 'Sad', 'Provider', 'Plan', 'Move', 'Operator', 'ugly', 'connection', 'stable', 'really', ' Parahhh ']</v>
      </c>
      <c r="D1941" s="3">
        <v>1.0</v>
      </c>
    </row>
    <row r="1942" ht="15.75" customHeight="1">
      <c r="A1942" s="1">
        <v>1940.0</v>
      </c>
      <c r="B1942" s="3" t="s">
        <v>1943</v>
      </c>
      <c r="C1942" s="3" t="str">
        <f>IFERROR(__xludf.DUMMYFUNCTION("GOOGLETRANSLATE(B1942,""id"",""en"")"),"['Telkomsel', 'gimansiii', 'network', 'slow', 'loading', 'hari features',' gabisa ',' nelfon ',' his voice ',' I think ',' my cellphone ',' already ',' alternating ',' balek ',' restart ',' ttep ',' gbsa ',' trnyta ',' emg ',' network ',' kekmin ',' oath "&amp;"',' gedeg ', ""]")</f>
        <v>['Telkomsel', 'gimansiii', 'network', 'slow', 'loading', 'hari features',' gabisa ',' nelfon ',' his voice ',' I think ',' my cellphone ',' already ',' alternating ',' balek ',' restart ',' ttep ',' gbsa ',' trnyta ',' emg ',' network ',' kekmin ',' oath ',' gedeg ', "]</v>
      </c>
      <c r="D1942" s="3">
        <v>1.0</v>
      </c>
    </row>
    <row r="1943" ht="15.75" customHeight="1">
      <c r="A1943" s="1">
        <v>1941.0</v>
      </c>
      <c r="B1943" s="3" t="s">
        <v>1944</v>
      </c>
      <c r="C1943" s="3" t="str">
        <f>IFERROR(__xludf.DUMMYFUNCTION("GOOGLETRANSLATE(B1943,""id"",""en"")"),"['network', 'slow', 'muter', 'muter', 'tok', 'open', 'application', 'pulse', 'package', 'bought', 'expensive', 'quota', ' Sucked ',' Please ',' Telkomsel ',' Fix ',' Signal ',' People ',' Males', 'Telkomsel', 'Expensive', 'Discard', 'Discard', 'Reach', 'E"&amp;"xtensive' , 'emotion']")</f>
        <v>['network', 'slow', 'muter', 'muter', 'tok', 'open', 'application', 'pulse', 'package', 'bought', 'expensive', 'quota', ' Sucked ',' Please ',' Telkomsel ',' Fix ',' Signal ',' People ',' Males', 'Telkomsel', 'Expensive', 'Discard', 'Discard', 'Reach', 'Extensive' , 'emotion']</v>
      </c>
      <c r="D1943" s="3">
        <v>1.0</v>
      </c>
    </row>
    <row r="1944" ht="15.75" customHeight="1">
      <c r="A1944" s="1">
        <v>1942.0</v>
      </c>
      <c r="B1944" s="3" t="s">
        <v>1945</v>
      </c>
      <c r="C1944" s="3" t="str">
        <f>IFERROR(__xludf.DUMMYFUNCTION("GOOGLETRANSLATE(B1944,""id"",""en"")"),"['Most', 'quota', 'Macem', 'Macem', 'quota', 'Disney', 'quota', 'rise', 'nowlin', 'expensive', 'mending', 'sell', ' Paketan ',' single ',' all ',' ']")</f>
        <v>['Most', 'quota', 'Macem', 'Macem', 'quota', 'Disney', 'quota', 'rise', 'nowlin', 'expensive', 'mending', 'sell', ' Paketan ',' single ',' all ',' ']</v>
      </c>
      <c r="D1944" s="3">
        <v>1.0</v>
      </c>
    </row>
    <row r="1945" ht="15.75" customHeight="1">
      <c r="A1945" s="1">
        <v>1943.0</v>
      </c>
      <c r="B1945" s="3" t="s">
        <v>1946</v>
      </c>
      <c r="C1945" s="3" t="str">
        <f>IFERROR(__xludf.DUMMYFUNCTION("GOOGLETRANSLATE(B1945,""id"",""en"")"),"['Network', 'bad', 'status',' PERRH ',' complain ',' bot ',' please ',' fix ',' network ',' Telkomsel ',' lose ',' network ',' ']")</f>
        <v>['Network', 'bad', 'status',' PERRH ',' complain ',' bot ',' please ',' fix ',' network ',' Telkomsel ',' lose ',' network ',' ']</v>
      </c>
      <c r="D1945" s="3">
        <v>1.0</v>
      </c>
    </row>
    <row r="1946" ht="15.75" customHeight="1">
      <c r="A1946" s="1">
        <v>1944.0</v>
      </c>
      <c r="B1946" s="3" t="s">
        <v>1947</v>
      </c>
      <c r="C1946" s="3" t="str">
        <f>IFERROR(__xludf.DUMMYFUNCTION("GOOGLETRANSLATE(B1946,""id"",""en"")"),"['Application', 'Open', 'Error', 'Mytekomsel', 'already', 'Install', 'Gunain']")</f>
        <v>['Application', 'Open', 'Error', 'Mytekomsel', 'already', 'Install', 'Gunain']</v>
      </c>
      <c r="D1946" s="3">
        <v>1.0</v>
      </c>
    </row>
    <row r="1947" ht="15.75" customHeight="1">
      <c r="A1947" s="1">
        <v>1945.0</v>
      </c>
      <c r="B1947" s="3" t="s">
        <v>1948</v>
      </c>
      <c r="C1947" s="3" t="str">
        <f>IFERROR(__xludf.DUMMYFUNCTION("GOOGLETRANSLATE(B1947,""id"",""en"")"),"['intention', 'gave', 'bonus',' extra ',' quota ',' pulse ',' monetary ',' printed ',' bonus', 'kepakai', 'to', 'apply', ' Abis', 'sincere', 'gave', 'bonus',' mending ',' gave ',' Season ', ""]")</f>
        <v>['intention', 'gave', 'bonus',' extra ',' quota ',' pulse ',' monetary ',' printed ',' bonus', 'kepakai', 'to', 'apply', ' Abis', 'sincere', 'gave', 'bonus',' mending ',' gave ',' Season ', "]</v>
      </c>
      <c r="D1947" s="3">
        <v>1.0</v>
      </c>
    </row>
    <row r="1948" ht="15.75" customHeight="1">
      <c r="A1948" s="1">
        <v>1946.0</v>
      </c>
      <c r="B1948" s="3" t="s">
        <v>1949</v>
      </c>
      <c r="C1948" s="3" t="str">
        <f>IFERROR(__xludf.DUMMYFUNCTION("GOOGLETRANSLATE(B1948,""id"",""en"")"),"['Please', 'Package', 'internet', 'Located', 'Kasian', 'Life', 'City', 'People', 'Child', 'Rantau', 'Fighting', 'Happy', ' People ',' old ',' hope ',' granted ',' Aminn ', ""]")</f>
        <v>['Please', 'Package', 'internet', 'Located', 'Kasian', 'Life', 'City', 'People', 'Child', 'Rantau', 'Fighting', 'Happy', ' People ',' old ',' hope ',' granted ',' Aminn ', "]</v>
      </c>
      <c r="D1948" s="3">
        <v>5.0</v>
      </c>
    </row>
    <row r="1949" ht="15.75" customHeight="1">
      <c r="A1949" s="1">
        <v>1947.0</v>
      </c>
      <c r="B1949" s="3" t="s">
        <v>1950</v>
      </c>
      <c r="C1949" s="3" t="str">
        <f>IFERROR(__xludf.DUMMYFUNCTION("GOOGLETRANSLATE(B1949,""id"",""en"")"),"['The application', 'Not bad', 'repaired', 'blum', 'maximum', 'star', 'star', 'disappointed', 'get', 'bonus',' extra ',' quota ',' Credit ',' monetary ',' kepakai ',' given ',' bonus', 'gave', 'bonus',' just ',' salespeople ',' ']")</f>
        <v>['The application', 'Not bad', 'repaired', 'blum', 'maximum', 'star', 'star', 'disappointed', 'get', 'bonus',' extra ',' quota ',' Credit ',' monetary ',' kepakai ',' given ',' bonus', 'gave', 'bonus',' just ',' salespeople ',' ']</v>
      </c>
      <c r="D1949" s="3">
        <v>2.0</v>
      </c>
    </row>
    <row r="1950" ht="15.75" customHeight="1">
      <c r="A1950" s="1">
        <v>1948.0</v>
      </c>
      <c r="B1950" s="3" t="s">
        <v>1951</v>
      </c>
      <c r="C1950" s="3" t="str">
        <f>IFERROR(__xludf.DUMMYFUNCTION("GOOGLETRANSLATE(B1950,""id"",""en"")"),"['Please', 'Maap', 'Telkomsel', 'Sya', 'Kasi', 'star', 'Sya', 'make', 'card', 'Telkomsel', 'unlimited', 'the network', ' Current ',' TPI ',' SKRNG ',' Telkomsel ',' unlimited ',' already ',' Different ',' watch ',' YTB ',' Medsos', 'other', 'smooth', 'knp"&amp;"' , 'skrng', 'already', 'Different', 'please', 'fix', 'masi', 'kasi', 'star', 'satisfying']")</f>
        <v>['Please', 'Maap', 'Telkomsel', 'Sya', 'Kasi', 'star', 'Sya', 'make', 'card', 'Telkomsel', 'unlimited', 'the network', ' Current ',' TPI ',' SKRNG ',' Telkomsel ',' unlimited ',' already ',' Different ',' watch ',' YTB ',' Medsos', 'other', 'smooth', 'knp' , 'skrng', 'already', 'Different', 'please', 'fix', 'masi', 'kasi', 'star', 'satisfying']</v>
      </c>
      <c r="D1950" s="3">
        <v>2.0</v>
      </c>
    </row>
    <row r="1951" ht="15.75" customHeight="1">
      <c r="A1951" s="1">
        <v>1949.0</v>
      </c>
      <c r="B1951" s="3" t="s">
        <v>1952</v>
      </c>
      <c r="C1951" s="3" t="str">
        <f>IFERROR(__xludf.DUMMYFUNCTION("GOOGLETRANSLATE(B1951,""id"",""en"")"),"['network', 'problematic', 'terooooosss',' kirain ',' doang ',' experience ',' customer ',' card ',' gadang ',' until ',' remote ',' experience ',' proud of ',' Telkomsel ',' JRG ',' experienced ',' in ',' network ',' expensive ',' smooth ',' Jaya ',' SPT"&amp;" ',' card ',' Pernh ',' Discard ' , 'package', 'cheap', 'network', 'emotion', 'skrg', 'natural', 'card', 'elite', 'emotion', 'really', 'Telkomsel', ""]")</f>
        <v>['network', 'problematic', 'terooooosss',' kirain ',' doang ',' experience ',' customer ',' card ',' gadang ',' until ',' remote ',' experience ',' proud of ',' Telkomsel ',' JRG ',' experienced ',' in ',' network ',' expensive ',' smooth ',' Jaya ',' SPT ',' card ',' Pernh ',' Discard ' , 'package', 'cheap', 'network', 'emotion', 'skrg', 'natural', 'card', 'elite', 'emotion', 'really', 'Telkomsel', "]</v>
      </c>
      <c r="D1951" s="3">
        <v>1.0</v>
      </c>
    </row>
    <row r="1952" ht="15.75" customHeight="1">
      <c r="A1952" s="1">
        <v>1950.0</v>
      </c>
      <c r="B1952" s="3" t="s">
        <v>1953</v>
      </c>
      <c r="C1952" s="3" t="str">
        <f>IFERROR(__xludf.DUMMYFUNCTION("GOOGLETRANSLATE(B1952,""id"",""en"")"),"['here', 'severe', 'Telkomsel', 'most', 'package', 'slow', 'signal', 'please', 'quota', 'prioritize', 'quota', 'main', ' ']")</f>
        <v>['here', 'severe', 'Telkomsel', 'most', 'package', 'slow', 'signal', 'please', 'quota', 'prioritize', 'quota', 'main', ' ']</v>
      </c>
      <c r="D1952" s="3">
        <v>1.0</v>
      </c>
    </row>
    <row r="1953" ht="15.75" customHeight="1">
      <c r="A1953" s="1">
        <v>1951.0</v>
      </c>
      <c r="B1953" s="3" t="s">
        <v>1954</v>
      </c>
      <c r="C1953" s="3" t="str">
        <f>IFERROR(__xludf.DUMMYFUNCTION("GOOGLETRANSLATE(B1953,""id"",""en"")"),"['Try', 'top', 'daily', 'buy', 'coin', 'starmarketer', 'coin', 'for', 'thousand', 'Telkomsel', 'knock', 'answer', ' Please, 'Telkomsel', 'Review', 'Cooperation', 'Starmarker', 'Top', 'Coins', 'Daily']")</f>
        <v>['Try', 'top', 'daily', 'buy', 'coin', 'starmarketer', 'coin', 'for', 'thousand', 'Telkomsel', 'knock', 'answer', ' Please, 'Telkomsel', 'Review', 'Cooperation', 'Starmarker', 'Top', 'Coins', 'Daily']</v>
      </c>
      <c r="D1953" s="3">
        <v>4.0</v>
      </c>
    </row>
    <row r="1954" ht="15.75" customHeight="1">
      <c r="A1954" s="1">
        <v>1952.0</v>
      </c>
      <c r="B1954" s="3" t="s">
        <v>1955</v>
      </c>
      <c r="C1954" s="3" t="str">
        <f>IFERROR(__xludf.DUMMYFUNCTION("GOOGLETRANSLATE(B1954,""id"",""en"")"),"['Gilanih', 'signal', 'like', 'lost', 'anjirr', 'bner', 'buy', 'quota', 'expensive', 'let', 'together', 'love', ' Stars', 'APK', 'rotten', 'quota', 'expensive', 'suits',' quality ',' ']")</f>
        <v>['Gilanih', 'signal', 'like', 'lost', 'anjirr', 'bner', 'buy', 'quota', 'expensive', 'let', 'together', 'love', ' Stars', 'APK', 'rotten', 'quota', 'expensive', 'suits',' quality ',' ']</v>
      </c>
      <c r="D1954" s="3">
        <v>1.0</v>
      </c>
    </row>
    <row r="1955" ht="15.75" customHeight="1">
      <c r="A1955" s="1">
        <v>1953.0</v>
      </c>
      <c r="B1955" s="3" t="s">
        <v>1956</v>
      </c>
      <c r="C1955" s="3" t="str">
        <f>IFERROR(__xludf.DUMMYFUNCTION("GOOGLETRANSLATE(B1955,""id"",""en"")"),"['Please', 'sorry', 'ssya', 'paying', 'quota', 'emergency', 'contents',' reset ',' pulse ',' knp ',' pulse ',' taken ',' The reason ',' quota ',' emergency ',' pay ',' turn off ',' data ',' contents', 'pulse', 'toling']")</f>
        <v>['Please', 'sorry', 'ssya', 'paying', 'quota', 'emergency', 'contents',' reset ',' pulse ',' knp ',' pulse ',' taken ',' The reason ',' quota ',' emergency ',' pay ',' turn off ',' data ',' contents', 'pulse', 'toling']</v>
      </c>
      <c r="D1955" s="3">
        <v>3.0</v>
      </c>
    </row>
    <row r="1956" ht="15.75" customHeight="1">
      <c r="A1956" s="1">
        <v>1954.0</v>
      </c>
      <c r="B1956" s="3" t="s">
        <v>1957</v>
      </c>
      <c r="C1956" s="3" t="str">
        <f>IFERROR(__xludf.DUMMYFUNCTION("GOOGLETRANSLATE(B1956,""id"",""en"")"),"['Hello', 'wrong', 'customers',' Telkomsel ',' subscribe ',' Telkomsel ',' buy ',' outlet ',' Telkomsel ',' giga ',' unlimited ',' buy ',' ATM ',' mobile ',' banking ',' with ',' price ',' and then ',' unlimited ',' disappointed ',' description ',' ATM ',"&amp;"' contact ',' email ',' service ' , 'Veronica', 'reply', 'hope', 'message', 'response']")</f>
        <v>['Hello', 'wrong', 'customers',' Telkomsel ',' subscribe ',' Telkomsel ',' buy ',' outlet ',' Telkomsel ',' giga ',' unlimited ',' buy ',' ATM ',' mobile ',' banking ',' with ',' price ',' and then ',' unlimited ',' disappointed ',' description ',' ATM ',' contact ',' email ',' service ' , 'Veronica', 'reply', 'hope', 'message', 'response']</v>
      </c>
      <c r="D1956" s="3">
        <v>3.0</v>
      </c>
    </row>
    <row r="1957" ht="15.75" customHeight="1">
      <c r="A1957" s="1">
        <v>1955.0</v>
      </c>
      <c r="B1957" s="3" t="s">
        <v>1958</v>
      </c>
      <c r="C1957" s="3" t="str">
        <f>IFERROR(__xludf.DUMMYFUNCTION("GOOGLETRANSLATE(B1957,""id"",""en"")"),"['network', 'ugly', 'package', 'fast', 'times',' run out ',' buy ',' package ',' internet ',' see ',' tomorrow ',' morning ',' already ',' leftover ',' please ',' a little ',' make ',' Telkomsel ']")</f>
        <v>['network', 'ugly', 'package', 'fast', 'times',' run out ',' buy ',' package ',' internet ',' see ',' tomorrow ',' morning ',' already ',' leftover ',' please ',' a little ',' make ',' Telkomsel ']</v>
      </c>
      <c r="D1957" s="3">
        <v>1.0</v>
      </c>
    </row>
    <row r="1958" ht="15.75" customHeight="1">
      <c r="A1958" s="1">
        <v>1956.0</v>
      </c>
      <c r="B1958" s="3" t="s">
        <v>1959</v>
      </c>
      <c r="C1958" s="3" t="str">
        <f>IFERROR(__xludf.DUMMYFUNCTION("GOOGLETRANSLATE(B1958,""id"",""en"")"),"['Telkomsel', 'disappointing', 'buy', 'package', 'GB', 'unlimited', 'already', 'throw', 'waste', 'money', 'banya', 'network', ' slow ',' dahlah ',' disappointed ',' ama ',' GB ',' unlimited ']")</f>
        <v>['Telkomsel', 'disappointing', 'buy', 'package', 'GB', 'unlimited', 'already', 'throw', 'waste', 'money', 'banya', 'network', ' slow ',' dahlah ',' disappointed ',' ama ',' GB ',' unlimited ']</v>
      </c>
      <c r="D1958" s="3">
        <v>1.0</v>
      </c>
    </row>
    <row r="1959" ht="15.75" customHeight="1">
      <c r="A1959" s="1">
        <v>1957.0</v>
      </c>
      <c r="B1959" s="3" t="s">
        <v>1960</v>
      </c>
      <c r="C1959" s="3" t="str">
        <f>IFERROR(__xludf.DUMMYFUNCTION("GOOGLETRANSLATE(B1959,""id"",""en"")"),"['Package', 'Extra', 'Unlimited', 'Liat', 'Status',' Watch ',' YouTube ',' Tiktok ',' Buy ',' Package ',' Extra ',' Unlimited ',' TPI ',' Unlimited ',' Watch ',' YouTube ']")</f>
        <v>['Package', 'Extra', 'Unlimited', 'Liat', 'Status',' Watch ',' YouTube ',' Tiktok ',' Buy ',' Package ',' Extra ',' Unlimited ',' TPI ',' Unlimited ',' Watch ',' YouTube ']</v>
      </c>
      <c r="D1959" s="3">
        <v>2.0</v>
      </c>
    </row>
    <row r="1960" ht="15.75" customHeight="1">
      <c r="A1960" s="1">
        <v>1958.0</v>
      </c>
      <c r="B1960" s="3" t="s">
        <v>1961</v>
      </c>
      <c r="C1960" s="3" t="str">
        <f>IFERROR(__xludf.DUMMYFUNCTION("GOOGLETRANSLATE(B1960,""id"",""en"")"),"['Sorry', 'Developers',' talk ',' package ',' unlimited ',' telkom ',' quota ',' main ',' run out ',' strength ',' network ',' KBS ',' Miss', 'Disappointed', 'Anonytun', 'Useful', 'Sorry', 'mah', 'Retain', 'Rich', 'Disappointed', ""]")</f>
        <v>['Sorry', 'Developers',' talk ',' package ',' unlimited ',' telkom ',' quota ',' main ',' run out ',' strength ',' network ',' KBS ',' Miss', 'Disappointed', 'Anonytun', 'Useful', 'Sorry', 'mah', 'Retain', 'Rich', 'Disappointed', "]</v>
      </c>
      <c r="D1960" s="3">
        <v>4.0</v>
      </c>
    </row>
    <row r="1961" ht="15.75" customHeight="1">
      <c r="A1961" s="1">
        <v>1959.0</v>
      </c>
      <c r="B1961" s="3" t="s">
        <v>1962</v>
      </c>
      <c r="C1961" s="3" t="str">
        <f>IFERROR(__xludf.DUMMYFUNCTION("GOOGLETRANSLATE(B1961,""id"",""en"")"),"['users', 'Telkomsel', 'tens', 'get', 'facilities', 'service', 'or' see ',' management ',' Telkomsel ',' user ',' facilitated ',' features', 'packages',' cheapest ',' management ',' think ',' fortunate ']")</f>
        <v>['users', 'Telkomsel', 'tens', 'get', 'facilities', 'service', 'or' see ',' management ',' Telkomsel ',' user ',' facilitated ',' features', 'packages',' cheapest ',' management ',' think ',' fortunate ']</v>
      </c>
      <c r="D1961" s="3">
        <v>1.0</v>
      </c>
    </row>
    <row r="1962" ht="15.75" customHeight="1">
      <c r="A1962" s="1">
        <v>1960.0</v>
      </c>
      <c r="B1962" s="3" t="s">
        <v>1963</v>
      </c>
      <c r="C1962" s="3" t="str">
        <f>IFERROR(__xludf.DUMMYFUNCTION("GOOGLETRANSLATE(B1962,""id"",""en"")"),"['Telkomsel', 'in front', 'talking', 'Following', 'Lottery', 'Points', 'Telkomsel', 'Win', 'None', 'Padahalmah', 'Points', 'Hundreds' Get ',' Babarblas', '']")</f>
        <v>['Telkomsel', 'in front', 'talking', 'Following', 'Lottery', 'Points', 'Telkomsel', 'Win', 'None', 'Padahalmah', 'Points', 'Hundreds' Get ',' Babarblas', '']</v>
      </c>
      <c r="D1962" s="3">
        <v>5.0</v>
      </c>
    </row>
    <row r="1963" ht="15.75" customHeight="1">
      <c r="A1963" s="1">
        <v>1961.0</v>
      </c>
      <c r="B1963" s="3" t="s">
        <v>1964</v>
      </c>
      <c r="C1963" s="3" t="str">
        <f>IFERROR(__xludf.DUMMYFUNCTION("GOOGLETRANSLATE(B1963,""id"",""en"")"),"['Star', 'forced', 'gave', 'Telkomsel', 'gave', 'Arguments',' Telkomsel ',' kayak ',' garbage ',' internet ',' expensive ',' network ',' Trash ',' additional ',' package ',' detrimental ',' Customer ',' Try ',' Switch ',' Search ',' Internet ',' at home '"&amp;",' Telkomsel ',' garbage ',' fix ' , 'quality', 'network', 'price', 'Indonesia', 'easy', 'people', 'conscious',' use ',' Telkomsel ',' Empor ',' customer ',' base ',' Company ',' Maruk ',' Benefit ',' ']")</f>
        <v>['Star', 'forced', 'gave', 'Telkomsel', 'gave', 'Arguments',' Telkomsel ',' kayak ',' garbage ',' internet ',' expensive ',' network ',' Trash ',' additional ',' package ',' detrimental ',' Customer ',' Try ',' Switch ',' Search ',' Internet ',' at home ',' Telkomsel ',' garbage ',' fix ' , 'quality', 'network', 'price', 'Indonesia', 'easy', 'people', 'conscious',' use ',' Telkomsel ',' Empor ',' customer ',' base ',' Company ',' Maruk ',' Benefit ',' ']</v>
      </c>
      <c r="D1963" s="3">
        <v>1.0</v>
      </c>
    </row>
    <row r="1964" ht="15.75" customHeight="1">
      <c r="A1964" s="1">
        <v>1962.0</v>
      </c>
      <c r="B1964" s="3" t="s">
        <v>1965</v>
      </c>
      <c r="C1964" s="3" t="str">
        <f>IFERROR(__xludf.DUMMYFUNCTION("GOOGLETRANSLATE(B1964,""id"",""en"")"),"['application', 'like', 'artificial', 'child', 'login', 'code', 'verification', 'dtic', 'shipping', 'link', 'minute', 'intention', ' application ',' provider ',' disappointing ',' bnyak ',' customer ',' tlong ',' sdar ',' win ',' signal ',' evenly ',' qua"&amp;"lity ']")</f>
        <v>['application', 'like', 'artificial', 'child', 'login', 'code', 'verification', 'dtic', 'shipping', 'link', 'minute', 'intention', ' application ',' provider ',' disappointing ',' bnyak ',' customer ',' tlong ',' sdar ',' win ',' signal ',' evenly ',' quality ']</v>
      </c>
      <c r="D1964" s="3">
        <v>1.0</v>
      </c>
    </row>
    <row r="1965" ht="15.75" customHeight="1">
      <c r="A1965" s="1">
        <v>1963.0</v>
      </c>
      <c r="B1965" s="3" t="s">
        <v>1966</v>
      </c>
      <c r="C1965" s="3" t="str">
        <f>IFERROR(__xludf.DUMMYFUNCTION("GOOGLETRANSLATE(B1965,""id"",""en"")"),"['draw', 'Winner', 'Closed', 'No "",' Open ',' Try ',' Live ',' Penggiveness ',' Lottery ',' Seriat ',' Seraca ',' Live ',' Masyarkat ',' Curang ',' Lottery ',' Telkomsel ',' ']")</f>
        <v>['draw', 'Winner', 'Closed', 'No ",' Open ',' Try ',' Live ',' Penggiveness ',' Lottery ',' Seriat ',' Seraca ',' Live ',' Masyarkat ',' Curang ',' Lottery ',' Telkomsel ',' ']</v>
      </c>
      <c r="D1965" s="3">
        <v>1.0</v>
      </c>
    </row>
    <row r="1966" ht="15.75" customHeight="1">
      <c r="A1966" s="1">
        <v>1964.0</v>
      </c>
      <c r="B1966" s="3" t="s">
        <v>1967</v>
      </c>
      <c r="C1966" s="3" t="str">
        <f>IFERROR(__xludf.DUMMYFUNCTION("GOOGLETRANSLATE(B1966,""id"",""en"")"),"['Telkomsel', 'Semberono', 'package', 'BG', 'unlimited', 'unlimited', 'restricted', 'GB', 'name', 'unlimited', 'limited', 'term', ' The enactment ',' Loss', 'Package', 'Unlimited', 'Telkomsel', 'As',' Date ',' Entrance ',' Restricted ']")</f>
        <v>['Telkomsel', 'Semberono', 'package', 'BG', 'unlimited', 'unlimited', 'restricted', 'GB', 'name', 'unlimited', 'limited', 'term', ' The enactment ',' Loss', 'Package', 'Unlimited', 'Telkomsel', 'As',' Date ',' Entrance ',' Restricted ']</v>
      </c>
      <c r="D1966" s="3">
        <v>1.0</v>
      </c>
    </row>
    <row r="1967" ht="15.75" customHeight="1">
      <c r="A1967" s="1">
        <v>1965.0</v>
      </c>
      <c r="B1967" s="3" t="s">
        <v>1968</v>
      </c>
      <c r="C1967" s="3" t="str">
        <f>IFERROR(__xludf.DUMMYFUNCTION("GOOGLETRANSLATE(B1967,""id"",""en"")"),"['min', 'buy', 'package', 'plus',' ulimitid ',' right ',' already ',' run out ',' package ',' ulimitid ',' network ',' slow ',' really ',' already ',' yesterday ',' network ',' good ',' ulimitid ',' slow ',' baget ',' open ',' please ',' min ',' fix ',' b"&amp;"ecause 'because' , 'already', 'pay', 'expensive', '']")</f>
        <v>['min', 'buy', 'package', 'plus',' ulimitid ',' right ',' already ',' run out ',' package ',' ulimitid ',' network ',' slow ',' really ',' already ',' yesterday ',' network ',' good ',' ulimitid ',' slow ',' baget ',' open ',' please ',' min ',' fix ',' because 'because' , 'already', 'pay', 'expensive', '']</v>
      </c>
      <c r="D1967" s="3">
        <v>1.0</v>
      </c>
    </row>
    <row r="1968" ht="15.75" customHeight="1">
      <c r="A1968" s="1">
        <v>1966.0</v>
      </c>
      <c r="B1968" s="3" t="s">
        <v>1969</v>
      </c>
      <c r="C1968" s="3" t="str">
        <f>IFERROR(__xludf.DUMMYFUNCTION("GOOGLETRANSLATE(B1968,""id"",""en"")"),"['Yesterday', 'transaction', 'quota', 'ladies',' unlimited ',' youtub ',' price ',' active ',' transaction ',' success', 'pulse', 'truncated', ' The rest of ',' pulse ',' run out ',' sucked ',' quota ',' please ',' fix ',' loss', ""]")</f>
        <v>['Yesterday', 'transaction', 'quota', 'ladies',' unlimited ',' youtub ',' price ',' active ',' transaction ',' success', 'pulse', 'truncated', ' The rest of ',' pulse ',' run out ',' sucked ',' quota ',' please ',' fix ',' loss', "]</v>
      </c>
      <c r="D1968" s="3">
        <v>1.0</v>
      </c>
    </row>
    <row r="1969" ht="15.75" customHeight="1">
      <c r="A1969" s="1">
        <v>1967.0</v>
      </c>
      <c r="B1969" s="3" t="s">
        <v>1970</v>
      </c>
      <c r="C1969" s="3" t="str">
        <f>IFERROR(__xludf.DUMMYFUNCTION("GOOGLETRANSLATE(B1969,""id"",""en"")"),"['use', 'application', 'MyTelkomsel', 'easy', 'comfortable', 'darling', 'price', 'quota', 'internet', 'expensive', 'price', 'hope', ' Users', 'loyal', 'Telkomsel', 'Telkomsel', 'price', 'cheap', 'users',' loyal ',' Telkomsel ',' trimakasih ', ""]")</f>
        <v>['use', 'application', 'MyTelkomsel', 'easy', 'comfortable', 'darling', 'price', 'quota', 'internet', 'expensive', 'price', 'hope', ' Users', 'loyal', 'Telkomsel', 'Telkomsel', 'price', 'cheap', 'users',' loyal ',' Telkomsel ',' trimakasih ', "]</v>
      </c>
      <c r="D1969" s="3">
        <v>5.0</v>
      </c>
    </row>
    <row r="1970" ht="15.75" customHeight="1">
      <c r="A1970" s="1">
        <v>1968.0</v>
      </c>
      <c r="B1970" s="3" t="s">
        <v>1971</v>
      </c>
      <c r="C1970" s="3" t="str">
        <f>IFERROR(__xludf.DUMMYFUNCTION("GOOGLETRANSLATE(B1970,""id"",""en"")"),"['The application', 'Good', 'Helpful', 'Honey', 'BLM', 'Features',' Locking ',' Pulse ',' Please ',' Upgrade ',' Feature ',' TSB ',' users', 'pulses',' sucked ',' sgt ',' regretting ',' love ',' star ',' features', 'pulse', 'lock', 'thank you']")</f>
        <v>['The application', 'Good', 'Helpful', 'Honey', 'BLM', 'Features',' Locking ',' Pulse ',' Please ',' Upgrade ',' Feature ',' TSB ',' users', 'pulses',' sucked ',' sgt ',' regretting ',' love ',' star ',' features', 'pulse', 'lock', 'thank you']</v>
      </c>
      <c r="D1970" s="3">
        <v>3.0</v>
      </c>
    </row>
    <row r="1971" ht="15.75" customHeight="1">
      <c r="A1971" s="1">
        <v>1969.0</v>
      </c>
      <c r="B1971" s="3" t="s">
        <v>1972</v>
      </c>
      <c r="C1971" s="3" t="str">
        <f>IFERROR(__xludf.DUMMYFUNCTION("GOOGLETRANSLATE(B1971,""id"",""en"")"),"['Like', 'Season', 'Telkomsel', 'DRI', 'DLU', 'already', 'Packagein', 'Internet', 'Package', 'TLP', 'then', 'pulses',' main ',' suck ',' bro ',' dri ',' dlu ',' usi ',' woi ',' take ',' sustenance ',' dengn ',' pdahal ',' sya ',' user ' , 'Telkomsel', 'Ud"&amp;"h', 'trap', ""]")</f>
        <v>['Like', 'Season', 'Telkomsel', 'DRI', 'DLU', 'already', 'Packagein', 'Internet', 'Package', 'TLP', 'then', 'pulses',' main ',' suck ',' bro ',' dri ',' dlu ',' usi ',' woi ',' take ',' sustenance ',' dengn ',' pdahal ',' sya ',' user ' , 'Telkomsel', 'Udh', 'trap', "]</v>
      </c>
      <c r="D1971" s="3">
        <v>1.0</v>
      </c>
    </row>
    <row r="1972" ht="15.75" customHeight="1">
      <c r="A1972" s="1">
        <v>1970.0</v>
      </c>
      <c r="B1972" s="3" t="s">
        <v>1973</v>
      </c>
      <c r="C1972" s="3" t="str">
        <f>IFERROR(__xludf.DUMMYFUNCTION("GOOGLETRANSLATE(B1972,""id"",""en"")"),"['quality', 'network', 'bad', 'annoying', 'activity', 'work', 'activity', 'a day', 'use', 'internet', 'Telkomsel', 'please', ' Repaired ',' Quality ',' Network ',' Internet ',' Customer ',' Move ',' Provider ',' Togging ']")</f>
        <v>['quality', 'network', 'bad', 'annoying', 'activity', 'work', 'activity', 'a day', 'use', 'internet', 'Telkomsel', 'please', ' Repaired ',' Quality ',' Network ',' Internet ',' Customer ',' Move ',' Provider ',' Togging ']</v>
      </c>
      <c r="D1972" s="3">
        <v>1.0</v>
      </c>
    </row>
    <row r="1973" ht="15.75" customHeight="1">
      <c r="A1973" s="1">
        <v>1971.0</v>
      </c>
      <c r="B1973" s="3" t="s">
        <v>1974</v>
      </c>
      <c r="C1973" s="3" t="str">
        <f>IFERROR(__xludf.DUMMYFUNCTION("GOOGLETRANSLATE(B1973,""id"",""en"")"),"['buy', 'pulse', 'Friday', 'Banking', 'enter', 'bank', 'error', 'system', 'Telkomsel', 'Telkomsel', 'told', 'Wait', ' No ',' clarity ']")</f>
        <v>['buy', 'pulse', 'Friday', 'Banking', 'enter', 'bank', 'error', 'system', 'Telkomsel', 'Telkomsel', 'told', 'Wait', ' No ',' clarity ']</v>
      </c>
      <c r="D1973" s="3">
        <v>1.0</v>
      </c>
    </row>
    <row r="1974" ht="15.75" customHeight="1">
      <c r="A1974" s="1">
        <v>1972.0</v>
      </c>
      <c r="B1974" s="3" t="s">
        <v>1975</v>
      </c>
      <c r="C1974" s="3" t="str">
        <f>IFERROR(__xludf.DUMMYFUNCTION("GOOGLETRANSLATE(B1974,""id"",""en"")"),"['Please', 'repairs', 'network', 'Telkomsel', 'disorder', 'internet', 'buffering', 'card', 'Hallo', 'priority', 'Thanks']")</f>
        <v>['Please', 'repairs', 'network', 'Telkomsel', 'disorder', 'internet', 'buffering', 'card', 'Hallo', 'priority', 'Thanks']</v>
      </c>
      <c r="D1974" s="3">
        <v>3.0</v>
      </c>
    </row>
    <row r="1975" ht="15.75" customHeight="1">
      <c r="A1975" s="1">
        <v>1973.0</v>
      </c>
      <c r="B1975" s="3" t="s">
        <v>1976</v>
      </c>
      <c r="C1975" s="3" t="str">
        <f>IFERROR(__xludf.DUMMYFUNCTION("GOOGLETRANSLATE(B1975,""id"",""en"")"),"['Since', 'Signal', 'Telkomsel', 'Ancur', 'Miss',' Advertising ',' fooling ',' Pantes', 'Ninggal', 'Ninggalin', 'Expensive', 'Network', ' LEGK ',' Tide ',' Support ',' Bankrupt ',' Move ',' Profider ']")</f>
        <v>['Since', 'Signal', 'Telkomsel', 'Ancur', 'Miss',' Advertising ',' fooling ',' Pantes', 'Ninggal', 'Ninggalin', 'Expensive', 'Network', ' LEGK ',' Tide ',' Support ',' Bankrupt ',' Move ',' Profider ']</v>
      </c>
      <c r="D1975" s="3">
        <v>1.0</v>
      </c>
    </row>
    <row r="1976" ht="15.75" customHeight="1">
      <c r="A1976" s="1">
        <v>1974.0</v>
      </c>
      <c r="B1976" s="3" t="s">
        <v>1977</v>
      </c>
      <c r="C1976" s="3" t="str">
        <f>IFERROR(__xludf.DUMMYFUNCTION("GOOGLETRANSLATE(B1976,""id"",""en"")"),"['Wonder', 'play', 'game', 'signal', 'stable', 'signal', 'ping', 'red', 'my reasons',' lazy ',' push ',' Rank ',' Down ',' EPIC ',' Hopefully ',' Repaired ',' Push ',' Rank ',' Epic ',' Thank you ']")</f>
        <v>['Wonder', 'play', 'game', 'signal', 'stable', 'signal', 'ping', 'red', 'my reasons',' lazy ',' push ',' Rank ',' Down ',' EPIC ',' Hopefully ',' Repaired ',' Push ',' Rank ',' Epic ',' Thank you ']</v>
      </c>
      <c r="D1976" s="3">
        <v>2.0</v>
      </c>
    </row>
    <row r="1977" ht="15.75" customHeight="1">
      <c r="A1977" s="1">
        <v>1975.0</v>
      </c>
      <c r="B1977" s="3" t="s">
        <v>1978</v>
      </c>
      <c r="C1977" s="3" t="str">
        <f>IFERROR(__xludf.DUMMYFUNCTION("GOOGLETRANSLATE(B1977,""id"",""en"")"),"['Please', 'made easier', 'have', 'Point', 'so', 'so', 'activated', 'trim', 'pulse', 'tip', 'tip', 'notif', ' Failed ',' Point ',' When ',' Taken ',' Internet ',' SMS ',' Donation ', ""]")</f>
        <v>['Please', 'made easier', 'have', 'Point', 'so', 'so', 'activated', 'trim', 'pulse', 'tip', 'tip', 'notif', ' Failed ',' Point ',' When ',' Taken ',' Internet ',' SMS ',' Donation ', "]</v>
      </c>
      <c r="D1977" s="3">
        <v>2.0</v>
      </c>
    </row>
    <row r="1978" ht="15.75" customHeight="1">
      <c r="A1978" s="1">
        <v>1976.0</v>
      </c>
      <c r="B1978" s="3" t="s">
        <v>1979</v>
      </c>
      <c r="C1978" s="3" t="str">
        <f>IFERROR(__xludf.DUMMYFUNCTION("GOOGLETRANSLATE(B1978,""id"",""en"")"),"['knp', 'tsel', 'card', 'contents',' vocer ',' friction ',' write ',' system ',' busy ',' then ',' Dri ',' last night ',' gmn ',' donk ',' trlnjur ',' buy ',' vocer ',' expensive ',' mah ',' service ',' disappointing ',' customer ']")</f>
        <v>['knp', 'tsel', 'card', 'contents',' vocer ',' friction ',' write ',' system ',' busy ',' then ',' Dri ',' last night ',' gmn ',' donk ',' trlnjur ',' buy ',' vocer ',' expensive ',' mah ',' service ',' disappointing ',' customer ']</v>
      </c>
      <c r="D1978" s="3">
        <v>1.0</v>
      </c>
    </row>
    <row r="1979" ht="15.75" customHeight="1">
      <c r="A1979" s="1">
        <v>1977.0</v>
      </c>
      <c r="B1979" s="3" t="s">
        <v>1980</v>
      </c>
      <c r="C1979" s="3" t="str">
        <f>IFERROR(__xludf.DUMMYFUNCTION("GOOGLETRANSLATE(B1979,""id"",""en"")"),"['Buy', 'Package', 'Pedul', 'Clock', 'Already', 'Clock', 'Night', 'Direct', 'Scorched', 'Description', 'Apply', 'Hour', ' validity ',' clock ',' lossiiii ']")</f>
        <v>['Buy', 'Package', 'Pedul', 'Clock', 'Already', 'Clock', 'Night', 'Direct', 'Scorched', 'Description', 'Apply', 'Hour', ' validity ',' clock ',' lossiiii ']</v>
      </c>
      <c r="D1979" s="3">
        <v>1.0</v>
      </c>
    </row>
    <row r="1980" ht="15.75" customHeight="1">
      <c r="A1980" s="1">
        <v>1978.0</v>
      </c>
      <c r="B1980" s="3" t="s">
        <v>1981</v>
      </c>
      <c r="C1980" s="3" t="str">
        <f>IFERROR(__xludf.DUMMYFUNCTION("GOOGLETRANSLATE(B1980,""id"",""en"")"),"['', 'user', 'sympathy', 'confession', 'already', 'dri', 'price', 'package', 'internet', 'card', 'really', 'expensive', 'compared ',' Dnnn ',' user ',' card ',' SLLU ',' loyal ',' gini ',' discrimination ',' customers', 'loyal', ""]")</f>
        <v>['', 'user', 'sympathy', 'confession', 'already', 'dri', 'price', 'package', 'internet', 'card', 'really', 'expensive', 'compared ',' Dnnn ',' user ',' card ',' SLLU ',' loyal ',' gini ',' discrimination ',' customers', 'loyal', "]</v>
      </c>
      <c r="D1980" s="3">
        <v>1.0</v>
      </c>
    </row>
    <row r="1981" ht="15.75" customHeight="1">
      <c r="A1981" s="1">
        <v>1979.0</v>
      </c>
      <c r="B1981" s="3" t="s">
        <v>1982</v>
      </c>
      <c r="C1981" s="3" t="str">
        <f>IFERROR(__xludf.DUMMYFUNCTION("GOOGLETRANSLATE(B1981,""id"",""en"")"),"['already', 'quota', 'GB', 'already', 'slow', 'use', 'restricted', 'no' see ',' youtube ',' etc. ',' then ' The point is', 'surternn', 'right', 'dead', 'lights',' use ',' data ',' no ',' signal ',' kirain ',' buy ',' package ',' Mahalan ' , 'luck', 'Buntu"&amp;"ng', 'better', 'card', 'brand', 'next door', 'access',' smooth ',' until ',' please ',' lined ',' Telkomsel ',' already ',' expensive ',' talk ',' number ',' diindonesia ',' no ',' according to ',' reality ',' kapok ',' euhhhh ']")</f>
        <v>['already', 'quota', 'GB', 'already', 'slow', 'use', 'restricted', 'no' see ',' youtube ',' etc. ',' then ' The point is', 'surternn', 'right', 'dead', 'lights',' use ',' data ',' no ',' signal ',' kirain ',' buy ',' package ',' Mahalan ' , 'luck', 'Buntung', 'better', 'card', 'brand', 'next door', 'access',' smooth ',' until ',' please ',' lined ',' Telkomsel ',' already ',' expensive ',' talk ',' number ',' diindonesia ',' no ',' according to ',' reality ',' kapok ',' euhhhh ']</v>
      </c>
      <c r="D1981" s="3">
        <v>1.0</v>
      </c>
    </row>
    <row r="1982" ht="15.75" customHeight="1">
      <c r="A1982" s="1">
        <v>1980.0</v>
      </c>
      <c r="B1982" s="3" t="s">
        <v>1983</v>
      </c>
      <c r="C1982" s="3" t="str">
        <f>IFERROR(__xludf.DUMMYFUNCTION("GOOGLETRANSLATE(B1982,""id"",""en"")"),"['signal', 'kaga', 'tower', 'already', 'installed', 'ugly', 'signal', 'ngeluh', 'government', 'delete', 'signal', 'telkom', ' Expand ',' Tower ',' signal ',' Indosat ',' already ',' cheap ',' signal ',' good ',' kayak ',' telkom ',' expensive ',' signal '"&amp;",' stable ' , 'signal', 'forced']")</f>
        <v>['signal', 'kaga', 'tower', 'already', 'installed', 'ugly', 'signal', 'ngeluh', 'government', 'delete', 'signal', 'telkom', ' Expand ',' Tower ',' signal ',' Indosat ',' already ',' cheap ',' signal ',' good ',' kayak ',' telkom ',' expensive ',' signal ',' stable ' , 'signal', 'forced']</v>
      </c>
      <c r="D1982" s="3">
        <v>1.0</v>
      </c>
    </row>
    <row r="1983" ht="15.75" customHeight="1">
      <c r="A1983" s="1">
        <v>1981.0</v>
      </c>
      <c r="B1983" s="3" t="s">
        <v>1984</v>
      </c>
      <c r="C1983" s="3" t="str">
        <f>IFERROR(__xludf.DUMMYFUNCTION("GOOGLETRANSLATE(B1983,""id"",""en"")"),"['Criticism', 'Suggestion', 'Certimbangkab', 'User', 'Telkomsel', 'Price', 'Package', 'Unlimited', 'thousand', 'access',' Media ',' Social ',' Unlimited ',' Limit ',' GB ',' Sorry ',' Buy ',' Out ',' Quota ',' Discard ',' Card ',' Years', 'Use', 'Number',"&amp;" 'Disappointing' , 'card', 'blue', 'chaotic', 'disappointing', 'buy', 'smartfren', 'rotten', '']")</f>
        <v>['Criticism', 'Suggestion', 'Certimbangkab', 'User', 'Telkomsel', 'Price', 'Package', 'Unlimited', 'thousand', 'access',' Media ',' Social ',' Unlimited ',' Limit ',' GB ',' Sorry ',' Buy ',' Out ',' Quota ',' Discard ',' Card ',' Years', 'Use', 'Number', 'Disappointing' , 'card', 'blue', 'chaotic', 'disappointing', 'buy', 'smartfren', 'rotten', '']</v>
      </c>
      <c r="D1983" s="3">
        <v>1.0</v>
      </c>
    </row>
    <row r="1984" ht="15.75" customHeight="1">
      <c r="A1984" s="1">
        <v>1982.0</v>
      </c>
      <c r="B1984" s="3" t="s">
        <v>1985</v>
      </c>
      <c r="C1984" s="3" t="str">
        <f>IFERROR(__xludf.DUMMYFUNCTION("GOOGLETRANSLATE(B1984,""id"",""en"")"),"['Wonder', 'Telkomsel', 'deh', 'times',' contents', 'reset', 'pulse', 'call', 'second', 'history', 'call', 'please', ' His policy ',' Operator ',' ']")</f>
        <v>['Wonder', 'Telkomsel', 'deh', 'times',' contents', 'reset', 'pulse', 'call', 'second', 'history', 'call', 'please', ' His policy ',' Operator ',' ']</v>
      </c>
      <c r="D1984" s="3">
        <v>1.0</v>
      </c>
    </row>
    <row r="1985" ht="15.75" customHeight="1">
      <c r="A1985" s="1">
        <v>1983.0</v>
      </c>
      <c r="B1985" s="3" t="s">
        <v>1986</v>
      </c>
      <c r="C1985" s="3" t="str">
        <f>IFERROR(__xludf.DUMMYFUNCTION("GOOGLETRANSLATE(B1985,""id"",""en"")"),"['quota', 'Ketengeng', 'quota', 'bonus',' vain ',' vain ',' used ',' wasted ',' quota ',' fill ',' times', 'quota', ' Reduced ',' quota ',' in ',' reduced ',' quota ',' reduced ',' active ',' quota ',' run out ',' Telkom ', ""]")</f>
        <v>['quota', 'Ketengeng', 'quota', 'bonus',' vain ',' vain ',' used ',' wasted ',' quota ',' fill ',' times', 'quota', ' Reduced ',' quota ',' in ',' reduced ',' quota ',' reduced ',' active ',' quota ',' run out ',' Telkom ', "]</v>
      </c>
      <c r="D1985" s="3">
        <v>1.0</v>
      </c>
    </row>
    <row r="1986" ht="15.75" customHeight="1">
      <c r="A1986" s="1">
        <v>1984.0</v>
      </c>
      <c r="B1986" s="3" t="s">
        <v>1987</v>
      </c>
      <c r="C1986" s="3" t="str">
        <f>IFERROR(__xludf.DUMMYFUNCTION("GOOGLETRANSLATE(B1986,""id"",""en"")"),"['Service', 'Please', 'Fix', 'Disappointed', 'Telkomsel', 'Paketan', 'Expensive', 'Service', 'Buy', 'Voucher', 'Many', 'Ngekuin', ' Fill ',' reset ',' failed ',' detrimental ',' user ',' disappointed ',' bkn ',' disappointed ',' ']")</f>
        <v>['Service', 'Please', 'Fix', 'Disappointed', 'Telkomsel', 'Paketan', 'Expensive', 'Service', 'Buy', 'Voucher', 'Many', 'Ngekuin', ' Fill ',' reset ',' failed ',' detrimental ',' user ',' disappointed ',' bkn ',' disappointed ',' ']</v>
      </c>
      <c r="D1986" s="3">
        <v>1.0</v>
      </c>
    </row>
    <row r="1987" ht="15.75" customHeight="1">
      <c r="A1987" s="1">
        <v>1985.0</v>
      </c>
      <c r="B1987" s="3" t="s">
        <v>1988</v>
      </c>
      <c r="C1987" s="3" t="str">
        <f>IFERROR(__xludf.DUMMYFUNCTION("GOOGLETRANSLATE(B1987,""id"",""en"")"),"['Buy', 'Paketan', 'Gamemax', 'Login', 'Doang', 'Search', 'Macth', 'Reconnect', 'Connection', 'Connection', 'Time', ' already ',' dahlah ',' disappointed ',' cave ',' buy ',' used ',' ']")</f>
        <v>['Buy', 'Paketan', 'Gamemax', 'Login', 'Doang', 'Search', 'Macth', 'Reconnect', 'Connection', 'Connection', 'Time', ' already ',' dahlah ',' disappointed ',' cave ',' buy ',' used ',' ']</v>
      </c>
      <c r="D1987" s="3">
        <v>1.0</v>
      </c>
    </row>
    <row r="1988" ht="15.75" customHeight="1">
      <c r="A1988" s="1">
        <v>1986.0</v>
      </c>
      <c r="B1988" s="3" t="s">
        <v>1989</v>
      </c>
      <c r="C1988" s="3" t="str">
        <f>IFERROR(__xludf.DUMMYFUNCTION("GOOGLETRANSLATE(B1988,""id"",""en"")"),"['Jarinagan', 'Telkomsel', 'already', 'tasty', 'package', 'expensive', 'doang', 'feeling', 'network', 'different', 'harga', 'package', ' Criticism ',' Silent ',' Do ',' Customer ',' Satisfied ',' ']")</f>
        <v>['Jarinagan', 'Telkomsel', 'already', 'tasty', 'package', 'expensive', 'doang', 'feeling', 'network', 'different', 'harga', 'package', ' Criticism ',' Silent ',' Do ',' Customer ',' Satisfied ',' ']</v>
      </c>
      <c r="D1988" s="3">
        <v>2.0</v>
      </c>
    </row>
    <row r="1989" ht="15.75" customHeight="1">
      <c r="A1989" s="1">
        <v>1987.0</v>
      </c>
      <c r="B1989" s="3" t="s">
        <v>1990</v>
      </c>
      <c r="C1989" s="3" t="str">
        <f>IFERROR(__xludf.DUMMYFUNCTION("GOOGLETRANSLATE(B1989,""id"",""en"")"),"['gapaham', 'application', 'potatoes',' for ',' close ',' storage ',' remaining ',' application ',' update ',' latest ',' restart ',' Telkomsel ',' Crash ',' for ',' Close ']")</f>
        <v>['gapaham', 'application', 'potatoes',' for ',' close ',' storage ',' remaining ',' application ',' update ',' latest ',' restart ',' Telkomsel ',' Crash ',' for ',' Close ']</v>
      </c>
      <c r="D1989" s="3">
        <v>1.0</v>
      </c>
    </row>
    <row r="1990" ht="15.75" customHeight="1">
      <c r="A1990" s="1">
        <v>1988.0</v>
      </c>
      <c r="B1990" s="3" t="s">
        <v>1991</v>
      </c>
      <c r="C1990" s="3" t="str">
        <f>IFERROR(__xludf.DUMMYFUNCTION("GOOGLETRANSLATE(B1990,""id"",""en"")"),"['Sorry', 'star', 'ngeleg', 'really', 'play', 'game', 'ping', 'red', 'open', 'sittus',' slow ',' please ',' Fix ',' Network ',' Package ',' Credit ',' Expensive ',' Network ',' ugly ',' Jdi ',' Fix ',' Min ']")</f>
        <v>['Sorry', 'star', 'ngeleg', 'really', 'play', 'game', 'ping', 'red', 'open', 'sittus',' slow ',' please ',' Fix ',' Network ',' Package ',' Credit ',' Expensive ',' Network ',' ugly ',' Jdi ',' Fix ',' Min ']</v>
      </c>
      <c r="D1990" s="3">
        <v>1.0</v>
      </c>
    </row>
    <row r="1991" ht="15.75" customHeight="1">
      <c r="A1991" s="1">
        <v>1989.0</v>
      </c>
      <c r="B1991" s="3" t="s">
        <v>1992</v>
      </c>
      <c r="C1991" s="3" t="str">
        <f>IFERROR(__xludf.DUMMYFUNCTION("GOOGLETRANSLATE(B1991,""id"",""en"")"),"['Telkomsel', 'poor', 'moved', 'operator', 'next door', 'already', 'expensive', 'ngelag', 'disappointed', 'heavy', 'Telkomsel', 'even', ' expensive ',' network ',' smooth ',' break up ',' broke ',' skrg ',' what 'do', 'pay', 'expensive', 'ttep', 'broke', "&amp;"'broken', 'disappointed' , 'oath', 'moved', 'operator', 'next door', 'acunt', 'intentionally', 'star', 'removed']")</f>
        <v>['Telkomsel', 'poor', 'moved', 'operator', 'next door', 'already', 'expensive', 'ngelag', 'disappointed', 'heavy', 'Telkomsel', 'even', ' expensive ',' network ',' smooth ',' break up ',' broke ',' skrg ',' what 'do', 'pay', 'expensive', 'ttep', 'broke', 'broken', 'disappointed' , 'oath', 'moved', 'operator', 'next door', 'acunt', 'intentionally', 'star', 'removed']</v>
      </c>
      <c r="D1991" s="3">
        <v>5.0</v>
      </c>
    </row>
    <row r="1992" ht="15.75" customHeight="1">
      <c r="A1992" s="1">
        <v>1990.0</v>
      </c>
      <c r="B1992" s="3" t="s">
        <v>1993</v>
      </c>
      <c r="C1992" s="3" t="str">
        <f>IFERROR(__xludf.DUMMYFUNCTION("GOOGLETRANSLATE(B1992,""id"",""en"")"),"['Severe', 'number', 'kmn', 'SIM', 'BLM', 'contacts', 'replace', 'provider', 'use', 'alternative', 'change', ""]")</f>
        <v>['Severe', 'number', 'kmn', 'SIM', 'BLM', 'contacts', 'replace', 'provider', 'use', 'alternative', 'change', "]</v>
      </c>
      <c r="D1992" s="3">
        <v>1.0</v>
      </c>
    </row>
    <row r="1993" ht="15.75" customHeight="1">
      <c r="A1993" s="1">
        <v>1991.0</v>
      </c>
      <c r="B1993" s="3" t="s">
        <v>1994</v>
      </c>
      <c r="C1993" s="3" t="str">
        <f>IFERROR(__xludf.DUMMYFUNCTION("GOOGLETRANSLATE(B1993,""id"",""en"")"),"['', 'Region', 'Wear', 'Telkomsel', 'The network', 'slow', 'ngellag', 'stable', 'please', 'actioned', 'area', 'as soon as possible,' ' ]")</f>
        <v>['', 'Region', 'Wear', 'Telkomsel', 'The network', 'slow', 'ngellag', 'stable', 'please', 'actioned', 'area', 'as soon as possible,' ' ]</v>
      </c>
      <c r="D1993" s="3">
        <v>1.0</v>
      </c>
    </row>
    <row r="1994" ht="15.75" customHeight="1">
      <c r="A1994" s="1">
        <v>1992.0</v>
      </c>
      <c r="B1994" s="3" t="s">
        <v>1995</v>
      </c>
      <c r="C1994" s="3" t="str">
        <f>IFERROR(__xludf.DUMMYFUNCTION("GOOGLETRANSLATE(B1994,""id"",""en"")"),"['Sorry', 'Star', 'Reduce', 'Application', 'Opened', 'Package', 'Promo', 'Deleted', 'Signal', 'Missing', 'TELKOMSEL', 'HAIR', ' advantages', 'rather than', 'comfort', 'consumers',' sorry ',' criticism ',' suggestion ',' please ',' repaired ',' Telkomsel '"&amp;", ""]")</f>
        <v>['Sorry', 'Star', 'Reduce', 'Application', 'Opened', 'Package', 'Promo', 'Deleted', 'Signal', 'Missing', 'TELKOMSEL', 'HAIR', ' advantages', 'rather than', 'comfort', 'consumers',' sorry ',' criticism ',' suggestion ',' please ',' repaired ',' Telkomsel ', "]</v>
      </c>
      <c r="D1994" s="3">
        <v>3.0</v>
      </c>
    </row>
    <row r="1995" ht="15.75" customHeight="1">
      <c r="A1995" s="1">
        <v>1993.0</v>
      </c>
      <c r="B1995" s="3" t="s">
        <v>1996</v>
      </c>
      <c r="C1995" s="3" t="str">
        <f>IFERROR(__xludf.DUMMYFUNCTION("GOOGLETRANSLATE(B1995,""id"",""en"")"),"['signal', 'safe', 'payaaaaaaah', 'bad', 'bin', 'ugly', 'really', 'stay', 'city', 'Telkomsel', 'reach', ' hoax ',' auto ',' moved ',' card ',' pdhl ',' active ',' darling ',' card ',' business', 'obstacle', 'signal', 'bad', 'ugly' , '']")</f>
        <v>['signal', 'safe', 'payaaaaaaah', 'bad', 'bin', 'ugly', 'really', 'stay', 'city', 'Telkomsel', 'reach', ' hoax ',' auto ',' moved ',' card ',' pdhl ',' active ',' darling ',' card ',' business', 'obstacle', 'signal', 'bad', 'ugly' , '']</v>
      </c>
      <c r="D1995" s="3">
        <v>1.0</v>
      </c>
    </row>
    <row r="1996" ht="15.75" customHeight="1">
      <c r="A1996" s="1">
        <v>1994.0</v>
      </c>
      <c r="B1996" s="3" t="s">
        <v>1997</v>
      </c>
      <c r="C1996" s="3" t="str">
        <f>IFERROR(__xludf.DUMMYFUNCTION("GOOGLETRANSLATE(B1996,""id"",""en"")"),"['quota', 'doang', 'expensive', 'network', 'sometimes',' network ',' full ',' know ',' internet ',' slow ',' cave ',' cave ',' Doang ',' user ',' felt ',' really ',' gave ',' complained ',' Kisah ',' Murah ',' FCBook ',' Twterr ']")</f>
        <v>['quota', 'doang', 'expensive', 'network', 'sometimes',' network ',' full ',' know ',' internet ',' slow ',' cave ',' cave ',' Doang ',' user ',' felt ',' really ',' gave ',' complained ',' Kisah ',' Murah ',' FCBook ',' Twterr ']</v>
      </c>
      <c r="D1996" s="3">
        <v>1.0</v>
      </c>
    </row>
    <row r="1997" ht="15.75" customHeight="1">
      <c r="A1997" s="1">
        <v>1995.0</v>
      </c>
      <c r="B1997" s="3" t="s">
        <v>1998</v>
      </c>
      <c r="C1997" s="3" t="str">
        <f>IFERROR(__xludf.DUMMYFUNCTION("GOOGLETRANSLATE(B1997,""id"",""en"")"),"['Network', 'stable', 'Recommend', 'Telkomsel', 'Ngege', 'smooth', 'really', 'kagak', 'garbage', 'Telkomsel', 'please', 'user', ' Disappointed ',' Service ',' Telkomsel ',' Please ',' Direct ',' Handle ',' Network ',' Konesi ',' Game ',' Social ',' Media "&amp;"',' Price ',' Expensive ' , 'Prove', 'Trade', 'internet', 'Reply', 'Hi', 'Sis', 'Blablablabla', 'Direct', 'Handle', 'User', 'Leisure']")</f>
        <v>['Network', 'stable', 'Recommend', 'Telkomsel', 'Ngege', 'smooth', 'really', 'kagak', 'garbage', 'Telkomsel', 'please', 'user', ' Disappointed ',' Service ',' Telkomsel ',' Please ',' Direct ',' Handle ',' Network ',' Konesi ',' Game ',' Social ',' Media ',' Price ',' Expensive ' , 'Prove', 'Trade', 'internet', 'Reply', 'Hi', 'Sis', 'Blablablabla', 'Direct', 'Handle', 'User', 'Leisure']</v>
      </c>
      <c r="D1997" s="3">
        <v>1.0</v>
      </c>
    </row>
    <row r="1998" ht="15.75" customHeight="1">
      <c r="A1998" s="1">
        <v>1996.0</v>
      </c>
      <c r="B1998" s="3" t="s">
        <v>1999</v>
      </c>
      <c r="C1998" s="3" t="str">
        <f>IFERROR(__xludf.DUMMYFUNCTION("GOOGLETRANSLATE(B1998,""id"",""en"")"),"['quality', 'service', 'network', 'bad', 'input', 'satisfying', 'service', 'customer', 'customer', 'believe', 'quality', ' ']")</f>
        <v>['quality', 'service', 'network', 'bad', 'input', 'satisfying', 'service', 'customer', 'customer', 'believe', 'quality', ' ']</v>
      </c>
      <c r="D1998" s="3">
        <v>2.0</v>
      </c>
    </row>
    <row r="1999" ht="15.75" customHeight="1">
      <c r="A1999" s="1">
        <v>1997.0</v>
      </c>
      <c r="B1999" s="3" t="s">
        <v>2000</v>
      </c>
      <c r="C1999" s="3" t="str">
        <f>IFERROR(__xludf.DUMMYFUNCTION("GOOGLETRANSLATE(B1999,""id"",""en"")"),"['Network', 'internet', 'slow', 'really', 'fix', 'buy', 'quota', 'expensive', 'really', 'according to', 'his web', '']")</f>
        <v>['Network', 'internet', 'slow', 'really', 'fix', 'buy', 'quota', 'expensive', 'really', 'according to', 'his web', '']</v>
      </c>
      <c r="D1999" s="3">
        <v>1.0</v>
      </c>
    </row>
    <row r="2000" ht="15.75" customHeight="1">
      <c r="A2000" s="1">
        <v>1998.0</v>
      </c>
      <c r="B2000" s="3" t="s">
        <v>2001</v>
      </c>
      <c r="C2000" s="3" t="str">
        <f>IFERROR(__xludf.DUMMYFUNCTION("GOOGLETRANSLATE(B2000,""id"",""en"")"),"['Assalamualaikum', 'Telkomsel', 'Dear', 'Credit', 'Direct', 'Cut', 'Aktiv', 'Package', 'Emergency', 'Wonder', 'Thank "",' love']")</f>
        <v>['Assalamualaikum', 'Telkomsel', 'Dear', 'Credit', 'Direct', 'Cut', 'Aktiv', 'Package', 'Emergency', 'Wonder', 'Thank ",' love']</v>
      </c>
      <c r="D2000" s="3">
        <v>1.0</v>
      </c>
    </row>
    <row r="2001" ht="15.75" customHeight="1">
      <c r="A2001" s="1">
        <v>1999.0</v>
      </c>
      <c r="B2001" s="3" t="s">
        <v>2002</v>
      </c>
      <c r="C2001" s="3" t="str">
        <f>IFERROR(__xludf.DUMMYFUNCTION("GOOGLETRANSLATE(B2001,""id"",""en"")"),"['City', 'cave', 'supports',' like ',' ngeleg ',' feeling ',' cave ',' buy ',' packetan ',' coins', 'please', 'network', ' Expand ',' rich ',' mountain ',' signal ',' ilang ',' Mulu ',' ']")</f>
        <v>['City', 'cave', 'supports',' like ',' ngeleg ',' feeling ',' cave ',' buy ',' packetan ',' coins', 'please', 'network', ' Expand ',' rich ',' mountain ',' signal ',' ilang ',' Mulu ',' ']</v>
      </c>
      <c r="D2001" s="3">
        <v>1.0</v>
      </c>
    </row>
    <row r="2002" ht="15.75" customHeight="1">
      <c r="A2002" s="1">
        <v>2000.0</v>
      </c>
      <c r="B2002" s="3" t="s">
        <v>2003</v>
      </c>
      <c r="C2002" s="3" t="str">
        <f>IFERROR(__xludf.DUMMYFUNCTION("GOOGLETRANSLATE(B2002,""id"",""en"")"),"['already', 'kayak', 'network', 'Telkomsel', 'ugly', 'really', 'maen', 'lol', 'pub', 'ping', 'above', 'packetan', ' emergency ',' active ',' ACC ',' user ',' harmed ']")</f>
        <v>['already', 'kayak', 'network', 'Telkomsel', 'ugly', 'really', 'maen', 'lol', 'pub', 'ping', 'above', 'packetan', ' emergency ',' active ',' ACC ',' user ',' harmed ']</v>
      </c>
      <c r="D2002" s="3">
        <v>1.0</v>
      </c>
    </row>
    <row r="2003" ht="15.75" customHeight="1">
      <c r="A2003" s="1">
        <v>2001.0</v>
      </c>
      <c r="B2003" s="3" t="s">
        <v>2004</v>
      </c>
      <c r="C2003" s="3" t="str">
        <f>IFERROR(__xludf.DUMMYFUNCTION("GOOGLETRANSLATE(B2003,""id"",""en"")"),"['Your notification', 'troubling', 'appears', 'screen', 'annoying', 'If', 'Attach', 'Photo', 'Attach', 'Sreenshot']")</f>
        <v>['Your notification', 'troubling', 'appears', 'screen', 'annoying', 'If', 'Attach', 'Photo', 'Attach', 'Sreenshot']</v>
      </c>
      <c r="D2003" s="3">
        <v>2.0</v>
      </c>
    </row>
    <row r="2004" ht="15.75" customHeight="1">
      <c r="A2004" s="1">
        <v>2002.0</v>
      </c>
      <c r="B2004" s="3" t="s">
        <v>2005</v>
      </c>
      <c r="C2004" s="3" t="str">
        <f>IFERROR(__xludf.DUMMYFUNCTION("GOOGLETRANSLATE(B2004,""id"",""en"")"),"['', 'notice', 'grace', 'contents', 'pulse', 'care', 'grapari', 'told', 'switch', 'post', 'pay', ""]")</f>
        <v>['', 'notice', 'grace', 'contents', 'pulse', 'care', 'grapari', 'told', 'switch', 'post', 'pay', "]</v>
      </c>
      <c r="D2004" s="3">
        <v>1.0</v>
      </c>
    </row>
    <row r="2005" ht="15.75" customHeight="1">
      <c r="A2005" s="1">
        <v>2003.0</v>
      </c>
      <c r="B2005" s="3" t="s">
        <v>2006</v>
      </c>
      <c r="C2005" s="3" t="str">
        <f>IFERROR(__xludf.DUMMYFUNCTION("GOOGLETRANSLATE(B2005,""id"",""en"")"),"['Assalamualaikum', 'user', 'SIM', 'Telkomsel', 'complain', 'disorder', 'voucher', 'Telkomsel', 'enter', 'system', 'busy', 'Please', ' Work ',' YHHHHHH ',' ']")</f>
        <v>['Assalamualaikum', 'user', 'SIM', 'Telkomsel', 'complain', 'disorder', 'voucher', 'Telkomsel', 'enter', 'system', 'busy', 'Please', ' Work ',' YHHHHHH ',' ']</v>
      </c>
      <c r="D2005" s="3">
        <v>1.0</v>
      </c>
    </row>
    <row r="2006" ht="15.75" customHeight="1">
      <c r="A2006" s="1">
        <v>2004.0</v>
      </c>
      <c r="B2006" s="3" t="s">
        <v>2007</v>
      </c>
      <c r="C2006" s="3" t="str">
        <f>IFERROR(__xludf.DUMMYFUNCTION("GOOGLETRANSLATE(B2006,""id"",""en"")"),"['hey', 'min', 'knp', 'network', 'lost', 'package', 'expensive', 'expensive', 'replace', 'provaider', 'please', 'fix', ' system ',' sorry ',' sorry ',' doang ',' card ',' use ',' telkomsel ',' mah ',' change ',' gini ',' continued ',' fix ',' sorry ' , 'c"&amp;"ontinued', '']")</f>
        <v>['hey', 'min', 'knp', 'network', 'lost', 'package', 'expensive', 'expensive', 'replace', 'provaider', 'please', 'fix', ' system ',' sorry ',' sorry ',' doang ',' card ',' use ',' telkomsel ',' mah ',' change ',' gini ',' continued ',' fix ',' sorry ' , 'continued', '']</v>
      </c>
      <c r="D2006" s="3">
        <v>1.0</v>
      </c>
    </row>
    <row r="2007" ht="15.75" customHeight="1">
      <c r="A2007" s="1">
        <v>2005.0</v>
      </c>
      <c r="B2007" s="3" t="s">
        <v>2008</v>
      </c>
      <c r="C2007" s="3" t="str">
        <f>IFERROR(__xludf.DUMMYFUNCTION("GOOGLETRANSLATE(B2007,""id"",""en"")"),"['network', 'slow', 'price', 'data', 'expensive', 'principal', 'network', 'telkom', 'ugly', 'severe', 'unlimited', 'kayak', ' Mending ',' issued ',' data ',' unlimited ',' klau ',' slow ',' emotion ',' ']")</f>
        <v>['network', 'slow', 'price', 'data', 'expensive', 'principal', 'network', 'telkom', 'ugly', 'severe', 'unlimited', 'kayak', ' Mending ',' issued ',' data ',' unlimited ',' klau ',' slow ',' emotion ',' ']</v>
      </c>
      <c r="D2007" s="3">
        <v>1.0</v>
      </c>
    </row>
    <row r="2008" ht="15.75" customHeight="1">
      <c r="A2008" s="1">
        <v>2006.0</v>
      </c>
      <c r="B2008" s="3" t="s">
        <v>2009</v>
      </c>
      <c r="C2008" s="3" t="str">
        <f>IFERROR(__xludf.DUMMYFUNCTION("GOOGLETRANSLATE(B2008,""id"",""en"")"),"['Disappointed', 'Telkomsel', 'knp', 'a week', 'checked', 'pulse', 'leftover', 'pulse', 'then', 'kmaren', 'checked', 'left', ' Credit ',' ilang ',' kmn ',' ajg ',' pdhl ',' quota ',' internet ',' GB ',' Top ',' etc. ',' please ',' responded ', ""]")</f>
        <v>['Disappointed', 'Telkomsel', 'knp', 'a week', 'checked', 'pulse', 'leftover', 'pulse', 'then', 'kmaren', 'checked', 'left', ' Credit ',' ilang ',' kmn ',' ajg ',' pdhl ',' quota ',' internet ',' GB ',' Top ',' etc. ',' please ',' responded ', "]</v>
      </c>
      <c r="D2008" s="3">
        <v>2.0</v>
      </c>
    </row>
    <row r="2009" ht="15.75" customHeight="1">
      <c r="A2009" s="1">
        <v>2007.0</v>
      </c>
      <c r="B2009" s="3" t="s">
        <v>2010</v>
      </c>
      <c r="C2009" s="3" t="str">
        <f>IFERROR(__xludf.DUMMYFUNCTION("GOOGLETRANSLATE(B2009,""id"",""en"")"),"['Please', 'repairs',' deh ',' bbrpa ',' pulse ',' sumps', 'mulu', 'strange', 'usage', 'according to', 'package', 'have', ' pulses', 'sucked', 'already', 'patient', 'comment', 'because', 'think', 'take', 'luck', 'mah', 'so', 'buy', 'pulses' , 'Money', 'Le"&amp;"aves', 'Hopefully', 'Read', 'Deh', 'Review', 'Thanks', 'Suction', 'Credit', ""]")</f>
        <v>['Please', 'repairs',' deh ',' bbrpa ',' pulse ',' sumps', 'mulu', 'strange', 'usage', 'according to', 'package', 'have', ' pulses', 'sucked', 'already', 'patient', 'comment', 'because', 'think', 'take', 'luck', 'mah', 'so', 'buy', 'pulses' , 'Money', 'Leaves', 'Hopefully', 'Read', 'Deh', 'Review', 'Thanks', 'Suction', 'Credit', "]</v>
      </c>
      <c r="D2009" s="3">
        <v>1.0</v>
      </c>
    </row>
    <row r="2010" ht="15.75" customHeight="1">
      <c r="A2010" s="1">
        <v>2008.0</v>
      </c>
      <c r="B2010" s="3" t="s">
        <v>2011</v>
      </c>
      <c r="C2010" s="3" t="str">
        <f>IFERROR(__xludf.DUMMYFUNCTION("GOOGLETRANSLATE(B2010,""id"",""en"")"),"['The application', 'Baagus', 'Bener', ""]")</f>
        <v>['The application', 'Baagus', 'Bener', "]</v>
      </c>
      <c r="D2010" s="3">
        <v>5.0</v>
      </c>
    </row>
    <row r="2011" ht="15.75" customHeight="1">
      <c r="A2011" s="1">
        <v>2009.0</v>
      </c>
      <c r="B2011" s="3" t="s">
        <v>2012</v>
      </c>
      <c r="C2011" s="3" t="str">
        <f>IFERROR(__xludf.DUMMYFUNCTION("GOOGLETRANSLATE(B2011,""id"",""en"")"),"['choice', 'package', 'data', 'appears',' change ',' package ',' signal ',' severe ',' lose ',' provider ',' regret ',' use ',' card ',' Hallo ',' bill ',' above ',' RB ',' know ',' regret ',' client ',' tqhun ',' card ',' NMR ']")</f>
        <v>['choice', 'package', 'data', 'appears',' change ',' package ',' signal ',' severe ',' lose ',' provider ',' regret ',' use ',' card ',' Hallo ',' bill ',' above ',' RB ',' know ',' regret ',' client ',' tqhun ',' card ',' NMR ']</v>
      </c>
      <c r="D2011" s="3">
        <v>1.0</v>
      </c>
    </row>
    <row r="2012" ht="15.75" customHeight="1">
      <c r="A2012" s="1">
        <v>2010.0</v>
      </c>
      <c r="B2012" s="3" t="s">
        <v>2013</v>
      </c>
      <c r="C2012" s="3" t="str">
        <f>IFERROR(__xludf.DUMMYFUNCTION("GOOGLETRANSLATE(B2012,""id"",""en"")"),"['gmn', 'kmrin', 'date', 'buy', 'pulse', 'mytelkomsel', 'noon', 'entry', 'pdhal', 'transaction', 'via', 'virtual', ' account ',' success', 'noon', 'transaction', 'SKR', 'pulses',' entry ',' udh ',' grahapari ',' sruh ',' nggu ',' lwt ',' hour ' , 'Blm', '"&amp;"satisfying', ""]")</f>
        <v>['gmn', 'kmrin', 'date', 'buy', 'pulse', 'mytelkomsel', 'noon', 'entry', 'pdhal', 'transaction', 'via', 'virtual', ' account ',' success', 'noon', 'transaction', 'SKR', 'pulses',' entry ',' udh ',' grahapari ',' sruh ',' nggu ',' lwt ',' hour ' , 'Blm', 'satisfying', "]</v>
      </c>
      <c r="D2012" s="3">
        <v>1.0</v>
      </c>
    </row>
    <row r="2013" ht="15.75" customHeight="1">
      <c r="A2013" s="1">
        <v>2011.0</v>
      </c>
      <c r="B2013" s="3" t="s">
        <v>2014</v>
      </c>
      <c r="C2013" s="3" t="str">
        <f>IFERROR(__xludf.DUMMYFUNCTION("GOOGLETRANSLATE(B2013,""id"",""en"")"),"['Good', 'signal', 'Telkomsel', 'since' since 'unlimited', 'network', 'good', 'plus',' good ',' signal ',' buy ',' expensive ',' The package ',' signal ',' BURIK ',' PANTES ',' People ',' already ',' Change ',' Card ',' Region ']")</f>
        <v>['Good', 'signal', 'Telkomsel', 'since' since 'unlimited', 'network', 'good', 'plus',' good ',' signal ',' buy ',' expensive ',' The package ',' signal ',' BURIK ',' PANTES ',' People ',' already ',' Change ',' Card ',' Region ']</v>
      </c>
      <c r="D2013" s="3">
        <v>1.0</v>
      </c>
    </row>
    <row r="2014" ht="15.75" customHeight="1">
      <c r="A2014" s="1">
        <v>2012.0</v>
      </c>
      <c r="B2014" s="3" t="s">
        <v>2015</v>
      </c>
      <c r="C2014" s="3" t="str">
        <f>IFERROR(__xludf.DUMMYFUNCTION("GOOGLETRANSLATE(B2014,""id"",""en"")"),"['buy', 'pulse', 'apk', 'Telkomsel', 'mending', 'counter', 'neighbor', 'pulse', 'no', 'entry', 'then', 'Tlp', ' Have ',' Wait ',' Clock ',' Ngga ',' Enter ',' Tomorrow ',' NLP ',' Wait ',' Clock ',' Process', 'Report', 'Ribet', 'Activity' , 'Online', 'tim"&amp;"es',' gave ',' rate ',' too far ',' SAY ',' URGENT ',' Need ',' Pulse ',' told "", '']")</f>
        <v>['buy', 'pulse', 'apk', 'Telkomsel', 'mending', 'counter', 'neighbor', 'pulse', 'no', 'entry', 'then', 'Tlp', ' Have ',' Wait ',' Clock ',' Ngga ',' Enter ',' Tomorrow ',' NLP ',' Wait ',' Clock ',' Process', 'Report', 'Ribet', 'Activity' , 'Online', 'times',' gave ',' rate ',' too far ',' SAY ',' URGENT ',' Need ',' Pulse ',' told ", '']</v>
      </c>
      <c r="D2014" s="3">
        <v>1.0</v>
      </c>
    </row>
    <row r="2015" ht="15.75" customHeight="1">
      <c r="A2015" s="1">
        <v>2013.0</v>
      </c>
      <c r="B2015" s="3" t="s">
        <v>2016</v>
      </c>
      <c r="C2015" s="3" t="str">
        <f>IFERROR(__xludf.DUMMYFUNCTION("GOOGLETRANSLATE(B2015,""id"",""en"")"),"['', 'like', 'actually', 'Telkomsel', 'Gedeg', 'MSA', 'buy', 'pket', 'GB', 'for', 'RB', 'right', 'click ',' Price ',' Rb ',' Please ',' Fix ',' Ngerugin ',' Gini ',' Good ',' Good ',' Buntung ',' Gini ']")</f>
        <v>['', 'like', 'actually', 'Telkomsel', 'Gedeg', 'MSA', 'buy', 'pket', 'GB', 'for', 'RB', 'right', 'click ',' Price ',' Rb ',' Please ',' Fix ',' Ngerugin ',' Gini ',' Good ',' Good ',' Buntung ',' Gini ']</v>
      </c>
      <c r="D2015" s="3">
        <v>4.0</v>
      </c>
    </row>
    <row r="2016" ht="15.75" customHeight="1">
      <c r="A2016" s="1">
        <v>2014.0</v>
      </c>
      <c r="B2016" s="3" t="s">
        <v>2017</v>
      </c>
      <c r="C2016" s="3" t="str">
        <f>IFERROR(__xludf.DUMMYFUNCTION("GOOGLETRANSLATE(B2016,""id"",""en"")"),"['', 'already', 'use', 'signal', 'severe', 'darling', 'change', 'card', 'please', 'solution', 'already', 'replace', 'many ',' times', 'please', 'Telkomsel', 'solos']")</f>
        <v>['', 'already', 'use', 'signal', 'severe', 'darling', 'change', 'card', 'please', 'solution', 'already', 'replace', 'many ',' times', 'please', 'Telkomsel', 'solos']</v>
      </c>
      <c r="D2016" s="3">
        <v>1.0</v>
      </c>
    </row>
    <row r="2017" ht="15.75" customHeight="1">
      <c r="A2017" s="1">
        <v>2015.0</v>
      </c>
      <c r="B2017" s="3" t="s">
        <v>2018</v>
      </c>
      <c r="C2017" s="3" t="str">
        <f>IFERROR(__xludf.DUMMYFUNCTION("GOOGLETRANSLATE(B2017,""id"",""en"")"),"['Telkomsel', 'like', 'the network', 'please', 'fix', 'shy', 'already', 'expensive', 'network', 'kayak', 'snail', 'slow', ' ']")</f>
        <v>['Telkomsel', 'like', 'the network', 'please', 'fix', 'shy', 'already', 'expensive', 'network', 'kayak', 'snail', 'slow', ' ']</v>
      </c>
      <c r="D2017" s="3">
        <v>2.0</v>
      </c>
    </row>
    <row r="2018" ht="15.75" customHeight="1">
      <c r="A2018" s="1">
        <v>2016.0</v>
      </c>
      <c r="B2018" s="3" t="s">
        <v>2019</v>
      </c>
      <c r="C2018" s="3" t="str">
        <f>IFERROR(__xludf.DUMMYFUNCTION("GOOGLETRANSLATE(B2018,""id"",""en"")"),"['easy', 'operation', 'hope', 'promo', 'internet', 'cheap', 'customers',' loyal ',' needs', 'internet', 'in the past', 'pandemic', ' increased ',' needs', 'wfh', 'thank', 'love']")</f>
        <v>['easy', 'operation', 'hope', 'promo', 'internet', 'cheap', 'customers',' loyal ',' needs', 'internet', 'in the past', 'pandemic', ' increased ',' needs', 'wfh', 'thank', 'love']</v>
      </c>
      <c r="D2018" s="3">
        <v>5.0</v>
      </c>
    </row>
    <row r="2019" ht="15.75" customHeight="1">
      <c r="A2019" s="1">
        <v>2017.0</v>
      </c>
      <c r="B2019" s="3" t="s">
        <v>2020</v>
      </c>
      <c r="C2019" s="3" t="str">
        <f>IFERROR(__xludf.DUMMYFUNCTION("GOOGLETRANSLATE(B2019,""id"",""en"")"),"['Telkomsel', 'card', 'telephone', 'ngak', 'good', 'use', 'internet', 'ngak', 'activated', 'quota', 'automatic', 'direct', ' Active ',' PULSS ',' RB ',' RB ',' because ',' quota ',' oath ',' replace ',' card ',' luck ',' buntungg ',' ']")</f>
        <v>['Telkomsel', 'card', 'telephone', 'ngak', 'good', 'use', 'internet', 'ngak', 'activated', 'quota', 'automatic', 'direct', ' Active ',' PULSS ',' RB ',' RB ',' because ',' quota ',' oath ',' replace ',' card ',' luck ',' buntungg ',' ']</v>
      </c>
      <c r="D2019" s="3">
        <v>1.0</v>
      </c>
    </row>
    <row r="2020" ht="15.75" customHeight="1">
      <c r="A2020" s="1">
        <v>2018.0</v>
      </c>
      <c r="B2020" s="3" t="s">
        <v>2021</v>
      </c>
      <c r="C2020" s="3" t="str">
        <f>IFERROR(__xludf.DUMMYFUNCTION("GOOGLETRANSLATE(B2020,""id"",""en"")"),"['Network', 'Doang', 'Writing', 'Asuuuuu', 'Anjjing', 'Kayak', 'Taik', 'Lemot', 'Error', 'Network', 'Slow', 'Snee', ' best ',' I ',' hate ',' Telkomsel ',' fakeuuuuuuu ',' originaliiiii ',' siputtttt ',' you ',' asuu ',' geluttt ',' yok ',' telkom ',' kek"&amp;" ' , 'Taiikkkk']")</f>
        <v>['Network', 'Doang', 'Writing', 'Asuuuuu', 'Anjjing', 'Kayak', 'Taik', 'Lemot', 'Error', 'Network', 'Slow', 'Snee', ' best ',' I ',' hate ',' Telkomsel ',' fakeuuuuuuu ',' originaliiiii ',' siputtttt ',' you ',' asuu ',' geluttt ',' yok ',' telkom ',' kek ' , 'Taiikkkk']</v>
      </c>
      <c r="D2020" s="3">
        <v>1.0</v>
      </c>
    </row>
    <row r="2021" ht="15.75" customHeight="1">
      <c r="A2021" s="1">
        <v>2019.0</v>
      </c>
      <c r="B2021" s="3" t="s">
        <v>2022</v>
      </c>
      <c r="C2021" s="3" t="str">
        <f>IFERROR(__xludf.DUMMYFUNCTION("GOOGLETRANSLATE(B2021,""id"",""en"")"),"['unlimited', 'max', 'cave', 'njg', 'friend', 'cave', 'city', 'tetep', 'bangke', 'emang', 'udh', 'card', ' KLS ',' SMP ',' UDH ',' PASS ',' SMA ',' Tetep ',' Cheap ',' Card ',' Please ',' Samain ',' Mentang ',' Customer ',' Manja ' , 'Clay', 'Customer', '"&amp;"Njg']")</f>
        <v>['unlimited', 'max', 'cave', 'njg', 'friend', 'cave', 'city', 'tetep', 'bangke', 'emang', 'udh', 'card', ' KLS ',' SMP ',' UDH ',' PASS ',' SMA ',' Tetep ',' Cheap ',' Card ',' Please ',' Samain ',' Mentang ',' Customer ',' Manja ' , 'Clay', 'Customer', 'Njg']</v>
      </c>
      <c r="D2021" s="3">
        <v>1.0</v>
      </c>
    </row>
    <row r="2022" ht="15.75" customHeight="1">
      <c r="A2022" s="1">
        <v>2020.0</v>
      </c>
      <c r="B2022" s="3" t="s">
        <v>2023</v>
      </c>
      <c r="C2022" s="3" t="str">
        <f>IFERROR(__xludf.DUMMYFUNCTION("GOOGLETRANSLATE(B2022,""id"",""en"")"),"['printed', 'unlimited', 'unlimited', 'limit', 'fairness',' so ',' speed ',' internet ',' reduced ',' Alright ',' speed ',' subtract ',' Open ',' Application ',' Unlimited ',' For example ',' YouTube ',' Tumbnel ',' Road ',' Instagram ',' Loading ',' Mean"&amp;"ing ',' Unlimited ',' raises', 'fooling' , 'quota', 'sells', 'just', 'please', 'package', 'unlimited', 'returned', '']")</f>
        <v>['printed', 'unlimited', 'unlimited', 'limit', 'fairness',' so ',' speed ',' internet ',' reduced ',' Alright ',' speed ',' subtract ',' Open ',' Application ',' Unlimited ',' For example ',' YouTube ',' Tumbnel ',' Road ',' Instagram ',' Loading ',' Meaning ',' Unlimited ',' raises', 'fooling' , 'quota', 'sells', 'just', 'please', 'package', 'unlimited', 'returned', '']</v>
      </c>
      <c r="D2022" s="3">
        <v>1.0</v>
      </c>
    </row>
    <row r="2023" ht="15.75" customHeight="1">
      <c r="A2023" s="1">
        <v>2021.0</v>
      </c>
      <c r="B2023" s="3" t="s">
        <v>2024</v>
      </c>
      <c r="C2023" s="3" t="str">
        <f>IFERROR(__xludf.DUMMYFUNCTION("GOOGLETRANSLATE(B2023,""id"",""en"")"),"['Regarding', 'network', 'Telkomsel', 'network', 'slow', 'quota', 'unlimited', 'slow', 'forgiveness', 'emang', 'disorder', 'how' ']")</f>
        <v>['Regarding', 'network', 'Telkomsel', 'network', 'slow', 'quota', 'unlimited', 'slow', 'forgiveness', 'emang', 'disorder', 'how' ']</v>
      </c>
      <c r="D2023" s="3">
        <v>1.0</v>
      </c>
    </row>
    <row r="2024" ht="15.75" customHeight="1">
      <c r="A2024" s="1">
        <v>2022.0</v>
      </c>
      <c r="B2024" s="3" t="s">
        <v>2025</v>
      </c>
      <c r="C2024" s="3" t="str">
        <f>IFERROR(__xludf.DUMMYFUNCTION("GOOGLETRANSLATE(B2024,""id"",""en"")"),"['Telkom', 'price', 'doang', 'kah', 'expensive', 'his soy', 'ugly', 'really', 'oath', 'slow', 'package', 'stuck', ' Internet ',' Ngeselin ',' oath ',' Telkom ',' price ',' comparable ',' ama ',' fluency ',' pulp ',' really ', ""]")</f>
        <v>['Telkom', 'price', 'doang', 'kah', 'expensive', 'his soy', 'ugly', 'really', 'oath', 'slow', 'package', 'stuck', ' Internet ',' Ngeselin ',' oath ',' Telkom ',' price ',' comparable ',' ama ',' fluency ',' pulp ',' really ', "]</v>
      </c>
      <c r="D2024" s="3">
        <v>1.0</v>
      </c>
    </row>
    <row r="2025" ht="15.75" customHeight="1">
      <c r="A2025" s="1">
        <v>2023.0</v>
      </c>
      <c r="B2025" s="3" t="s">
        <v>2026</v>
      </c>
      <c r="C2025" s="3" t="str">
        <f>IFERROR(__xludf.DUMMYFUNCTION("GOOGLETRANSLATE(B2025,""id"",""en"")"),"['Application', 'Error', 'Fill', 'Credit', 'Virtual', 'Account', 'Enter', 'Enter', 'Heart', 'Contents',' Credit ',' Telkomsel ',' Mending ',' ISI ',' APP ',' ']")</f>
        <v>['Application', 'Error', 'Fill', 'Credit', 'Virtual', 'Account', 'Enter', 'Enter', 'Heart', 'Contents',' Credit ',' Telkomsel ',' Mending ',' ISI ',' APP ',' ']</v>
      </c>
      <c r="D2025" s="3">
        <v>1.0</v>
      </c>
    </row>
    <row r="2026" ht="15.75" customHeight="1">
      <c r="A2026" s="1">
        <v>2024.0</v>
      </c>
      <c r="B2026" s="3" t="s">
        <v>2027</v>
      </c>
      <c r="C2026" s="3" t="str">
        <f>IFERROR(__xludf.DUMMYFUNCTION("GOOGLETRANSLATE(B2026,""id"",""en"")"),"['Package', 'Medium', 'then', 'buy', 'package', 'quota', 'internet', 'disappointed', 'really', 'Telkomsel', 'user', 'service', ' bad', '']")</f>
        <v>['Package', 'Medium', 'then', 'buy', 'package', 'quota', 'internet', 'disappointed', 'really', 'Telkomsel', 'user', 'service', ' bad', '']</v>
      </c>
      <c r="D2026" s="3">
        <v>2.0</v>
      </c>
    </row>
    <row r="2027" ht="15.75" customHeight="1">
      <c r="A2027" s="1">
        <v>2025.0</v>
      </c>
      <c r="B2027" s="3" t="s">
        <v>2028</v>
      </c>
      <c r="C2027" s="3" t="str">
        <f>IFERROR(__xludf.DUMMYFUNCTION("GOOGLETRANSLATE(B2027,""id"",""en"")"),"['What', 'application', 'unlimited', 'gabisa', 'nge', 'share', 'gini', 'buy', 'package', 'internet', 'unlimited', 'YouTube', ' Package ',' Flash ',' Out ',' Please ',' Solution ',' Package ',' Flash ',' Kouta ',' Local ',' Connect ',' Kouta ',' Unlimited "&amp;"',' YouTube ' , '']")</f>
        <v>['What', 'application', 'unlimited', 'gabisa', 'nge', 'share', 'gini', 'buy', 'package', 'internet', 'unlimited', 'YouTube', ' Package ',' Flash ',' Out ',' Please ',' Solution ',' Package ',' Flash ',' Kouta ',' Local ',' Connect ',' Kouta ',' Unlimited ',' YouTube ' , '']</v>
      </c>
      <c r="D2027" s="3">
        <v>1.0</v>
      </c>
    </row>
    <row r="2028" ht="15.75" customHeight="1">
      <c r="A2028" s="1">
        <v>2026.0</v>
      </c>
      <c r="B2028" s="3" t="s">
        <v>2029</v>
      </c>
      <c r="C2028" s="3" t="str">
        <f>IFERROR(__xludf.DUMMYFUNCTION("GOOGLETRANSLATE(B2028,""id"",""en"")"),"['king', 'Sang', 'king', 'kouta', 'main', 'run out', 'left', 'unlimited', 'games',' slow ',' really ',' severe ',' Date ',' active ',' please ',' fix ']")</f>
        <v>['king', 'Sang', 'king', 'kouta', 'main', 'run out', 'left', 'unlimited', 'games',' slow ',' really ',' severe ',' Date ',' active ',' please ',' fix ']</v>
      </c>
      <c r="D2028" s="3">
        <v>2.0</v>
      </c>
    </row>
    <row r="2029" ht="15.75" customHeight="1">
      <c r="A2029" s="1">
        <v>2027.0</v>
      </c>
      <c r="B2029" s="3" t="s">
        <v>2030</v>
      </c>
      <c r="C2029" s="3" t="str">
        <f>IFERROR(__xludf.DUMMYFUNCTION("GOOGLETRANSLATE(B2029,""id"",""en"")"),"['Network', 'bad', 'lose', 'yellow', 'cheap', 'smooth', 'nakya', 'smooth', 'severe', 'bad', 'expensive', 'doank', ' quality ',' dilapidated ',' jokes', 'dilapidated']")</f>
        <v>['Network', 'bad', 'lose', 'yellow', 'cheap', 'smooth', 'nakya', 'smooth', 'severe', 'bad', 'expensive', 'doank', ' quality ',' dilapidated ',' jokes', 'dilapidated']</v>
      </c>
      <c r="D2029" s="3">
        <v>1.0</v>
      </c>
    </row>
    <row r="2030" ht="15.75" customHeight="1">
      <c r="A2030" s="1">
        <v>2028.0</v>
      </c>
      <c r="B2030" s="3" t="s">
        <v>2031</v>
      </c>
      <c r="C2030" s="3" t="str">
        <f>IFERROR(__xludf.DUMMYFUNCTION("GOOGLETRANSLATE(B2030,""id"",""en"")"),"['Card', 'Telkomsel', 'no', 'already', 'expensive', 'ngelek', 'intention', 'selling', 'selling', 'loooo', 'detrimental', 'community', ' cave ',' replace ',' card ',' cave ',' tri ',' because 'tri', 'card', 'loooo', 'create', 'pahamm', 'cave', 'buy' , 'a m"&amp;"onth', 'UDH', 'Unilimitid', 'Kaga', 'Bins',' Cave ',' Thank ',' Cave ',' Buy ',' Expensive ',' Expensive ',' Sampe ',' Gituin ',' smooth ',' sekrng ',' slow ',' application ',' message ',' elu ',' cheater ',' cave ',' udh ',' card ',' cave ',' disappointe"&amp;"d ' , '']")</f>
        <v>['Card', 'Telkomsel', 'no', 'already', 'expensive', 'ngelek', 'intention', 'selling', 'selling', 'loooo', 'detrimental', 'community', ' cave ',' replace ',' card ',' cave ',' tri ',' because 'tri', 'card', 'loooo', 'create', 'pahamm', 'cave', 'buy' , 'a month', 'UDH', 'Unilimitid', 'Kaga', 'Bins',' Cave ',' Thank ',' Cave ',' Buy ',' Expensive ',' Expensive ',' Sampe ',' Gituin ',' smooth ',' sekrng ',' slow ',' application ',' message ',' elu ',' cheater ',' cave ',' udh ',' card ',' cave ',' disappointed ' , '']</v>
      </c>
      <c r="D2030" s="3">
        <v>1.0</v>
      </c>
    </row>
    <row r="2031" ht="15.75" customHeight="1">
      <c r="A2031" s="1">
        <v>2029.0</v>
      </c>
      <c r="B2031" s="3" t="s">
        <v>2032</v>
      </c>
      <c r="C2031" s="3" t="str">
        <f>IFERROR(__xludf.DUMMYFUNCTION("GOOGLETRANSLATE(B2031,""id"",""en"")"),"['hehehe', 'slow', 'really', 'googling', 'signal', 'muter', 'rich', 'odong', 'amid "",' city ',' sinynya ',' setting ',' Rich ',' Satan ',' Nampakin ',' Forms', 'appears',' disappears', 'wkwkwkw', 'please', 'action', 'continued', 'Min', ""]")</f>
        <v>['hehehe', 'slow', 'really', 'googling', 'signal', 'muter', 'rich', 'odong', 'amid ",' city ',' sinynya ',' setting ',' Rich ',' Satan ',' Nampakin ',' Forms', 'appears',' disappears', 'wkwkwkw', 'please', 'action', 'continued', 'Min', "]</v>
      </c>
      <c r="D2031" s="3">
        <v>1.0</v>
      </c>
    </row>
    <row r="2032" ht="15.75" customHeight="1">
      <c r="A2032" s="1">
        <v>2030.0</v>
      </c>
      <c r="B2032" s="3" t="s">
        <v>2033</v>
      </c>
      <c r="C2032" s="3" t="str">
        <f>IFERROR(__xludf.DUMMYFUNCTION("GOOGLETRANSLATE(B2032,""id"",""en"")"),"['bangst', 'cave', 'buy', 'package', 'unlimited', 'mash', 'GB', 'dipake', 'use', 'slow', 'really', 'ajgh', ' pdhal ',' active ',' package ',' date ',' June ']")</f>
        <v>['bangst', 'cave', 'buy', 'package', 'unlimited', 'mash', 'GB', 'dipake', 'use', 'slow', 'really', 'ajgh', ' pdhal ',' active ',' package ',' date ',' June ']</v>
      </c>
      <c r="D2032" s="3">
        <v>1.0</v>
      </c>
    </row>
    <row r="2033" ht="15.75" customHeight="1">
      <c r="A2033" s="1">
        <v>2031.0</v>
      </c>
      <c r="B2033" s="3" t="s">
        <v>2034</v>
      </c>
      <c r="C2033" s="3" t="str">
        <f>IFERROR(__xludf.DUMMYFUNCTION("GOOGLETRANSLATE(B2033,""id"",""en"")"),"['here', 'package', 'data', 'used', 'sometimes',' buy ',' pulse ',' like ',' run out ',' data ',' complain ',' response ',' ']")</f>
        <v>['here', 'package', 'data', 'used', 'sometimes',' buy ',' pulse ',' like ',' run out ',' data ',' complain ',' response ',' ']</v>
      </c>
      <c r="D2033" s="3">
        <v>1.0</v>
      </c>
    </row>
    <row r="2034" ht="15.75" customHeight="1">
      <c r="A2034" s="1">
        <v>2032.0</v>
      </c>
      <c r="B2034" s="3" t="s">
        <v>2035</v>
      </c>
      <c r="C2034" s="3" t="str">
        <f>IFERROR(__xludf.DUMMYFUNCTION("GOOGLETRANSLATE(B2034,""id"",""en"")"),"['satellite', 'Telkom', 'distance', 'kilo', 'no', 'clamp', 'house', 'uuuuuuuuu', 'uuuuuuuuun', 'signal', 'already', 'android', ' Catch ',' Sousal ',' ugly ',' really ',' how ',' Mountain ',' Memarah ',' quota ',' stay ',' muter ',' muter ',' muter ',' mut"&amp;"er ' , 'Sing', 'Sing', 'Sing', 'dizziness']")</f>
        <v>['satellite', 'Telkom', 'distance', 'kilo', 'no', 'clamp', 'house', 'uuuuuuuuu', 'uuuuuuuuun', 'signal', 'already', 'android', ' Catch ',' Sousal ',' ugly ',' really ',' how ',' Mountain ',' Memarah ',' quota ',' stay ',' muter ',' muter ',' muter ',' muter ' , 'Sing', 'Sing', 'Sing', 'dizziness']</v>
      </c>
      <c r="D2034" s="3">
        <v>5.0</v>
      </c>
    </row>
    <row r="2035" ht="15.75" customHeight="1">
      <c r="A2035" s="1">
        <v>2033.0</v>
      </c>
      <c r="B2035" s="3" t="s">
        <v>2036</v>
      </c>
      <c r="C2035" s="3" t="str">
        <f>IFERROR(__xludf.DUMMYFUNCTION("GOOGLETRANSLATE(B2035,""id"",""en"")"),"['buy', 'quota', 'GB', 'unlimited', 'app', 'price', 'quota', 'unlimited', 'limited', 'GB', 'price', 'person', ' Telkomsel ',' people ',' kayak ',' kagak ',' Telkomsel ',' win ',' network ',' broad ',' entry ',' corruption ',' Telkomsel ',' news', 'wkwkw' "&amp;"]")</f>
        <v>['buy', 'quota', 'GB', 'unlimited', 'app', 'price', 'quota', 'unlimited', 'limited', 'GB', 'price', 'person', ' Telkomsel ',' people ',' kayak ',' kagak ',' Telkomsel ',' win ',' network ',' broad ',' entry ',' corruption ',' Telkomsel ',' news', 'wkwkw' ]</v>
      </c>
      <c r="D2035" s="3">
        <v>1.0</v>
      </c>
    </row>
    <row r="2036" ht="15.75" customHeight="1">
      <c r="A2036" s="1">
        <v>2034.0</v>
      </c>
      <c r="B2036" s="3" t="s">
        <v>2037</v>
      </c>
      <c r="C2036" s="3" t="str">
        <f>IFERROR(__xludf.DUMMYFUNCTION("GOOGLETRANSLATE(B2036,""id"",""en"")"),"['Telkomsel', 'Sell', 'Package', 'Fraud', 'Package', 'Game', 'Max', 'Login', 'Game', 'Mobile', 'Legends',' HRUS ',' Quota ',' main ',' used ',' play ',' pub ',' login ',' game ',' TPI ',' game ',' Play ',' game ',' HRUS ' , 'quota', 'main', 'name', 'fraud"&amp;"', 'mending', 'selling', 'promo', 'tip', 'tip', 'fraud', 'Telkomsel', 'trick', ' Tipu ',' promo ',' Game ',' Max ',' Tipu ',' Tipu ']")</f>
        <v>['Telkomsel', 'Sell', 'Package', 'Fraud', 'Package', 'Game', 'Max', 'Login', 'Game', 'Mobile', 'Legends',' HRUS ',' Quota ',' main ',' used ',' play ',' pub ',' login ',' game ',' TPI ',' game ',' Play ',' game ',' HRUS ' , 'quota', 'main', 'name', 'fraud', 'mending', 'selling', 'promo', 'tip', 'tip', 'fraud', 'Telkomsel', 'trick', ' Tipu ',' promo ',' Game ',' Max ',' Tipu ',' Tipu ']</v>
      </c>
      <c r="D2036" s="3">
        <v>1.0</v>
      </c>
    </row>
    <row r="2037" ht="15.75" customHeight="1">
      <c r="A2037" s="1">
        <v>2035.0</v>
      </c>
      <c r="B2037" s="3" t="s">
        <v>2038</v>
      </c>
      <c r="C2037" s="3" t="str">
        <f>IFERROR(__xludf.DUMMYFUNCTION("GOOGLETRANSLATE(B2037,""id"",""en"")"),"['complaints',' Yesterday ',' buy ',' package ',' quota ',' internet ',' local ',' usage ',' GB ',' UDH ',' gabisa ',' quota ',' signal']")</f>
        <v>['complaints',' Yesterday ',' buy ',' package ',' quota ',' internet ',' local ',' usage ',' GB ',' UDH ',' gabisa ',' quota ',' signal']</v>
      </c>
      <c r="D2037" s="3">
        <v>1.0</v>
      </c>
    </row>
    <row r="2038" ht="15.75" customHeight="1">
      <c r="A2038" s="1">
        <v>2036.0</v>
      </c>
      <c r="B2038" s="3" t="s">
        <v>2039</v>
      </c>
      <c r="C2038" s="3" t="str">
        <f>IFERROR(__xludf.DUMMYFUNCTION("GOOGLETRANSLATE(B2038,""id"",""en"")"),"['min', 'pulse', 'run out', 'experience', 'total', 'pulse', 'package', 'data', 'pulse', 'pulse', 'sumps',' already ',' Collect ',' money ',' buy ',' pulse ',' ']")</f>
        <v>['min', 'pulse', 'run out', 'experience', 'total', 'pulse', 'package', 'data', 'pulse', 'pulse', 'sumps',' already ',' Collect ',' money ',' buy ',' pulse ',' ']</v>
      </c>
      <c r="D2038" s="3">
        <v>1.0</v>
      </c>
    </row>
    <row r="2039" ht="15.75" customHeight="1">
      <c r="A2039" s="1">
        <v>2037.0</v>
      </c>
      <c r="B2039" s="3" t="s">
        <v>2040</v>
      </c>
      <c r="C2039" s="3" t="str">
        <f>IFERROR(__xludf.DUMMYFUNCTION("GOOGLETRANSLATE(B2039,""id"",""en"")"),"['already', 'Telkomsel', 'signal', 'until', 'disappointed', 'endless',' signal ',' telkom ',' package ',' play ',' game ',' like ',' Sticky ',' Leg ',' Ping ',' Open ',' YouTube ',' Sometimes', 'Good', 'Sometimes',' Disappointed ']")</f>
        <v>['already', 'Telkomsel', 'signal', 'until', 'disappointed', 'endless',' signal ',' telkom ',' package ',' play ',' game ',' like ',' Sticky ',' Leg ',' Ping ',' Open ',' YouTube ',' Sometimes', 'Good', 'Sometimes',' Disappointed ']</v>
      </c>
      <c r="D2039" s="3">
        <v>1.0</v>
      </c>
    </row>
    <row r="2040" ht="15.75" customHeight="1">
      <c r="A2040" s="1">
        <v>2038.0</v>
      </c>
      <c r="B2040" s="3" t="s">
        <v>2041</v>
      </c>
      <c r="C2040" s="3" t="str">
        <f>IFERROR(__xludf.DUMMYFUNCTION("GOOGLETRANSLATE(B2040,""id"",""en"")"),"['times',' package ',' unlimited ',' apply ',' city ',' darling ',' quota ',' GB ',' unlimited ',' no ',' used ',' gunain ',' Ryesel ',' use ',' card ',' Telkomsel ',' bad ',' ']")</f>
        <v>['times',' package ',' unlimited ',' apply ',' city ',' darling ',' quota ',' GB ',' unlimited ',' no ',' used ',' gunain ',' Ryesel ',' use ',' card ',' Telkomsel ',' bad ',' ']</v>
      </c>
      <c r="D2040" s="3">
        <v>1.0</v>
      </c>
    </row>
    <row r="2041" ht="15.75" customHeight="1">
      <c r="A2041" s="1">
        <v>2039.0</v>
      </c>
      <c r="B2041" s="3" t="s">
        <v>2042</v>
      </c>
      <c r="C2041" s="3" t="str">
        <f>IFERROR(__xludf.DUMMYFUNCTION("GOOGLETRANSLATE(B2041,""id"",""en"")"),"['Sya', 'complaints',' Sya ',' price ',' Kouta ',' Telkomsel ',' Mangkin ',' Mangkin ',' expensive ',' exchange ',' Points', 'pulses',' Already ',' bnyak ',' TPI ',' Exchange ',' Points', 'Link', 'Application', 'Function', 'Points',' Please ',' Pangguna '"&amp;",' Telkomsel ',' Disappointed ' , 'complaints', 'Please', 'Sorry', 'Core', 'Breaking', 'Points']")</f>
        <v>['Sya', 'complaints',' Sya ',' price ',' Kouta ',' Telkomsel ',' Mangkin ',' Mangkin ',' expensive ',' exchange ',' Points', 'pulses',' Already ',' bnyak ',' TPI ',' Exchange ',' Points', 'Link', 'Application', 'Function', 'Points',' Please ',' Pangguna ',' Telkomsel ',' Disappointed ' , 'complaints', 'Please', 'Sorry', 'Core', 'Breaking', 'Points']</v>
      </c>
      <c r="D2041" s="3">
        <v>1.0</v>
      </c>
    </row>
    <row r="2042" ht="15.75" customHeight="1">
      <c r="A2042" s="1">
        <v>2040.0</v>
      </c>
      <c r="B2042" s="3" t="s">
        <v>2043</v>
      </c>
      <c r="C2042" s="3" t="str">
        <f>IFERROR(__xludf.DUMMYFUNCTION("GOOGLETRANSLATE(B2042,""id"",""en"")"),"['Please', 'Telkomsel', 'repaired', 'Network', 'Down', 'DIKARENA', 'LEG', 'PUSH', 'LEG', 'Sudden', 'Beres',' Lose ',' Lose ',' network ',' smooth ',' Jaya ',' requested ',' authorized ',' add to ',' convenience ',' user ',' thank ',' love ',' Lose ',' Los"&amp;"e ' ]")</f>
        <v>['Please', 'Telkomsel', 'repaired', 'Network', 'Down', 'DIKARENA', 'LEG', 'PUSH', 'LEG', 'Sudden', 'Beres',' Lose ',' Lose ',' network ',' smooth ',' Jaya ',' requested ',' authorized ',' add to ',' convenience ',' user ',' thank ',' love ',' Lose ',' Lose ' ]</v>
      </c>
      <c r="D2042" s="3">
        <v>1.0</v>
      </c>
    </row>
    <row r="2043" ht="15.75" customHeight="1">
      <c r="A2043" s="1">
        <v>2041.0</v>
      </c>
      <c r="B2043" s="3" t="s">
        <v>2044</v>
      </c>
      <c r="C2043" s="3" t="str">
        <f>IFERROR(__xludf.DUMMYFUNCTION("GOOGLETRANSLATE(B2043,""id"",""en"")"),"['Knp', 'pulse', 'bbrp', 'disappear', 'rb', 'rb', 'fill in', 'rb', 'quota', 'inet', 'bbrp', 'pulse', ' Stayed ',' MLH ',' skrg ',' pdhl ',' owe ']")</f>
        <v>['Knp', 'pulse', 'bbrp', 'disappear', 'rb', 'rb', 'fill in', 'rb', 'quota', 'inet', 'bbrp', 'pulse', ' Stayed ',' MLH ',' skrg ',' pdhl ',' owe ']</v>
      </c>
      <c r="D2043" s="3">
        <v>1.0</v>
      </c>
    </row>
    <row r="2044" ht="15.75" customHeight="1">
      <c r="A2044" s="1">
        <v>2042.0</v>
      </c>
      <c r="B2044" s="3" t="s">
        <v>2045</v>
      </c>
      <c r="C2044" s="3" t="str">
        <f>IFERROR(__xludf.DUMMYFUNCTION("GOOGLETRANSLATE(B2044,""id"",""en"")"),"['', 'signal', 'BERIK', 'service', 'zero', 'call', 'call', 'center', 'pulse', 'cut', 'connected', 'network', 'the widest ',' Fix ',' Moto ',' Kalok ',' Appl ',' Telkomsel ',' Please ',' Provide ',' Menu ',' Complaints', 'Call', 'Center', 'Machine', 'Robot"&amp;"', '']")</f>
        <v>['', 'signal', 'BERIK', 'service', 'zero', 'call', 'call', 'center', 'pulse', 'cut', 'connected', 'network', 'the widest ',' Fix ',' Moto ',' Kalok ',' Appl ',' Telkomsel ',' Please ',' Provide ',' Menu ',' Complaints', 'Call', 'Center', 'Machine', 'Robot', '']</v>
      </c>
      <c r="D2044" s="3">
        <v>1.0</v>
      </c>
    </row>
    <row r="2045" ht="15.75" customHeight="1">
      <c r="A2045" s="1">
        <v>2043.0</v>
      </c>
      <c r="B2045" s="3" t="s">
        <v>2046</v>
      </c>
      <c r="C2045" s="3" t="str">
        <f>IFERROR(__xludf.DUMMYFUNCTION("GOOGLETRANSLATE(B2045,""id"",""en"")"),"['pulse', 'Sumpot', 'Gara', 'Internet', 'Monitor', 'Internet', 'Telkomsel', 'Network', 'Internet', 'Indosat', 'please', 'repaired', ' ']")</f>
        <v>['pulse', 'Sumpot', 'Gara', 'Internet', 'Monitor', 'Internet', 'Telkomsel', 'Network', 'Internet', 'Indosat', 'please', 'repaired', ' ']</v>
      </c>
      <c r="D2045" s="3">
        <v>1.0</v>
      </c>
    </row>
    <row r="2046" ht="15.75" customHeight="1">
      <c r="A2046" s="1">
        <v>2044.0</v>
      </c>
      <c r="B2046" s="3" t="s">
        <v>2047</v>
      </c>
      <c r="C2046" s="3" t="str">
        <f>IFERROR(__xludf.DUMMYFUNCTION("GOOGLETRANSLATE(B2046,""id"",""en"")"),"['Hi', 'Sis',' Sorry ',' signal ',' ugly ',' sorry ',' I ',' already ',' run out ',' tired ',' complain ',' signal ',' Telkomsel ',' data ',' expensive ',' yes', 'signal', 'good', 'please', 'telkom', 'Indonesia', 'signal', 'fix', '']")</f>
        <v>['Hi', 'Sis',' Sorry ',' signal ',' ugly ',' sorry ',' I ',' already ',' run out ',' tired ',' complain ',' signal ',' Telkomsel ',' data ',' expensive ',' yes', 'signal', 'good', 'please', 'telkom', 'Indonesia', 'signal', 'fix', '']</v>
      </c>
      <c r="D2046" s="3">
        <v>1.0</v>
      </c>
    </row>
    <row r="2047" ht="15.75" customHeight="1">
      <c r="A2047" s="1">
        <v>2045.0</v>
      </c>
      <c r="B2047" s="3" t="s">
        <v>2048</v>
      </c>
      <c r="C2047" s="3" t="str">
        <f>IFERROR(__xludf.DUMMYFUNCTION("GOOGLETRANSLATE(B2047,""id"",""en"")"),"['network', 'Telkomsel', 'destroyed', 'slow', 'severe', 'users', 'Telkomsel', 'network', 'smooth', 'search', 'fast', 'search' difficult ',' network ',' destroyed ',' slow ',' severe ',' please ',' network ',' really ',' rich ',' nge ',' star ',' already '"&amp;",' already ' , 'emotion', 'network', 'price', 'quota', 'expensive', 'network', 'slow', 'severe', '']")</f>
        <v>['network', 'Telkomsel', 'destroyed', 'slow', 'severe', 'users', 'Telkomsel', 'network', 'smooth', 'search', 'fast', 'search' difficult ',' network ',' destroyed ',' slow ',' severe ',' please ',' network ',' really ',' rich ',' nge ',' star ',' already ',' already ' , 'emotion', 'network', 'price', 'quota', 'expensive', 'network', 'slow', 'severe', '']</v>
      </c>
      <c r="D2047" s="3">
        <v>1.0</v>
      </c>
    </row>
    <row r="2048" ht="15.75" customHeight="1">
      <c r="A2048" s="1">
        <v>2046.0</v>
      </c>
      <c r="B2048" s="3" t="s">
        <v>2049</v>
      </c>
      <c r="C2048" s="3" t="str">
        <f>IFERROR(__xludf.DUMMYFUNCTION("GOOGLETRANSLATE(B2048,""id"",""en"")"),"['network', 'Internet', 'Telkomsel', 'bad', 'income', 'sell', 'data', 'sms', 'telephone', 'know', 'know', ""]")</f>
        <v>['network', 'Internet', 'Telkomsel', 'bad', 'income', 'sell', 'data', 'sms', 'telephone', 'know', 'know', "]</v>
      </c>
      <c r="D2048" s="3">
        <v>1.0</v>
      </c>
    </row>
    <row r="2049" ht="15.75" customHeight="1">
      <c r="A2049" s="1">
        <v>2047.0</v>
      </c>
      <c r="B2049" s="3" t="s">
        <v>2050</v>
      </c>
      <c r="C2049" s="3" t="str">
        <f>IFERROR(__xludf.DUMMYFUNCTION("GOOGLETRANSLATE(B2049,""id"",""en"")"),"['Assalammualikum', 'owner', 'apk', 'Telkomsel', 'koata', 'entered', 'payment', 'success',' beg ',' fix ',' pretty ',' disappointed ',' buy ',' expensive ',' enter ',' buy ',' cheap ',' direct ',' enter ',' please ',' fix ',' ']")</f>
        <v>['Assalammualikum', 'owner', 'apk', 'Telkomsel', 'koata', 'entered', 'payment', 'success',' beg ',' fix ',' pretty ',' disappointed ',' buy ',' expensive ',' enter ',' buy ',' cheap ',' direct ',' enter ',' please ',' fix ',' ']</v>
      </c>
      <c r="D2049" s="3">
        <v>1.0</v>
      </c>
    </row>
    <row r="2050" ht="15.75" customHeight="1">
      <c r="A2050" s="1">
        <v>2048.0</v>
      </c>
      <c r="B2050" s="3" t="s">
        <v>2051</v>
      </c>
      <c r="C2050" s="3" t="str">
        <f>IFERROR(__xludf.DUMMYFUNCTION("GOOGLETRANSLATE(B2050,""id"",""en"")"),"['package', 'price', 'useful', 'quota', 'buy', 'price', 'quota', 'GB', 'internet', 'unlimited', 'sosmed', 'youtube', ' etc. ',' sosmed ',' Instagram ',' YouTube ',' quota ',' internet ',' main ',' sucked ',' unlimited ',' sosmed ',' used ',' buy ',' tasty"&amp;" ' , 'Package', 'GB', 'Free', 'Unlimited', 'Sosmed', 'Embed', 'GB', 'Sosmed', ""]")</f>
        <v>['package', 'price', 'useful', 'quota', 'buy', 'price', 'quota', 'GB', 'internet', 'unlimited', 'sosmed', 'youtube', ' etc. ',' sosmed ',' Instagram ',' YouTube ',' quota ',' internet ',' main ',' sucked ',' unlimited ',' sosmed ',' used ',' buy ',' tasty ' , 'Package', 'GB', 'Free', 'Unlimited', 'Sosmed', 'Embed', 'GB', 'Sosmed', "]</v>
      </c>
      <c r="D2050" s="3">
        <v>1.0</v>
      </c>
    </row>
    <row r="2051" ht="15.75" customHeight="1">
      <c r="A2051" s="1">
        <v>2049.0</v>
      </c>
      <c r="B2051" s="3" t="s">
        <v>2052</v>
      </c>
      <c r="C2051" s="3" t="str">
        <f>IFERROR(__xludf.DUMMYFUNCTION("GOOGLETRANSLATE(B2051,""id"",""en"")"),"['signal', 'quota', 'data', 'ugly', 'package', 'Telkomsel', 'classified', 'expensive', 'honest', 'user', 'disappointed', 'Please', ' Enhanced ',' Service ',' Customer ',' Potential ',' Move ',' Provider ',' Thank you ']")</f>
        <v>['signal', 'quota', 'data', 'ugly', 'package', 'Telkomsel', 'classified', 'expensive', 'honest', 'user', 'disappointed', 'Please', ' Enhanced ',' Service ',' Customer ',' Potential ',' Move ',' Provider ',' Thank you ']</v>
      </c>
      <c r="D2051" s="3">
        <v>1.0</v>
      </c>
    </row>
    <row r="2052" ht="15.75" customHeight="1">
      <c r="A2052" s="1">
        <v>2050.0</v>
      </c>
      <c r="B2052" s="3" t="s">
        <v>2053</v>
      </c>
      <c r="C2052" s="3" t="str">
        <f>IFERROR(__xludf.DUMMYFUNCTION("GOOGLETRANSLATE(B2052,""id"",""en"")"),"['Please', 'Nmor', 'WhatsApp', 'Report', 'Sekrng', 'Karna', 'Tournament', 'Pubg', 'Mobile', 'Network', 'Support', 'Disappointed', ' ']")</f>
        <v>['Please', 'Nmor', 'WhatsApp', 'Report', 'Sekrng', 'Karna', 'Tournament', 'Pubg', 'Mobile', 'Network', 'Support', 'Disappointed', ' ']</v>
      </c>
      <c r="D2052" s="3">
        <v>1.0</v>
      </c>
    </row>
    <row r="2053" ht="15.75" customHeight="1">
      <c r="A2053" s="1">
        <v>2051.0</v>
      </c>
      <c r="B2053" s="3" t="s">
        <v>2054</v>
      </c>
      <c r="C2053" s="3" t="str">
        <f>IFERROR(__xludf.DUMMYFUNCTION("GOOGLETRANSLATE(B2053,""id"",""en"")"),"['heart', 'heart', 'pulse', 'balance', 'Telkomsel', 'buy', 'package', 'special', 'left', 'leftover', 'balance', 'MyTelkomsel', ' Cut ',' at the same time ',' telephone ',' entry ',' network ',' move ',' that's where ',' truncated ',' balance ',' network '"&amp;",' internet ',' balance ',' truncated ' , 'Out', 'quota', 'internet', 'Telkomsel', 'suggestion', 'empty', 'balance', 'buy', 'package']")</f>
        <v>['heart', 'heart', 'pulse', 'balance', 'Telkomsel', 'buy', 'package', 'special', 'left', 'leftover', 'balance', 'MyTelkomsel', ' Cut ',' at the same time ',' telephone ',' entry ',' network ',' move ',' that's where ',' truncated ',' balance ',' network ',' internet ',' balance ',' truncated ' , 'Out', 'quota', 'internet', 'Telkomsel', 'suggestion', 'empty', 'balance', 'buy', 'package']</v>
      </c>
      <c r="D2053" s="3">
        <v>1.0</v>
      </c>
    </row>
    <row r="2054" ht="15.75" customHeight="1">
      <c r="A2054" s="1">
        <v>2052.0</v>
      </c>
      <c r="B2054" s="3" t="s">
        <v>2055</v>
      </c>
      <c r="C2054" s="3" t="str">
        <f>IFERROR(__xludf.DUMMYFUNCTION("GOOGLETRANSLATE(B2054,""id"",""en"")"),"['Please', 'Fix', 'Abis',' fill in ',' credit ',' buy ',' package ',' said ',' fill ',' pulse ',' lgi ',' pulses', ' right ',' Try ',' Matiin ',' Liat ',' Credit ',' Udh ',' Please ',' Fix ',' Money ',' Loss', 'Liatin', 'Please', 'Please' , 'repaired']")</f>
        <v>['Please', 'Fix', 'Abis',' fill in ',' credit ',' buy ',' package ',' said ',' fill ',' pulse ',' lgi ',' pulses', ' right ',' Try ',' Matiin ',' Liat ',' Credit ',' Udh ',' Please ',' Fix ',' Money ',' Loss', 'Liatin', 'Please', 'Please' , 'repaired']</v>
      </c>
      <c r="D2054" s="3">
        <v>1.0</v>
      </c>
    </row>
    <row r="2055" ht="15.75" customHeight="1">
      <c r="A2055" s="1">
        <v>2053.0</v>
      </c>
      <c r="B2055" s="3" t="s">
        <v>2056</v>
      </c>
      <c r="C2055" s="3" t="str">
        <f>IFERROR(__xludf.DUMMYFUNCTION("GOOGLETRANSLATE(B2055,""id"",""en"")"),"['quota', 'data', 'run out', 'direct', 'internet', 'access',' automatic ',' pulse ',' wasteful ',' indeed ',' user ',' seconds', ' Check ',' quota ',' use ',' right ',' buy ',' package ',' ']")</f>
        <v>['quota', 'data', 'run out', 'direct', 'internet', 'access',' automatic ',' pulse ',' wasteful ',' indeed ',' user ',' seconds', ' Check ',' quota ',' use ',' right ',' buy ',' package ',' ']</v>
      </c>
      <c r="D2055" s="3">
        <v>1.0</v>
      </c>
    </row>
    <row r="2056" ht="15.75" customHeight="1">
      <c r="A2056" s="1">
        <v>2054.0</v>
      </c>
      <c r="B2056" s="3" t="s">
        <v>2057</v>
      </c>
      <c r="C2056" s="3" t="str">
        <f>IFERROR(__xludf.DUMMYFUNCTION("GOOGLETRANSLATE(B2056,""id"",""en"")"),"['contents',' pulse ',' application ',' payment ',' via ',' mobile ',' banking ',' application ',' mobile ',' banking ',' notification ',' managed ',' Credit ',' morning ',' enter ',' yes', 'money', 'drift', 'pulse', 'buy', 'repair', 'system', 'service', "&amp;"'completion', 'disappointing' , 'TWT', 'Dibales', 'Min']")</f>
        <v>['contents',' pulse ',' application ',' payment ',' via ',' mobile ',' banking ',' application ',' mobile ',' banking ',' notification ',' managed ',' Credit ',' morning ',' enter ',' yes', 'money', 'drift', 'pulse', 'buy', 'repair', 'system', 'service', 'completion', 'disappointing' , 'TWT', 'Dibales', 'Min']</v>
      </c>
      <c r="D2056" s="3">
        <v>1.0</v>
      </c>
    </row>
    <row r="2057" ht="15.75" customHeight="1">
      <c r="A2057" s="1">
        <v>2055.0</v>
      </c>
      <c r="B2057" s="3" t="s">
        <v>2058</v>
      </c>
      <c r="C2057" s="3" t="str">
        <f>IFERROR(__xludf.DUMMYFUNCTION("GOOGLETRANSLATE(B2057,""id"",""en"")"),"['Package', 'cheerful', 'pulse', 'sos',' already ',' ndak ',' kah ',' min ',' nda ',' pairs', 'oath', 'troubling', ' time ',' list ',' ndak ',' notification ',' success', 'registration', 'annoyed', 'dak', 'mapping', 'quota', 'telkomsel', 'already', 'packa"&amp;"ge' , 'expensive', 'ndak', 'sluggish', 'use', 'data', 'no', 'you', 'Telkomsel', ""]")</f>
        <v>['Package', 'cheerful', 'pulse', 'sos',' already ',' ndak ',' kah ',' min ',' nda ',' pairs', 'oath', 'troubling', ' time ',' list ',' ndak ',' notification ',' success', 'registration', 'annoyed', 'dak', 'mapping', 'quota', 'telkomsel', 'already', 'package' , 'expensive', 'ndak', 'sluggish', 'use', 'data', 'no', 'you', 'Telkomsel', "]</v>
      </c>
      <c r="D2057" s="3">
        <v>2.0</v>
      </c>
    </row>
    <row r="2058" ht="15.75" customHeight="1">
      <c r="A2058" s="1">
        <v>2056.0</v>
      </c>
      <c r="B2058" s="3" t="s">
        <v>2059</v>
      </c>
      <c r="C2058" s="3" t="str">
        <f>IFERROR(__xludf.DUMMYFUNCTION("GOOGLETRANSLATE(B2058,""id"",""en"")"),"['lag', 'connection', 'disconnected', 'repeated', 'improvement', 'price', 'quota', 'increased', 'area', 'jakarta', 'location', ""]")</f>
        <v>['lag', 'connection', 'disconnected', 'repeated', 'improvement', 'price', 'quota', 'increased', 'area', 'jakarta', 'location', "]</v>
      </c>
      <c r="D2058" s="3">
        <v>1.0</v>
      </c>
    </row>
    <row r="2059" ht="15.75" customHeight="1">
      <c r="A2059" s="1">
        <v>2057.0</v>
      </c>
      <c r="B2059" s="3" t="s">
        <v>2060</v>
      </c>
      <c r="C2059" s="3" t="str">
        <f>IFERROR(__xludf.DUMMYFUNCTION("GOOGLETRANSLATE(B2059,""id"",""en"")"),"['objection', 'Telkomsel', 'purchase', 'data', 'internet', 'method', 'payment', 'gopay', 'application', 'Gopay', 'confirm', 'purchase', ' Success', 'MyTelkomsel', 'balance', 'data', 'buy', 'Grapari', 'help', 'Telkomsel', 'deft', 'blame', 'application']")</f>
        <v>['objection', 'Telkomsel', 'purchase', 'data', 'internet', 'method', 'payment', 'gopay', 'application', 'Gopay', 'confirm', 'purchase', ' Success', 'MyTelkomsel', 'balance', 'data', 'buy', 'Grapari', 'help', 'Telkomsel', 'deft', 'blame', 'application']</v>
      </c>
      <c r="D2059" s="3">
        <v>1.0</v>
      </c>
    </row>
    <row r="2060" ht="15.75" customHeight="1">
      <c r="A2060" s="1">
        <v>2058.0</v>
      </c>
      <c r="B2060" s="3" t="s">
        <v>2061</v>
      </c>
      <c r="C2060" s="3" t="str">
        <f>IFERROR(__xludf.DUMMYFUNCTION("GOOGLETRANSLATE(B2060,""id"",""en"")"),"['Please', 'Signal', 'Tanjung', 'Silver', 'Benerin', 'Klau', 'Buy', 'Paketan', 'GB', 'Klau', 'Muter', 'Muter', ' slow ',' jdi ',' klau ',' buy ',' package ',' GB ',' TPI ',' signal ',' ugly ',' please ',' response ',' Telkomsel ',' prgangan ' , 'Satisfied"&amp;"', 'signal', 'rich', 'that's', 'Thanks', '']")</f>
        <v>['Please', 'Signal', 'Tanjung', 'Silver', 'Benerin', 'Klau', 'Buy', 'Paketan', 'GB', 'Klau', 'Muter', 'Muter', ' slow ',' jdi ',' klau ',' buy ',' package ',' GB ',' TPI ',' signal ',' ugly ',' please ',' response ',' Telkomsel ',' prgangan ' , 'Satisfied', 'signal', 'rich', 'that's', 'Thanks', '']</v>
      </c>
      <c r="D2060" s="3">
        <v>1.0</v>
      </c>
    </row>
    <row r="2061" ht="15.75" customHeight="1">
      <c r="A2061" s="1">
        <v>2059.0</v>
      </c>
      <c r="B2061" s="3" t="s">
        <v>2062</v>
      </c>
      <c r="C2061" s="3" t="str">
        <f>IFERROR(__xludf.DUMMYFUNCTION("GOOGLETRANSLATE(B2061,""id"",""en"")"),"['Option', 'run', 'Application', 'Clear', 'Chace', 'Force', 'Stop', 'Download', 'reset', 'Do', 'enter', 'think', ' ',' problematic ',' application ',' please ',' fix ',' provider ',' service ',' communication ',' plate ',' red ',' lose ',' provider ',' pr"&amp;"ivate ' , 'signal', 'quota', 'data', 'open', 'annoying', 'use', 'Telkomsel', ""]")</f>
        <v>['Option', 'run', 'Application', 'Clear', 'Chace', 'Force', 'Stop', 'Download', 'reset', 'Do', 'enter', 'think', ' ',' problematic ',' application ',' please ',' fix ',' provider ',' service ',' communication ',' plate ',' red ',' lose ',' provider ',' private ' , 'signal', 'quota', 'data', 'open', 'annoying', 'use', 'Telkomsel', "]</v>
      </c>
      <c r="D2061" s="3">
        <v>1.0</v>
      </c>
    </row>
    <row r="2062" ht="15.75" customHeight="1">
      <c r="A2062" s="1">
        <v>2060.0</v>
      </c>
      <c r="B2062" s="3" t="s">
        <v>2063</v>
      </c>
      <c r="C2062" s="3" t="str">
        <f>IFERROR(__xludf.DUMMYFUNCTION("GOOGLETRANSLATE(B2062,""id"",""en"")"),"['Come', 'use', 'provider', 'sympathy', 'signal', 'sympathy', 'slow', 'network', 'friend', 'suggest', 'use', 'card', ' network ',' internet ',' read ',' review ',' down ',' comment ',' good ',' ']")</f>
        <v>['Come', 'use', 'provider', 'sympathy', 'signal', 'sympathy', 'slow', 'network', 'friend', 'suggest', 'use', 'card', ' network ',' internet ',' read ',' review ',' down ',' comment ',' good ',' ']</v>
      </c>
      <c r="D2062" s="3">
        <v>1.0</v>
      </c>
    </row>
    <row r="2063" ht="15.75" customHeight="1">
      <c r="A2063" s="1">
        <v>2061.0</v>
      </c>
      <c r="B2063" s="3" t="s">
        <v>2064</v>
      </c>
      <c r="C2063" s="3" t="str">
        <f>IFERROR(__xludf.DUMMYFUNCTION("GOOGLETRANSLATE(B2063,""id"",""en"")"),"['already', 'criticism', 'Eggak', 'improvement', 'monthly', 'lbihh', 'network', 'Telkomsel', 'area', 'slow', 'ugly', 'broken', ' The main ',' network ',' Telkomsel ',' destroyed ',' price ',' card ',' expensive ',' package ',' quality ',' network ',' brok"&amp;"en ',' really ',' use ' , 'open', 'sosmed', 'slow', 'really', 'network', 'play', 'game', 'severe', 'really', 'network', 'mulu', 'ping', ' CMA ',' GMNA ',' Main ',' Kayak ',' GTU ',' Telkomsel ', ""]")</f>
        <v>['already', 'criticism', 'Eggak', 'improvement', 'monthly', 'lbihh', 'network', 'Telkomsel', 'area', 'slow', 'ugly', 'broken', ' The main ',' network ',' Telkomsel ',' destroyed ',' price ',' card ',' expensive ',' package ',' quality ',' network ',' broken ',' really ',' use ' , 'open', 'sosmed', 'slow', 'really', 'network', 'play', 'game', 'severe', 'really', 'network', 'mulu', 'ping', ' CMA ',' GMNA ',' Main ',' Kayak ',' GTU ',' Telkomsel ', "]</v>
      </c>
      <c r="D2063" s="3">
        <v>1.0</v>
      </c>
    </row>
    <row r="2064" ht="15.75" customHeight="1">
      <c r="A2064" s="1">
        <v>2062.0</v>
      </c>
      <c r="B2064" s="3" t="s">
        <v>2065</v>
      </c>
      <c r="C2064" s="3" t="str">
        <f>IFERROR(__xludf.DUMMYFUNCTION("GOOGLETRANSLATE(B2064,""id"",""en"")"),"['Telkomsel', 'network', 'ugly', 'quota', 'big', 'sosmed', 'play', 'game', 'parahhhhhhhh']")</f>
        <v>['Telkomsel', 'network', 'ugly', 'quota', 'big', 'sosmed', 'play', 'game', 'parahhhhhhhh']</v>
      </c>
      <c r="D2064" s="3">
        <v>1.0</v>
      </c>
    </row>
    <row r="2065" ht="15.75" customHeight="1">
      <c r="A2065" s="1">
        <v>2063.0</v>
      </c>
      <c r="B2065" s="3" t="s">
        <v>2066</v>
      </c>
      <c r="C2065" s="3" t="str">
        <f>IFERROR(__xludf.DUMMYFUNCTION("GOOGLETRANSLATE(B2065,""id"",""en"")"),"['Congratulations',' noon ',' activates', 'GPRS', 'number', 'card', 'Nlfon', 'Connect', 'Talk', 'Operator', 'Credit', 'Reduced', ' Contact ',' Dri ',' times', 'nlfon', 'solution', '']")</f>
        <v>['Congratulations',' noon ',' activates', 'GPRS', 'number', 'card', 'Nlfon', 'Connect', 'Talk', 'Operator', 'Credit', 'Reduced', ' Contact ',' Dri ',' times', 'nlfon', 'solution', '']</v>
      </c>
      <c r="D2065" s="3">
        <v>2.0</v>
      </c>
    </row>
    <row r="2066" ht="15.75" customHeight="1">
      <c r="A2066" s="1">
        <v>2064.0</v>
      </c>
      <c r="B2066" s="3" t="s">
        <v>2067</v>
      </c>
      <c r="C2066" s="3" t="str">
        <f>IFERROR(__xludf.DUMMYFUNCTION("GOOGLETRANSLATE(B2066,""id"",""en"")"),"['Package', 'Unlimited', 'Limit', 'Access', 'YouTube', 'Tiktok', 'Sosmed', 'Etc.', 'Game', 'WhatsApp', 'Signal', 'Leet']")</f>
        <v>['Package', 'Unlimited', 'Limit', 'Access', 'YouTube', 'Tiktok', 'Sosmed', 'Etc.', 'Game', 'WhatsApp', 'Signal', 'Leet']</v>
      </c>
      <c r="D2066" s="3">
        <v>1.0</v>
      </c>
    </row>
    <row r="2067" ht="15.75" customHeight="1">
      <c r="A2067" s="1">
        <v>2065.0</v>
      </c>
      <c r="B2067" s="3" t="s">
        <v>2068</v>
      </c>
      <c r="C2067" s="3" t="str">
        <f>IFERROR(__xludf.DUMMYFUNCTION("GOOGLETRANSLATE(B2067,""id"",""en"")"),"['unlimited', 'limit', 'limit', 'reasonable', 'connection', 'slow', 'rich', 'list', 'package', 'Disney', 'hotstar', 'registered', ' ']")</f>
        <v>['unlimited', 'limit', 'limit', 'reasonable', 'connection', 'slow', 'rich', 'list', 'package', 'Disney', 'hotstar', 'registered', ' ']</v>
      </c>
      <c r="D2067" s="3">
        <v>2.0</v>
      </c>
    </row>
    <row r="2068" ht="15.75" customHeight="1">
      <c r="A2068" s="1">
        <v>2066.0</v>
      </c>
      <c r="B2068" s="3" t="s">
        <v>2069</v>
      </c>
      <c r="C2068" s="3" t="str">
        <f>IFERROR(__xludf.DUMMYFUNCTION("GOOGLETRANSLATE(B2068,""id"",""en"")"),"['Function', 'help', 'contents',' buy ',' package ',' the application ',' stop ',' fail ',' contents', 'pulse', 'service', 'Costumer', ' Service ',' Service ',' Veronica ',' Teparted ',' ']")</f>
        <v>['Function', 'help', 'contents',' buy ',' package ',' the application ',' stop ',' fail ',' contents', 'pulse', 'service', 'Costumer', ' Service ',' Service ',' Veronica ',' Teparted ',' ']</v>
      </c>
      <c r="D2068" s="3">
        <v>3.0</v>
      </c>
    </row>
    <row r="2069" ht="15.75" customHeight="1">
      <c r="A2069" s="1">
        <v>2067.0</v>
      </c>
      <c r="B2069" s="3" t="s">
        <v>2070</v>
      </c>
      <c r="C2069" s="3" t="str">
        <f>IFERROR(__xludf.DUMMYFUNCTION("GOOGLETRANSLATE(B2069,""id"",""en"")"),"['Contents',' Credit ',' Via ',' Application ',' Telkomsel ',' Payment ',' Via ',' BCA ',' Banking ',' Balance ',' Reduced ',' Transfer ',' Credit ',' RB ',' Enter ',' Chat ',' Operator ',' Order ',' Via ',' WhatsApp ',' Link ',' WhatsApp ',' Open ',' Err"&amp;"or ',' Content ' , 'pulse', 'via', 'application', 'Telkomsel', 'service', 'satisfying']")</f>
        <v>['Contents',' Credit ',' Via ',' Application ',' Telkomsel ',' Payment ',' Via ',' BCA ',' Banking ',' Balance ',' Reduced ',' Transfer ',' Credit ',' RB ',' Enter ',' Chat ',' Operator ',' Order ',' Via ',' WhatsApp ',' Link ',' WhatsApp ',' Open ',' Error ',' Content ' , 'pulse', 'via', 'application', 'Telkomsel', 'service', 'satisfying']</v>
      </c>
      <c r="D2069" s="3">
        <v>1.0</v>
      </c>
    </row>
    <row r="2070" ht="15.75" customHeight="1">
      <c r="A2070" s="1">
        <v>2068.0</v>
      </c>
      <c r="B2070" s="3" t="s">
        <v>2071</v>
      </c>
      <c r="C2070" s="3" t="str">
        <f>IFERROR(__xludf.DUMMYFUNCTION("GOOGLETRANSLATE(B2070,""id"",""en"")"),"['Telkomsel', 'Maling', 'Credit', 'Provider', 'Indonesia', 'Balance', 'Credit', 'Out', 'Suck', 'Internet', 'Network', 'Quota', ' Ready ',' HEIII ',' Telkomsel ',' Coverage ',' Coverage ',' City ',' Medan ',' Cook ',' Lost ',' Ama ',' Tri ',' Ooreedo ',' M"&amp;"reka ' , 'Cutting', 'pulse', 'main', 'internet', 'dozens',' people ',' complain ',' suck ',' pulses', 'hundreds',' thousands', 'people', ' Help ',' Suck ',' pulse ',' main ',' deliberate ',' ']")</f>
        <v>['Telkomsel', 'Maling', 'Credit', 'Provider', 'Indonesia', 'Balance', 'Credit', 'Out', 'Suck', 'Internet', 'Network', 'Quota', ' Ready ',' HEIII ',' Telkomsel ',' Coverage ',' Coverage ',' City ',' Medan ',' Cook ',' Lost ',' Ama ',' Tri ',' Ooreedo ',' Mreka ' , 'Cutting', 'pulse', 'main', 'internet', 'dozens',' people ',' complain ',' suck ',' pulses', 'hundreds',' thousands', 'people', ' Help ',' Suck ',' pulse ',' main ',' deliberate ',' ']</v>
      </c>
      <c r="D2070" s="3">
        <v>1.0</v>
      </c>
    </row>
    <row r="2071" ht="15.75" customHeight="1">
      <c r="A2071" s="1">
        <v>2069.0</v>
      </c>
      <c r="B2071" s="3" t="s">
        <v>2072</v>
      </c>
      <c r="C2071" s="3" t="str">
        <f>IFERROR(__xludf.DUMMYFUNCTION("GOOGLETRANSLATE(B2071,""id"",""en"")"),"['quota', 'expensive', 'network', 'rich', 'pig', 'right', 'hayukkk']")</f>
        <v>['quota', 'expensive', 'network', 'rich', 'pig', 'right', 'hayukkk']</v>
      </c>
      <c r="D2071" s="3">
        <v>1.0</v>
      </c>
    </row>
    <row r="2072" ht="15.75" customHeight="1">
      <c r="A2072" s="1">
        <v>2070.0</v>
      </c>
      <c r="B2072" s="3" t="s">
        <v>2073</v>
      </c>
      <c r="C2072" s="3" t="str">
        <f>IFERROR(__xludf.DUMMYFUNCTION("GOOGLETRANSLATE(B2072,""id"",""en"")"),"['telephone', 'buy', 'pulse', 'RB', 'via', 'Telkomsel', 'enter', 'payment', 'method', 'virtual', 'account', 'BCA', ' Enter ',' entry ',' help ',' contents', 'pulse', 'suggested', 'buy', 'fear', 'enter', 'wait', 'hours',' need ',' credit ' , 'Wait', 'Tomor"&amp;"row', 'Discard', 'Money', 'Discard', 'Good', 'Indosat', 'River', 'Move', 'Genesis', 'June', ""]")</f>
        <v>['telephone', 'buy', 'pulse', 'RB', 'via', 'Telkomsel', 'enter', 'payment', 'method', 'virtual', 'account', 'BCA', ' Enter ',' entry ',' help ',' contents', 'pulse', 'suggested', 'buy', 'fear', 'enter', 'wait', 'hours',' need ',' credit ' , 'Wait', 'Tomorrow', 'Discard', 'Money', 'Discard', 'Good', 'Indosat', 'River', 'Move', 'Genesis', 'June', "]</v>
      </c>
      <c r="D2072" s="3">
        <v>1.0</v>
      </c>
    </row>
    <row r="2073" ht="15.75" customHeight="1">
      <c r="A2073" s="1">
        <v>2071.0</v>
      </c>
      <c r="B2073" s="3" t="s">
        <v>2074</v>
      </c>
      <c r="C2073" s="3" t="str">
        <f>IFERROR(__xludf.DUMMYFUNCTION("GOOGLETRANSLATE(B2073,""id"",""en"")"),"['ugly', 'people', 'subscriptions',' times', 'missing', 'signal', 'contents',' package ',' dimna ',' power ',' trnsfer ',' pulses', ' Malussah ',' Telkomsel ',' price ',' package ',' at the beginning ',' Doang ',' murahh ',' Ambyarrrr ',' Lahh ',' Ele ', "&amp;"""]")</f>
        <v>['ugly', 'people', 'subscriptions',' times', 'missing', 'signal', 'contents',' package ',' dimna ',' power ',' trnsfer ',' pulses', ' Malussah ',' Telkomsel ',' price ',' package ',' at the beginning ',' Doang ',' murahh ',' Ambyarrrr ',' Lahh ',' Ele ', "]</v>
      </c>
      <c r="D2073" s="3">
        <v>1.0</v>
      </c>
    </row>
    <row r="2074" ht="15.75" customHeight="1">
      <c r="A2074" s="1">
        <v>2072.0</v>
      </c>
      <c r="B2074" s="3" t="s">
        <v>2075</v>
      </c>
      <c r="C2074" s="3" t="str">
        <f>IFERROR(__xludf.DUMMYFUNCTION("GOOGLETRANSLATE(B2074,""id"",""en"")"),"['Credit', 'entered', 'told', 'Waiting', 'Clock', 'Waiting', 'Afterwards',' told ',' Waiting ',' Clock ',' Disappointing ',' Proof ',' Payment ',' told ',' Waiting ',' Disappointing ']")</f>
        <v>['Credit', 'entered', 'told', 'Waiting', 'Clock', 'Waiting', 'Afterwards',' told ',' Waiting ',' Clock ',' Disappointing ',' Proof ',' Payment ',' told ',' Waiting ',' Disappointing ']</v>
      </c>
      <c r="D2074" s="3">
        <v>1.0</v>
      </c>
    </row>
    <row r="2075" ht="15.75" customHeight="1">
      <c r="A2075" s="1">
        <v>2073.0</v>
      </c>
      <c r="B2075" s="3" t="s">
        <v>2076</v>
      </c>
      <c r="C2075" s="3" t="str">
        <f>IFERROR(__xludf.DUMMYFUNCTION("GOOGLETRANSLATE(B2075,""id"",""en"")"),"['buy', 'package', 'data', 'system', 'busy', 'tried it', 'application', 'sampau', 'continues',' Please ',' authorized ',' right ',' Fix ',' Complete ']")</f>
        <v>['buy', 'package', 'data', 'system', 'busy', 'tried it', 'application', 'sampau', 'continues',' Please ',' authorized ',' right ',' Fix ',' Complete ']</v>
      </c>
      <c r="D2075" s="3">
        <v>1.0</v>
      </c>
    </row>
    <row r="2076" ht="15.75" customHeight="1">
      <c r="A2076" s="1">
        <v>2074.0</v>
      </c>
      <c r="B2076" s="3" t="s">
        <v>2077</v>
      </c>
      <c r="C2076" s="3" t="str">
        <f>IFERROR(__xludf.DUMMYFUNCTION("GOOGLETRANSLATE(B2076,""id"",""en"")"),"['', 'many', 'SMS', 'Telkomsel', 'related', 'offer', 'promotion', 'uncomfortable', 'disrupted', 'application', 'Telkomsel', 'quality', 'network ',' weak ',' weather ',' rain ',' slow ',' really ',' Telkomsel ',' consistent ',' application ',' Telkomsel ',"&amp;"' distinguish ',' based ',' version ', 'device', 'application', 'Telkomsel']")</f>
        <v>['', 'many', 'SMS', 'Telkomsel', 'related', 'offer', 'promotion', 'uncomfortable', 'disrupted', 'application', 'Telkomsel', 'quality', 'network ',' weak ',' weather ',' rain ',' slow ',' really ',' Telkomsel ',' consistent ',' application ',' Telkomsel ',' distinguish ',' based ',' version ', 'device', 'application', 'Telkomsel']</v>
      </c>
      <c r="D2076" s="3">
        <v>3.0</v>
      </c>
    </row>
    <row r="2077" ht="15.75" customHeight="1">
      <c r="A2077" s="1">
        <v>2075.0</v>
      </c>
      <c r="B2077" s="3" t="s">
        <v>2078</v>
      </c>
      <c r="C2077" s="3" t="str">
        <f>IFERROR(__xludf.DUMMYFUNCTION("GOOGLETRANSLATE(B2077,""id"",""en"")"),"['Contents',' pulse ',' minimal ',' block ',' clarity ',' mean ',' try ',' active ',' until ',' late ',' fill ',' fill ',' Sometimes', 'Sampe', 'Anggep', 'Alms',' Times', 'Kapok', 'PKE', 'Telkomsel', 'Fear', 'Block', 'Nomer', 'Udh', 'know' , 'told', 'acco"&amp;"unt', 'Paspabay', 'Ogah', 'bngt', 'essence', 'kapok', 'Telkomsel']")</f>
        <v>['Contents',' pulse ',' minimal ',' block ',' clarity ',' mean ',' try ',' active ',' until ',' late ',' fill ',' fill ',' Sometimes', 'Sampe', 'Anggep', 'Alms',' Times', 'Kapok', 'PKE', 'Telkomsel', 'Fear', 'Block', 'Nomer', 'Udh', 'know' , 'told', 'account', 'Paspabay', 'Ogah', 'bngt', 'essence', 'kapok', 'Telkomsel']</v>
      </c>
      <c r="D2077" s="3">
        <v>1.0</v>
      </c>
    </row>
    <row r="2078" ht="15.75" customHeight="1">
      <c r="A2078" s="1">
        <v>2076.0</v>
      </c>
      <c r="B2078" s="3" t="s">
        <v>2079</v>
      </c>
      <c r="C2078" s="3" t="str">
        <f>IFERROR(__xludf.DUMMYFUNCTION("GOOGLETRANSLATE(B2078,""id"",""en"")"),"['contents',' pulse ',' date ',' June ',' pulse ',' telephone ',' where ',' sumps', 'thousand', 'thousand', 'times',' call ',' minutes', 'call', 'udaj', 'abis',' situ ',' sucked ',' pulse ',' summit ',' customer ',' told ',' retwit ',' twitter ',' halah '"&amp;" , 'stale', 'Telkomsel', 'first', 'sucked', 'credit', 'Telkomsel', 'ama', 'IM', 'really', 'sucked', 'pulse', 'silver', ' Until ',' Rupiah ']")</f>
        <v>['contents',' pulse ',' date ',' June ',' pulse ',' telephone ',' where ',' sumps', 'thousand', 'thousand', 'times',' call ',' minutes', 'call', 'udaj', 'abis',' situ ',' sucked ',' pulse ',' summit ',' customer ',' told ',' retwit ',' twitter ',' halah ' , 'stale', 'Telkomsel', 'first', 'sucked', 'credit', 'Telkomsel', 'ama', 'IM', 'really', 'sucked', 'pulse', 'silver', ' Until ',' Rupiah ']</v>
      </c>
      <c r="D2078" s="3">
        <v>1.0</v>
      </c>
    </row>
    <row r="2079" ht="15.75" customHeight="1">
      <c r="A2079" s="1">
        <v>2077.0</v>
      </c>
      <c r="B2079" s="3" t="s">
        <v>2080</v>
      </c>
      <c r="C2079" s="3" t="str">
        <f>IFERROR(__xludf.DUMMYFUNCTION("GOOGLETRANSLATE(B2079,""id"",""en"")"),"['Please', 'Telkomsel', 'eat', 'all day', 'buy', 'pulse', 'doang', 'right', 'contents', 'pulse', 'cut "",' pulses ',' Fill ',' Abis', 'Stay', 'Remnants',' Doang ',' Condition ',' Data ',' Internet ',' Dead ', ""]")</f>
        <v>['Please', 'Telkomsel', 'eat', 'all day', 'buy', 'pulse', 'doang', 'right', 'contents', 'pulse', 'cut ",' pulses ',' Fill ',' Abis', 'Stay', 'Remnants',' Doang ',' Condition ',' Data ',' Internet ',' Dead ', "]</v>
      </c>
      <c r="D2079" s="3">
        <v>1.0</v>
      </c>
    </row>
    <row r="2080" ht="15.75" customHeight="1">
      <c r="A2080" s="1">
        <v>2078.0</v>
      </c>
      <c r="B2080" s="3" t="s">
        <v>2081</v>
      </c>
      <c r="C2080" s="3" t="str">
        <f>IFERROR(__xludf.DUMMYFUNCTION("GOOGLETRANSLATE(B2080,""id"",""en"")"),"['Hadehhh', 'network', 'provider', 'slow', 'price', 'package', 'expensive', 'complaint', 'bot', 'right', 'payday', 'price', ' Package ',' Dinaikin ',' Hadehhh ',' Moving ',' Im ',' Ooredoo ',' Yok ',' friend ',' Moving ',' Provider ',' Kasian ',' Loss', "&amp;"""]")</f>
        <v>['Hadehhh', 'network', 'provider', 'slow', 'price', 'package', 'expensive', 'complaint', 'bot', 'right', 'payday', 'price', ' Package ',' Dinaikin ',' Hadehhh ',' Moving ',' Im ',' Ooredoo ',' Yok ',' friend ',' Moving ',' Provider ',' Kasian ',' Loss', "]</v>
      </c>
      <c r="D2080" s="3">
        <v>1.0</v>
      </c>
    </row>
    <row r="2081" ht="15.75" customHeight="1">
      <c r="A2081" s="1">
        <v>2079.0</v>
      </c>
      <c r="B2081" s="3" t="s">
        <v>2082</v>
      </c>
      <c r="C2081" s="3" t="str">
        <f>IFERROR(__xludf.DUMMYFUNCTION("GOOGLETRANSLATE(B2081,""id"",""en"")"),"['Astaghfirullah', 'Adzim', 'Feelings',' Operator ',' Next ',' Good ',' Koq ',' Taste ',' Leet ',' Class', 'Sympathy', 'Lohh', ' filled ',' pulse ',' right ',' use ',' koq ',' zero ',' ghost ',' suction ',' kahhhhh ']")</f>
        <v>['Astaghfirullah', 'Adzim', 'Feelings',' Operator ',' Next ',' Good ',' Koq ',' Taste ',' Leet ',' Class', 'Sympathy', 'Lohh', ' filled ',' pulse ',' right ',' use ',' koq ',' zero ',' ghost ',' suction ',' kahhhhh ']</v>
      </c>
      <c r="D2081" s="3">
        <v>1.0</v>
      </c>
    </row>
    <row r="2082" ht="15.75" customHeight="1">
      <c r="A2082" s="1">
        <v>2080.0</v>
      </c>
      <c r="B2082" s="3" t="s">
        <v>2083</v>
      </c>
      <c r="C2082" s="3" t="str">
        <f>IFERROR(__xludf.DUMMYFUNCTION("GOOGLETRANSLATE(B2082,""id"",""en"")"),"['Promo', 'special', 'quota', 'GB', 'price', 'Tipu', 'Tipu', 'already', 'repeat', 'times',' Acc ',' turn ',' Select ',' promo ',' special ',' GB ',' Price ',' RB ',' Direct ',' ACC ']")</f>
        <v>['Promo', 'special', 'quota', 'GB', 'price', 'Tipu', 'Tipu', 'already', 'repeat', 'times',' Acc ',' turn ',' Select ',' promo ',' special ',' GB ',' Price ',' RB ',' Direct ',' ACC ']</v>
      </c>
      <c r="D2082" s="3">
        <v>1.0</v>
      </c>
    </row>
    <row r="2083" ht="15.75" customHeight="1">
      <c r="A2083" s="1">
        <v>2081.0</v>
      </c>
      <c r="B2083" s="3" t="s">
        <v>2084</v>
      </c>
      <c r="C2083" s="3" t="str">
        <f>IFERROR(__xludf.DUMMYFUNCTION("GOOGLETRANSLATE(B2083,""id"",""en"")"),"['Satisfied', 'application', 'Telkomsel', 'easy', 'check', 'data', 'internet', 'sisah', 'pulse', 'mass',' apply ',' card ',' bonus', 'tlpn', 'sms',' ninthahui ',' sisah ',' funds', 'monetary', 'charging', 'pulse', 'truncated', 'except', 'buy', 'data' ]")</f>
        <v>['Satisfied', 'application', 'Telkomsel', 'easy', 'check', 'data', 'internet', 'sisah', 'pulse', 'mass',' apply ',' card ',' bonus', 'tlpn', 'sms',' ninthahui ',' sisah ',' funds', 'monetary', 'charging', 'pulse', 'truncated', 'except', 'buy', 'data' ]</v>
      </c>
      <c r="D2083" s="3">
        <v>5.0</v>
      </c>
    </row>
    <row r="2084" ht="15.75" customHeight="1">
      <c r="A2084" s="1">
        <v>2082.0</v>
      </c>
      <c r="B2084" s="3" t="s">
        <v>2085</v>
      </c>
      <c r="C2084" s="3" t="str">
        <f>IFERROR(__xludf.DUMMYFUNCTION("GOOGLETRANSLATE(B2084,""id"",""en"")"),"['Buy', 'Package', 'Multimedia', 'YABG', 'Unlimired', 'YouTube', 'Reduced', 'Quota', 'Main', 'Reduced', 'Liat', 'YouTube', ' already ',' package ',' expensive ',' loss', 'buy', 'expensive', ""]")</f>
        <v>['Buy', 'Package', 'Multimedia', 'YABG', 'Unlimired', 'YouTube', 'Reduced', 'Quota', 'Main', 'Reduced', 'Liat', 'YouTube', ' already ',' package ',' expensive ',' loss', 'buy', 'expensive', "]</v>
      </c>
      <c r="D2084" s="3">
        <v>1.0</v>
      </c>
    </row>
    <row r="2085" ht="15.75" customHeight="1">
      <c r="A2085" s="1">
        <v>2083.0</v>
      </c>
      <c r="B2085" s="3" t="s">
        <v>2086</v>
      </c>
      <c r="C2085" s="3" t="str">
        <f>IFERROR(__xludf.DUMMYFUNCTION("GOOGLETRANSLATE(B2085,""id"",""en"")"),"['buy', 'package', 'internet', 'his writing', 'unlimited', 'social', 'media', 'youtube', 'etc.', 'right', 'quota', 'main', ' Abis', 'Speed', 'Drop', 'Abis',' Unlimited ',' Limited ',' PERKANPU ',' ']")</f>
        <v>['buy', 'package', 'internet', 'his writing', 'unlimited', 'social', 'media', 'youtube', 'etc.', 'right', 'quota', 'main', ' Abis', 'Speed', 'Drop', 'Abis',' Unlimited ',' Limited ',' PERKANPU ',' ']</v>
      </c>
      <c r="D2085" s="3">
        <v>1.0</v>
      </c>
    </row>
    <row r="2086" ht="15.75" customHeight="1">
      <c r="A2086" s="1">
        <v>2084.0</v>
      </c>
      <c r="B2086" s="3" t="s">
        <v>2087</v>
      </c>
      <c r="C2086" s="3" t="str">
        <f>IFERROR(__xludf.DUMMYFUNCTION("GOOGLETRANSLATE(B2086,""id"",""en"")"),"['Disappointed', 'Quota', 'Unlimited', 'Limit', 'Yesterday', 'Free', 'Sepat', 'Since', 'Limit', 'Out', 'Quota', ""]")</f>
        <v>['Disappointed', 'Quota', 'Unlimited', 'Limit', 'Yesterday', 'Free', 'Sepat', 'Since', 'Limit', 'Out', 'Quota', "]</v>
      </c>
      <c r="D2086" s="3">
        <v>1.0</v>
      </c>
    </row>
    <row r="2087" ht="15.75" customHeight="1">
      <c r="A2087" s="1">
        <v>2085.0</v>
      </c>
      <c r="B2087" s="3" t="s">
        <v>2088</v>
      </c>
      <c r="C2087" s="3" t="str">
        <f>IFERROR(__xludf.DUMMYFUNCTION("GOOGLETRANSLATE(B2087,""id"",""en"")"),"['Knp', 'choice', 'buy', 'Package', 'Combo', 'Sakti', 'GB', 'KNP', 'expensive', 'offered', 'GB', 'GB', ' Ngak ',' Telkomsel ', ""]")</f>
        <v>['Knp', 'choice', 'buy', 'Package', 'Combo', 'Sakti', 'GB', 'KNP', 'expensive', 'offered', 'GB', 'GB', ' Ngak ',' Telkomsel ', "]</v>
      </c>
      <c r="D2087" s="3">
        <v>2.0</v>
      </c>
    </row>
    <row r="2088" ht="15.75" customHeight="1">
      <c r="A2088" s="1">
        <v>2086.0</v>
      </c>
      <c r="B2088" s="3" t="s">
        <v>2089</v>
      </c>
      <c r="C2088" s="3" t="str">
        <f>IFERROR(__xludf.DUMMYFUNCTION("GOOGLETRANSLATE(B2088,""id"",""en"")"),"['', 'Hurry up', 'price', 'expensive', 'internet', 'ugly', 'pulse', 'suck', 'package', 'person', 'bnyak', 'moved', 'operator ']")</f>
        <v>['', 'Hurry up', 'price', 'expensive', 'internet', 'ugly', 'pulse', 'suck', 'package', 'person', 'bnyak', 'moved', 'operator ']</v>
      </c>
      <c r="D2088" s="3">
        <v>1.0</v>
      </c>
    </row>
    <row r="2089" ht="15.75" customHeight="1">
      <c r="A2089" s="1">
        <v>2087.0</v>
      </c>
      <c r="B2089" s="3" t="s">
        <v>2090</v>
      </c>
      <c r="C2089" s="3" t="str">
        <f>IFERROR(__xludf.DUMMYFUNCTION("GOOGLETRANSLATE(B2089,""id"",""en"")"),"['Error', 'contents', 'credit', 'ovo', 'price', 'expensive', 'service', 'good', 'emotion']")</f>
        <v>['Error', 'contents', 'credit', 'ovo', 'price', 'expensive', 'service', 'good', 'emotion']</v>
      </c>
      <c r="D2089" s="3">
        <v>1.0</v>
      </c>
    </row>
    <row r="2090" ht="15.75" customHeight="1">
      <c r="A2090" s="1">
        <v>2088.0</v>
      </c>
      <c r="B2090" s="3" t="s">
        <v>2091</v>
      </c>
      <c r="C2090" s="3" t="str">
        <f>IFERROR(__xludf.DUMMYFUNCTION("GOOGLETRANSLATE(B2090,""id"",""en"")"),"['signal', 'bad', 'package', 'data', 'expensive', 'customer', 'package', 'saktu', 'deleted', 'buy', 'package', 'omg', ' RB ',' Get ',' GB ',' Severe ']")</f>
        <v>['signal', 'bad', 'package', 'data', 'expensive', 'customer', 'package', 'saktu', 'deleted', 'buy', 'package', 'omg', ' RB ',' Get ',' GB ',' Severe ']</v>
      </c>
      <c r="D2090" s="3">
        <v>1.0</v>
      </c>
    </row>
    <row r="2091" ht="15.75" customHeight="1">
      <c r="A2091" s="1">
        <v>2089.0</v>
      </c>
      <c r="B2091" s="3" t="s">
        <v>2092</v>
      </c>
      <c r="C2091" s="3" t="str">
        <f>IFERROR(__xludf.DUMMYFUNCTION("GOOGLETRANSLATE(B2091,""id"",""en"")"),"['error', 'top', 'pulse', 'application', 'choice', 'payment', 'gada', 'choice', 'transfer', 'bank', 'ovo', 'Linkin', ' Shopeepay ',' ']")</f>
        <v>['error', 'top', 'pulse', 'application', 'choice', 'payment', 'gada', 'choice', 'transfer', 'bank', 'ovo', 'Linkin', ' Shopeepay ',' ']</v>
      </c>
      <c r="D2091" s="3">
        <v>2.0</v>
      </c>
    </row>
    <row r="2092" ht="15.75" customHeight="1">
      <c r="A2092" s="1">
        <v>2090.0</v>
      </c>
      <c r="B2092" s="3" t="s">
        <v>2093</v>
      </c>
      <c r="C2092" s="3" t="str">
        <f>IFERROR(__xludf.DUMMYFUNCTION("GOOGLETRANSLATE(B2092,""id"",""en"")"),"['TTP', 'star', 'listen', 'complaints',' consumer ',' arrogant ',' apk ',' error ',' buy ',' pulse ',' kayak ',' apk ',' Artificial ',' boy ',' ']")</f>
        <v>['TTP', 'star', 'listen', 'complaints',' consumer ',' arrogant ',' apk ',' error ',' buy ',' pulse ',' kayak ',' apk ',' Artificial ',' boy ',' ']</v>
      </c>
      <c r="D2092" s="3">
        <v>1.0</v>
      </c>
    </row>
    <row r="2093" ht="15.75" customHeight="1">
      <c r="A2093" s="1">
        <v>2091.0</v>
      </c>
      <c r="B2093" s="3" t="s">
        <v>2094</v>
      </c>
      <c r="C2093" s="3" t="str">
        <f>IFERROR(__xludf.DUMMYFUNCTION("GOOGLETRANSLATE(B2093,""id"",""en"")"),"['Times',' Telkomsel ',' disappointing ',' use ',' slow ',' network ',' like ',' missing ',' arising ',' network ',' plus', 'quota', ' unlimited ',' restricted ',' slow ',' please ',' Telkomsel ',' returned ']")</f>
        <v>['Times',' Telkomsel ',' disappointing ',' use ',' slow ',' network ',' like ',' missing ',' arising ',' network ',' plus', 'quota', ' unlimited ',' restricted ',' slow ',' please ',' Telkomsel ',' returned ']</v>
      </c>
      <c r="D2093" s="3">
        <v>1.0</v>
      </c>
    </row>
    <row r="2094" ht="15.75" customHeight="1">
      <c r="A2094" s="1">
        <v>2092.0</v>
      </c>
      <c r="B2094" s="3" t="s">
        <v>2095</v>
      </c>
      <c r="C2094" s="3" t="str">
        <f>IFERROR(__xludf.DUMMYFUNCTION("GOOGLETRANSLATE(B2094,""id"",""en"")"),"['Sorry', 'quota', 'GB', 'play', 'game', 'social', 'media', 'quota', 'quota', 'local', 'access',' application ',' How ',' price ',' quota ',' Telkomsel ',' expensive ',' expensive ',' please ',' Telkomsel ',' the application ',' price ',' quota ',' down '"&amp;"]")</f>
        <v>['Sorry', 'quota', 'GB', 'play', 'game', 'social', 'media', 'quota', 'quota', 'local', 'access',' application ',' How ',' price ',' quota ',' Telkomsel ',' expensive ',' expensive ',' please ',' Telkomsel ',' the application ',' price ',' quota ',' down ']</v>
      </c>
      <c r="D2094" s="3">
        <v>1.0</v>
      </c>
    </row>
    <row r="2095" ht="15.75" customHeight="1">
      <c r="A2095" s="1">
        <v>2093.0</v>
      </c>
      <c r="B2095" s="3" t="s">
        <v>2096</v>
      </c>
      <c r="C2095" s="3" t="str">
        <f>IFERROR(__xludf.DUMMYFUNCTION("GOOGLETRANSLATE(B2095,""id"",""en"")"),"['Hello', 'application', 'Help', 'transaction', 'purchase', 'pulse', 'quota', 'darling', 'sometimes',' signal ',' stable ',' Bali ',' Sometimes', 'good', 'sometimes',' signal ',' because ',' work ',' ']")</f>
        <v>['Hello', 'application', 'Help', 'transaction', 'purchase', 'pulse', 'quota', 'darling', 'sometimes',' signal ',' stable ',' Bali ',' Sometimes', 'good', 'sometimes',' signal ',' because ',' work ',' ']</v>
      </c>
      <c r="D2095" s="3">
        <v>5.0</v>
      </c>
    </row>
    <row r="2096" ht="15.75" customHeight="1">
      <c r="A2096" s="1">
        <v>2094.0</v>
      </c>
      <c r="B2096" s="3" t="s">
        <v>2097</v>
      </c>
      <c r="C2096" s="3" t="str">
        <f>IFERROR(__xludf.DUMMYFUNCTION("GOOGLETRANSLATE(B2096,""id"",""en"")"),"['comment', 'Telkomsel', 'slow', 'slow']")</f>
        <v>['comment', 'Telkomsel', 'slow', 'slow']</v>
      </c>
      <c r="D2096" s="3">
        <v>3.0</v>
      </c>
    </row>
    <row r="2097" ht="15.75" customHeight="1">
      <c r="A2097" s="1">
        <v>2095.0</v>
      </c>
      <c r="B2097" s="3" t="s">
        <v>2098</v>
      </c>
      <c r="C2097" s="3" t="str">
        <f>IFERROR(__xludf.DUMMYFUNCTION("GOOGLETRANSLATE(B2097,""id"",""en"")"),"['Sinyal', 'ugly', 'really', 'Telkomsel', 'Telkomsel', 'good', 'already', 'that's',' sucked ',' quota ',' fast ',' really ',' Please, 'Enhanced', 'effectiveness', '']")</f>
        <v>['Sinyal', 'ugly', 'really', 'Telkomsel', 'Telkomsel', 'good', 'already', 'that's',' sucked ',' quota ',' fast ',' really ',' Please, 'Enhanced', 'effectiveness', '']</v>
      </c>
      <c r="D2097" s="3">
        <v>1.0</v>
      </c>
    </row>
    <row r="2098" ht="15.75" customHeight="1">
      <c r="A2098" s="1">
        <v>2096.0</v>
      </c>
      <c r="B2098" s="3" t="s">
        <v>2099</v>
      </c>
      <c r="C2098" s="3" t="str">
        <f>IFERROR(__xludf.DUMMYFUNCTION("GOOGLETRANSLATE(B2098,""id"",""en"")"),"['pulse', 'suckers',' blank ',' quota ',' data ',' already ',' pay attention ',' contents', 'pulse', 'system', 'Telkomsel', 'fixed', ' Please, 'Loss', 'Consumer', '']")</f>
        <v>['pulse', 'suckers',' blank ',' quota ',' data ',' already ',' pay attention ',' contents', 'pulse', 'system', 'Telkomsel', 'fixed', ' Please, 'Loss', 'Consumer', '']</v>
      </c>
      <c r="D2098" s="3">
        <v>1.0</v>
      </c>
    </row>
    <row r="2099" ht="15.75" customHeight="1">
      <c r="A2099" s="1">
        <v>2097.0</v>
      </c>
      <c r="B2099" s="3" t="s">
        <v>2100</v>
      </c>
      <c r="C2099" s="3" t="str">
        <f>IFERROR(__xludf.DUMMYFUNCTION("GOOGLETRANSLATE(B2099,""id"",""en"")"),"['My APK', 'Help', 'Price', 'Expensive', 'Group', 'Medium', 'Package', 'Quota', 'Game', 'Restricted', 'Try', 'Games',' wise ',' hmm ',' star ',' go around ',' my head ',' haddeuuh ',' indonesia ']")</f>
        <v>['My APK', 'Help', 'Price', 'Expensive', 'Group', 'Medium', 'Package', 'Quota', 'Game', 'Restricted', 'Try', 'Games',' wise ',' hmm ',' star ',' go around ',' my head ',' haddeuuh ',' indonesia ']</v>
      </c>
      <c r="D2099" s="3">
        <v>2.0</v>
      </c>
    </row>
    <row r="2100" ht="15.75" customHeight="1">
      <c r="A2100" s="1">
        <v>2098.0</v>
      </c>
      <c r="B2100" s="3" t="s">
        <v>2101</v>
      </c>
      <c r="C2100" s="3" t="str">
        <f>IFERROR(__xludf.DUMMYFUNCTION("GOOGLETRANSLATE(B2100,""id"",""en"")"),"['Telkomsel', 'top', 'pulse', 'application', 'pulse', 'nominal', 'top', 'entry', 'monetary', 'buy', 'package', 'udh', ' Contact ',' Costumer ',' Service ',' APK ',' TANI ',' CAPTURE ',' UDH ',' Web ',' Gabisa ',' Upload ',' Ribet ',' help ',' money ' , 'w"&amp;"hat', 'hope', 'contents',' pulse ',' application ',' ngelamin ',' how ',' buy ',' use ',' money ',' performance ',' Telkom ',' down', '']")</f>
        <v>['Telkomsel', 'top', 'pulse', 'application', 'pulse', 'nominal', 'top', 'entry', 'monetary', 'buy', 'package', 'udh', ' Contact ',' Costumer ',' Service ',' APK ',' TANI ',' CAPTURE ',' UDH ',' Web ',' Gabisa ',' Upload ',' Ribet ',' help ',' money ' , 'what', 'hope', 'contents',' pulse ',' application ',' ngelamin ',' how ',' buy ',' use ',' money ',' performance ',' Telkom ',' down', '']</v>
      </c>
      <c r="D2100" s="3">
        <v>1.0</v>
      </c>
    </row>
    <row r="2101" ht="15.75" customHeight="1">
      <c r="A2101" s="1">
        <v>2099.0</v>
      </c>
      <c r="B2101" s="3" t="s">
        <v>2102</v>
      </c>
      <c r="C2101" s="3" t="str">
        <f>IFERROR(__xludf.DUMMYFUNCTION("GOOGLETRANSLATE(B2101,""id"",""en"")"),"['Please', 'Help', 'updated', 'update', 'newest', 'application', 'use', 'force', 'close', 'closed', 'memory', 'RAM', ' Hape ',' left ']")</f>
        <v>['Please', 'Help', 'updated', 'update', 'newest', 'application', 'use', 'force', 'close', 'closed', 'memory', 'RAM', ' Hape ',' left ']</v>
      </c>
      <c r="D2101" s="3">
        <v>1.0</v>
      </c>
    </row>
    <row r="2102" ht="15.75" customHeight="1">
      <c r="A2102" s="1">
        <v>2100.0</v>
      </c>
      <c r="B2102" s="3" t="s">
        <v>2103</v>
      </c>
      <c r="C2102" s="3" t="str">
        <f>IFERROR(__xludf.DUMMYFUNCTION("GOOGLETRANSLATE(B2102,""id"",""en"")"),"['woiii', 'tsel', 'package', 'telephone', 'unlimited', 'missing', 'abis', 'update', 'application', 'change', 'missing', ""]")</f>
        <v>['woiii', 'tsel', 'package', 'telephone', 'unlimited', 'missing', 'abis', 'update', 'application', 'change', 'missing', "]</v>
      </c>
      <c r="D2102" s="3">
        <v>1.0</v>
      </c>
    </row>
    <row r="2103" ht="15.75" customHeight="1">
      <c r="A2103" s="1">
        <v>2101.0</v>
      </c>
      <c r="B2103" s="3" t="s">
        <v>2104</v>
      </c>
      <c r="C2103" s="3" t="str">
        <f>IFERROR(__xludf.DUMMYFUNCTION("GOOGLETRANSLATE(B2103,""id"",""en"")"),"['use', 'card', 'tsel', 'request', 'tsel', 'service', 'prime', 'signal', 'slow', 'package', 'expensive', '']")</f>
        <v>['use', 'card', 'tsel', 'request', 'tsel', 'service', 'prime', 'signal', 'slow', 'package', 'expensive', '']</v>
      </c>
      <c r="D2103" s="3">
        <v>2.0</v>
      </c>
    </row>
    <row r="2104" ht="15.75" customHeight="1">
      <c r="A2104" s="1">
        <v>2102.0</v>
      </c>
      <c r="B2104" s="3" t="s">
        <v>2105</v>
      </c>
      <c r="C2104" s="3" t="str">
        <f>IFERROR(__xludf.DUMMYFUNCTION("GOOGLETRANSLATE(B2104,""id"",""en"")"),"['Sumpot', 'Mulu', 'pulsaku', 'telkom', 'card', 'safe', 'kmren', 'abis',' contents', 'pulse', 'already', 'sumps',' first ',' packagein ',' leftover ',' right ',' check ',' plis', 'fix', 'eman', 'pulseku', 'sumps']")</f>
        <v>['Sumpot', 'Mulu', 'pulsaku', 'telkom', 'card', 'safe', 'kmren', 'abis',' contents', 'pulse', 'already', 'sumps',' first ',' packagein ',' leftover ',' right ',' check ',' plis', 'fix', 'eman', 'pulseku', 'sumps']</v>
      </c>
      <c r="D2104" s="3">
        <v>1.0</v>
      </c>
    </row>
    <row r="2105" ht="15.75" customHeight="1">
      <c r="A2105" s="1">
        <v>2103.0</v>
      </c>
      <c r="B2105" s="3" t="s">
        <v>2106</v>
      </c>
      <c r="C2105" s="3" t="str">
        <f>IFERROR(__xludf.DUMMYFUNCTION("GOOGLETRANSLATE(B2105,""id"",""en"")"),"['Love', 'Star', 'Change', 'Customer', 'Telkomsel', 'Tens',' Network ',' ugly ',' Aaya ',' Moving ',' Proveder ',' rival ',' Speed ​​',' Not bad ',' Region ',' Hopefully ',' In the future ',' Change ',' Love ',' Star ']")</f>
        <v>['Love', 'Star', 'Change', 'Customer', 'Telkomsel', 'Tens',' Network ',' ugly ',' Aaya ',' Moving ',' Proveder ',' rival ',' Speed ​​',' Not bad ',' Region ',' Hopefully ',' In the future ',' Change ',' Love ',' Star ']</v>
      </c>
      <c r="D2105" s="3">
        <v>3.0</v>
      </c>
    </row>
    <row r="2106" ht="15.75" customHeight="1">
      <c r="A2106" s="1">
        <v>2104.0</v>
      </c>
      <c r="B2106" s="3" t="s">
        <v>2107</v>
      </c>
      <c r="C2106" s="3" t="str">
        <f>IFERROR(__xludf.DUMMYFUNCTION("GOOGLETRANSLATE(B2106,""id"",""en"")"),"['how', 'Telkomsel', 'network', 'ugly', 'lose', 'please', 'fix', 'network', 'buy', 'package', 'data', 'expensive', ' Want ',' network ',' good ',' ugly ',' kayak ',' gini ',' customer ',' blur ',' move ',' card ']")</f>
        <v>['how', 'Telkomsel', 'network', 'ugly', 'lose', 'please', 'fix', 'network', 'buy', 'package', 'data', 'expensive', ' Want ',' network ',' good ',' ugly ',' kayak ',' gini ',' customer ',' blur ',' move ',' card ']</v>
      </c>
      <c r="D2106" s="3">
        <v>1.0</v>
      </c>
    </row>
    <row r="2107" ht="15.75" customHeight="1">
      <c r="A2107" s="1">
        <v>2105.0</v>
      </c>
      <c r="B2107" s="3" t="s">
        <v>2108</v>
      </c>
      <c r="C2107" s="3" t="str">
        <f>IFERROR(__xludf.DUMMYFUNCTION("GOOGLETRANSLATE(B2107,""id"",""en"")"),"['woi', 'repay', 'fix', 'network', 'lag', 'really', 'watch', 'youtube', 'slow', 'really', 'moved', 'provider', ' Play ',' Game ',' Open ',' YouTube ',' Please ',' Package ',' Unlimited ',' Nipu ',' Limitation ',' Rich ',' Limitation ',' Expensive ',' Kout"&amp;"a ' , 'Betah', 'Makai', 'Telkimsel', 'star', 'PLG', 'Good', 'Look', 'Telkomsel', 'Rich', 'Severe', 'Telkomsel', 'hedehh']")</f>
        <v>['woi', 'repay', 'fix', 'network', 'lag', 'really', 'watch', 'youtube', 'slow', 'really', 'moved', 'provider', ' Play ',' Game ',' Open ',' YouTube ',' Please ',' Package ',' Unlimited ',' Nipu ',' Limitation ',' Rich ',' Limitation ',' Expensive ',' Kouta ' , 'Betah', 'Makai', 'Telkimsel', 'star', 'PLG', 'Good', 'Look', 'Telkomsel', 'Rich', 'Severe', 'Telkomsel', 'hedehh']</v>
      </c>
      <c r="D2107" s="3">
        <v>1.0</v>
      </c>
    </row>
    <row r="2108" ht="15.75" customHeight="1">
      <c r="A2108" s="1">
        <v>2106.0</v>
      </c>
      <c r="B2108" s="3" t="s">
        <v>2109</v>
      </c>
      <c r="C2108" s="3" t="str">
        <f>IFERROR(__xludf.DUMMYFUNCTION("GOOGLETRANSLATE(B2108,""id"",""en"")"),"['already', 'really', 'complain', 'network', 'internet', 'threat', 'comments',' restricted ',' comment ',' contains', 'complaint', 'ilang', ' Actually ',' Telkomsel ',' listen ',' complaints', 'user', '']")</f>
        <v>['already', 'really', 'complain', 'network', 'internet', 'threat', 'comments',' restricted ',' comment ',' contains', 'complaint', 'ilang', ' Actually ',' Telkomsel ',' listen ',' complaints', 'user', '']</v>
      </c>
      <c r="D2108" s="3">
        <v>1.0</v>
      </c>
    </row>
    <row r="2109" ht="15.75" customHeight="1">
      <c r="A2109" s="1">
        <v>2107.0</v>
      </c>
      <c r="B2109" s="3" t="s">
        <v>2110</v>
      </c>
      <c r="C2109" s="3" t="str">
        <f>IFERROR(__xludf.DUMMYFUNCTION("GOOGLETRANSLATE(B2109,""id"",""en"")"),"['run out', 'pay', 'bill', 'card', 'hello', 'package', 'bro', 'tetep', 'waiting', 'package', 'abis', 'according to' Date ',' Extend ',' ']")</f>
        <v>['run out', 'pay', 'bill', 'card', 'hello', 'package', 'bro', 'tetep', 'waiting', 'package', 'abis', 'according to' Date ',' Extend ',' ']</v>
      </c>
      <c r="D2109" s="3">
        <v>1.0</v>
      </c>
    </row>
    <row r="2110" ht="15.75" customHeight="1">
      <c r="A2110" s="1">
        <v>2108.0</v>
      </c>
      <c r="B2110" s="3" t="s">
        <v>2111</v>
      </c>
      <c r="C2110" s="3" t="str">
        <f>IFERROR(__xludf.DUMMYFUNCTION("GOOGLETRANSLATE(B2110,""id"",""en"")"),"['Network', 'worst', 'bangka', 'good', 'slow', 'forgiveness',' moved ',' already ',' times', 'sorry', 'increase', 'woi', ' Already ',' signal ',' ']")</f>
        <v>['Network', 'worst', 'bangka', 'good', 'slow', 'forgiveness',' moved ',' already ',' times', 'sorry', 'increase', 'woi', ' Already ',' signal ',' ']</v>
      </c>
      <c r="D2110" s="3">
        <v>1.0</v>
      </c>
    </row>
    <row r="2111" ht="15.75" customHeight="1">
      <c r="A2111" s="1">
        <v>2109.0</v>
      </c>
      <c r="B2111" s="3" t="s">
        <v>2112</v>
      </c>
      <c r="C2111" s="3" t="str">
        <f>IFERROR(__xludf.DUMMYFUNCTION("GOOGLETRANSLATE(B2111,""id"",""en"")"),"['Try', 'purpose', 'APK', 'makes it easier', 'make it difficult', 'gini', 'lho', 'buy', 'package', 'emergency', 'GB', 'there', ' Credit ',' fit ',' see ',' package ',' package ',' enter ',' pulses', 'missing', 'uh', 'history', 'purchase', 'package', 'emer"&amp;"gency' , 'GB', 'Severe', 'buy', 'pulses', 'ilang']")</f>
        <v>['Try', 'purpose', 'APK', 'makes it easier', 'make it difficult', 'gini', 'lho', 'buy', 'package', 'emergency', 'GB', 'there', ' Credit ',' fit ',' see ',' package ',' package ',' enter ',' pulses', 'missing', 'uh', 'history', 'purchase', 'package', 'emergency' , 'GB', 'Severe', 'buy', 'pulses', 'ilang']</v>
      </c>
      <c r="D2111" s="3">
        <v>1.0</v>
      </c>
    </row>
    <row r="2112" ht="15.75" customHeight="1">
      <c r="A2112" s="1">
        <v>2110.0</v>
      </c>
      <c r="B2112" s="3" t="s">
        <v>2113</v>
      </c>
      <c r="C2112" s="3" t="str">
        <f>IFERROR(__xludf.DUMMYFUNCTION("GOOGLETRANSLATE(B2112,""id"",""en"")"),"['Telkomsel', 'paya', 'disruption', 'package', 'expensive', 'transfer', 'pulse', 'telkom', 'cell', 'got', 'cost', 'fail', ' Telkomsel ',' Bankrupt ',' ']")</f>
        <v>['Telkomsel', 'paya', 'disruption', 'package', 'expensive', 'transfer', 'pulse', 'telkom', 'cell', 'got', 'cost', 'fail', ' Telkomsel ',' Bankrupt ',' ']</v>
      </c>
      <c r="D2112" s="3">
        <v>1.0</v>
      </c>
    </row>
    <row r="2113" ht="15.75" customHeight="1">
      <c r="A2113" s="1">
        <v>2111.0</v>
      </c>
      <c r="B2113" s="3" t="s">
        <v>2114</v>
      </c>
      <c r="C2113" s="3" t="str">
        <f>IFERROR(__xludf.DUMMYFUNCTION("GOOGLETRANSLATE(B2113,""id"",""en"")"),"['description', 'additional', 'quota', 'Hello', 'take', 'directly', 'scorched', 'bills',' reset ',' start ',' leech ',' land ',' owe ',' billed ',' slow ',' detrimental ']")</f>
        <v>['description', 'additional', 'quota', 'Hello', 'take', 'directly', 'scorched', 'bills',' reset ',' start ',' leech ',' land ',' owe ',' billed ',' slow ',' detrimental ']</v>
      </c>
      <c r="D2113" s="3">
        <v>1.0</v>
      </c>
    </row>
    <row r="2114" ht="15.75" customHeight="1">
      <c r="A2114" s="1">
        <v>2112.0</v>
      </c>
      <c r="B2114" s="3" t="s">
        <v>2115</v>
      </c>
      <c r="C2114" s="3" t="str">
        <f>IFERROR(__xludf.DUMMYFUNCTION("GOOGLETRANSLATE(B2114,""id"",""en"")"),"['buy', 'unlimired', 'max', 'kouta', 'run out', 'slow', 'limit', 'reasonable', 'unlimited', 'limit', 'natural', 'like', ' Quota ',' Tetep ',' Tetep ',' Current ',' YouTube ',' Liat ',' Story ',' WhatsApp ',' Leet ',' Very ',' Unlimited ', ""]")</f>
        <v>['buy', 'unlimired', 'max', 'kouta', 'run out', 'slow', 'limit', 'reasonable', 'unlimited', 'limit', 'natural', 'like', ' Quota ',' Tetep ',' Tetep ',' Current ',' YouTube ',' Liat ',' Story ',' WhatsApp ',' Leet ',' Very ',' Unlimited ', "]</v>
      </c>
      <c r="D2114" s="3">
        <v>1.0</v>
      </c>
    </row>
    <row r="2115" ht="15.75" customHeight="1">
      <c r="A2115" s="1">
        <v>2113.0</v>
      </c>
      <c r="B2115" s="3" t="s">
        <v>2116</v>
      </c>
      <c r="C2115" s="3" t="str">
        <f>IFERROR(__xludf.DUMMYFUNCTION("GOOGLETRANSLATE(B2115,""id"",""en"")"),"['Hi', 'Operator', 'Jahanam', 'Maling', 'Loe', 'Loe', 'Nyolong', 'Credit', 'I', 'Juice', 'I', 'Kagak', ' Ngactivein ',' pulse ',' me ',' missing ',' base ',' thief ',' watch out ',' Loe ',' ']")</f>
        <v>['Hi', 'Operator', 'Jahanam', 'Maling', 'Loe', 'Loe', 'Nyolong', 'Credit', 'I', 'Juice', 'I', 'Kagak', ' Ngactivein ',' pulse ',' me ',' missing ',' base ',' thief ',' watch out ',' Loe ',' ']</v>
      </c>
      <c r="D2115" s="3">
        <v>1.0</v>
      </c>
    </row>
    <row r="2116" ht="15.75" customHeight="1">
      <c r="A2116" s="1">
        <v>2114.0</v>
      </c>
      <c r="B2116" s="3" t="s">
        <v>2117</v>
      </c>
      <c r="C2116" s="3" t="str">
        <f>IFERROR(__xludf.DUMMYFUNCTION("GOOGLETRANSLATE(B2116,""id"",""en"")"),"['Suff', 'The application', 'Season', 'The card', 'stingy', 'meek', 'unlimited', 'trs',' buy ',' quota ',' fast ',' run out ',' quota ',' GBS ',' adjust ',' application ',' skrng ',' move ',' card ']")</f>
        <v>['Suff', 'The application', 'Season', 'The card', 'stingy', 'meek', 'unlimited', 'trs',' buy ',' quota ',' fast ',' run out ',' quota ',' GBS ',' adjust ',' application ',' skrng ',' move ',' card ']</v>
      </c>
      <c r="D2116" s="3">
        <v>1.0</v>
      </c>
    </row>
    <row r="2117" ht="15.75" customHeight="1">
      <c r="A2117" s="1">
        <v>2115.0</v>
      </c>
      <c r="B2117" s="3" t="s">
        <v>2118</v>
      </c>
      <c r="C2117" s="3" t="str">
        <f>IFERROR(__xludf.DUMMYFUNCTION("GOOGLETRANSLATE(B2117,""id"",""en"")"),"['Adu', 'kek', 'fill in', 'pulse', 'direct', 'message', 'return', 'package', 'emergency', 'take', 'package', 'emergency', ' sayank ',' take ',' package ',' emergency ',' message ',' taking ',' package ',' emergency ',' managed ',' klw ',' kek ',' gini ','"&amp;" narrow ' , 'sustenance', 'take', 'right', 'person', 'sincere', ""]")</f>
        <v>['Adu', 'kek', 'fill in', 'pulse', 'direct', 'message', 'return', 'package', 'emergency', 'take', 'package', 'emergency', ' sayank ',' take ',' package ',' emergency ',' message ',' taking ',' package ',' emergency ',' managed ',' klw ',' kek ',' gini ',' narrow ' , 'sustenance', 'take', 'right', 'person', 'sincere', "]</v>
      </c>
      <c r="D2117" s="3">
        <v>1.0</v>
      </c>
    </row>
    <row r="2118" ht="15.75" customHeight="1">
      <c r="A2118" s="1">
        <v>2116.0</v>
      </c>
      <c r="B2118" s="3" t="s">
        <v>2119</v>
      </c>
      <c r="C2118" s="3" t="str">
        <f>IFERROR(__xludf.DUMMYFUNCTION("GOOGLETRANSLATE(B2118,""id"",""en"")"),"['Severe', 'Severe', 'already', 'Signal', 'Telkomsel', 'Leet', 'bin', 'slow', 'parahhh', 'use', 'work', 'wfh', ' Please, 'repaired', 'quality', 'signal', 'domilisi', 'jakarta', 'center', 'lho', 'signal', 'broke', 'work', 'sucks', 'pulses' , 'cut', 'confir"&amp;"m', 'subscribe', 'anything', 'please', 'repaired', 'quality', 'multiply', 'pole', 'height', 'thanx']")</f>
        <v>['Severe', 'Severe', 'already', 'Signal', 'Telkomsel', 'Leet', 'bin', 'slow', 'parahhh', 'use', 'work', 'wfh', ' Please, 'repaired', 'quality', 'signal', 'domilisi', 'jakarta', 'center', 'lho', 'signal', 'broke', 'work', 'sucks', 'pulses' , 'cut', 'confirm', 'subscribe', 'anything', 'please', 'repaired', 'quality', 'multiply', 'pole', 'height', 'thanx']</v>
      </c>
      <c r="D2118" s="3">
        <v>1.0</v>
      </c>
    </row>
    <row r="2119" ht="15.75" customHeight="1">
      <c r="A2119" s="1">
        <v>2117.0</v>
      </c>
      <c r="B2119" s="3" t="s">
        <v>2120</v>
      </c>
      <c r="C2119" s="3" t="str">
        <f>IFERROR(__xludf.DUMMYFUNCTION("GOOGLETRANSLATE(B2119,""id"",""en"")"),"['disappointed', 'already', 'activation', 'unlimitedmax', 'for', 'RB', 'MyTelkomsel', 'quota', 'flash', 'run out', 'quota', 'local', ' slowly ',' mercy ',' activation ',' please ',' Telkomsel ',' repaired ',' already ',' telephone ',' service ',' network "&amp;"',' tetep ',' slow ',' ']")</f>
        <v>['disappointed', 'already', 'activation', 'unlimitedmax', 'for', 'RB', 'MyTelkomsel', 'quota', 'flash', 'run out', 'quota', 'local', ' slowly ',' mercy ',' activation ',' please ',' Telkomsel ',' repaired ',' already ',' telephone ',' service ',' network ',' tetep ',' slow ',' ']</v>
      </c>
      <c r="D2119" s="3">
        <v>1.0</v>
      </c>
    </row>
    <row r="2120" ht="15.75" customHeight="1">
      <c r="A2120" s="1">
        <v>2118.0</v>
      </c>
      <c r="B2120" s="3" t="s">
        <v>2121</v>
      </c>
      <c r="C2120" s="3" t="str">
        <f>IFERROR(__xludf.DUMMYFUNCTION("GOOGLETRANSLATE(B2120,""id"",""en"")"),"['', 'Telkomsel', 'useful', 'checks',' leftover ',' pulse ',' quota ',' internet ',' stay ',' choose ',' registration ',' packetan ',' gift ',' Send ',' pulse ',' quota ',' family ',' friend ',' advantages', 'check', 'point', 'tukerin', 'package', 'intern"&amp;"et', 'gift', 'Pulse', 'motorbike', 'car', ""]")</f>
        <v>['', 'Telkomsel', 'useful', 'checks',' leftover ',' pulse ',' quota ',' internet ',' stay ',' choose ',' registration ',' packetan ',' gift ',' Send ',' pulse ',' quota ',' family ',' friend ',' advantages', 'check', 'point', 'tukerin', 'package', 'internet', 'gift', 'Pulse', 'motorbike', 'car', "]</v>
      </c>
      <c r="D2120" s="3">
        <v>5.0</v>
      </c>
    </row>
    <row r="2121" ht="15.75" customHeight="1">
      <c r="A2121" s="1">
        <v>2119.0</v>
      </c>
      <c r="B2121" s="3" t="s">
        <v>2122</v>
      </c>
      <c r="C2121" s="3" t="str">
        <f>IFERROR(__xludf.DUMMYFUNCTION("GOOGLETRANSLATE(B2121,""id"",""en"")"),"['Alhamdulillah', 'Win', 'Since', 'Use', 'Telkomsel', 'Blood', 'Menganti', 'Card', 'Axis',' Current ',' Trusted ',' Message ',' hi ',' brother ',' sorry ',' obstacle ',' network ',' stable ',' blah ',' blah ',' blah ',' basics', 'good', 'axis']")</f>
        <v>['Alhamdulillah', 'Win', 'Since', 'Use', 'Telkomsel', 'Blood', 'Menganti', 'Card', 'Axis',' Current ',' Trusted ',' Message ',' hi ',' brother ',' sorry ',' obstacle ',' network ',' stable ',' blah ',' blah ',' blah ',' basics', 'good', 'axis']</v>
      </c>
      <c r="D2121" s="3">
        <v>1.0</v>
      </c>
    </row>
    <row r="2122" ht="15.75" customHeight="1">
      <c r="A2122" s="1">
        <v>2120.0</v>
      </c>
      <c r="B2122" s="3" t="s">
        <v>2123</v>
      </c>
      <c r="C2122" s="3" t="str">
        <f>IFERROR(__xludf.DUMMYFUNCTION("GOOGLETRANSLATE(B2122,""id"",""en"")"),"['Please', 'Telkomsel', 'fix', 'network', 'face', 'return', 'star', 'improved', 'network', 'internet', 'bad', 'please', ' A quick ',' raise ',' price ',' package ',' internet ',' quality ',' bad ']")</f>
        <v>['Please', 'Telkomsel', 'fix', 'network', 'face', 'return', 'star', 'improved', 'network', 'internet', 'bad', 'please', ' A quick ',' raise ',' price ',' package ',' internet ',' quality ',' bad ']</v>
      </c>
      <c r="D2122" s="3">
        <v>1.0</v>
      </c>
    </row>
    <row r="2123" ht="15.75" customHeight="1">
      <c r="A2123" s="1">
        <v>2121.0</v>
      </c>
      <c r="B2123" s="3" t="s">
        <v>2124</v>
      </c>
      <c r="C2123" s="3" t="str">
        <f>IFERROR(__xludf.DUMMYFUNCTION("GOOGLETRANSLATE(B2123,""id"",""en"")"),"['When', 'Log', 'Difficult', 'Enter', 'Download', 'APL', 'How', 'Mas', 'Mbak', ""]")</f>
        <v>['When', 'Log', 'Difficult', 'Enter', 'Download', 'APL', 'How', 'Mas', 'Mbak', "]</v>
      </c>
      <c r="D2123" s="3">
        <v>1.0</v>
      </c>
    </row>
    <row r="2124" ht="15.75" customHeight="1">
      <c r="A2124" s="1">
        <v>2122.0</v>
      </c>
      <c r="B2124" s="3" t="s">
        <v>2125</v>
      </c>
      <c r="C2124" s="3" t="str">
        <f>IFERROR(__xludf.DUMMYFUNCTION("GOOGLETRANSLATE(B2124,""id"",""en"")"),"['Provider', 'Hah', 'Prov', 'South Sumatra', 'Kab', 'Musi', 'Rawas',' signal ',' slow ',' dead ',' lights', 'missing', ' Sometimes', 'difficult', 'remember', 'price', 'internet', 'expensive', 'system', 'network', 'slow', 'covers',' Indonesia ',' what ']")</f>
        <v>['Provider', 'Hah', 'Prov', 'South Sumatra', 'Kab', 'Musi', 'Rawas',' signal ',' slow ',' dead ',' lights', 'missing', ' Sometimes', 'difficult', 'remember', 'price', 'internet', 'expensive', 'system', 'network', 'slow', 'covers',' Indonesia ',' what ']</v>
      </c>
      <c r="D2124" s="3">
        <v>1.0</v>
      </c>
    </row>
    <row r="2125" ht="15.75" customHeight="1">
      <c r="A2125" s="1">
        <v>2123.0</v>
      </c>
      <c r="B2125" s="3" t="s">
        <v>2126</v>
      </c>
      <c r="C2125" s="3" t="str">
        <f>IFERROR(__xludf.DUMMYFUNCTION("GOOGLETRANSLATE(B2125,""id"",""en"")"),"['likes',' Telkomsel ',' network ',' easy ',' connected ',' compared to ',' Telkomsel ',' slow ',' down ',' tibatiba ',' that's', 'the network', ' slow ',' seprti ',' Kenceng ',' Bangeettt ',' hangle ',' difficult ',' signal ',' Telkomsel ',' easy ',' get"&amp;" ',' tuhh ',' hopefully ',' slow ' , 'ngak', 'repeated', 'deh', '']")</f>
        <v>['likes',' Telkomsel ',' network ',' easy ',' connected ',' compared to ',' Telkomsel ',' slow ',' down ',' tibatiba ',' that's', 'the network', ' slow ',' seprti ',' Kenceng ',' Bangeettt ',' hangle ',' difficult ',' signal ',' Telkomsel ',' easy ',' get ',' tuhh ',' hopefully ',' slow ' , 'ngak', 'repeated', 'deh', '']</v>
      </c>
      <c r="D2125" s="3">
        <v>4.0</v>
      </c>
    </row>
    <row r="2126" ht="15.75" customHeight="1">
      <c r="A2126" s="1">
        <v>2124.0</v>
      </c>
      <c r="B2126" s="3" t="s">
        <v>2127</v>
      </c>
      <c r="C2126" s="3" t="str">
        <f>IFERROR(__xludf.DUMMYFUNCTION("GOOGLETRANSLATE(B2126,""id"",""en"")"),"['Points',' Payment ',' KartuHalo ',' Win ',' Car ',' Cool ',' Honda ',' Jazz ',' Exchange ',' Points', 'Reply', 'SMS', ' Type ',' Jazz ',' BYR ',' expensive ',' signal ',' Letoy ',' broke ',' hot ',' no ',' understand ',' a day ',' run out ',' Giga ' , '"&amp;"bite', '']")</f>
        <v>['Points',' Payment ',' KartuHalo ',' Win ',' Car ',' Cool ',' Honda ',' Jazz ',' Exchange ',' Points', 'Reply', 'SMS', ' Type ',' Jazz ',' BYR ',' expensive ',' signal ',' Letoy ',' broke ',' hot ',' no ',' understand ',' a day ',' run out ',' Giga ' , 'bite', '']</v>
      </c>
      <c r="D2126" s="3">
        <v>2.0</v>
      </c>
    </row>
    <row r="2127" ht="15.75" customHeight="1">
      <c r="A2127" s="1">
        <v>2125.0</v>
      </c>
      <c r="B2127" s="3" t="s">
        <v>2128</v>
      </c>
      <c r="C2127" s="3" t="str">
        <f>IFERROR(__xludf.DUMMYFUNCTION("GOOGLETRANSLATE(B2127,""id"",""en"")"),"['Telkomsel', 'really', 'idiot', 'quota', 'expensive', 'network', 'bad', 'maen', 'game', 'AFK', 'idiot', 'Abis',' Telkomsel ',' Come on ',' Move ',' Network ',' Telkomsel ',' already ',' expensive ',' ugly ',' network ', ""]")</f>
        <v>['Telkomsel', 'really', 'idiot', 'quota', 'expensive', 'network', 'bad', 'maen', 'game', 'AFK', 'idiot', 'Abis',' Telkomsel ',' Come on ',' Move ',' Network ',' Telkomsel ',' already ',' expensive ',' ugly ',' network ', "]</v>
      </c>
      <c r="D2127" s="3">
        <v>1.0</v>
      </c>
    </row>
    <row r="2128" ht="15.75" customHeight="1">
      <c r="A2128" s="1">
        <v>2126.0</v>
      </c>
      <c r="B2128" s="3" t="s">
        <v>2129</v>
      </c>
      <c r="C2128" s="3" t="str">
        <f>IFERROR(__xludf.DUMMYFUNCTION("GOOGLETRANSLATE(B2128,""id"",""en"")"),"['Please', 'sorry', 'love', 'star', 'buy', 'package', 'process',' no ',' process', 'no', 'make', 'card', ' Telkomsel ',' Please ',' Clarification ',' Telkomsel ',' ']")</f>
        <v>['Please', 'sorry', 'love', 'star', 'buy', 'package', 'process',' no ',' process', 'no', 'make', 'card', ' Telkomsel ',' Please ',' Clarification ',' Telkomsel ',' ']</v>
      </c>
      <c r="D2128" s="3">
        <v>1.0</v>
      </c>
    </row>
    <row r="2129" ht="15.75" customHeight="1">
      <c r="A2129" s="1">
        <v>2127.0</v>
      </c>
      <c r="B2129" s="3" t="s">
        <v>2130</v>
      </c>
      <c r="C2129" s="3" t="str">
        <f>IFERROR(__xludf.DUMMYFUNCTION("GOOGLETRANSLATE(B2129,""id"",""en"")"),"['Exchange', 'Points',' Undi ',' Undi ',' Hepi ',' Hoax ',' Discard ',' Use ',' Card ',' Hello ',' Sympathy ',' Family ',' use ',' sympathy ',' points', 'is exchanged', 'lottery', 'none', 'gift', 'gift', 'car', 'gift', 'pulse', 'lowest', 'none' , 'Lottery"&amp;"', 'Telkomsel', 'Hoax', '']")</f>
        <v>['Exchange', 'Points',' Undi ',' Undi ',' Hepi ',' Hoax ',' Discard ',' Use ',' Card ',' Hello ',' Sympathy ',' Family ',' use ',' sympathy ',' points', 'is exchanged', 'lottery', 'none', 'gift', 'gift', 'car', 'gift', 'pulse', 'lowest', 'none' , 'Lottery', 'Telkomsel', 'Hoax', '']</v>
      </c>
      <c r="D2129" s="3">
        <v>1.0</v>
      </c>
    </row>
    <row r="2130" ht="15.75" customHeight="1">
      <c r="A2130" s="1">
        <v>2128.0</v>
      </c>
      <c r="B2130" s="3" t="s">
        <v>2131</v>
      </c>
      <c r="C2130" s="3" t="str">
        <f>IFERROR(__xludf.DUMMYFUNCTION("GOOGLETRANSLATE(B2130,""id"",""en"")"),"['Update', 'Login', 'Verification', 'Something', 'Something', 'Went', 'Wrong', 'Try', 'Again', 'After', 'Something', 'Please', ' Repaired ',' ']")</f>
        <v>['Update', 'Login', 'Verification', 'Something', 'Something', 'Went', 'Wrong', 'Try', 'Again', 'After', 'Something', 'Please', ' Repaired ',' ']</v>
      </c>
      <c r="D2130" s="3">
        <v>1.0</v>
      </c>
    </row>
    <row r="2131" ht="15.75" customHeight="1">
      <c r="A2131" s="1">
        <v>2129.0</v>
      </c>
      <c r="B2131" s="3" t="s">
        <v>2132</v>
      </c>
      <c r="C2131" s="3" t="str">
        <f>IFERROR(__xludf.DUMMYFUNCTION("GOOGLETRANSLATE(B2131,""id"",""en"")"),"['Disappointed', 'Package', 'Internet', 'Telkomsel', 'Buy', 'Credit', 'Tebeus',' GB ',' HR ',' Credit ',' Reduced ',' Silence ',' itung ',' bought ',' bonus', 'GB', 'time', 'disappointed', 'really', 'buy', 'package', 'GB', 'HR', 'pulseku', 'reduced' , 'In"&amp;"ternet', 'use', 'Game', 'Hago', 'buy', 'Paketan', 'Telkomsel', 'Switch', 'Indosat', 'Credit', 'Out', 'Package', ' The data ',' Save ', ""]")</f>
        <v>['Disappointed', 'Package', 'Internet', 'Telkomsel', 'Buy', 'Credit', 'Tebeus',' GB ',' HR ',' Credit ',' Reduced ',' Silence ',' itung ',' bought ',' bonus', 'GB', 'time', 'disappointed', 'really', 'buy', 'package', 'GB', 'HR', 'pulseku', 'reduced' , 'Internet', 'use', 'Game', 'Hago', 'buy', 'Paketan', 'Telkomsel', 'Switch', 'Indosat', 'Credit', 'Out', 'Package', ' The data ',' Save ', "]</v>
      </c>
      <c r="D2131" s="3">
        <v>1.0</v>
      </c>
    </row>
    <row r="2132" ht="15.75" customHeight="1">
      <c r="A2132" s="1">
        <v>2130.0</v>
      </c>
      <c r="B2132" s="3" t="s">
        <v>2133</v>
      </c>
      <c r="C2132" s="3" t="str">
        <f>IFERROR(__xludf.DUMMYFUNCTION("GOOGLETRANSLATE(B2132,""id"",""en"")"),"['Restore', 'package', 'unlimited', 'package', 'unlimited', 'quota', 'main', 'already', 'run out', 'slow', 'really', 'written' unlimited ',' sosmed ',' tiktok ',' games', 'video', 'chat', 'already', 'that's',' pulse ',' lost ',' customer ',' disappointed "&amp;"',' please ' , 'repair']")</f>
        <v>['Restore', 'package', 'unlimited', 'package', 'unlimited', 'quota', 'main', 'already', 'run out', 'slow', 'really', 'written' unlimited ',' sosmed ',' tiktok ',' games', 'video', 'chat', 'already', 'that's',' pulse ',' lost ',' customer ',' disappointed ',' please ' , 'repair']</v>
      </c>
      <c r="D2132" s="3">
        <v>1.0</v>
      </c>
    </row>
    <row r="2133" ht="15.75" customHeight="1">
      <c r="A2133" s="1">
        <v>2131.0</v>
      </c>
      <c r="B2133" s="3" t="s">
        <v>2134</v>
      </c>
      <c r="C2133" s="3" t="str">
        <f>IFERROR(__xludf.DUMMYFUNCTION("GOOGLETRANSLATE(B2133,""id"",""en"")"),"['buy', 'Package', 'Unlimited', 'Free', 'Sosmed', 'You', 'Tube', 'Music', 'Quota', 'Main', 'Out', 'Application', ' SOSMED ',' You ',' Tube ',' Jammed ',' Deceived ',' Quota ',' Unlimited ',' Karna ',' Limit ',' Naturally ',' Quota ',' Application ',' Logi"&amp;"c ' , 'unlimited', 'limit', 'reasonable', 'quota', 'application', 'donk', '']")</f>
        <v>['buy', 'Package', 'Unlimited', 'Free', 'Sosmed', 'You', 'Tube', 'Music', 'Quota', 'Main', 'Out', 'Application', ' SOSMED ',' You ',' Tube ',' Jammed ',' Deceived ',' Quota ',' Unlimited ',' Karna ',' Limit ',' Naturally ',' Quota ',' Application ',' Logic ' , 'unlimited', 'limit', 'reasonable', 'quota', 'application', 'donk', '']</v>
      </c>
      <c r="D2133" s="3">
        <v>1.0</v>
      </c>
    </row>
    <row r="2134" ht="15.75" customHeight="1">
      <c r="A2134" s="1">
        <v>2132.0</v>
      </c>
      <c r="B2134" s="3" t="s">
        <v>2135</v>
      </c>
      <c r="C2134" s="3" t="str">
        <f>IFERROR(__xludf.DUMMYFUNCTION("GOOGLETRANSLATE(B2134,""id"",""en"")"),"['Ngga', 'really', 'Telkomsel', 'oath', 'sucked', 'pulse', 'buy', 'package', 'promo', 'application', 'urgent', 'Telkomsel', ' Recommended ',' ']")</f>
        <v>['Ngga', 'really', 'Telkomsel', 'oath', 'sucked', 'pulse', 'buy', 'package', 'promo', 'application', 'urgent', 'Telkomsel', ' Recommended ',' ']</v>
      </c>
      <c r="D2134" s="3">
        <v>1.0</v>
      </c>
    </row>
    <row r="2135" ht="15.75" customHeight="1">
      <c r="A2135" s="1">
        <v>2133.0</v>
      </c>
      <c r="B2135" s="3" t="s">
        <v>2136</v>
      </c>
      <c r="C2135" s="3" t="str">
        <f>IFERROR(__xludf.DUMMYFUNCTION("GOOGLETRANSLATE(B2135,""id"",""en"")"),"['network', 'Telkomsel', 'bad', 'severe', 'quota', 'contents',' network ',' Telkomsel ',' bad ',' please ',' fix ',' need ',' Please, 'Telkomsel', 'price', 'package', 'quota', 'network', 'bad', 'unfortunate', 'users', 'Telkomsel', 'disappointed', 'use', '"&amp;"Telkomsel' , 'many years', 'network', 'ugly', 'bad']")</f>
        <v>['network', 'Telkomsel', 'bad', 'severe', 'quota', 'contents',' network ',' Telkomsel ',' bad ',' please ',' fix ',' need ',' Please, 'Telkomsel', 'price', 'package', 'quota', 'network', 'bad', 'unfortunate', 'users', 'Telkomsel', 'disappointed', 'use', 'Telkomsel' , 'many years', 'network', 'ugly', 'bad']</v>
      </c>
      <c r="D2135" s="3">
        <v>1.0</v>
      </c>
    </row>
    <row r="2136" ht="15.75" customHeight="1">
      <c r="A2136" s="1">
        <v>2134.0</v>
      </c>
      <c r="B2136" s="3" t="s">
        <v>2137</v>
      </c>
      <c r="C2136" s="3" t="str">
        <f>IFERROR(__xludf.DUMMYFUNCTION("GOOGLETRANSLATE(B2136,""id"",""en"")"),"['How', 'Telkomsel', 'Credit', 'Cut "",' Out ',' Subscribe ',' Package ',' Whatever ',' Upset ',' Gueee ',' Gituu ',' Repaired ']")</f>
        <v>['How', 'Telkomsel', 'Credit', 'Cut ",' Out ',' Subscribe ',' Package ',' Whatever ',' Upset ',' Gueee ',' Gituu ',' Repaired ']</v>
      </c>
      <c r="D2136" s="3">
        <v>3.0</v>
      </c>
    </row>
    <row r="2137" ht="15.75" customHeight="1">
      <c r="A2137" s="1">
        <v>2135.0</v>
      </c>
      <c r="B2137" s="3" t="s">
        <v>2138</v>
      </c>
      <c r="C2137" s="3" t="str">
        <f>IFERROR(__xludf.DUMMYFUNCTION("GOOGLETRANSLATE(B2137,""id"",""en"")"),"['Available', 'package', 'quota', 'internet', 'compact', 'needs',' medsos', 'quota', 'divided', 'broken', 'jomplang', 'quota', ' Internet ',' Medsos', 'quota', 'game', 'film', 'quota', 'separate', '']")</f>
        <v>['Available', 'package', 'quota', 'internet', 'compact', 'needs',' medsos', 'quota', 'divided', 'broken', 'jomplang', 'quota', ' Internet ',' Medsos', 'quota', 'game', 'film', 'quota', 'separate', '']</v>
      </c>
      <c r="D2137" s="3">
        <v>4.0</v>
      </c>
    </row>
    <row r="2138" ht="15.75" customHeight="1">
      <c r="A2138" s="1">
        <v>2136.0</v>
      </c>
      <c r="B2138" s="3" t="s">
        <v>2139</v>
      </c>
      <c r="C2138" s="3" t="str">
        <f>IFERROR(__xludf.DUMMYFUNCTION("GOOGLETRANSLATE(B2138,""id"",""en"")"),"['I think', 'use', 'Telkomsel', 'fast', 'network', 'compared to', 'use', 'internet', 'opinion', 'cave', 'kek', 'that's',' Sorry ',' yak ',' listen to ',' internet ',' me ',' mean ',' listen to ',' hehehe ']")</f>
        <v>['I think', 'use', 'Telkomsel', 'fast', 'network', 'compared to', 'use', 'internet', 'opinion', 'cave', 'kek', 'that's',' Sorry ',' yak ',' listen to ',' internet ',' me ',' mean ',' listen to ',' hehehe ']</v>
      </c>
      <c r="D2138" s="3">
        <v>5.0</v>
      </c>
    </row>
    <row r="2139" ht="15.75" customHeight="1">
      <c r="A2139" s="1">
        <v>2137.0</v>
      </c>
      <c r="B2139" s="3" t="s">
        <v>2140</v>
      </c>
      <c r="C2139" s="3" t="str">
        <f>IFERROR(__xludf.DUMMYFUNCTION("GOOGLETRANSLATE(B2139,""id"",""en"")"),"['Telkomsel', 'bad', 'contents', 'pulse', 'pdhal', 'data', 'bnyak', 'mah', 'run out', 'leftover', 'zero', 'where' Credit ',' Really ',' all ',' Fri ',' JRINGAN ',' Bad ',' stable ', ""]")</f>
        <v>['Telkomsel', 'bad', 'contents', 'pulse', 'pdhal', 'data', 'bnyak', 'mah', 'run out', 'leftover', 'zero', 'where' Credit ',' Really ',' all ',' Fri ',' JRINGAN ',' Bad ',' stable ', "]</v>
      </c>
      <c r="D2139" s="3">
        <v>1.0</v>
      </c>
    </row>
    <row r="2140" ht="15.75" customHeight="1">
      <c r="A2140" s="1">
        <v>2138.0</v>
      </c>
      <c r="B2140" s="3" t="s">
        <v>2141</v>
      </c>
      <c r="C2140" s="3" t="str">
        <f>IFERROR(__xludf.DUMMYFUNCTION("GOOGLETRANSLATE(B2140,""id"",""en"")"),"['expensive', 'PKE', 'leftover', 'quota', 'try', 'times',' leftover ',' quota ',' reset ',' system ',' plus', 'minus',' quota ',' leftover ',' lost ',' thank ',' love ',' telkom ',' wise ']")</f>
        <v>['expensive', 'PKE', 'leftover', 'quota', 'try', 'times',' leftover ',' quota ',' reset ',' system ',' plus', 'minus',' quota ',' leftover ',' lost ',' thank ',' love ',' telkom ',' wise ']</v>
      </c>
      <c r="D2140" s="3">
        <v>1.0</v>
      </c>
    </row>
    <row r="2141" ht="15.75" customHeight="1">
      <c r="A2141" s="1">
        <v>2139.0</v>
      </c>
      <c r="B2141" s="3" t="s">
        <v>2142</v>
      </c>
      <c r="C2141" s="3" t="str">
        <f>IFERROR(__xludf.DUMMYFUNCTION("GOOGLETRANSLATE(B2141,""id"",""en"")"),"['Application', 'Leech', 'land', 'buy', 'pulse', 'list', 'package', 'daily', 'leftover', 'pulses',' sucked ',' check ',' the rest ',' balance ',' check ', ""]")</f>
        <v>['Application', 'Leech', 'land', 'buy', 'pulse', 'list', 'package', 'daily', 'leftover', 'pulses',' sucked ',' check ',' the rest ',' balance ',' check ', "]</v>
      </c>
      <c r="D2141" s="3">
        <v>1.0</v>
      </c>
    </row>
    <row r="2142" ht="15.75" customHeight="1">
      <c r="A2142" s="1">
        <v>2140.0</v>
      </c>
      <c r="B2142" s="3" t="s">
        <v>2143</v>
      </c>
      <c r="C2142" s="3" t="str">
        <f>IFERROR(__xludf.DUMMYFUNCTION("GOOGLETRANSLATE(B2142,""id"",""en"")"),"['Good', 'needs',' fulfilled ',' muly ',' pulse ',' data ',' combo ',' check ',' credit ',' Telkomsel ',' appoints', 'trusted', ' ']")</f>
        <v>['Good', 'needs',' fulfilled ',' muly ',' pulse ',' data ',' combo ',' check ',' credit ',' Telkomsel ',' appoints', 'trusted', ' ']</v>
      </c>
      <c r="D2142" s="3">
        <v>5.0</v>
      </c>
    </row>
    <row r="2143" ht="15.75" customHeight="1">
      <c r="A2143" s="1">
        <v>2141.0</v>
      </c>
      <c r="B2143" s="3" t="s">
        <v>2144</v>
      </c>
      <c r="C2143" s="3" t="str">
        <f>IFERROR(__xludf.DUMMYFUNCTION("GOOGLETRANSLATE(B2143,""id"",""en"")"),"['Gini', 'Mbak', 'Package', 'Unlimited', 'Buy', 'Credit', 'Udh', 'TPI', 'Gini', 'Message', 'TDI', 'Wait', ' entry ',' turn ',' credit ',' UDH ',' run out ',' appears', 'notif', 'Please', 'sorry', 'pulse', 'sufficient', 'napa', 'so' , 'cave', 'ksi', 'star'"&amp;", 'please', 'mbak', 'finished', 'tired', 'wait', '']")</f>
        <v>['Gini', 'Mbak', 'Package', 'Unlimited', 'Buy', 'Credit', 'Udh', 'TPI', 'Gini', 'Message', 'TDI', 'Wait', ' entry ',' turn ',' credit ',' UDH ',' run out ',' appears', 'notif', 'Please', 'sorry', 'pulse', 'sufficient', 'napa', 'so' , 'cave', 'ksi', 'star', 'please', 'mbak', 'finished', 'tired', 'wait', '']</v>
      </c>
      <c r="D2143" s="3">
        <v>5.0</v>
      </c>
    </row>
    <row r="2144" ht="15.75" customHeight="1">
      <c r="A2144" s="1">
        <v>2142.0</v>
      </c>
      <c r="B2144" s="3" t="s">
        <v>2145</v>
      </c>
      <c r="C2144" s="3" t="str">
        <f>IFERROR(__xludf.DUMMYFUNCTION("GOOGLETRANSLATE(B2144,""id"",""en"")"),"['Restore', 'package', 'unlimited', 'restrictions', 'use', 'limited', 'difficult', 'package', 'unlimited', 'restrictions', 'helped', 'student']")</f>
        <v>['Restore', 'package', 'unlimited', 'restrictions', 'use', 'limited', 'difficult', 'package', 'unlimited', 'restrictions', 'helped', 'student']</v>
      </c>
      <c r="D2144" s="3">
        <v>1.0</v>
      </c>
    </row>
    <row r="2145" ht="15.75" customHeight="1">
      <c r="A2145" s="1">
        <v>2143.0</v>
      </c>
      <c r="B2145" s="3" t="s">
        <v>2146</v>
      </c>
      <c r="C2145" s="3" t="str">
        <f>IFERROR(__xludf.DUMMYFUNCTION("GOOGLETRANSLATE(B2145,""id"",""en"")"),"['bln', 'knp', 'application', 'Telkomsel', 'open', 'open', 'screen', 'white', 'tampa', 'writing', 'then', 'screen', ' main ',' check ',' leftover ',' quota ',' buy ',' quota ',' application ',' Telkomsel ']")</f>
        <v>['bln', 'knp', 'application', 'Telkomsel', 'open', 'open', 'screen', 'white', 'tampa', 'writing', 'then', 'screen', ' main ',' check ',' leftover ',' quota ',' buy ',' quota ',' application ',' Telkomsel ']</v>
      </c>
      <c r="D2145" s="3">
        <v>1.0</v>
      </c>
    </row>
    <row r="2146" ht="15.75" customHeight="1">
      <c r="A2146" s="1">
        <v>2144.0</v>
      </c>
      <c r="B2146" s="3" t="s">
        <v>2147</v>
      </c>
      <c r="C2146" s="3" t="str">
        <f>IFERROR(__xludf.DUMMYFUNCTION("GOOGLETRANSLATE(B2146,""id"",""en"")"),"['love', 'star', 'because' consistent ',' system ',' like ',' sya ',' telkomsel ',' conscious ',' info ',' dri ',' operator ',' quota ',' truncated ',' sangkron ',' sya ',' bru ',' conscious', 'nntn', 'disney', 'hotstar', 'quota', 'entertainment', 'trunca"&amp;"ted', 'info' , 'outstanding', 'Where', 'info', 'operator', 'Telkomsel', 'direct', 'quota', 'internet', 'main', 'truncated', 'service', 'pissing', ' Disappointing ',' Customer ',' Customer ']")</f>
        <v>['love', 'star', 'because' consistent ',' system ',' like ',' sya ',' telkomsel ',' conscious ',' info ',' dri ',' operator ',' quota ',' truncated ',' sangkron ',' sya ',' bru ',' conscious', 'nntn', 'disney', 'hotstar', 'quota', 'entertainment', 'truncated', 'info' , 'outstanding', 'Where', 'info', 'operator', 'Telkomsel', 'direct', 'quota', 'internet', 'main', 'truncated', 'service', 'pissing', ' Disappointing ',' Customer ',' Customer ']</v>
      </c>
      <c r="D2146" s="3">
        <v>1.0</v>
      </c>
    </row>
    <row r="2147" ht="15.75" customHeight="1">
      <c r="A2147" s="1">
        <v>2145.0</v>
      </c>
      <c r="B2147" s="3" t="s">
        <v>2148</v>
      </c>
      <c r="C2147" s="3" t="str">
        <f>IFERROR(__xludf.DUMMYFUNCTION("GOOGLETRANSLATE(B2147,""id"",""en"")"),"['Sorry', 'Nomah', 'Kah', 'Bener', 'Lottery', 'Telkomsel', 'exchanges',' Points', 'then', 'Lottery', 'Date', 'June', ' Kah ',' Bener ',' Lottery ',' Kyk ',' GTU ',' Please ',' Help ',' Disappointed ',' Very ',' Bintang ',' Dlu ',' Ntar ',' right ' , 'Love"&amp;"', 'star']")</f>
        <v>['Sorry', 'Nomah', 'Kah', 'Bener', 'Lottery', 'Telkomsel', 'exchanges',' Points', 'then', 'Lottery', 'Date', 'June', ' Kah ',' Bener ',' Lottery ',' Kyk ',' GTU ',' Please ',' Help ',' Disappointed ',' Very ',' Bintang ',' Dlu ',' Ntar ',' right ' , 'Love', 'star']</v>
      </c>
      <c r="D2147" s="3">
        <v>1.0</v>
      </c>
    </row>
    <row r="2148" ht="15.75" customHeight="1">
      <c r="A2148" s="1">
        <v>2146.0</v>
      </c>
      <c r="B2148" s="3" t="s">
        <v>2149</v>
      </c>
      <c r="C2148" s="3" t="str">
        <f>IFERROR(__xludf.DUMMYFUNCTION("GOOGLETRANSLATE(B2148,""id"",""en"")"),"['application', 'Telkomsel', 'interesting', 'credit', 'login', 'purchase', 'package', 'application', '']")</f>
        <v>['application', 'Telkomsel', 'interesting', 'credit', 'login', 'purchase', 'package', 'application', '']</v>
      </c>
      <c r="D2148" s="3">
        <v>5.0</v>
      </c>
    </row>
    <row r="2149" ht="15.75" customHeight="1">
      <c r="A2149" s="1">
        <v>2147.0</v>
      </c>
      <c r="B2149" s="3" t="s">
        <v>2150</v>
      </c>
      <c r="C2149" s="3" t="str">
        <f>IFERROR(__xludf.DUMMYFUNCTION("GOOGLETRANSLATE(B2149,""id"",""en"")"),"['', 'love', 'star', 'buy', 'quota', 'application', 'pay', 'fund', 'balance', 'funds',' cut ',' quota ',' enter ', 'indeed', '']")</f>
        <v>['', 'love', 'star', 'buy', 'quota', 'application', 'pay', 'fund', 'balance', 'funds',' cut ',' quota ',' enter ', 'indeed', '']</v>
      </c>
      <c r="D2149" s="3">
        <v>1.0</v>
      </c>
    </row>
    <row r="2150" ht="15.75" customHeight="1">
      <c r="A2150" s="1">
        <v>2148.0</v>
      </c>
      <c r="B2150" s="3" t="s">
        <v>2151</v>
      </c>
      <c r="C2150" s="3" t="str">
        <f>IFERROR(__xludf.DUMMYFUNCTION("GOOGLETRANSLATE(B2150,""id"",""en"")"),"['card', 'slow', 'contents',' direct ',' told ',' active ',' card ',' Hallo ',' Hello ',' fix ',' network ',' Telkomsel ',' Sometimes', 'serng', 'slow', 'already', 'waste', 'Kartuku', 'Thanks',' already ',' blocked ',' activated ', ""]")</f>
        <v>['card', 'slow', 'contents',' direct ',' told ',' active ',' card ',' Hallo ',' Hello ',' fix ',' network ',' Telkomsel ',' Sometimes', 'serng', 'slow', 'already', 'waste', 'Kartuku', 'Thanks',' already ',' blocked ',' activated ', "]</v>
      </c>
      <c r="D2150" s="3">
        <v>1.0</v>
      </c>
    </row>
    <row r="2151" ht="15.75" customHeight="1">
      <c r="A2151" s="1">
        <v>2149.0</v>
      </c>
      <c r="B2151" s="3" t="s">
        <v>2152</v>
      </c>
      <c r="C2151" s="3" t="str">
        <f>IFERROR(__xludf.DUMMYFUNCTION("GOOGLETRANSLATE(B2151,""id"",""en"")"),"['said', 'broken', 'signal', 'internet', 'labile', 'plus', 'harga', 'package', 'expensive', 'since' changed ',' promotion ',' package ',' in place ',' aperator ',' GSM ',' already ',' moved ',' operator ',' Telkomsel ',' ganguan ',' kolo ',' jawer ',' Tel"&amp;"komsel ',' emang ' , 'salt', 'where', 'darling', 'signal', 'bad', 'internet', 'severe', '']")</f>
        <v>['said', 'broken', 'signal', 'internet', 'labile', 'plus', 'harga', 'package', 'expensive', 'since' changed ',' promotion ',' package ',' in place ',' aperator ',' GSM ',' already ',' moved ',' operator ',' Telkomsel ',' ganguan ',' kolo ',' jawer ',' Telkomsel ',' emang ' , 'salt', 'where', 'darling', 'signal', 'bad', 'internet', 'severe', '']</v>
      </c>
      <c r="D2151" s="3">
        <v>1.0</v>
      </c>
    </row>
    <row r="2152" ht="15.75" customHeight="1">
      <c r="A2152" s="1">
        <v>2150.0</v>
      </c>
      <c r="B2152" s="3" t="s">
        <v>2153</v>
      </c>
      <c r="C2152" s="3" t="str">
        <f>IFERROR(__xludf.DUMMYFUNCTION("GOOGLETRANSLATE(B2152,""id"",""en"")"),"['style', 'Luaja', 'pulp', 'crazy', 'watch', 'youtube', 'difficult', 'play', 'game', 'legk', 'spend', 'morals',' Keris', 'Morphical', 'Benerin', 'Connection', 'Internet', 'Sindirkeras',' Pingiran ',' City ',' Palembang ', ""]")</f>
        <v>['style', 'Luaja', 'pulp', 'crazy', 'watch', 'youtube', 'difficult', 'play', 'game', 'legk', 'spend', 'morals',' Keris', 'Morphical', 'Benerin', 'Connection', 'Internet', 'Sindirkeras',' Pingiran ',' City ',' Palembang ', "]</v>
      </c>
      <c r="D2152" s="3">
        <v>3.0</v>
      </c>
    </row>
    <row r="2153" ht="15.75" customHeight="1">
      <c r="A2153" s="1">
        <v>2151.0</v>
      </c>
      <c r="B2153" s="3" t="s">
        <v>2154</v>
      </c>
      <c r="C2153" s="3" t="str">
        <f>IFERROR(__xludf.DUMMYFUNCTION("GOOGLETRANSLATE(B2153,""id"",""en"")"),"['Delicious',' right ',' buy ',' card ',' a month ',' smooth ',' right ',' buy ',' packetan ',' afterwards', 'slow', 'forgiveness',' Disappointed ',' Package ',' Not bad ',' expensive ',' pisan ',' unlimited ',' max ',' threat ',' subscribe ',' already ',"&amp;"' contact ',' result ', ""]")</f>
        <v>['Delicious',' right ',' buy ',' card ',' a month ',' smooth ',' right ',' buy ',' packetan ',' afterwards', 'slow', 'forgiveness',' Disappointed ',' Package ',' Not bad ',' expensive ',' pisan ',' unlimited ',' max ',' threat ',' subscribe ',' already ',' contact ',' result ', "]</v>
      </c>
      <c r="D2153" s="3">
        <v>1.0</v>
      </c>
    </row>
    <row r="2154" ht="15.75" customHeight="1">
      <c r="A2154" s="1">
        <v>2152.0</v>
      </c>
      <c r="B2154" s="3" t="s">
        <v>2155</v>
      </c>
      <c r="C2154" s="3" t="str">
        <f>IFERROR(__xludf.DUMMYFUNCTION("GOOGLETRANSLATE(B2154,""id"",""en"")"),"['Prepared', 'price', 'every package', 'package', 'quota', 'internet', 'telephone', 'in the past', 'pandemic', 'easy', 'buy', 'quota', ' Internet ',' cheap ',' need ',' internet ',' in the past ',' ']")</f>
        <v>['Prepared', 'price', 'every package', 'package', 'quota', 'internet', 'telephone', 'in the past', 'pandemic', 'easy', 'buy', 'quota', ' Internet ',' cheap ',' need ',' internet ',' in the past ',' ']</v>
      </c>
      <c r="D2154" s="3">
        <v>5.0</v>
      </c>
    </row>
    <row r="2155" ht="15.75" customHeight="1">
      <c r="A2155" s="1">
        <v>2153.0</v>
      </c>
      <c r="B2155" s="3" t="s">
        <v>2156</v>
      </c>
      <c r="C2155" s="3" t="str">
        <f>IFERROR(__xludf.DUMMYFUNCTION("GOOGLETRANSLATE(B2155,""id"",""en"")"),"['user', 'card', 'Telkomsel', 'disappointed', 'program', 'unlimited', 'Telkomsel', 'bad', 'limit', 'reasonable', '']")</f>
        <v>['user', 'card', 'Telkomsel', 'disappointed', 'program', 'unlimited', 'Telkomsel', 'bad', 'limit', 'reasonable', '']</v>
      </c>
      <c r="D2155" s="3">
        <v>1.0</v>
      </c>
    </row>
    <row r="2156" ht="15.75" customHeight="1">
      <c r="A2156" s="1">
        <v>2154.0</v>
      </c>
      <c r="B2156" s="3" t="s">
        <v>2157</v>
      </c>
      <c r="C2156" s="3" t="str">
        <f>IFERROR(__xludf.DUMMYFUNCTION("GOOGLETRANSLATE(B2156,""id"",""en"")"),"['love', 'lottery', 'anything', 'quota', 'expensive', 'run out', 'fast', 'the network', 'broken', 'disappointed', 'Telkomsel']")</f>
        <v>['love', 'lottery', 'anything', 'quota', 'expensive', 'run out', 'fast', 'the network', 'broken', 'disappointed', 'Telkomsel']</v>
      </c>
      <c r="D2156" s="3">
        <v>1.0</v>
      </c>
    </row>
    <row r="2157" ht="15.75" customHeight="1">
      <c r="A2157" s="1">
        <v>2155.0</v>
      </c>
      <c r="B2157" s="3" t="s">
        <v>2158</v>
      </c>
      <c r="C2157" s="3" t="str">
        <f>IFERROR(__xludf.DUMMYFUNCTION("GOOGLETRANSLATE(B2157,""id"",""en"")"),"['Satisfied', 'Telkomsel', 'Sya', 'wear', 'card', 'DRIFON', 'DRI', 'Telkomsel', 'suggested', 'migration', 'card', 'Hello', ' DIECED ',' IMINGI ',' Quota ',' Unlimeted ',' TPI ',' Quota ',' Regular ',' Out ',' Quota ',' Unlimeted ',' Bill ',' Every month '"&amp;" , 'above', 'RB', 'Sya', 'move', 'card', 'change', 'card', 'enter', 'into', 'system', 'profitable', 'siding', ' consumer']")</f>
        <v>['Satisfied', 'Telkomsel', 'Sya', 'wear', 'card', 'DRIFON', 'DRI', 'Telkomsel', 'suggested', 'migration', 'card', 'Hello', ' DIECED ',' IMINGI ',' Quota ',' Unlimeted ',' TPI ',' Quota ',' Regular ',' Out ',' Quota ',' Unlimeted ',' Bill ',' Every month ' , 'above', 'RB', 'Sya', 'move', 'card', 'change', 'card', 'enter', 'into', 'system', 'profitable', 'siding', ' consumer']</v>
      </c>
      <c r="D2157" s="3">
        <v>1.0</v>
      </c>
    </row>
    <row r="2158" ht="15.75" customHeight="1">
      <c r="A2158" s="1">
        <v>2156.0</v>
      </c>
      <c r="B2158" s="3" t="s">
        <v>2159</v>
      </c>
      <c r="C2158" s="3" t="str">
        <f>IFERROR(__xludf.DUMMYFUNCTION("GOOGLETRANSLATE(B2158,""id"",""en"")"),"['Dear', 'Telkomsel', 'Costs', 'Buy', 'Package', 'Collapin', 'Customer', 'mind', 'Please', ""]")</f>
        <v>['Dear', 'Telkomsel', 'Costs', 'Buy', 'Package', 'Collapin', 'Customer', 'mind', 'Please', "]</v>
      </c>
      <c r="D2158" s="3">
        <v>4.0</v>
      </c>
    </row>
    <row r="2159" ht="15.75" customHeight="1">
      <c r="A2159" s="1">
        <v>2157.0</v>
      </c>
      <c r="B2159" s="3" t="s">
        <v>2160</v>
      </c>
      <c r="C2159" s="3" t="str">
        <f>IFERROR(__xludf.DUMMYFUNCTION("GOOGLETRANSLATE(B2159,""id"",""en"")"),"['bad', 'difficult', 'login', 'application', 'abal', 'abal', 'company', 'elite', 'national', 'application', 'easy', 'application', ' Really ',' bad ',' just ',' melted ',' quota ',' difficult ',' quota ',' signal ',' good ', ""]")</f>
        <v>['bad', 'difficult', 'login', 'application', 'abal', 'abal', 'company', 'elite', 'national', 'application', 'easy', 'application', ' Really ',' bad ',' just ',' melted ',' quota ',' difficult ',' quota ',' signal ',' good ', "]</v>
      </c>
      <c r="D2159" s="3">
        <v>1.0</v>
      </c>
    </row>
    <row r="2160" ht="15.75" customHeight="1">
      <c r="A2160" s="1">
        <v>2158.0</v>
      </c>
      <c r="B2160" s="3" t="s">
        <v>2161</v>
      </c>
      <c r="C2160" s="3" t="str">
        <f>IFERROR(__xludf.DUMMYFUNCTION("GOOGLETRANSLATE(B2160,""id"",""en"")"),"['dear', 'sophisticated', 'internet', 'potatoes',' customers', 'told', 'buy', 'package', 'quota', 'big', 'expensive', 'connection', ' slow ',' cinema ',' quota ',' big ',' speed ',' Often ',' play ',' byte ',' situ ',' sanas', ""]")</f>
        <v>['dear', 'sophisticated', 'internet', 'potatoes',' customers', 'told', 'buy', 'package', 'quota', 'big', 'expensive', 'connection', ' slow ',' cinema ',' quota ',' big ',' speed ',' Often ',' play ',' byte ',' situ ',' sanas', "]</v>
      </c>
      <c r="D2160" s="3">
        <v>1.0</v>
      </c>
    </row>
    <row r="2161" ht="15.75" customHeight="1">
      <c r="A2161" s="1">
        <v>2159.0</v>
      </c>
      <c r="B2161" s="3" t="s">
        <v>2162</v>
      </c>
      <c r="C2161" s="3" t="str">
        <f>IFERROR(__xludf.DUMMYFUNCTION("GOOGLETRANSLATE(B2161,""id"",""en"")"),"['disappointed', 'Telkomsel', 'special', 'sympathy', 'use', 'th', 'non', 'prepaid', 'forced', 'prepaid', 'reason', 'customer', ' Move ',' Prepaid ',' Move ',' Number ',' Disabled ',' Funny ',' Signal ',' Good ',' wasteful ',' Quota ',' Adaagi ',' Event ',"&amp;"' Exchange ' , 'Points',' Weekly ',' held ',' Applicated ',' MyTelkomsel ',' Exchange ',' BLM ',' Kemantol ',' PDAVY ',' Points', 'Sunday', 'Exchange', ' Points', '']")</f>
        <v>['disappointed', 'Telkomsel', 'special', 'sympathy', 'use', 'th', 'non', 'prepaid', 'forced', 'prepaid', 'reason', 'customer', ' Move ',' Prepaid ',' Move ',' Number ',' Disabled ',' Funny ',' Signal ',' Good ',' wasteful ',' Quota ',' Adaagi ',' Event ',' Exchange ' , 'Points',' Weekly ',' held ',' Applicated ',' MyTelkomsel ',' Exchange ',' BLM ',' Kemantol ',' PDAVY ',' Points', 'Sunday', 'Exchange', ' Points', '']</v>
      </c>
      <c r="D2161" s="3">
        <v>1.0</v>
      </c>
    </row>
    <row r="2162" ht="15.75" customHeight="1">
      <c r="A2162" s="1">
        <v>2160.0</v>
      </c>
      <c r="B2162" s="3" t="s">
        <v>2163</v>
      </c>
      <c r="C2162" s="3" t="str">
        <f>IFERROR(__xludf.DUMMYFUNCTION("GOOGLETRANSLATE(B2162,""id"",""en"")"),"['', 'happy', 'Telkomsel', 'help', 'gift', 'okay', 'blm', 'can', 'smg', 'times',' gift ',' point ',' tuker ',' Mksh ',' Telkomsel ', ""]")</f>
        <v>['', 'happy', 'Telkomsel', 'help', 'gift', 'okay', 'blm', 'can', 'smg', 'times',' gift ',' point ',' tuker ',' Mksh ',' Telkomsel ', "]</v>
      </c>
      <c r="D2162" s="3">
        <v>5.0</v>
      </c>
    </row>
    <row r="2163" ht="15.75" customHeight="1">
      <c r="A2163" s="1">
        <v>2161.0</v>
      </c>
      <c r="B2163" s="3" t="s">
        <v>2164</v>
      </c>
      <c r="C2163" s="3" t="str">
        <f>IFERROR(__xludf.DUMMYFUNCTION("GOOGLETRANSLATE(B2163,""id"",""en"")"),"['Assalamualaikum', 'Congratulations',' Night ',' Please ',' Help ',' Card ',' UPGRET ',' POINT ',' GRAPARI ',' LAKU ',' Please ',' Help ',' thank you', '']")</f>
        <v>['Assalamualaikum', 'Congratulations',' Night ',' Please ',' Help ',' Card ',' UPGRET ',' POINT ',' GRAPARI ',' LAKU ',' Please ',' Help ',' thank you', '']</v>
      </c>
      <c r="D2163" s="3">
        <v>3.0</v>
      </c>
    </row>
    <row r="2164" ht="15.75" customHeight="1">
      <c r="A2164" s="1">
        <v>2162.0</v>
      </c>
      <c r="B2164" s="3" t="s">
        <v>2165</v>
      </c>
      <c r="C2164" s="3" t="str">
        <f>IFERROR(__xludf.DUMMYFUNCTION("GOOGLETRANSLATE(B2164,""id"",""en"")"),"['Plis',' Telkomsel ',' Google ',' meet ',' buy ',' quota ',' thousand ',' run out ',' google ',' meet ',' play ',' game ',' YouTube ',' Insta ',' right ',' Download ',' Make ',' Google ',' Meet ',' Bener ',' already ',' Pay ',' expensive ',' loss', 'rich"&amp;"' , 'gini']")</f>
        <v>['Plis',' Telkomsel ',' Google ',' meet ',' buy ',' quota ',' thousand ',' run out ',' google ',' meet ',' play ',' game ',' YouTube ',' Insta ',' right ',' Download ',' Make ',' Google ',' Meet ',' Bener ',' already ',' Pay ',' expensive ',' loss', 'rich' , 'gini']</v>
      </c>
      <c r="D2164" s="3">
        <v>1.0</v>
      </c>
    </row>
    <row r="2165" ht="15.75" customHeight="1">
      <c r="A2165" s="1">
        <v>2163.0</v>
      </c>
      <c r="B2165" s="3" t="s">
        <v>2166</v>
      </c>
      <c r="C2165" s="3" t="str">
        <f>IFERROR(__xludf.DUMMYFUNCTION("GOOGLETRANSLATE(B2165,""id"",""en"")"),"['Disappointed', 'swear', 'Telkomsel', 'buy', 'unlimitedmax', 'limit', 'usage', 'unlimited', 'limit', 'quota', 'limit', 'disappointed', ' already ',' buy ',' expensive ',' speed ',' limit ',' see ',' photo ',' right ',' please ',' donk ',' fix ']")</f>
        <v>['Disappointed', 'swear', 'Telkomsel', 'buy', 'unlimitedmax', 'limit', 'usage', 'unlimited', 'limit', 'quota', 'limit', 'disappointed', ' already ',' buy ',' expensive ',' speed ',' limit ',' see ',' photo ',' right ',' please ',' donk ',' fix ']</v>
      </c>
      <c r="D2165" s="3">
        <v>1.0</v>
      </c>
    </row>
    <row r="2166" ht="15.75" customHeight="1">
      <c r="A2166" s="1">
        <v>2164.0</v>
      </c>
      <c r="B2166" s="3" t="s">
        <v>2167</v>
      </c>
      <c r="C2166" s="3" t="str">
        <f>IFERROR(__xludf.DUMMYFUNCTION("GOOGLETRANSLATE(B2166,""id"",""en"")"),"['here', 'disappointed', 'how', 'lose', 'operator', 'next door', 'network', 'threat', 'family', 'user', 'loyal', 'Telkomsel', ' Come ',' Disappointed ',' Telkomsel ',' Gini ', ""]")</f>
        <v>['here', 'disappointed', 'how', 'lose', 'operator', 'next door', 'network', 'threat', 'family', 'user', 'loyal', 'Telkomsel', ' Come ',' Disappointed ',' Telkomsel ',' Gini ', "]</v>
      </c>
      <c r="D2166" s="3">
        <v>1.0</v>
      </c>
    </row>
    <row r="2167" ht="15.75" customHeight="1">
      <c r="A2167" s="1">
        <v>2165.0</v>
      </c>
      <c r="B2167" s="3" t="s">
        <v>2168</v>
      </c>
      <c r="C2167" s="3" t="str">
        <f>IFERROR(__xludf.DUMMYFUNCTION("GOOGLETRANSLATE(B2167,""id"",""en"")"),"['Please', 'yaa', 'Telkomsel', 'choice', 'internet', 'made easier', 'Costumer', 'confused', 'wrong', 'buy', 'package', 'gabisa', ' Internet ',' Normal ',' Used ',' Application ',' HIIH ',' PEAH ',' NETWORK ',' Steady ',' Ogah ',' Telkomsel ',' already ','"&amp;" so ',' please ' , 'Employed', 'The network', 'Down', '']")</f>
        <v>['Please', 'yaa', 'Telkomsel', 'choice', 'internet', 'made easier', 'Costumer', 'confused', 'wrong', 'buy', 'package', 'gabisa', ' Internet ',' Normal ',' Used ',' Application ',' HIIH ',' PEAH ',' NETWORK ',' Steady ',' Ogah ',' Telkomsel ',' already ',' so ',' please ' , 'Employed', 'The network', 'Down', '']</v>
      </c>
      <c r="D2167" s="3">
        <v>3.0</v>
      </c>
    </row>
    <row r="2168" ht="15.75" customHeight="1">
      <c r="A2168" s="1">
        <v>2166.0</v>
      </c>
      <c r="B2168" s="3" t="s">
        <v>2169</v>
      </c>
      <c r="C2168" s="3" t="str">
        <f>IFERROR(__xludf.DUMMYFUNCTION("GOOGLETRANSLATE(B2168,""id"",""en"")"),"['Please', 'admin', 'Telkomsel', 'Points',' exchange ',' Data ',' GB ',' TPI ',' System ',' Busy ',' Min ',' Tlong ',' Fix ',' love ',' star ',' ']")</f>
        <v>['Please', 'admin', 'Telkomsel', 'Points',' exchange ',' Data ',' GB ',' TPI ',' System ',' Busy ',' Min ',' Tlong ',' Fix ',' love ',' star ',' ']</v>
      </c>
      <c r="D2168" s="3">
        <v>3.0</v>
      </c>
    </row>
    <row r="2169" ht="15.75" customHeight="1">
      <c r="A2169" s="1">
        <v>2167.0</v>
      </c>
      <c r="B2169" s="3" t="s">
        <v>2170</v>
      </c>
      <c r="C2169" s="3" t="str">
        <f>IFERROR(__xludf.DUMMYFUNCTION("GOOGLETRANSLATE(B2169,""id"",""en"")"),"['Open', 'Application', 'Login', 'Sign', 'then', 'Open', 'Application', 'Like', 'Stop', 'Mulu', 'Loading', 'Please', ' His explanation ']")</f>
        <v>['Open', 'Application', 'Login', 'Sign', 'then', 'Open', 'Application', 'Like', 'Stop', 'Mulu', 'Loading', 'Please', ' His explanation ']</v>
      </c>
      <c r="D2169" s="3">
        <v>2.0</v>
      </c>
    </row>
    <row r="2170" ht="15.75" customHeight="1">
      <c r="A2170" s="1">
        <v>2168.0</v>
      </c>
      <c r="B2170" s="3" t="s">
        <v>2171</v>
      </c>
      <c r="C2170" s="3" t="str">
        <f>IFERROR(__xludf.DUMMYFUNCTION("GOOGLETRANSLATE(B2170,""id"",""en"")"),"['application', 'disappointed', 'really', 'Telkomsel', 'quota', 'expired', 'as a result', 'mubasir', 'use', 'quota', 'approaching', 'expired', ' Fix ',' Thanks']")</f>
        <v>['application', 'disappointed', 'really', 'Telkomsel', 'quota', 'expired', 'as a result', 'mubasir', 'use', 'quota', 'approaching', 'expired', ' Fix ',' Thanks']</v>
      </c>
      <c r="D2170" s="3">
        <v>2.0</v>
      </c>
    </row>
    <row r="2171" ht="15.75" customHeight="1">
      <c r="A2171" s="1">
        <v>2169.0</v>
      </c>
      <c r="B2171" s="3" t="s">
        <v>2172</v>
      </c>
      <c r="C2171" s="3" t="str">
        <f>IFERROR(__xludf.DUMMYFUNCTION("GOOGLETRANSLATE(B2171,""id"",""en"")"),"['Take', 'quota', 'me', 'quota', 'multimedia', 'GB', 'game', 'lag', 'slow', 'Instagram', 'difficult', 'signal', ' Rich ',' gini ',' smooth ',' quota ',' main ',' doang ',' friend ',' you ',' hates me ', ""]")</f>
        <v>['Take', 'quota', 'me', 'quota', 'multimedia', 'GB', 'game', 'lag', 'slow', 'Instagram', 'difficult', 'signal', ' Rich ',' gini ',' smooth ',' quota ',' main ',' doang ',' friend ',' you ',' hates me ', "]</v>
      </c>
      <c r="D2171" s="3">
        <v>1.0</v>
      </c>
    </row>
    <row r="2172" ht="15.75" customHeight="1">
      <c r="A2172" s="1">
        <v>2170.0</v>
      </c>
      <c r="B2172" s="3" t="s">
        <v>2173</v>
      </c>
      <c r="C2172" s="3" t="str">
        <f>IFERROR(__xludf.DUMMYFUNCTION("GOOGLETRANSLATE(B2172,""id"",""en"")"),"['Forced', 'love', 'star', 'quota', 'Nelp', 'minutes', 'check', 'Telkomsel', 'annoyed', 'really', 'Telkomsel', ""]")</f>
        <v>['Forced', 'love', 'star', 'quota', 'Nelp', 'minutes', 'check', 'Telkomsel', 'annoyed', 'really', 'Telkomsel', "]</v>
      </c>
      <c r="D2172" s="3">
        <v>1.0</v>
      </c>
    </row>
    <row r="2173" ht="15.75" customHeight="1">
      <c r="A2173" s="1">
        <v>2171.0</v>
      </c>
      <c r="B2173" s="3" t="s">
        <v>2174</v>
      </c>
      <c r="C2173" s="3" t="str">
        <f>IFERROR(__xludf.DUMMYFUNCTION("GOOGLETRANSLATE(B2173,""id"",""en"")"),"['complaints',' min ',' signal ',' signal ',' open ',' web ',' slow ',' that's', 'forced', 'wear', 'wifi', 'Dicafe', ' faculty ',' already ',' buy ',' package ',' yesterday ',' needs', 'college', 'please', 'help', 'min', 'friend', 'complain', 'so' ]")</f>
        <v>['complaints',' min ',' signal ',' signal ',' open ',' web ',' slow ',' that's', 'forced', 'wear', 'wifi', 'Dicafe', ' faculty ',' already ',' buy ',' package ',' yesterday ',' needs', 'college', 'please', 'help', 'min', 'friend', 'complain', 'so' ]</v>
      </c>
      <c r="D2173" s="3">
        <v>2.0</v>
      </c>
    </row>
    <row r="2174" ht="15.75" customHeight="1">
      <c r="A2174" s="1">
        <v>2172.0</v>
      </c>
      <c r="B2174" s="3" t="s">
        <v>2175</v>
      </c>
      <c r="C2174" s="3" t="str">
        <f>IFERROR(__xludf.DUMMYFUNCTION("GOOGLETRANSLATE(B2174,""id"",""en"")"),"['signal', 'BERIK', 'oath', 'Life', 'village', 'business',' relies', 'network', 'difficult', 'users',' Telkomsel ',' times', ' disappointed ',' heavy ',' network ',' slow ',' really ']")</f>
        <v>['signal', 'BERIK', 'oath', 'Life', 'village', 'business',' relies', 'network', 'difficult', 'users',' Telkomsel ',' times', ' disappointed ',' heavy ',' network ',' slow ',' really ']</v>
      </c>
      <c r="D2174" s="3">
        <v>1.0</v>
      </c>
    </row>
    <row r="2175" ht="15.75" customHeight="1">
      <c r="A2175" s="1">
        <v>2173.0</v>
      </c>
      <c r="B2175" s="3" t="s">
        <v>2176</v>
      </c>
      <c r="C2175" s="3" t="str">
        <f>IFERROR(__xludf.DUMMYFUNCTION("GOOGLETRANSLATE(B2175,""id"",""en"")"),"['Network', 'bad', 'please', 'Telkomsel', 'fix', 'network', 'slow', 'loading', 'network', 'Telkomsel', 'as fast', '']")</f>
        <v>['Network', 'bad', 'please', 'Telkomsel', 'fix', 'network', 'slow', 'loading', 'network', 'Telkomsel', 'as fast', '']</v>
      </c>
      <c r="D2175" s="3">
        <v>1.0</v>
      </c>
    </row>
    <row r="2176" ht="15.75" customHeight="1">
      <c r="A2176" s="1">
        <v>2174.0</v>
      </c>
      <c r="B2176" s="3" t="s">
        <v>2177</v>
      </c>
      <c r="C2176" s="3" t="str">
        <f>IFERROR(__xludf.DUMMYFUNCTION("GOOGLETRANSLATE(B2176,""id"",""en"")"),"['Service', 'bad', 'APK', 'opened', 'contents',' pulse ',' pulse ',' enter ',' huuh ',' future ',' good ',' dilapidated ',' ']")</f>
        <v>['Service', 'bad', 'APK', 'opened', 'contents',' pulse ',' pulse ',' enter ',' huuh ',' future ',' good ',' dilapidated ',' ']</v>
      </c>
      <c r="D2176" s="3">
        <v>1.0</v>
      </c>
    </row>
    <row r="2177" ht="15.75" customHeight="1">
      <c r="A2177" s="1">
        <v>2175.0</v>
      </c>
      <c r="B2177" s="3" t="s">
        <v>2178</v>
      </c>
      <c r="C2177" s="3" t="str">
        <f>IFERROR(__xludf.DUMMYFUNCTION("GOOGLETRANSLATE(B2177,""id"",""en"")"),"['slow', 'kyk', 'dlu', 'network', 'stable', 'ngeluh', 'expensive', 'packetanny', 'ttp', 'buy', 'satisfied', 'speed', ' TPI ',' Network ',' ugly ',' already ',' complain ',' direct ',' operator ',' TPI ',' TTP ',' slow ',' disappointed ',' heavy ',' user '"&amp;" , 'connection']")</f>
        <v>['slow', 'kyk', 'dlu', 'network', 'stable', 'ngeluh', 'expensive', 'packetanny', 'ttp', 'buy', 'satisfied', 'speed', ' TPI ',' Network ',' ugly ',' already ',' complain ',' direct ',' operator ',' TPI ',' TTP ',' slow ',' disappointed ',' heavy ',' user ' , 'connection']</v>
      </c>
      <c r="D2177" s="3">
        <v>1.0</v>
      </c>
    </row>
    <row r="2178" ht="15.75" customHeight="1">
      <c r="A2178" s="1">
        <v>2176.0</v>
      </c>
      <c r="B2178" s="3" t="s">
        <v>2179</v>
      </c>
      <c r="C2178" s="3" t="str">
        <f>IFERROR(__xludf.DUMMYFUNCTION("GOOGLETRANSLATE(B2178,""id"",""en"")"),"['Heh', 'Credit', 'Suck', 'Mulu', 'Credit', 'Quota', 'Pulses',' Sumpot ',' Yesterday ',' Sumpot ',' How ',' The Network ',' ugly ',' Sebel ',' really ', ""]")</f>
        <v>['Heh', 'Credit', 'Suck', 'Mulu', 'Credit', 'Quota', 'Pulses',' Sumpot ',' Yesterday ',' Sumpot ',' How ',' The Network ',' ugly ',' Sebel ',' really ', "]</v>
      </c>
      <c r="D2178" s="3">
        <v>1.0</v>
      </c>
    </row>
    <row r="2179" ht="15.75" customHeight="1">
      <c r="A2179" s="1">
        <v>2177.0</v>
      </c>
      <c r="B2179" s="3" t="s">
        <v>2180</v>
      </c>
      <c r="C2179" s="3" t="str">
        <f>IFERROR(__xludf.DUMMYFUNCTION("GOOGLETRANSLATE(B2179,""id"",""en"")"),"['Related' 'experience', 'use', 'Telkomsel', 'quota', 'assistance', 'government', 'enter', '']")</f>
        <v>['Related' 'experience', 'use', 'Telkomsel', 'quota', 'assistance', 'government', 'enter', '']</v>
      </c>
      <c r="D2179" s="3">
        <v>4.0</v>
      </c>
    </row>
    <row r="2180" ht="15.75" customHeight="1">
      <c r="A2180" s="1">
        <v>2178.0</v>
      </c>
      <c r="B2180" s="3" t="s">
        <v>2181</v>
      </c>
      <c r="C2180" s="3" t="str">
        <f>IFERROR(__xludf.DUMMYFUNCTION("GOOGLETRANSLATE(B2180,""id"",""en"")"),"['network', 'Benerin', 'price', 'doang', 'expensive', 'network', 'cheap', 'thinking', 'money', 'mulu', 'satisfaction', 'consumer', ' Guarded ',' already ',' expensive ',' network ',' murahannnnn ',' ']")</f>
        <v>['network', 'Benerin', 'price', 'doang', 'expensive', 'network', 'cheap', 'thinking', 'money', 'mulu', 'satisfaction', 'consumer', ' Guarded ',' already ',' expensive ',' network ',' murahannnnn ',' ']</v>
      </c>
      <c r="D2180" s="3">
        <v>1.0</v>
      </c>
    </row>
    <row r="2181" ht="15.75" customHeight="1">
      <c r="A2181" s="1">
        <v>2179.0</v>
      </c>
      <c r="B2181" s="3" t="s">
        <v>2182</v>
      </c>
      <c r="C2181" s="3" t="str">
        <f>IFERROR(__xludf.DUMMYFUNCTION("GOOGLETRANSLATE(B2181,""id"",""en"")"),"['Sorry', 'number', 'phone', 'call', 'Blum', 'replace', 'offered', 'operator', 'telephone', 'because', 'work', 'oddness',' Fill ',' pls', 'Package', 'TLP', 'CONNECT', 'Thanks']")</f>
        <v>['Sorry', 'number', 'phone', 'call', 'Blum', 'replace', 'offered', 'operator', 'telephone', 'because', 'work', 'oddness',' Fill ',' pls', 'Package', 'TLP', 'CONNECT', 'Thanks']</v>
      </c>
      <c r="D2181" s="3">
        <v>5.0</v>
      </c>
    </row>
    <row r="2182" ht="15.75" customHeight="1">
      <c r="A2182" s="1">
        <v>2180.0</v>
      </c>
      <c r="B2182" s="3" t="s">
        <v>2183</v>
      </c>
      <c r="C2182" s="3" t="str">
        <f>IFERROR(__xludf.DUMMYFUNCTION("GOOGLETRANSLATE(B2182,""id"",""en"")"),"['buy', 'package', 'error', 'approaching', 'run out', 'check', 'run out', 'date', 'date', 'suda', 'exhaust', 'error', ' Like ',' Please ',' Fix ',' ']")</f>
        <v>['buy', 'package', 'error', 'approaching', 'run out', 'check', 'run out', 'date', 'date', 'suda', 'exhaust', 'error', ' Like ',' Please ',' Fix ',' ']</v>
      </c>
      <c r="D2182" s="3">
        <v>2.0</v>
      </c>
    </row>
    <row r="2183" ht="15.75" customHeight="1">
      <c r="A2183" s="1">
        <v>2181.0</v>
      </c>
      <c r="B2183" s="3" t="s">
        <v>2184</v>
      </c>
      <c r="C2183" s="3" t="str">
        <f>IFERROR(__xludf.DUMMYFUNCTION("GOOGLETRANSLATE(B2183,""id"",""en"")"),"['UDH', 'Bener', 'Tekomsel', 'Udh', 'Adan', 'City', 'Leet', 'Forgiveness',' Kompel ',' Ujung ',' Ujung ',' Please ',' Maap ',' ATS ',' Impertness', 'Successful', 'UDH', 'Expensive', 'wasteful', 'LEG', 'LAM', 'Over', 'Card', 'Cheap', 'Network' , 'card', 'q"&amp;"uota', 'expensive', 'slow', 'loss', ""]")</f>
        <v>['UDH', 'Bener', 'Tekomsel', 'Udh', 'Adan', 'City', 'Leet', 'Forgiveness',' Kompel ',' Ujung ',' Ujung ',' Please ',' Maap ',' ATS ',' Impertness', 'Successful', 'UDH', 'Expensive', 'wasteful', 'LEG', 'LAM', 'Over', 'Card', 'Cheap', 'Network' , 'card', 'quota', 'expensive', 'slow', 'loss', "]</v>
      </c>
      <c r="D2183" s="3">
        <v>1.0</v>
      </c>
    </row>
    <row r="2184" ht="15.75" customHeight="1">
      <c r="A2184" s="1">
        <v>2182.0</v>
      </c>
      <c r="B2184" s="3" t="s">
        <v>2185</v>
      </c>
      <c r="C2184" s="3" t="str">
        <f>IFERROR(__xludf.DUMMYFUNCTION("GOOGLETRANSLATE(B2184,""id"",""en"")"),"['Operator', 'Conconing', 'Pulse', 'Tel', 'Save', 'Network', 'Internet', 'Use', 'Deceived', 'Data', 'Out', 'Credit', ' Phone ',' out ',' notification ',' directly ',' absonceed ',' credit ',' telephone ',' run out ',' notification ',' notification ',' pul"&amp;"se ',' please ',' network ' , 'internet', 'with' pulses ',' data ',' example ',' buy ',' package ',' rb ',' pulse ',' save ',' phone ',' run out ',' Suda ',' Times', 'Natural', ""]")</f>
        <v>['Operator', 'Conconing', 'Pulse', 'Tel', 'Save', 'Network', 'Internet', 'Use', 'Deceived', 'Data', 'Out', 'Credit', ' Phone ',' out ',' notification ',' directly ',' absonceed ',' credit ',' telephone ',' run out ',' notification ',' notification ',' pulse ',' please ',' network ' , 'internet', 'with' pulses ',' data ',' example ',' buy ',' package ',' rb ',' pulse ',' save ',' phone ',' run out ',' Suda ',' Times', 'Natural', "]</v>
      </c>
      <c r="D2184" s="3">
        <v>2.0</v>
      </c>
    </row>
    <row r="2185" ht="15.75" customHeight="1">
      <c r="A2185" s="1">
        <v>2183.0</v>
      </c>
      <c r="B2185" s="3" t="s">
        <v>2186</v>
      </c>
      <c r="C2185" s="3" t="str">
        <f>IFERROR(__xludf.DUMMYFUNCTION("GOOGLETRANSLATE(B2185,""id"",""en"")"),"['Fill', 'reset', 'Cut', 'TELONG', 'Maling', 'Corn "",' Try ',' Multiplied ',' Million ',' User ',' Telkomsel ',' Indonesia ']")</f>
        <v>['Fill', 'reset', 'Cut', 'TELONG', 'Maling', 'Corn ",' Try ',' Multiplied ',' Million ',' User ',' Telkomsel ',' Indonesia ']</v>
      </c>
      <c r="D2185" s="3">
        <v>1.0</v>
      </c>
    </row>
    <row r="2186" ht="15.75" customHeight="1">
      <c r="A2186" s="1">
        <v>2184.0</v>
      </c>
      <c r="B2186" s="3" t="s">
        <v>2187</v>
      </c>
      <c r="C2186" s="3" t="str">
        <f>IFERROR(__xludf.DUMMYFUNCTION("GOOGLETRANSLATE(B2186,""id"",""en"")"),"['Sebegai', 'users',' Telkomsel ',' Disappointed ',' Network ',' Telkomsel ',' Since ',' Fire ',' Center ',' Telkomsel ',' Riau ',' Thn ',' Constraints', 'Network', 'Telkomsel', 'Bad', 'Worse', 'Dead', 'Lights',' Network ',' Lost ',' Sos', 'Please', 'Telk"&amp;"omsel', 'fix' , 'As soon as possible,' obstacles', 'Telkomsel', ""]")</f>
        <v>['Sebegai', 'users',' Telkomsel ',' Disappointed ',' Network ',' Telkomsel ',' Since ',' Fire ',' Center ',' Telkomsel ',' Riau ',' Thn ',' Constraints', 'Network', 'Telkomsel', 'Bad', 'Worse', 'Dead', 'Lights',' Network ',' Lost ',' Sos', 'Please', 'Telkomsel', 'fix' , 'As soon as possible,' obstacles', 'Telkomsel', "]</v>
      </c>
      <c r="D2186" s="3">
        <v>2.0</v>
      </c>
    </row>
    <row r="2187" ht="15.75" customHeight="1">
      <c r="A2187" s="1">
        <v>2185.0</v>
      </c>
      <c r="B2187" s="3" t="s">
        <v>2188</v>
      </c>
      <c r="C2187" s="3" t="str">
        <f>IFERROR(__xludf.DUMMYFUNCTION("GOOGLETRANSLATE(B2187,""id"",""en"")"),"['steady', 'check', 'quota', 'internet', 'search', 'quota', 'cheap', 'GB', 'dinaikin', 'price', 'quality', 'network', ' Enhanced ',' Heeeeee ',' ']")</f>
        <v>['steady', 'check', 'quota', 'internet', 'search', 'quota', 'cheap', 'GB', 'dinaikin', 'price', 'quality', 'network', ' Enhanced ',' Heeeeee ',' ']</v>
      </c>
      <c r="D2187" s="3">
        <v>5.0</v>
      </c>
    </row>
    <row r="2188" ht="15.75" customHeight="1">
      <c r="A2188" s="1">
        <v>2186.0</v>
      </c>
      <c r="B2188" s="3" t="s">
        <v>2189</v>
      </c>
      <c r="C2188" s="3" t="str">
        <f>IFERROR(__xludf.DUMMYFUNCTION("GOOGLETRANSLATE(B2188,""id"",""en"")"),"['right', 'enter', 'ngeleg', 'please', 'fix', 'please', 'sampe', 'stress',' already ',' buy ',' pulse ',' no ',' Enter ',' Wow ',' Woakwokaowkaowkoakwoakowkaow ',' Direct ',' Benerin ',' Woakwokaowkaowkoakwoakowkaow ',' Direct ',' Buy ',' Credit ',' Tryin"&amp;"g ',' Lottery ',' Hopefully ' ]")</f>
        <v>['right', 'enter', 'ngeleg', 'please', 'fix', 'please', 'sampe', 'stress',' already ',' buy ',' pulse ',' no ',' Enter ',' Wow ',' Woakwokaowkaowkoakwoakowkaow ',' Direct ',' Benerin ',' Woakwokaowkaowkoakwoakowkaow ',' Direct ',' Buy ',' Credit ',' Trying ',' Lottery ',' Hopefully ' ]</v>
      </c>
      <c r="D2188" s="3">
        <v>5.0</v>
      </c>
    </row>
    <row r="2189" ht="15.75" customHeight="1">
      <c r="A2189" s="1">
        <v>2187.0</v>
      </c>
      <c r="B2189" s="3" t="s">
        <v>2190</v>
      </c>
      <c r="C2189" s="3" t="str">
        <f>IFERROR(__xludf.DUMMYFUNCTION("GOOGLETRANSLATE(B2189,""id"",""en"")"),"['app', 'takeover', 'pulse', 'quota', 'run out', 'intention', 'buy', 'package', 'data', 'via', 'application', 'pulses',' already ',' hunting ',' cheek ',' buy ',' quota ',' pulses', 'reduced', '']")</f>
        <v>['app', 'takeover', 'pulse', 'quota', 'run out', 'intention', 'buy', 'package', 'data', 'via', 'application', 'pulses',' already ',' hunting ',' cheek ',' buy ',' quota ',' pulses', 'reduced', '']</v>
      </c>
      <c r="D2189" s="3">
        <v>1.0</v>
      </c>
    </row>
    <row r="2190" ht="15.75" customHeight="1">
      <c r="A2190" s="1">
        <v>2188.0</v>
      </c>
      <c r="B2190" s="3" t="s">
        <v>2191</v>
      </c>
      <c r="C2190" s="3" t="str">
        <f>IFERROR(__xludf.DUMMYFUNCTION("GOOGLETRANSLATE(B2190,""id"",""en"")"),"['Package', 'Combo', 'Sakti', 'Unlimited', 'Update', 'Fun', 'Regulations', 'Good', 'Quota', 'FUP', 'Provider', 'Next to' Use ',' Package ',' Combo ',' Sakti ',' Rules', 'Updated', 'Please', 'Restore', 'Regulation', ""]")</f>
        <v>['Package', 'Combo', 'Sakti', 'Unlimited', 'Update', 'Fun', 'Regulations', 'Good', 'Quota', 'FUP', 'Provider', 'Next to' Use ',' Package ',' Combo ',' Sakti ',' Rules', 'Updated', 'Please', 'Restore', 'Regulation', "]</v>
      </c>
      <c r="D2190" s="3">
        <v>3.0</v>
      </c>
    </row>
    <row r="2191" ht="15.75" customHeight="1">
      <c r="A2191" s="1">
        <v>2189.0</v>
      </c>
      <c r="B2191" s="3" t="s">
        <v>2192</v>
      </c>
      <c r="C2191" s="3" t="str">
        <f>IFERROR(__xludf.DUMMYFUNCTION("GOOGLETRANSLATE(B2191,""id"",""en"")"),"['Support', 'Karna', 'Provide', 'Need', 'Application', 'In the first', 'Please', 'Kepouts',' Fix ',' Difficult ',' Accessible ',' Signal ',' Low ',' package ',' expensive ',' smaikin ',' low ',' level ',' speed ',' jarangan ',' please ',' repaired ',' ove"&amp;"rcome ',' thank you ',' Telkomsel ' , '']")</f>
        <v>['Support', 'Karna', 'Provide', 'Need', 'Application', 'In the first', 'Please', 'Kepouts',' Fix ',' Difficult ',' Accessible ',' Signal ',' Low ',' package ',' expensive ',' smaikin ',' low ',' level ',' speed ',' jarangan ',' please ',' repaired ',' overcome ',' thank you ',' Telkomsel ' , '']</v>
      </c>
      <c r="D2191" s="3">
        <v>3.0</v>
      </c>
    </row>
    <row r="2192" ht="15.75" customHeight="1">
      <c r="A2192" s="1">
        <v>2190.0</v>
      </c>
      <c r="B2192" s="3" t="s">
        <v>2193</v>
      </c>
      <c r="C2192" s="3" t="str">
        <f>IFERROR(__xludf.DUMMYFUNCTION("GOOGLETRANSLATE(B2192,""id"",""en"")"),"['have', 'complaints',' Telkomsel ',' price ',' unlimitedmax ',' rb ',' a month ',' later ',' rb ',' a month ',' quota ',' unlimited ',' YouTube ',' RB ',' RB ',' Read ',' Unlimited ',' YouTube ',' Speed ​​',' Cuman ',' Kbps', 'Mending', 'Think', 'Buy', '"&amp;"Telkomsel' ]")</f>
        <v>['have', 'complaints',' Telkomsel ',' price ',' unlimitedmax ',' rb ',' a month ',' later ',' rb ',' a month ',' quota ',' unlimited ',' YouTube ',' RB ',' RB ',' Read ',' Unlimited ',' YouTube ',' Speed ​​',' Cuman ',' Kbps', 'Mending', 'Think', 'Buy', 'Telkomsel' ]</v>
      </c>
      <c r="D2192" s="3">
        <v>1.0</v>
      </c>
    </row>
    <row r="2193" ht="15.75" customHeight="1">
      <c r="A2193" s="1">
        <v>2191.0</v>
      </c>
      <c r="B2193" s="3" t="s">
        <v>2194</v>
      </c>
      <c r="C2193" s="3" t="str">
        <f>IFERROR(__xludf.DUMMYFUNCTION("GOOGLETRANSLATE(B2193,""id"",""en"")"),"['', 'Network', 'stable', 'Please', 'Increase', 'Quality', 'Signal', 'Application', 'Okay', 'Good', 'Deh', ""]")</f>
        <v>['', 'Network', 'stable', 'Please', 'Increase', 'Quality', 'Signal', 'Application', 'Okay', 'Good', 'Deh', "]</v>
      </c>
      <c r="D2193" s="3">
        <v>4.0</v>
      </c>
    </row>
    <row r="2194" ht="15.75" customHeight="1">
      <c r="A2194" s="1">
        <v>2192.0</v>
      </c>
      <c r="B2194" s="3" t="s">
        <v>2195</v>
      </c>
      <c r="C2194" s="3" t="str">
        <f>IFERROR(__xludf.DUMMYFUNCTION("GOOGLETRANSLATE(B2194,""id"",""en"")"),"['Disappointed', 'Tissue', 'Telkomsel', 'Bad', 'satisfying', 'quota', 'net', 'ugly', 'BURIK', 'just', 'suggestion', 'fix', ' network ',' Customer ',' go ',' Delete ',' Playstore ']")</f>
        <v>['Disappointed', 'Tissue', 'Telkomsel', 'Bad', 'satisfying', 'quota', 'net', 'ugly', 'BURIK', 'just', 'suggestion', 'fix', ' network ',' Customer ',' go ',' Delete ',' Playstore ']</v>
      </c>
      <c r="D2194" s="3">
        <v>1.0</v>
      </c>
    </row>
    <row r="2195" ht="15.75" customHeight="1">
      <c r="A2195" s="1">
        <v>2193.0</v>
      </c>
      <c r="B2195" s="3" t="s">
        <v>2196</v>
      </c>
      <c r="C2195" s="3" t="str">
        <f>IFERROR(__xludf.DUMMYFUNCTION("GOOGLETRANSLATE(B2195,""id"",""en"")"),"['are', 'contents', 'pulse', 'right', 'contents', 'increase', 'reduced', 'loss', 'number', 'fraud', 'enter', 'since' Wear ',' Telkomsel ',' network ',' slow ',' really ',' download ',' slow ',' really ',' Please ',' repair ',' Bruh ',' right ',' open ' , "&amp;"'his apk', 'screen', 'color', 'white', 'duh', 'responsibility', 'repay', 'kek', 'ngeta', 'what' is ',' mending ',' axis ',' ']")</f>
        <v>['are', 'contents', 'pulse', 'right', 'contents', 'increase', 'reduced', 'loss', 'number', 'fraud', 'enter', 'since' Wear ',' Telkomsel ',' network ',' slow ',' really ',' download ',' slow ',' really ',' Please ',' repair ',' Bruh ',' right ',' open ' , 'his apk', 'screen', 'color', 'white', 'duh', 'responsibility', 'repay', 'kek', 'ngeta', 'what' is ',' mending ',' axis ',' ']</v>
      </c>
      <c r="D2195" s="3">
        <v>1.0</v>
      </c>
    </row>
    <row r="2196" ht="15.75" customHeight="1">
      <c r="A2196" s="1">
        <v>2194.0</v>
      </c>
      <c r="B2196" s="3" t="s">
        <v>2197</v>
      </c>
      <c r="C2196" s="3" t="str">
        <f>IFERROR(__xludf.DUMMYFUNCTION("GOOGLETRANSLATE(B2196,""id"",""en"")"),"['application', 'fast', 'slow', 'open', 'repeat', 'open', 'login', 'open', 'application', 'please', 'fix', 'comfortable', ' usage ',' login ',' rich ',' open ',' login ']")</f>
        <v>['application', 'fast', 'slow', 'open', 'repeat', 'open', 'login', 'open', 'application', 'please', 'fix', 'comfortable', ' usage ',' login ',' rich ',' open ',' login ']</v>
      </c>
      <c r="D2196" s="3">
        <v>2.0</v>
      </c>
    </row>
    <row r="2197" ht="15.75" customHeight="1">
      <c r="A2197" s="1">
        <v>2195.0</v>
      </c>
      <c r="B2197" s="3" t="s">
        <v>2198</v>
      </c>
      <c r="C2197" s="3" t="str">
        <f>IFERROR(__xludf.DUMMYFUNCTION("GOOGLETRANSLATE(B2197,""id"",""en"")"),"['Telkomsel', 'network', 'bad', 'deteriorating', 'fast', 'signal', 'Telkomsel', 'Severe', 'please', 'fix', 'customer', 'disappointed']")</f>
        <v>['Telkomsel', 'network', 'bad', 'deteriorating', 'fast', 'signal', 'Telkomsel', 'Severe', 'please', 'fix', 'customer', 'disappointed']</v>
      </c>
      <c r="D2197" s="3">
        <v>1.0</v>
      </c>
    </row>
    <row r="2198" ht="15.75" customHeight="1">
      <c r="A2198" s="1">
        <v>2196.0</v>
      </c>
      <c r="B2198" s="3" t="s">
        <v>2199</v>
      </c>
      <c r="C2198" s="3" t="str">
        <f>IFERROR(__xludf.DUMMYFUNCTION("GOOGLETRANSLATE(B2198,""id"",""en"")"),"['users',' Telkomsel ',' Region ',' City ',' Padang ',' Sumatra ',' West ',' Signal ',' Telkomsel ',' ugly ',' bar ',' already ',' City ',' area ',' city ',' ugly ',' Telkomsel ',' Telkomsel ',' honest ',' disappointed ',' skrng ', ""]")</f>
        <v>['users',' Telkomsel ',' Region ',' City ',' Padang ',' Sumatra ',' West ',' Signal ',' Telkomsel ',' ugly ',' bar ',' already ',' City ',' area ',' city ',' ugly ',' Telkomsel ',' Telkomsel ',' honest ',' disappointed ',' skrng ', "]</v>
      </c>
      <c r="D2198" s="3">
        <v>1.0</v>
      </c>
    </row>
    <row r="2199" ht="15.75" customHeight="1">
      <c r="A2199" s="1">
        <v>2197.0</v>
      </c>
      <c r="B2199" s="3" t="s">
        <v>2200</v>
      </c>
      <c r="C2199" s="3" t="str">
        <f>IFERROR(__xludf.DUMMYFUNCTION("GOOGLETRANSLATE(B2199,""id"",""en"")"),"['', 'KSI', 'Star', 'Network', 'Telkomsel', 'Leet', 'Sya', 'Palu', 'Sulawesi', 'Poso', 'Lore', 'North', 'Napu ',' Please ',' Government ',' fix ',' Network ',' Fund ',' Enter ',' Corruption ',' Continuous', 'Listen', 'Voice', 'People', 'Thank you']")</f>
        <v>['', 'KSI', 'Star', 'Network', 'Telkomsel', 'Leet', 'Sya', 'Palu', 'Sulawesi', 'Poso', 'Lore', 'North', 'Napu ',' Please ',' Government ',' fix ',' Network ',' Fund ',' Enter ',' Corruption ',' Continuous', 'Listen', 'Voice', 'People', 'Thank you']</v>
      </c>
      <c r="D2199" s="3">
        <v>1.0</v>
      </c>
    </row>
    <row r="2200" ht="15.75" customHeight="1">
      <c r="A2200" s="1">
        <v>2198.0</v>
      </c>
      <c r="B2200" s="3" t="s">
        <v>2201</v>
      </c>
      <c r="C2200" s="3" t="str">
        <f>IFERROR(__xludf.DUMMYFUNCTION("GOOGLETRANSLATE(B2200,""id"",""en"")"),"['Disappointed', 'buy', 'credit', 'Telkomsel', 'May', 'Jun', 'Credit', 'Enter', 'Disaldo', 'complain', 'Call', 'Center', ' Grapari ',' settlement ',' based ',' SLA ',' Date ',' complaint ']")</f>
        <v>['Disappointed', 'buy', 'credit', 'Telkomsel', 'May', 'Jun', 'Credit', 'Enter', 'Disaldo', 'complain', 'Call', 'Center', ' Grapari ',' settlement ',' based ',' SLA ',' Date ',' complaint ']</v>
      </c>
      <c r="D2200" s="3">
        <v>1.0</v>
      </c>
    </row>
    <row r="2201" ht="15.75" customHeight="1">
      <c r="A2201" s="1">
        <v>2199.0</v>
      </c>
      <c r="B2201" s="3" t="s">
        <v>2202</v>
      </c>
      <c r="C2201" s="3" t="str">
        <f>IFERROR(__xludf.DUMMYFUNCTION("GOOGLETRANSLATE(B2201,""id"",""en"")"),"['Telkomsel', 'celebrate', 'reset', 'jerternat', 'unlimited', 'limit it', 'Hopefully', 'Commissioner', 'Abde', 'change', 'excerpts',' guitar ',' Fals', '']")</f>
        <v>['Telkomsel', 'celebrate', 'reset', 'jerternat', 'unlimited', 'limit it', 'Hopefully', 'Commissioner', 'Abde', 'change', 'excerpts',' guitar ',' Fals', '']</v>
      </c>
      <c r="D2201" s="3">
        <v>1.0</v>
      </c>
    </row>
    <row r="2202" ht="15.75" customHeight="1">
      <c r="A2202" s="1">
        <v>2200.0</v>
      </c>
      <c r="B2202" s="3" t="s">
        <v>2203</v>
      </c>
      <c r="C2202" s="3" t="str">
        <f>IFERROR(__xludf.DUMMYFUNCTION("GOOGLETRANSLATE(B2202,""id"",""en"")"),"['Telkomsel', 'Karu', 'Karuan', 'his actions',' pulses', 'Haru', 'thousand', 'Maratus',' take ',' Please ',' repaired ',' Kayak ',' Ghost ',' Card ',' Provider ',' Amanah ']")</f>
        <v>['Telkomsel', 'Karu', 'Karuan', 'his actions',' pulses', 'Haru', 'thousand', 'Maratus',' take ',' Please ',' repaired ',' Kayak ',' Ghost ',' Card ',' Provider ',' Amanah ']</v>
      </c>
      <c r="D2202" s="3">
        <v>1.0</v>
      </c>
    </row>
    <row r="2203" ht="15.75" customHeight="1">
      <c r="A2203" s="1">
        <v>2201.0</v>
      </c>
      <c r="B2203" s="3" t="s">
        <v>2204</v>
      </c>
      <c r="C2203" s="3" t="str">
        <f>IFERROR(__xludf.DUMMYFUNCTION("GOOGLETRANSLATE(B2203,""id"",""en"")"),"['Suggestion', 'Features',' Chat ',' Veronika ',' Blined ',' Capture ',' Ribet ',' Told ',' Convert ',' Web ',' Procedure ',' Ribet ',' Telkomsel ',' example ',' merchant ',' kayak ',' shopee ',' features', 'chat', 'easy', 'hopefully', 'upgraded', 'Telkom"&amp;"sel', ""]")</f>
        <v>['Suggestion', 'Features',' Chat ',' Veronika ',' Blined ',' Capture ',' Ribet ',' Told ',' Convert ',' Web ',' Procedure ',' Ribet ',' Telkomsel ',' example ',' merchant ',' kayak ',' shopee ',' features', 'chat', 'easy', 'hopefully', 'upgraded', 'Telkomsel', "]</v>
      </c>
      <c r="D2203" s="3">
        <v>3.0</v>
      </c>
    </row>
    <row r="2204" ht="15.75" customHeight="1">
      <c r="A2204" s="1">
        <v>2202.0</v>
      </c>
      <c r="B2204" s="3" t="s">
        <v>2205</v>
      </c>
      <c r="C2204" s="3" t="str">
        <f>IFERROR(__xludf.DUMMYFUNCTION("GOOGLETRANSLATE(B2204,""id"",""en"")"),"['Late', 'fill', 'pulse', 'tolerance', 'number', 'Hanguss',' activation ',' activated ',' Terms', 'Switch', 'Post', 'Pay', ' ']")</f>
        <v>['Late', 'fill', 'pulse', 'tolerance', 'number', 'Hanguss',' activation ',' activated ',' Terms', 'Switch', 'Post', 'Pay', ' ']</v>
      </c>
      <c r="D2204" s="3">
        <v>1.0</v>
      </c>
    </row>
    <row r="2205" ht="15.75" customHeight="1">
      <c r="A2205" s="1">
        <v>2203.0</v>
      </c>
      <c r="B2205" s="3" t="s">
        <v>2206</v>
      </c>
      <c r="C2205" s="3" t="str">
        <f>IFERROR(__xludf.DUMMYFUNCTION("GOOGLETRANSLATE(B2205,""id"",""en"")"),"['use', 'card', 'Telkomsel', 'yrs',' replace ',' card ',' kmaren ',' friend ',' package ',' internet ',' call ',' sms', ' etc. ',' Take ',' Tenyata ',' expensive ',' user ',' card ',' as', 'user', 'honest', 'disappointed', 'front', 'use', 'Telkomsel' , 'E"&amp;"xcept', 'forced', 'congratulations',' loss', 'customers',' loyal ',' thank you ',' service ',' hope ',' friend ',' friend ',' Providers', 'Take', 'Lesson', '']")</f>
        <v>['use', 'card', 'Telkomsel', 'yrs',' replace ',' card ',' kmaren ',' friend ',' package ',' internet ',' call ',' sms', ' etc. ',' Take ',' Tenyata ',' expensive ',' user ',' card ',' as', 'user', 'honest', 'disappointed', 'front', 'use', 'Telkomsel' , 'Except', 'forced', 'congratulations',' loss', 'customers',' loyal ',' thank you ',' service ',' hope ',' friend ',' friend ',' Providers', 'Take', 'Lesson', '']</v>
      </c>
      <c r="D2205" s="3">
        <v>1.0</v>
      </c>
    </row>
    <row r="2206" ht="15.75" customHeight="1">
      <c r="A2206" s="1">
        <v>2204.0</v>
      </c>
      <c r="B2206" s="3" t="s">
        <v>2207</v>
      </c>
      <c r="C2206" s="3" t="str">
        <f>IFERROR(__xludf.DUMMYFUNCTION("GOOGLETRANSLATE(B2206,""id"",""en"")"),"['Sorry', 'file', 'internet', 'slow', 'really', 'kouta', 'network', 'full', 'access',' internet ',' slow ',' really ',' Buy ',' Package ',' UnlimitedMax ',' Lecture ',' Please ',' Sis', 'Kayak', 'Gini', 'Comfortable', 'Sebagi', 'User', 'Telkomsel', 'Love'"&amp;" , 'Bintang', 'dlu', 'thank', 'love', '']")</f>
        <v>['Sorry', 'file', 'internet', 'slow', 'really', 'kouta', 'network', 'full', 'access',' internet ',' slow ',' really ',' Buy ',' Package ',' UnlimitedMax ',' Lecture ',' Please ',' Sis', 'Kayak', 'Gini', 'Comfortable', 'Sebagi', 'User', 'Telkomsel', 'Love' , 'Bintang', 'dlu', 'thank', 'love', '']</v>
      </c>
      <c r="D2206" s="3">
        <v>2.0</v>
      </c>
    </row>
    <row r="2207" ht="15.75" customHeight="1">
      <c r="A2207" s="1">
        <v>2205.0</v>
      </c>
      <c r="B2207" s="3" t="s">
        <v>2208</v>
      </c>
      <c r="C2207" s="3" t="str">
        <f>IFERROR(__xludf.DUMMYFUNCTION("GOOGLETRANSLATE(B2207,""id"",""en"")"),"['thank', 'love', 'Telkomsel', 'service', 'best', 'purchase', 'pulse', 'package', 'data', 'cheap', 'festive', 'package', ' Data ',' GB ',' Free ',' Call ',' Pas', 'Cancer', 'Pouch', 'Dry', 'Thanks',' Telkomsel ',' Service ',' Disappointing ',' Service ' ,"&amp;" 'customer', '']")</f>
        <v>['thank', 'love', 'Telkomsel', 'service', 'best', 'purchase', 'pulse', 'package', 'data', 'cheap', 'festive', 'package', ' Data ',' GB ',' Free ',' Call ',' Pas', 'Cancer', 'Pouch', 'Dry', 'Thanks',' Telkomsel ',' Service ',' Disappointing ',' Service ' , 'customer', '']</v>
      </c>
      <c r="D2207" s="3">
        <v>5.0</v>
      </c>
    </row>
    <row r="2208" ht="15.75" customHeight="1">
      <c r="A2208" s="1">
        <v>2206.0</v>
      </c>
      <c r="B2208" s="3" t="s">
        <v>2209</v>
      </c>
      <c r="C2208" s="3" t="str">
        <f>IFERROR(__xludf.DUMMYFUNCTION("GOOGLETRANSLATE(B2208,""id"",""en"")"),"['proud', 'Telkomsel', 'happy', 'already', 'disappointed', 'open', 'application', 'Telkomsel', 'difficult', 'check', 'package', 'pay', ' 'Card', 'Hello', 'Hello', 'Reward', 'Difficult', 'NOT', 'Thinking', 'Damaged', 'Network', 'Telkomsel', 'Kayak', 'Snail"&amp;"' , 'Hopefully', 'improvement', 'in the future', '']")</f>
        <v>['proud', 'Telkomsel', 'happy', 'already', 'disappointed', 'open', 'application', 'Telkomsel', 'difficult', 'check', 'package', 'pay', ' 'Card', 'Hello', 'Hello', 'Reward', 'Difficult', 'NOT', 'Thinking', 'Damaged', 'Network', 'Telkomsel', 'Kayak', 'Snail' , 'Hopefully', 'improvement', 'in the future', '']</v>
      </c>
      <c r="D2208" s="3">
        <v>1.0</v>
      </c>
    </row>
    <row r="2209" ht="15.75" customHeight="1">
      <c r="A2209" s="1">
        <v>2207.0</v>
      </c>
      <c r="B2209" s="3" t="s">
        <v>2210</v>
      </c>
      <c r="C2209" s="3" t="str">
        <f>IFERROR(__xludf.DUMMYFUNCTION("GOOGLETRANSLATE(B2209,""id"",""en"")"),"['Paketan', 'Combo', 'Sakti', 'Unlimitid', 'GB', 'Satisfying', 'Tired', 'Switch', 'Donk', 'Combo', 'Sakti', 'Unlimited', ' GB ',' divided ',' Bener ',' satisfying ',' unlimitid ',' multimedia ',' name ',' difficult ',' see ',' application ',' other ',' ju"&amp;"st ',' speed ' , 'Reduced', 'mAh', 'weve', 'reduced', 'sequence', 'Come', 'back', 'combosakti', 'unlimitid', 'GB', 'multimedia', 'no', ' Rowed ',' Price ',' satisfying ',' ']")</f>
        <v>['Paketan', 'Combo', 'Sakti', 'Unlimitid', 'GB', 'Satisfying', 'Tired', 'Switch', 'Donk', 'Combo', 'Sakti', 'Unlimited', ' GB ',' divided ',' Bener ',' satisfying ',' unlimitid ',' multimedia ',' name ',' difficult ',' see ',' application ',' other ',' just ',' speed ' , 'Reduced', 'mAh', 'weve', 'reduced', 'sequence', 'Come', 'back', 'combosakti', 'unlimitid', 'GB', 'multimedia', 'no', ' Rowed ',' Price ',' satisfying ',' ']</v>
      </c>
      <c r="D2209" s="3">
        <v>2.0</v>
      </c>
    </row>
    <row r="2210" ht="15.75" customHeight="1">
      <c r="A2210" s="1">
        <v>2208.0</v>
      </c>
      <c r="B2210" s="3" t="s">
        <v>2211</v>
      </c>
      <c r="C2210" s="3" t="str">
        <f>IFERROR(__xludf.DUMMYFUNCTION("GOOGLETRANSLATE(B2210,""id"",""en"")"),"['Mentang', 'Mentang', 'Network', 'Kenceng', 'Package', 'Combo', 'Sakti', 'thousand', 'thousand', 'unlimited', 'rb', 'thousand', ' package ',' night ',' rebu ',' rebu ',' price ',' stable ',' ngeta ',' ngabbb ']")</f>
        <v>['Mentang', 'Mentang', 'Network', 'Kenceng', 'Package', 'Combo', 'Sakti', 'thousand', 'thousand', 'unlimited', 'rb', 'thousand', ' package ',' night ',' rebu ',' rebu ',' price ',' stable ',' ngeta ',' ngabbb ']</v>
      </c>
      <c r="D2210" s="3">
        <v>1.0</v>
      </c>
    </row>
    <row r="2211" ht="15.75" customHeight="1">
      <c r="A2211" s="1">
        <v>2209.0</v>
      </c>
      <c r="B2211" s="3" t="s">
        <v>2212</v>
      </c>
      <c r="C2211" s="3" t="str">
        <f>IFERROR(__xludf.DUMMYFUNCTION("GOOGLETRANSLATE(B2211,""id"",""en"")"),"['cell', 'my place', 'sinynya', 'as good', 'ngegame', 'emotion', 'because' signal ',' card ',' expensive ',' signal ',' disappointing ',' Please, 'Fix', 'Addin', 'Tower', 'Klaten', 'Jateng', 'Thanks']")</f>
        <v>['cell', 'my place', 'sinynya', 'as good', 'ngegame', 'emotion', 'because' signal ',' card ',' expensive ',' signal ',' disappointing ',' Please, 'Fix', 'Addin', 'Tower', 'Klaten', 'Jateng', 'Thanks']</v>
      </c>
      <c r="D2211" s="3">
        <v>3.0</v>
      </c>
    </row>
    <row r="2212" ht="15.75" customHeight="1">
      <c r="A2212" s="1">
        <v>2210.0</v>
      </c>
      <c r="B2212" s="3" t="s">
        <v>2213</v>
      </c>
      <c r="C2212" s="3" t="str">
        <f>IFERROR(__xludf.DUMMYFUNCTION("GOOGLETRANSLATE(B2212,""id"",""en"")"),"['application', 'good', 'like', '']")</f>
        <v>['application', 'good', 'like', '']</v>
      </c>
      <c r="D2212" s="3">
        <v>5.0</v>
      </c>
    </row>
    <row r="2213" ht="15.75" customHeight="1">
      <c r="A2213" s="1">
        <v>2211.0</v>
      </c>
      <c r="B2213" s="3" t="s">
        <v>2214</v>
      </c>
      <c r="C2213" s="3" t="str">
        <f>IFERROR(__xludf.DUMMYFUNCTION("GOOGLETRANSLATE(B2213,""id"",""en"")"),"['koq', 'difficult', 'open', 'telkomsel', 'connect', 'severe', 'really', 'uninstall', 'download', 'difficult', 'really', 'dehh', ' ']")</f>
        <v>['koq', 'difficult', 'open', 'telkomsel', 'connect', 'severe', 'really', 'uninstall', 'download', 'difficult', 'really', 'dehh', ' ']</v>
      </c>
      <c r="D2213" s="3">
        <v>1.0</v>
      </c>
    </row>
    <row r="2214" ht="15.75" customHeight="1">
      <c r="A2214" s="1">
        <v>2212.0</v>
      </c>
      <c r="B2214" s="3" t="s">
        <v>2215</v>
      </c>
      <c r="C2214" s="3" t="str">
        <f>IFERROR(__xludf.DUMMYFUNCTION("GOOGLETRANSLATE(B2214,""id"",""en"")"),"['app', 'udh', 'good', 'price', 'emng', 'expensive', 'price', 'mahala', 'business',' signal ',' kencengin ',' Sis', ' Worth ',' suggestion ',' less', 'price', 'little', 'signal', 'improve', 'worth', 'price', 'good', 'stay', 'kembangin', 'kak' , 'Delete', "&amp;"'Recent', 'Transaction', 'Hope', 'removed', 'Please', 'Response', 'Thank', 'Love', ""]")</f>
        <v>['app', 'udh', 'good', 'price', 'emng', 'expensive', 'price', 'mahala', 'business',' signal ',' kencengin ',' Sis', ' Worth ',' suggestion ',' less', 'price', 'little', 'signal', 'improve', 'worth', 'price', 'good', 'stay', 'kembangin', 'kak' , 'Delete', 'Recent', 'Transaction', 'Hope', 'removed', 'Please', 'Response', 'Thank', 'Love', "]</v>
      </c>
      <c r="D2214" s="3">
        <v>5.0</v>
      </c>
    </row>
    <row r="2215" ht="15.75" customHeight="1">
      <c r="A2215" s="1">
        <v>2213.0</v>
      </c>
      <c r="B2215" s="3" t="s">
        <v>2216</v>
      </c>
      <c r="C2215" s="3" t="str">
        <f>IFERROR(__xludf.DUMMYFUNCTION("GOOGLETRANSLATE(B2215,""id"",""en"")"),"['', 'Review', 'APK', 'BNYK', 'MAFIANYA', 'TIME', 'YAK', 'QUALITY', 'BAD', 'GINI', 'DPT', 'BNYK', 'Review ',' Star ',' serious', 'Please', 'Reduce', 'Price', 'Package', 'Price', 'Thousands',' Thousands', 'Hold', 'Promo', 'User', 'friend', 'unlimited', 'ma"&amp;"x', 'reduced', '']")</f>
        <v>['', 'Review', 'APK', 'BNYK', 'MAFIANYA', 'TIME', 'YAK', 'QUALITY', 'BAD', 'GINI', 'DPT', 'BNYK', 'Review ',' Star ',' serious', 'Please', 'Reduce', 'Price', 'Package', 'Price', 'Thousands',' Thousands', 'Hold', 'Promo', 'User', 'friend', 'unlimited', 'max', 'reduced', '']</v>
      </c>
      <c r="D2215" s="3">
        <v>1.0</v>
      </c>
    </row>
    <row r="2216" ht="15.75" customHeight="1">
      <c r="A2216" s="1">
        <v>2214.0</v>
      </c>
      <c r="B2216" s="3" t="s">
        <v>2217</v>
      </c>
      <c r="C2216" s="3" t="str">
        <f>IFERROR(__xludf.DUMMYFUNCTION("GOOGLETRANSLATE(B2216,""id"",""en"")"),"['subscription', 'MyTelkomsel', 'buy', 'quota', 'internet', 'failed', 'proof', 'transaction', 'transaction', 'success',' check ',' quota ',' Internet ',' pulse ',' whole ',' many ',' times', 'contact', 'MyTelkomsel', 'email', 'telegram', 'application', 'd"&amp;"irect', 'road', 'honest' , 'Disappointed', 'buy', 'pulse', 'vain', 'vain', ""]")</f>
        <v>['subscription', 'MyTelkomsel', 'buy', 'quota', 'internet', 'failed', 'proof', 'transaction', 'transaction', 'success',' check ',' quota ',' Internet ',' pulse ',' whole ',' many ',' times', 'contact', 'MyTelkomsel', 'email', 'telegram', 'application', 'direct', 'road', 'honest' , 'Disappointed', 'buy', 'pulse', 'vain', 'vain', "]</v>
      </c>
      <c r="D2216" s="3">
        <v>1.0</v>
      </c>
    </row>
    <row r="2217" ht="15.75" customHeight="1">
      <c r="A2217" s="1">
        <v>2215.0</v>
      </c>
      <c r="B2217" s="3" t="s">
        <v>2218</v>
      </c>
      <c r="C2217" s="3" t="str">
        <f>IFERROR(__xludf.DUMMYFUNCTION("GOOGLETRANSLATE(B2217,""id"",""en"")"),"['', 'love', 'star', 'disappointed', 'package', 'internet', 'expensive', 'slow', 'forgiveness',' complement ',' application ',' taught ',' setting ',' Until ',' Change ',' Tetep ',' Lemot ',' Keong ',' poison ']")</f>
        <v>['', 'love', 'star', 'disappointed', 'package', 'internet', 'expensive', 'slow', 'forgiveness',' complement ',' application ',' taught ',' setting ',' Until ',' Change ',' Tetep ',' Lemot ',' Keong ',' poison ']</v>
      </c>
      <c r="D2217" s="3">
        <v>1.0</v>
      </c>
    </row>
    <row r="2218" ht="15.75" customHeight="1">
      <c r="A2218" s="1">
        <v>2216.0</v>
      </c>
      <c r="B2218" s="3" t="s">
        <v>2219</v>
      </c>
      <c r="C2218" s="3" t="str">
        <f>IFERROR(__xludf.DUMMYFUNCTION("GOOGLETRANSLATE(B2218,""id"",""en"")"),"['Help', 'check', 'balance', 'pulse', 'card', 'Certain', 'help', 'choose', 'package', 'data', 'according to', 'needs',' Offer ',' piece ',' price ',' profit ',' profit ',' thank ',' love ',' developer ',' application ',' management ',' hard ',' applicatio"&amp;"n ',' MyTelkomsel ' ]")</f>
        <v>['Help', 'check', 'balance', 'pulse', 'card', 'Certain', 'help', 'choose', 'package', 'data', 'according to', 'needs',' Offer ',' piece ',' price ',' profit ',' profit ',' thank ',' love ',' developer ',' application ',' management ',' hard ',' application ',' MyTelkomsel ' ]</v>
      </c>
      <c r="D2218" s="3">
        <v>5.0</v>
      </c>
    </row>
    <row r="2219" ht="15.75" customHeight="1">
      <c r="A2219" s="1">
        <v>2217.0</v>
      </c>
      <c r="B2219" s="3" t="s">
        <v>2220</v>
      </c>
      <c r="C2219" s="3" t="str">
        <f>IFERROR(__xludf.DUMMYFUNCTION("GOOGLETRANSLATE(B2219,""id"",""en"")"),"['Telkomsel', 'Severe', 'Nich', 'Network', 'expensive', 'Doank', 'Kaga', 'rich', 'expensive', 'network', 'mah', 'Severe', ' Abis', 'already', 'Alana', 'buy', 'package', 'unlimitid', 'ehk', 'already', 'can', 'sms',' package ',' unlimitid ',' run out ' , 'm"&amp;"ah', 'kaga', 'buy', 'package', 'unlimitid', 'ALANA', 'expensive', 'chaotic', 'Telkomsel', 'sekrang', ""]")</f>
        <v>['Telkomsel', 'Severe', 'Nich', 'Network', 'expensive', 'Doank', 'Kaga', 'rich', 'expensive', 'network', 'mah', 'Severe', ' Abis', 'already', 'Alana', 'buy', 'package', 'unlimitid', 'ehk', 'already', 'can', 'sms',' package ',' unlimitid ',' run out ' , 'mah', 'kaga', 'buy', 'package', 'unlimitid', 'ALANA', 'expensive', 'chaotic', 'Telkomsel', 'sekrang', "]</v>
      </c>
      <c r="D2219" s="3">
        <v>1.0</v>
      </c>
    </row>
    <row r="2220" ht="15.75" customHeight="1">
      <c r="A2220" s="1">
        <v>2218.0</v>
      </c>
      <c r="B2220" s="3" t="s">
        <v>2221</v>
      </c>
      <c r="C2220" s="3" t="str">
        <f>IFERROR(__xludf.DUMMYFUNCTION("GOOGLETRANSLATE(B2220,""id"",""en"")"),"['krmn', 'signal', 'package', 'call', 'skarang', 'internet', 'broke', 'connected', 'broke', 'connected', 'gpp', 'deh', ' Love ',' Bintang ',' Karna ',' Cave ',' Love ',' Indonesia ',' Cave ',' Love ',' Products', 'Indonesia', 'Telkomsel', 'Hope', 'Compete"&amp;"' , 'produk', 'provider', 'country', 'Telkomsel', 'advanced']")</f>
        <v>['krmn', 'signal', 'package', 'call', 'skarang', 'internet', 'broke', 'connected', 'broke', 'connected', 'gpp', 'deh', ' Love ',' Bintang ',' Karna ',' Cave ',' Love ',' Indonesia ',' Cave ',' Love ',' Products', 'Indonesia', 'Telkomsel', 'Hope', 'Compete' , 'produk', 'provider', 'country', 'Telkomsel', 'advanced']</v>
      </c>
      <c r="D2220" s="3">
        <v>5.0</v>
      </c>
    </row>
    <row r="2221" ht="15.75" customHeight="1">
      <c r="A2221" s="1">
        <v>2219.0</v>
      </c>
      <c r="B2221" s="3" t="s">
        <v>2222</v>
      </c>
      <c r="C2221" s="3" t="str">
        <f>IFERROR(__xludf.DUMMYFUNCTION("GOOGLETRANSLATE(B2221,""id"",""en"")"),"['Network', 'best', 'was so oking', 'best', 'loading', 'equal', 'speed', 'fan', 'wind', 'woooowww', 'amazing']")</f>
        <v>['Network', 'best', 'was so oking', 'best', 'loading', 'equal', 'speed', 'fan', 'wind', 'woooowww', 'amazing']</v>
      </c>
      <c r="D2221" s="3">
        <v>1.0</v>
      </c>
    </row>
    <row r="2222" ht="15.75" customHeight="1">
      <c r="A2222" s="1">
        <v>2220.0</v>
      </c>
      <c r="B2222" s="3" t="s">
        <v>2223</v>
      </c>
      <c r="C2222" s="3" t="str">
        <f>IFERROR(__xludf.DUMMYFUNCTION("GOOGLETRANSLATE(B2222,""id"",""en"")"),"['Please', 'Love', 'Promo', 'Choose', 'Kasih', 'As',' TKP ',' Rules', 'Package', 'Internet', 'Pattered', 'Bedain', ' The area ',' company ',' BUMN ',' racist ',' The people ',' Sad ', ""]")</f>
        <v>['Please', 'Love', 'Promo', 'Choose', 'Kasih', 'As',' TKP ',' Rules', 'Package', 'Internet', 'Pattered', 'Bedain', ' The area ',' company ',' BUMN ',' racist ',' The people ',' Sad ', "]</v>
      </c>
      <c r="D2222" s="3">
        <v>1.0</v>
      </c>
    </row>
    <row r="2223" ht="15.75" customHeight="1">
      <c r="A2223" s="1">
        <v>2221.0</v>
      </c>
      <c r="B2223" s="3" t="s">
        <v>2224</v>
      </c>
      <c r="C2223" s="3" t="str">
        <f>IFERROR(__xludf.DUMMYFUNCTION("GOOGLETRANSLATE(B2223,""id"",""en"")"),"['assalamualaikum', 'telomsel', 'just', 'purchase', 'kouta', 'internet', 'expensive', 'bad', 'signal', 'confused', 'package', 'combo', ' Sakti ',' formerly ',' multimedia ',' unlimited ',' because ',' person ',' use ',' package ',' internet ',' used to ',"&amp;"' package ',' phone ',' minutes' , 'Minutes', 'Live', 'name', 'Combo', 'Sakti', 'Unlimited and', 'Signal', 'Bad', 'Gara', 'Gara', 'Move', 'Operator']")</f>
        <v>['assalamualaikum', 'telomsel', 'just', 'purchase', 'kouta', 'internet', 'expensive', 'bad', 'signal', 'confused', 'package', 'combo', ' Sakti ',' formerly ',' multimedia ',' unlimited ',' because ',' person ',' use ',' package ',' internet ',' used to ',' package ',' phone ',' minutes' , 'Minutes', 'Live', 'name', 'Combo', 'Sakti', 'Unlimited and', 'Signal', 'Bad', 'Gara', 'Gara', 'Move', 'Operator']</v>
      </c>
      <c r="D2223" s="3">
        <v>1.0</v>
      </c>
    </row>
    <row r="2224" ht="15.75" customHeight="1">
      <c r="A2224" s="1">
        <v>2222.0</v>
      </c>
      <c r="B2224" s="3" t="s">
        <v>2225</v>
      </c>
      <c r="C2224" s="3" t="str">
        <f>IFERROR(__xludf.DUMMYFUNCTION("GOOGLETRANSLATE(B2224,""id"",""en"")"),"['The network', 'Bener', 'Cook', 'Lose', 'Cepet', 'Ama', 'Disappointed', 'SMA', 'TELKOM', 'Mending', 'Change', 'Provider', ' Gini ']")</f>
        <v>['The network', 'Bener', 'Cook', 'Lose', 'Cepet', 'Ama', 'Disappointed', 'SMA', 'TELKOM', 'Mending', 'Change', 'Provider', ' Gini ']</v>
      </c>
      <c r="D2224" s="3">
        <v>1.0</v>
      </c>
    </row>
    <row r="2225" ht="15.75" customHeight="1">
      <c r="A2225" s="1">
        <v>2223.0</v>
      </c>
      <c r="B2225" s="3" t="s">
        <v>2226</v>
      </c>
      <c r="C2225" s="3" t="str">
        <f>IFERROR(__xludf.DUMMYFUNCTION("GOOGLETRANSLATE(B2225,""id"",""en"")"),"['Severe', 'buy', 'package', 'data', 'process',' say it ',' improvement ',' system ',' really ',' until ',' buy ',' package ',' Data ',' SERBA ',' ONLINE ',' Quota ',' Ngapa ',' Ngepain ',' Disappointed ']")</f>
        <v>['Severe', 'buy', 'package', 'data', 'process',' say it ',' improvement ',' system ',' really ',' until ',' buy ',' package ',' Data ',' SERBA ',' ONLINE ',' Quota ',' Ngapa ',' Ngepain ',' Disappointed ']</v>
      </c>
      <c r="D2225" s="3">
        <v>1.0</v>
      </c>
    </row>
    <row r="2226" ht="15.75" customHeight="1">
      <c r="A2226" s="1">
        <v>2224.0</v>
      </c>
      <c r="B2226" s="3" t="s">
        <v>2227</v>
      </c>
      <c r="C2226" s="3" t="str">
        <f>IFERROR(__xludf.DUMMYFUNCTION("GOOGLETRANSLATE(B2226,""id"",""en"")"),"['entry', 'application', 'Telkomsel', 'speed', 'internet', 'watch', 'youtube', 'that way', 'speed', 'joke', 'telkomsel', 'fix', ' The application ',' difficult ',' Paki ', ""]")</f>
        <v>['entry', 'application', 'Telkomsel', 'speed', 'internet', 'watch', 'youtube', 'that way', 'speed', 'joke', 'telkomsel', 'fix', ' The application ',' difficult ',' Paki ', "]</v>
      </c>
      <c r="D2226" s="3">
        <v>1.0</v>
      </c>
    </row>
    <row r="2227" ht="15.75" customHeight="1">
      <c r="A2227" s="1">
        <v>2225.0</v>
      </c>
      <c r="B2227" s="3" t="s">
        <v>2228</v>
      </c>
      <c r="C2227" s="3" t="str">
        <f>IFERROR(__xludf.DUMMYFUNCTION("GOOGLETRANSLATE(B2227,""id"",""en"")"),"['Please', 'Sorry', 'Sya', 'Network', 'Telkomsel', 'Network', 'Internet', 'Airport', 'Soekarno', 'Hatta', 'Network', 'Edge', ' Message ',' Sya ',' Please ',' Fix ',' LGI ',' System ',' Internet ',' Network ',' Customer ',' Disappointed ']")</f>
        <v>['Please', 'Sorry', 'Sya', 'Network', 'Telkomsel', 'Network', 'Internet', 'Airport', 'Soekarno', 'Hatta', 'Network', 'Edge', ' Message ',' Sya ',' Please ',' Fix ',' LGI ',' System ',' Internet ',' Network ',' Customer ',' Disappointed ']</v>
      </c>
      <c r="D2227" s="3">
        <v>1.0</v>
      </c>
    </row>
    <row r="2228" ht="15.75" customHeight="1">
      <c r="A2228" s="1">
        <v>2226.0</v>
      </c>
      <c r="B2228" s="3" t="s">
        <v>2229</v>
      </c>
      <c r="C2228" s="3" t="str">
        <f>IFERROR(__xludf.DUMMYFUNCTION("GOOGLETRANSLATE(B2228,""id"",""en"")"),"['Hello', 'admin', 'ask', 'card', 'package', 'GB', 'quota', 'internet', 'localny', 'buy', 'card', 'use', ' the card ',' in the region ',' card ',' internet ',' locally ',' reduced ',' open ',' google ',' try ',' chat ',' customer ',' care ',' veronika ' ,"&amp;" '']")</f>
        <v>['Hello', 'admin', 'ask', 'card', 'package', 'GB', 'quota', 'internet', 'localny', 'buy', 'card', 'use', ' the card ',' in the region ',' card ',' internet ',' locally ',' reduced ',' open ',' google ',' try ',' chat ',' customer ',' care ',' veronika ' , '']</v>
      </c>
      <c r="D2228" s="3">
        <v>1.0</v>
      </c>
    </row>
    <row r="2229" ht="15.75" customHeight="1">
      <c r="A2229" s="1">
        <v>2227.0</v>
      </c>
      <c r="B2229" s="3" t="s">
        <v>2230</v>
      </c>
      <c r="C2229" s="3" t="str">
        <f>IFERROR(__xludf.DUMMYFUNCTION("GOOGLETRANSLATE(B2229,""id"",""en"")"),"['Slow', 'Paraaaah', 'Cibogo', 'Subang', 'Signal', 'Karuan', 'Msh', 'Deket', 'City', 'Taken', 'Village', 'Sumurbarang', ' LBH ',' Severe ',' send ',' writing ',' pending ',' trs', 'browsing', 'offline', 'trs',' please ',' fix ',' decline ',' quality ' , '"&amp;"skrg', 'bnyk', 'competitors', 'hrs', 'lbh', 'reliable', '']")</f>
        <v>['Slow', 'Paraaaah', 'Cibogo', 'Subang', 'Signal', 'Karuan', 'Msh', 'Deket', 'City', 'Taken', 'Village', 'Sumurbarang', ' LBH ',' Severe ',' send ',' writing ',' pending ',' trs', 'browsing', 'offline', 'trs',' please ',' fix ',' decline ',' quality ' , 'skrg', 'bnyk', 'competitors', 'hrs', 'lbh', 'reliable', '']</v>
      </c>
      <c r="D2229" s="3">
        <v>1.0</v>
      </c>
    </row>
    <row r="2230" ht="15.75" customHeight="1">
      <c r="A2230" s="1">
        <v>2228.0</v>
      </c>
      <c r="B2230" s="3" t="s">
        <v>2231</v>
      </c>
      <c r="C2230" s="3" t="str">
        <f>IFERROR(__xludf.DUMMYFUNCTION("GOOGLETRANSLATE(B2230,""id"",""en"")"),"['hah', 'cave', 'disappointed', 'Telkomsel', 'network', 'at my home', 'ngk', 'cave', 'play', 'game', 'ngk', 'smooth', ' hah ',' disappointed ',' really ',' cave ',' lazy ',' use ',' Telkomsel ',' moved ',' provider ']")</f>
        <v>['hah', 'cave', 'disappointed', 'Telkomsel', 'network', 'at my home', 'ngk', 'cave', 'play', 'game', 'ngk', 'smooth', ' hah ',' disappointed ',' really ',' cave ',' lazy ',' use ',' Telkomsel ',' moved ',' provider ']</v>
      </c>
      <c r="D2230" s="3">
        <v>1.0</v>
      </c>
    </row>
    <row r="2231" ht="15.75" customHeight="1">
      <c r="A2231" s="1">
        <v>2229.0</v>
      </c>
      <c r="B2231" s="3" t="s">
        <v>2232</v>
      </c>
      <c r="C2231" s="3" t="str">
        <f>IFERROR(__xludf.DUMMYFUNCTION("GOOGLETRANSLATE(B2231,""id"",""en"")"),"['Telkomsel', 'leftover', 'pulse', 'run out', 'package', 'quota', 'sya', 'active', 'check', 'got', 'charge', 'data', ' "", 'returned', 'chat', 'application', 'Telkomsel', 'reply', '']")</f>
        <v>['Telkomsel', 'leftover', 'pulse', 'run out', 'package', 'quota', 'sya', 'active', 'check', 'got', 'charge', 'data', ' ", 'returned', 'chat', 'application', 'Telkomsel', 'reply', '']</v>
      </c>
      <c r="D2231" s="3">
        <v>1.0</v>
      </c>
    </row>
    <row r="2232" ht="15.75" customHeight="1">
      <c r="A2232" s="1">
        <v>2230.0</v>
      </c>
      <c r="B2232" s="3" t="s">
        <v>2233</v>
      </c>
      <c r="C2232" s="3" t="str">
        <f>IFERROR(__xludf.DUMMYFUNCTION("GOOGLETRANSLATE(B2232,""id"",""en"")"),"['Telkomsel', 'here', 'slow', 'bar', 'signal', 'full', 'slow', 'severe', 'please', 'furnic', 'provider', 'Telkomsel', ' package ',' expensive ',' network ',' slow ']")</f>
        <v>['Telkomsel', 'here', 'slow', 'bar', 'signal', 'full', 'slow', 'severe', 'please', 'furnic', 'provider', 'Telkomsel', ' package ',' expensive ',' network ',' slow ']</v>
      </c>
      <c r="D2232" s="3">
        <v>1.0</v>
      </c>
    </row>
    <row r="2233" ht="15.75" customHeight="1">
      <c r="A2233" s="1">
        <v>2231.0</v>
      </c>
      <c r="B2233" s="3" t="s">
        <v>2234</v>
      </c>
      <c r="C2233" s="3" t="str">
        <f>IFERROR(__xludf.DUMMYFUNCTION("GOOGLETRANSLATE(B2233,""id"",""en"")"),"['Like', 'Error', 'UDH', 'Enter', 'Login', 'Signal', 'Sympathy', 'Region', 'Moga', 'Pemalang', 'Javanese', 'ugly', ' Tower ',' village ',' troubled ',' signal ',' just ',' package ',' expensive ',' signal ',' repaired ',' input ', ""]")</f>
        <v>['Like', 'Error', 'UDH', 'Enter', 'Login', 'Signal', 'Sympathy', 'Region', 'Moga', 'Pemalang', 'Javanese', 'ugly', ' Tower ',' village ',' troubled ',' signal ',' just ',' package ',' expensive ',' signal ',' repaired ',' input ', "]</v>
      </c>
      <c r="D2233" s="3">
        <v>1.0</v>
      </c>
    </row>
    <row r="2234" ht="15.75" customHeight="1">
      <c r="A2234" s="1">
        <v>2232.0</v>
      </c>
      <c r="B2234" s="3" t="s">
        <v>2235</v>
      </c>
      <c r="C2234" s="3" t="str">
        <f>IFERROR(__xludf.DUMMYFUNCTION("GOOGLETRANSLATE(B2234,""id"",""en"")"),"['pulse', 'lost', 'thousand', 'play', 'sms',' tariff ',' non ',' package ',' quota ',' game ',' top ',' times', ' rejected ',' please ',' fix ',' the rest ',' decent ']")</f>
        <v>['pulse', 'lost', 'thousand', 'play', 'sms',' tariff ',' non ',' package ',' quota ',' game ',' top ',' times', ' rejected ',' please ',' fix ',' the rest ',' decent ']</v>
      </c>
      <c r="D2234" s="3">
        <v>2.0</v>
      </c>
    </row>
    <row r="2235" ht="15.75" customHeight="1">
      <c r="A2235" s="1">
        <v>2233.0</v>
      </c>
      <c r="B2235" s="3" t="s">
        <v>2236</v>
      </c>
      <c r="C2235" s="3" t="str">
        <f>IFERROR(__xludf.DUMMYFUNCTION("GOOGLETRANSLATE(B2235,""id"",""en"")"),"['Disappointed', 'Telkomsel', 'Credit', 'Rb', 'Package', 'Call', 'All', 'Operator', 'Mnt', 'Call', 'Minutes',' Credit ',' Stayed ',' Silver ',' Bener ',' Donk ',' Package ',' Call ',' How ',' Seh ',' Disappointed ',' Really ',' Facilities', 'Package', 'Be"&amp;"ner' ]")</f>
        <v>['Disappointed', 'Telkomsel', 'Credit', 'Rb', 'Package', 'Call', 'All', 'Operator', 'Mnt', 'Call', 'Minutes',' Credit ',' Stayed ',' Silver ',' Bener ',' Donk ',' Package ',' Call ',' How ',' Seh ',' Disappointed ',' Really ',' Facilities', 'Package', 'Bener' ]</v>
      </c>
      <c r="D2235" s="3">
        <v>1.0</v>
      </c>
    </row>
    <row r="2236" ht="15.75" customHeight="1">
      <c r="A2236" s="1">
        <v>2234.0</v>
      </c>
      <c r="B2236" s="3" t="s">
        <v>2237</v>
      </c>
      <c r="C2236" s="3" t="str">
        <f>IFERROR(__xludf.DUMMYFUNCTION("GOOGLETRANSLATE(B2236,""id"",""en"")"),"['Love', 'Disappointed', 'Yesterday', 'Upgrade', 'Card', 'GraPARI', 'Telkomsel', 'Ciamis',' Bonus', 'Internet', 'Bonus',' Internet ',' Please ',' Help ',' solution ',' Hatur ',' Nuhun ', ""]")</f>
        <v>['Love', 'Disappointed', 'Yesterday', 'Upgrade', 'Card', 'GraPARI', 'Telkomsel', 'Ciamis',' Bonus', 'Internet', 'Bonus',' Internet ',' Please ',' Help ',' solution ',' Hatur ',' Nuhun ', "]</v>
      </c>
      <c r="D2236" s="3">
        <v>3.0</v>
      </c>
    </row>
    <row r="2237" ht="15.75" customHeight="1">
      <c r="A2237" s="1">
        <v>2235.0</v>
      </c>
      <c r="B2237" s="3" t="s">
        <v>2238</v>
      </c>
      <c r="C2237" s="3" t="str">
        <f>IFERROR(__xludf.DUMMYFUNCTION("GOOGLETRANSLATE(B2237,""id"",""en"")"),"['', 'Buy', 'Package', 'Package', 'Combo', 'Sakti', 'for', 'Package', 'Sempet', 'Active', 'Stop', 'Reasons',' Silly ',' Fulsa ',' Internet ',' Defeated ',' Money ',' Purchases', 'Defended', 'Reduced', 'Nm', 'Batalin', 'Nagambut', 'Money', 'org']")</f>
        <v>['', 'Buy', 'Package', 'Package', 'Combo', 'Sakti', 'for', 'Package', 'Sempet', 'Active', 'Stop', 'Reasons',' Silly ',' Fulsa ',' Internet ',' Defeated ',' Money ',' Purchases', 'Defended', 'Reduced', 'Nm', 'Batalin', 'Nagambut', 'Money', 'org']</v>
      </c>
      <c r="D2237" s="3">
        <v>1.0</v>
      </c>
    </row>
    <row r="2238" ht="15.75" customHeight="1">
      <c r="A2238" s="1">
        <v>2236.0</v>
      </c>
      <c r="B2238" s="3" t="s">
        <v>2239</v>
      </c>
      <c r="C2238" s="3" t="str">
        <f>IFERROR(__xludf.DUMMYFUNCTION("GOOGLETRANSLATE(B2238,""id"",""en"")"),"['Network', 'UDH', 'Severe', 'quota', 'msh', 'GB', 'UDH', 'Severe', 'The way', 'conch', 'signal', 'name', ' beken ',' Telkomsel ',' already ',' expensive ',' network ',' kayak ',' snail ',' echelinated ',' believe ',' biss', 'proof', ""]")</f>
        <v>['Network', 'UDH', 'Severe', 'quota', 'msh', 'GB', 'UDH', 'Severe', 'The way', 'conch', 'signal', 'name', ' beken ',' Telkomsel ',' already ',' expensive ',' network ',' kayak ',' snail ',' echelinated ',' believe ',' biss', 'proof', "]</v>
      </c>
      <c r="D2238" s="3">
        <v>1.0</v>
      </c>
    </row>
    <row r="2239" ht="15.75" customHeight="1">
      <c r="A2239" s="1">
        <v>2237.0</v>
      </c>
      <c r="B2239" s="3" t="s">
        <v>2240</v>
      </c>
      <c r="C2239" s="3" t="str">
        <f>IFERROR(__xludf.DUMMYFUNCTION("GOOGLETRANSLATE(B2239,""id"",""en"")"),"['oldaa', 'expensive', 'bgini', 'then', 'replace', 'card', 'nihh', 'pulse', 'ilang', 'pulse', 'ilang', 'kdang', ' Emotions', 'Bngt', 'SMA', 'Telkomsel', 'Malingg', 'Credit', 'Mulu', 'Fear', 'Sin', 'Rich', 'Indosat', 'pulses',' save ' , 'Bgini', 'then', 'P"&amp;"DA', 'Change', 'card']")</f>
        <v>['oldaa', 'expensive', 'bgini', 'then', 'replace', 'card', 'nihh', 'pulse', 'ilang', 'pulse', 'ilang', 'kdang', ' Emotions', 'Bngt', 'SMA', 'Telkomsel', 'Malingg', 'Credit', 'Mulu', 'Fear', 'Sin', 'Rich', 'Indosat', 'pulses',' save ' , 'Bgini', 'then', 'PDA', 'Change', 'card']</v>
      </c>
      <c r="D2239" s="3">
        <v>1.0</v>
      </c>
    </row>
    <row r="2240" ht="15.75" customHeight="1">
      <c r="A2240" s="1">
        <v>2238.0</v>
      </c>
      <c r="B2240" s="3" t="s">
        <v>2241</v>
      </c>
      <c r="C2240" s="3" t="str">
        <f>IFERROR(__xludf.DUMMYFUNCTION("GOOGLETRANSLATE(B2240,""id"",""en"")"),"['Disappointed', 'cave', 'high school', 'application', 'pulse', 'run out', 'ngak', 'dipake', 'quota', 'internet', 'cave', 'bnyak', ' Credit ',' run out ',' Corruption ',' work ',' Anying ',' ngak ',' calm ',' life ',' eat ',' money ',' haram ']")</f>
        <v>['Disappointed', 'cave', 'high school', 'application', 'pulse', 'run out', 'ngak', 'dipake', 'quota', 'internet', 'cave', 'bnyak', ' Credit ',' run out ',' Corruption ',' work ',' Anying ',' ngak ',' calm ',' life ',' eat ',' money ',' haram ']</v>
      </c>
      <c r="D2240" s="3">
        <v>1.0</v>
      </c>
    </row>
    <row r="2241" ht="15.75" customHeight="1">
      <c r="A2241" s="1">
        <v>2239.0</v>
      </c>
      <c r="B2241" s="3" t="s">
        <v>2242</v>
      </c>
      <c r="C2241" s="3" t="str">
        <f>IFERROR(__xludf.DUMMYFUNCTION("GOOGLETRANSLATE(B2241,""id"",""en"")"),"['Woyy', 'Telkomsel', 'idiot', 'contents',' credit ',' pulse ',' suck ',' run out ',' pulse ',' save ',' run out ',' base ',' eat ',' money ',' haram ',' right ',' person ',' take ',' rich ',' provider ',' axis', 'system', 'save', 'key', 'application' , '"&amp;"Axisnet', 'pulse', 'sumps', 'rich', 'Telkomsel', 'idiot']")</f>
        <v>['Woyy', 'Telkomsel', 'idiot', 'contents',' credit ',' pulse ',' suck ',' run out ',' pulse ',' save ',' run out ',' base ',' eat ',' money ',' haram ',' right ',' person ',' take ',' rich ',' provider ',' axis', 'system', 'save', 'key', 'application' , 'Axisnet', 'pulse', 'sumps', 'rich', 'Telkomsel', 'idiot']</v>
      </c>
      <c r="D2241" s="3">
        <v>1.0</v>
      </c>
    </row>
    <row r="2242" ht="15.75" customHeight="1">
      <c r="A2242" s="1">
        <v>2240.0</v>
      </c>
      <c r="B2242" s="3" t="s">
        <v>2243</v>
      </c>
      <c r="C2242" s="3" t="str">
        <f>IFERROR(__xludf.DUMMYFUNCTION("GOOGLETRANSLATE(B2242,""id"",""en"")"),"['Serving', 'Network', 'Bener', 'Win', 'Sampe', 'Plosok', 'Doang', 'Connection', 'Internet', 'Lemot', 'Card', 'expensive', ' comparable ',' really ',' original ',' loss', 'privoder', 'Telkomsel', 'card', 'expensive', 'connection', 'internet', 'slow', 'dow"&amp;"nload', 'Mbps' , 'Speed', 'max', 'download', 'kbps',' area ',' cave ',' city ',' gini ',' customer ',' moved ',' privoder ',' ""Repaired ',' ']")</f>
        <v>['Serving', 'Network', 'Bener', 'Win', 'Sampe', 'Plosok', 'Doang', 'Connection', 'Internet', 'Lemot', 'Card', 'expensive', ' comparable ',' really ',' original ',' loss', 'privoder', 'Telkomsel', 'card', 'expensive', 'connection', 'internet', 'slow', 'download', 'Mbps' , 'Speed', 'max', 'download', 'kbps',' area ',' cave ',' city ',' gini ',' customer ',' moved ',' privoder ',' "Repaired ',' ']</v>
      </c>
      <c r="D2242" s="3">
        <v>1.0</v>
      </c>
    </row>
    <row r="2243" ht="15.75" customHeight="1">
      <c r="A2243" s="1">
        <v>2241.0</v>
      </c>
      <c r="B2243" s="3" t="s">
        <v>2244</v>
      </c>
      <c r="C2243" s="3" t="str">
        <f>IFERROR(__xludf.DUMMYFUNCTION("GOOGLETRANSLATE(B2243,""id"",""en"")"),"['Disappointed', 'promo', 'according to', 'buy', 'pket', 'full', 'unlimited', 'tone', 'smpai', 'date', 'date', ' Open ',' YouTube ',' NNTN ',' Video ',' JGA ',' LEGAR ',' SESUI ',' SMA ',' Name ',' Klau ',' Unlimited ',' Bner ',' Disappointed ' , 'SMA', '"&amp;"Telkomsel', 'Telkomsel', 'trimakasi', 'May "",' BKL ',' Hidup ',' Wear ',' Tlkomsel ',' Bner ',' Disappointed ',' ']")</f>
        <v>['Disappointed', 'promo', 'according to', 'buy', 'pket', 'full', 'unlimited', 'tone', 'smpai', 'date', 'date', ' Open ',' YouTube ',' NNTN ',' Video ',' JGA ',' LEGAR ',' SESUI ',' SMA ',' Name ',' Klau ',' Unlimited ',' Bner ',' Disappointed ' , 'SMA', 'Telkomsel', 'Telkomsel', 'trimakasi', 'May ",' BKL ',' Hidup ',' Wear ',' Tlkomsel ',' Bner ',' Disappointed ',' ']</v>
      </c>
      <c r="D2243" s="3">
        <v>1.0</v>
      </c>
    </row>
    <row r="2244" ht="15.75" customHeight="1">
      <c r="A2244" s="1">
        <v>2242.0</v>
      </c>
      <c r="B2244" s="3" t="s">
        <v>2245</v>
      </c>
      <c r="C2244" s="3" t="str">
        <f>IFERROR(__xludf.DUMMYFUNCTION("GOOGLETRANSLATE(B2244,""id"",""en"")"),"['network', 'obviously', 'telkom', 'already', 'expensive', 'signal', 'rotten', 'intention', 'work', 'no', 'employees',' no ',' Close ',' company ']")</f>
        <v>['network', 'obviously', 'telkom', 'already', 'expensive', 'signal', 'rotten', 'intention', 'work', 'no', 'employees',' no ',' Close ',' company ']</v>
      </c>
      <c r="D2244" s="3">
        <v>1.0</v>
      </c>
    </row>
    <row r="2245" ht="15.75" customHeight="1">
      <c r="A2245" s="1">
        <v>2243.0</v>
      </c>
      <c r="B2245" s="3" t="s">
        <v>2246</v>
      </c>
      <c r="C2245" s="3" t="str">
        <f>IFERROR(__xludf.DUMMYFUNCTION("GOOGLETRANSLATE(B2245,""id"",""en"")"),"['Here', 'Telkomsel', 'strange', 'please', 'Lahh', 'cave', 'already', 'buy', 'package', 'expensive', 'signal', 'the network', ' slow ',' boro ',' boro ',' open ',' game ',' online ',' check ',' pulse ',' buy ',' package ',' data ',' mytelkomsel ',' slow '"&amp;" , 'Forgiveness',' already ',' week ',' the network ',' slow ',' please ',' min ',' just ',' money ',' consumers', 'service', 'bad', ' signal ',' network ',' bad ',' repay ',' service ',' network ',' internet ',' ']")</f>
        <v>['Here', 'Telkomsel', 'strange', 'please', 'Lahh', 'cave', 'already', 'buy', 'package', 'expensive', 'signal', 'the network', ' slow ',' boro ',' boro ',' open ',' game ',' online ',' check ',' pulse ',' buy ',' package ',' data ',' mytelkomsel ',' slow ' , 'Forgiveness',' already ',' week ',' the network ',' slow ',' please ',' min ',' just ',' money ',' consumers', 'service', 'bad', ' signal ',' network ',' bad ',' repay ',' service ',' network ',' internet ',' ']</v>
      </c>
      <c r="D2245" s="3">
        <v>1.0</v>
      </c>
    </row>
    <row r="2246" ht="15.75" customHeight="1">
      <c r="A2246" s="1">
        <v>2244.0</v>
      </c>
      <c r="B2246" s="3" t="s">
        <v>2247</v>
      </c>
      <c r="C2246" s="3" t="str">
        <f>IFERROR(__xludf.DUMMYFUNCTION("GOOGLETRANSLATE(B2246,""id"",""en"")"),"['skrng', 'buy', 'package', 'cheerful', 'pdhl', 'change', 'price', 'buy', 'get', 'promo', 'sms',' right ',' Udh ',' Change ',' price ',' gabisa ',' buy ',' strange ',' card ']")</f>
        <v>['skrng', 'buy', 'package', 'cheerful', 'pdhl', 'change', 'price', 'buy', 'get', 'promo', 'sms',' right ',' Udh ',' Change ',' price ',' gabisa ',' buy ',' strange ',' card ']</v>
      </c>
      <c r="D2246" s="3">
        <v>3.0</v>
      </c>
    </row>
    <row r="2247" ht="15.75" customHeight="1">
      <c r="A2247" s="1">
        <v>2245.0</v>
      </c>
      <c r="B2247" s="3" t="s">
        <v>2248</v>
      </c>
      <c r="C2247" s="3" t="str">
        <f>IFERROR(__xludf.DUMMYFUNCTION("GOOGLETRANSLATE(B2247,""id"",""en"")"),"['Network', 'bad', 'Gaada', 'response', 'Telkomsel', 'Gaada', 'Improved', 'How', 'People', 'Betah', 'Service', 'Telkomsel', ' Buy ',' Package ',' Leaves', 'Service', 'Move', 'Service', '']")</f>
        <v>['Network', 'bad', 'Gaada', 'response', 'Telkomsel', 'Gaada', 'Improved', 'How', 'People', 'Betah', 'Service', 'Telkomsel', ' Buy ',' Package ',' Leaves', 'Service', 'Move', 'Service', '']</v>
      </c>
      <c r="D2247" s="3">
        <v>5.0</v>
      </c>
    </row>
    <row r="2248" ht="15.75" customHeight="1">
      <c r="A2248" s="1">
        <v>2246.0</v>
      </c>
      <c r="B2248" s="3" t="s">
        <v>2249</v>
      </c>
      <c r="C2248" s="3" t="str">
        <f>IFERROR(__xludf.DUMMYFUNCTION("GOOGLETRANSLATE(B2248,""id"",""en"")"),"['Ask', 'Gini', 'already', 'network', 'dumped', 'cave', 'broken', 'person', 'Telkomsel', 'checked', 'emang', 'artisan', ' Check ',' Wait ',' report ',' community ',' ']")</f>
        <v>['Ask', 'Gini', 'already', 'network', 'dumped', 'cave', 'broken', 'person', 'Telkomsel', 'checked', 'emang', 'artisan', ' Check ',' Wait ',' report ',' community ',' ']</v>
      </c>
      <c r="D2248" s="3">
        <v>1.0</v>
      </c>
    </row>
    <row r="2249" ht="15.75" customHeight="1">
      <c r="A2249" s="1">
        <v>2247.0</v>
      </c>
      <c r="B2249" s="3" t="s">
        <v>2250</v>
      </c>
      <c r="C2249" s="3" t="str">
        <f>IFERROR(__xludf.DUMMYFUNCTION("GOOGLETRANSLATE(B2249,""id"",""en"")"),"['Telkomsel', 'choice', 'product', 'review', 'package', 'internet', 'telephone', 'recommended', 'really', 'tks', 'Telkomsel']")</f>
        <v>['Telkomsel', 'choice', 'product', 'review', 'package', 'internet', 'telephone', 'recommended', 'really', 'tks', 'Telkomsel']</v>
      </c>
      <c r="D2249" s="3">
        <v>5.0</v>
      </c>
    </row>
    <row r="2250" ht="15.75" customHeight="1">
      <c r="A2250" s="1">
        <v>2248.0</v>
      </c>
      <c r="B2250" s="3" t="s">
        <v>2251</v>
      </c>
      <c r="C2250" s="3" t="str">
        <f>IFERROR(__xludf.DUMMYFUNCTION("GOOGLETRANSLATE(B2250,""id"",""en"")"),"['quota', 'expensive', 'network', 'ugly', 'masyallah', 'already', 'already', 'personal', 'that's',' card ',' honest ',' disappointed ',' Telkomsel ',' company ',' disappointing ',' customer ',' ']")</f>
        <v>['quota', 'expensive', 'network', 'ugly', 'masyallah', 'already', 'already', 'personal', 'that's',' card ',' honest ',' disappointed ',' Telkomsel ',' company ',' disappointing ',' customer ',' ']</v>
      </c>
      <c r="D2250" s="3">
        <v>1.0</v>
      </c>
    </row>
    <row r="2251" ht="15.75" customHeight="1">
      <c r="A2251" s="1">
        <v>2249.0</v>
      </c>
      <c r="B2251" s="3" t="s">
        <v>2252</v>
      </c>
      <c r="C2251" s="3" t="str">
        <f>IFERROR(__xludf.DUMMYFUNCTION("GOOGLETRANSLATE(B2251,""id"",""en"")"),"['Please', 'network', 'maximize', 'signal', 'slow', 'clock', 'busy', 'begged', 'quality', 'price', 'bole', 'expensive', ' Products', 'Quality', '']")</f>
        <v>['Please', 'network', 'maximize', 'signal', 'slow', 'clock', 'busy', 'begged', 'quality', 'price', 'bole', 'expensive', ' Products', 'Quality', '']</v>
      </c>
      <c r="D2251" s="3">
        <v>4.0</v>
      </c>
    </row>
    <row r="2252" ht="15.75" customHeight="1">
      <c r="A2252" s="1">
        <v>2250.0</v>
      </c>
      <c r="B2252" s="3" t="s">
        <v>2253</v>
      </c>
      <c r="C2252" s="3" t="str">
        <f>IFERROR(__xludf.DUMMYFUNCTION("GOOGLETRANSLATE(B2252,""id"",""en"")"),"['YTH', 'MyTelkomsel', 'BBRP', 'WKT', 'pls',' Suck ',' SJA ',' Please ',' ADKN ',' Lock ',' Button ',' Feature ',' pls', 'pkt', 'internet', 'mmng', 'hrs',' dnaikn ',' hrg ',' tlng ',' jngn ',' trmpau ',' all ',' org ',' adlh ' , 'Sultan', 'HRGA', 'GNTI', "&amp;"'KRTU', 'TEKDNG', 'TNP', 'ABA', 'KLUAR', 'MyTelkomsel', 'HRS', 'Login', 'Ulng', ' CKP ',' Memkn ',' WKT ',' SMS ',' PNGIREPN ',' LINK ',' LOGIN ',' ULNG ',' PMBRIDIVE ',' PKT ',' Internet ',' HBS ',' PMbriti ' , 'PKT', 'Internet', 'Hbs', 'Trlmbt', 'Knp', "&amp;"'PDHL', 'Snyl', 'trompau', 'jlk', 'all', 'smntra', '']")</f>
        <v>['YTH', 'MyTelkomsel', 'BBRP', 'WKT', 'pls',' Suck ',' SJA ',' Please ',' ADKN ',' Lock ',' Button ',' Feature ',' pls', 'pkt', 'internet', 'mmng', 'hrs',' dnaikn ',' hrg ',' tlng ',' jngn ',' trmpau ',' all ',' org ',' adlh ' , 'Sultan', 'HRGA', 'GNTI', 'KRTU', 'TEKDNG', 'TNP', 'ABA', 'KLUAR', 'MyTelkomsel', 'HRS', 'Login', 'Ulng', ' CKP ',' Memkn ',' WKT ',' SMS ',' PNGIREPN ',' LINK ',' LOGIN ',' ULNG ',' PMBRIDIVE ',' PKT ',' Internet ',' HBS ',' PMbriti ' , 'PKT', 'Internet', 'Hbs', 'Trlmbt', 'Knp', 'PDHL', 'Snyl', 'trompau', 'jlk', 'all', 'smntra', '']</v>
      </c>
      <c r="D2252" s="3">
        <v>2.0</v>
      </c>
    </row>
    <row r="2253" ht="15.75" customHeight="1">
      <c r="A2253" s="1">
        <v>2251.0</v>
      </c>
      <c r="B2253" s="3" t="s">
        <v>2254</v>
      </c>
      <c r="C2253" s="3" t="str">
        <f>IFERROR(__xludf.DUMMYFUNCTION("GOOGLETRANSLATE(B2253,""id"",""en"")"),"['Credit', 'Cut', 'Rban', 'Watch', 'YouTube', 'Quota', 'YouTube', 'Taste', 'Tools',' Telkomsel ',' Malem ',' Already ',' Try ',' buy ',' package ',' description ',' error ',' pulse ',' suck ',' cuk ',' like ',' suck ',' pulse ',' person ',' ']")</f>
        <v>['Credit', 'Cut', 'Rban', 'Watch', 'YouTube', 'Quota', 'YouTube', 'Taste', 'Tools',' Telkomsel ',' Malem ',' Already ',' Try ',' buy ',' package ',' description ',' error ',' pulse ',' suck ',' cuk ',' like ',' suck ',' pulse ',' person ',' ']</v>
      </c>
      <c r="D2253" s="3">
        <v>1.0</v>
      </c>
    </row>
    <row r="2254" ht="15.75" customHeight="1">
      <c r="A2254" s="1">
        <v>2252.0</v>
      </c>
      <c r="B2254" s="3" t="s">
        <v>2255</v>
      </c>
      <c r="C2254" s="3" t="str">
        <f>IFERROR(__xludf.DUMMYFUNCTION("GOOGLETRANSLATE(B2254,""id"",""en"")"),"['Hopefully', 'Telkomsel', 'best', 'Android', 'sophisticated', 'expensive', 'package', 'Kasian', 'use', 'Android', 'sophisticated', 'use', ' No ',' Package ',' YouTube ',' Ikrom ',' ']")</f>
        <v>['Hopefully', 'Telkomsel', 'best', 'Android', 'sophisticated', 'expensive', 'package', 'Kasian', 'use', 'Android', 'sophisticated', 'use', ' No ',' Package ',' YouTube ',' Ikrom ',' ']</v>
      </c>
      <c r="D2254" s="3">
        <v>5.0</v>
      </c>
    </row>
    <row r="2255" ht="15.75" customHeight="1">
      <c r="A2255" s="1">
        <v>2253.0</v>
      </c>
      <c r="B2255" s="3" t="s">
        <v>2256</v>
      </c>
      <c r="C2255" s="3" t="str">
        <f>IFERROR(__xludf.DUMMYFUNCTION("GOOGLETRANSLATE(B2255,""id"",""en"")"),"['signal', 'slow', 'date', 'May', 'Yesterday', 'info', 'SMS', 'Etc.', 'Auto', 'Change', 'Provider', 'DRPD', ' Work ',' gamming ',' disturbed ',' lag ',' severe ']")</f>
        <v>['signal', 'slow', 'date', 'May', 'Yesterday', 'info', 'SMS', 'Etc.', 'Auto', 'Change', 'Provider', 'DRPD', ' Work ',' gamming ',' disturbed ',' lag ',' severe ']</v>
      </c>
      <c r="D2255" s="3">
        <v>1.0</v>
      </c>
    </row>
    <row r="2256" ht="15.75" customHeight="1">
      <c r="A2256" s="1">
        <v>2254.0</v>
      </c>
      <c r="B2256" s="3" t="s">
        <v>2257</v>
      </c>
      <c r="C2256" s="3" t="str">
        <f>IFERROR(__xludf.DUMMYFUNCTION("GOOGLETRANSLATE(B2256,""id"",""en"")"),"['signal', 'destroyed', 'classmate', 'city', 'sorry', 'ndak', 'complain', 'tlfn', 'told', 'mode', 'ofline', 'then' Tricks', 'Marketing', '']")</f>
        <v>['signal', 'destroyed', 'classmate', 'city', 'sorry', 'ndak', 'complain', 'tlfn', 'told', 'mode', 'ofline', 'then' Tricks', 'Marketing', '']</v>
      </c>
      <c r="D2256" s="3">
        <v>1.0</v>
      </c>
    </row>
    <row r="2257" ht="15.75" customHeight="1">
      <c r="A2257" s="1">
        <v>2255.0</v>
      </c>
      <c r="B2257" s="3" t="s">
        <v>2258</v>
      </c>
      <c r="C2257" s="3" t="str">
        <f>IFERROR(__xludf.DUMMYFUNCTION("GOOGLETRANSLATE(B2257,""id"",""en"")"),"['Switch', 'Telkomsel', 'Hello', 'use', 'data', 'trucked', 'for', 'a month', 'leftover', 'use', 'week', 'card', ' Hello ',' entry ',' deeds', 'use', 'call', 'rupiah', 'used', 'anything', 'disappointing', 'costumer', 'promised', 'use', 'card' , 'Hello', 'S"&amp;"unday', 'thousand', 'Bhong', ""]")</f>
        <v>['Switch', 'Telkomsel', 'Hello', 'use', 'data', 'trucked', 'for', 'a month', 'leftover', 'use', 'week', 'card', ' Hello ',' entry ',' deeds', 'use', 'call', 'rupiah', 'used', 'anything', 'disappointing', 'costumer', 'promised', 'use', 'card' , 'Hello', 'Sunday', 'thousand', 'Bhong', "]</v>
      </c>
      <c r="D2257" s="3">
        <v>1.0</v>
      </c>
    </row>
    <row r="2258" ht="15.75" customHeight="1">
      <c r="A2258" s="1">
        <v>2256.0</v>
      </c>
      <c r="B2258" s="3" t="s">
        <v>2259</v>
      </c>
      <c r="C2258" s="3" t="str">
        <f>IFERROR(__xludf.DUMMYFUNCTION("GOOGLETRANSLATE(B2258,""id"",""en"")"),"['Paketan', 'KOQ', 'Use', 'Yesterday', 'Out', 'Claim', 'Quota', 'Free', 'Login', 'Daily', 'Telkomsel', 'Package', ' run out, 'package', 'main', 'no', 'use', 'bangse']")</f>
        <v>['Paketan', 'KOQ', 'Use', 'Yesterday', 'Out', 'Claim', 'Quota', 'Free', 'Login', 'Daily', 'Telkomsel', 'Package', ' run out, 'package', 'main', 'no', 'use', 'bangse']</v>
      </c>
      <c r="D2258" s="3">
        <v>1.0</v>
      </c>
    </row>
    <row r="2259" ht="15.75" customHeight="1">
      <c r="A2259" s="1">
        <v>2257.0</v>
      </c>
      <c r="B2259" s="3" t="s">
        <v>2260</v>
      </c>
      <c r="C2259" s="3" t="str">
        <f>IFERROR(__xludf.DUMMYFUNCTION("GOOGLETRANSLATE(B2259,""id"",""en"")"),"['price', 'package', 'sympathy', 'expensive', 'signal', 'ugly', 'satisfying', 'detrimental', 'user', 'BuriiIkk', 'Telkomsel']")</f>
        <v>['price', 'package', 'sympathy', 'expensive', 'signal', 'ugly', 'satisfying', 'detrimental', 'user', 'BuriiIkk', 'Telkomsel']</v>
      </c>
      <c r="D2259" s="3">
        <v>1.0</v>
      </c>
    </row>
    <row r="2260" ht="15.75" customHeight="1">
      <c r="A2260" s="1">
        <v>2258.0</v>
      </c>
      <c r="B2260" s="3" t="s">
        <v>2261</v>
      </c>
      <c r="C2260" s="3" t="str">
        <f>IFERROR(__xludf.DUMMYFUNCTION("GOOGLETRANSLATE(B2260,""id"",""en"")"),"['Telkomsel', 'disappointing', 'application', 'open', 'sorry', 'star', 'reduce', 'skrg', 'network', 'internet', 'obstacle', 'normally', ' Come ',' destroyed ',' Telkomsel ', ""]")</f>
        <v>['Telkomsel', 'disappointing', 'application', 'open', 'sorry', 'star', 'reduce', 'skrg', 'network', 'internet', 'obstacle', 'normally', ' Come ',' destroyed ',' Telkomsel ', "]</v>
      </c>
      <c r="D2260" s="3">
        <v>1.0</v>
      </c>
    </row>
    <row r="2261" ht="15.75" customHeight="1">
      <c r="A2261" s="1">
        <v>2259.0</v>
      </c>
      <c r="B2261" s="3" t="s">
        <v>2262</v>
      </c>
      <c r="C2261" s="3" t="str">
        <f>IFERROR(__xludf.DUMMYFUNCTION("GOOGLETRANSLATE(B2261,""id"",""en"")"),"['Disappointed', 'really', 'quota', 'rb', 'already', 'get', 'unlimited', 'quota', 'GB', 'run out', 'comfortable', 'YouTube', ' etc. ',' GB ',' Out ',' YouTube ',' Ngadat ',' Ngadat ',' Ngadat ',' expensive ',' RB ',' a month ',' Abis', 'active', 'stingy' "&amp;", 'grace', 'dates', 'Haaahhh', 'pepayhh', ""]")</f>
        <v>['Disappointed', 'really', 'quota', 'rb', 'already', 'get', 'unlimited', 'quota', 'GB', 'run out', 'comfortable', 'YouTube', ' etc. ',' GB ',' Out ',' YouTube ',' Ngadat ',' Ngadat ',' Ngadat ',' expensive ',' RB ',' a month ',' Abis', 'active', 'stingy' , 'grace', 'dates', 'Haaahhh', 'pepayhh', "]</v>
      </c>
      <c r="D2261" s="3">
        <v>1.0</v>
      </c>
    </row>
    <row r="2262" ht="15.75" customHeight="1">
      <c r="A2262" s="1">
        <v>2260.0</v>
      </c>
      <c r="B2262" s="3" t="s">
        <v>2263</v>
      </c>
      <c r="C2262" s="3" t="str">
        <f>IFERROR(__xludf.DUMMYFUNCTION("GOOGLETRANSLATE(B2262,""id"",""en"")"),"['complain', 'buy', 'package', 'promo', 'directly', 'enter', 'pulse', 'reduced', 'please', 'comfortable']")</f>
        <v>['complain', 'buy', 'package', 'promo', 'directly', 'enter', 'pulse', 'reduced', 'please', 'comfortable']</v>
      </c>
      <c r="D2262"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2022-02-26T07:07:49Z</dcterms:created>
  <dc:creator>openpyxl</dc:creator>
</cp:coreProperties>
</file>